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C:\Users\cknuth\Downloads\KWK-Veröffentlichung 2024\"/>
    </mc:Choice>
  </mc:AlternateContent>
  <xr:revisionPtr revIDLastSave="0" documentId="13_ncr:1_{F9B18DB8-AA53-4DEF-9575-914F2D7613D8}" xr6:coauthVersionLast="47" xr6:coauthVersionMax="47" xr10:uidLastSave="{00000000-0000-0000-0000-000000000000}"/>
  <workbookProtection workbookAlgorithmName="SHA-512" workbookHashValue="fFYPjDQ3DToeLs2v8GfcJ7TCnZIXj0ZwJlyEhqGeb7YLlkbPurC6Klw7g0k9LoiyjDXYpKuwtKmnRZZ4BSL/Gw==" workbookSaltValue="82ptXGyumwxSSFuHvqQhHQ==" workbookSpinCount="100000" lockStructure="1"/>
  <bookViews>
    <workbookView xWindow="-120" yWindow="-120" windowWidth="29040" windowHeight="15720" tabRatio="828" firstSheet="1" activeTab="1" xr2:uid="{8484F231-523A-4CF4-A449-6031B6EA0BF8}"/>
  </bookViews>
  <sheets>
    <sheet name="Hinweise" sheetId="57" state="hidden" r:id="rId1"/>
    <sheet name="Anlage 1a_Zuschlagszahlungen_NB" sheetId="46" r:id="rId2"/>
    <sheet name="Anlage 1b_Abzüge, Pflicht, Boni" sheetId="36" r:id="rId3"/>
    <sheet name="Anlage 1c_Korrekturen_NB" sheetId="47" r:id="rId4"/>
    <sheet name="Anlage 1d_Pönalen" sheetId="50" r:id="rId5"/>
    <sheet name="Anlage 1e_WKNS" sheetId="54" r:id="rId6"/>
    <sheet name="Anlage 1f_ZuschlagszahlungenKAT" sheetId="52" r:id="rId7"/>
    <sheet name="Anlage 1g_Korrekturen_KG" sheetId="58" r:id="rId8"/>
    <sheet name="Anlage 2a_Letztverbrauch" sheetId="19" r:id="rId9"/>
    <sheet name="Anlage 2b_Korrekturen" sheetId="35" r:id="rId10"/>
    <sheet name="Anlage 2c_Korrekturen_JA" sheetId="59" r:id="rId11"/>
    <sheet name="Anlage 3a_Zusammenfassung_KWKG" sheetId="21" r:id="rId12"/>
    <sheet name="Anlage 3b_Zusammenfassung ONU" sheetId="55" r:id="rId13"/>
    <sheet name="LV-Schlüssel" sheetId="56" state="hidden" r:id="rId14"/>
  </sheets>
  <definedNames>
    <definedName name="_xlnm._FilterDatabase" localSheetId="1" hidden="1">'Anlage 1a_Zuschlagszahlungen_NB'!$A$1:$F$1729</definedName>
    <definedName name="_xlnm._FilterDatabase" localSheetId="3" hidden="1">'Anlage 1c_Korrekturen_NB'!$A$480:$L$588</definedName>
    <definedName name="_xlnm._FilterDatabase" localSheetId="7" hidden="1">'Anlage 1g_Korrekturen_KG'!$B$68:$L$68</definedName>
    <definedName name="_xlnm._FilterDatabase" localSheetId="9" hidden="1">'Anlage 2b_Korrekturen'!$A$7:$F$203</definedName>
    <definedName name="_xlnm._FilterDatabase" localSheetId="10" hidden="1">'Anlage 2c_Korrekturen_JA'!#REF!</definedName>
    <definedName name="_xlnm._FilterDatabase" localSheetId="11" hidden="1">'Anlage 3a_Zusammenfassung_KWKG'!$A$3:$L$3614</definedName>
    <definedName name="_xlnm._FilterDatabase" localSheetId="12" hidden="1">'Anlage 3b_Zusammenfassung ONU'!$A$6:$G$6</definedName>
    <definedName name="Auswahlliste">#REF!</definedName>
    <definedName name="_xlnm.Print_Area" localSheetId="1">'Anlage 1a_Zuschlagszahlungen_NB'!$A$1:$E$1722</definedName>
    <definedName name="_xlnm.Print_Area" localSheetId="9">'Anlage 2b_Korrekturen'!$A$1:$F$1360</definedName>
    <definedName name="_xlnm.Print_Area" localSheetId="10">'Anlage 2c_Korrekturen_JA'!$A$1:$K$26</definedName>
    <definedName name="Print_Area" localSheetId="8">'Anlage 2a_Letztverbrauch'!$A$1:$H$1868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94" i="19" l="1"/>
  <c r="B1595" i="46"/>
  <c r="C1728" i="55"/>
  <c r="C1729" i="55"/>
  <c r="C1730" i="55"/>
  <c r="C1731" i="55"/>
  <c r="C1732" i="55"/>
  <c r="C1733" i="55"/>
  <c r="C1734" i="55"/>
  <c r="C1735" i="55"/>
  <c r="C1736" i="55"/>
  <c r="C1737" i="55"/>
  <c r="C1738" i="55"/>
  <c r="C1739" i="55"/>
  <c r="C1740" i="55"/>
  <c r="C1741" i="55"/>
  <c r="C1742" i="55"/>
  <c r="C1743" i="55"/>
  <c r="C1744" i="55"/>
  <c r="C1745" i="55"/>
  <c r="C1746" i="55"/>
  <c r="C1747" i="55"/>
  <c r="C1748" i="55"/>
  <c r="C1749" i="55"/>
  <c r="C1750" i="55"/>
  <c r="C1751" i="55"/>
  <c r="C1752" i="55"/>
  <c r="C1753" i="55"/>
  <c r="C1754" i="55"/>
  <c r="C1755" i="55"/>
  <c r="C1756" i="55"/>
  <c r="C1757" i="55"/>
  <c r="C1758" i="55"/>
  <c r="C1759" i="55"/>
  <c r="C1760" i="55"/>
  <c r="C1761" i="55"/>
  <c r="C1762" i="55"/>
  <c r="C1763" i="55"/>
  <c r="C1764" i="55"/>
  <c r="C1765" i="55"/>
  <c r="C1766" i="55"/>
  <c r="C1767" i="55"/>
  <c r="C1768" i="55"/>
  <c r="C1769" i="55"/>
  <c r="C1770" i="55"/>
  <c r="C1771" i="55"/>
  <c r="C1772" i="55"/>
  <c r="C1773" i="55"/>
  <c r="C1774" i="55"/>
  <c r="C1775" i="55"/>
  <c r="C1776" i="55"/>
  <c r="C1777" i="55"/>
  <c r="C1778" i="55"/>
  <c r="C1779" i="55"/>
  <c r="C1780" i="55"/>
  <c r="C1781" i="55"/>
  <c r="C1782" i="55"/>
  <c r="C1783" i="55"/>
  <c r="C1784" i="55"/>
  <c r="C1785" i="55"/>
  <c r="C1786" i="55"/>
  <c r="C1787" i="55"/>
  <c r="C1788" i="55"/>
  <c r="C1789" i="55"/>
  <c r="C1790" i="55"/>
  <c r="C1791" i="55"/>
  <c r="C1792" i="55"/>
  <c r="C1793" i="55"/>
  <c r="C1794" i="55"/>
  <c r="C1795" i="55"/>
  <c r="C1796" i="55"/>
  <c r="C1797" i="55"/>
  <c r="C1798" i="55"/>
  <c r="C1799" i="55"/>
  <c r="C1800" i="55"/>
  <c r="C1801" i="55"/>
  <c r="C1802" i="55"/>
  <c r="C1803" i="55"/>
  <c r="C1804" i="55"/>
  <c r="C1805" i="55"/>
  <c r="C1806" i="55"/>
  <c r="C1807" i="55"/>
  <c r="C1808" i="55"/>
  <c r="C1809" i="55"/>
  <c r="C1810" i="55"/>
  <c r="C1811" i="55"/>
  <c r="C1812" i="55"/>
  <c r="C1813" i="55"/>
  <c r="C1814" i="55"/>
  <c r="C1815" i="55"/>
  <c r="C1816" i="55"/>
  <c r="C1817" i="55"/>
  <c r="C1818" i="55"/>
  <c r="C1819" i="55"/>
  <c r="C1820" i="55"/>
  <c r="C1821" i="55"/>
  <c r="C1822" i="55"/>
  <c r="C1823" i="55"/>
  <c r="C1824" i="55"/>
  <c r="C1825" i="55"/>
  <c r="C1826" i="55"/>
  <c r="C1827" i="55"/>
  <c r="C1828" i="55"/>
  <c r="C1829" i="55"/>
  <c r="C1830" i="55"/>
  <c r="C1831" i="55"/>
  <c r="C1832" i="55"/>
  <c r="C1833" i="55"/>
  <c r="C1834" i="55"/>
  <c r="C1835" i="55"/>
  <c r="C1836" i="55"/>
  <c r="C1837" i="55"/>
  <c r="C1838" i="55"/>
  <c r="C1839" i="55"/>
  <c r="C1840" i="55"/>
  <c r="C1841" i="55"/>
  <c r="C1842" i="55"/>
  <c r="C1843" i="55"/>
  <c r="C1844" i="55"/>
  <c r="C1845" i="55"/>
  <c r="C1846" i="55"/>
  <c r="C1847" i="55"/>
  <c r="C1848" i="55"/>
  <c r="C1849" i="55"/>
  <c r="C1850" i="55"/>
  <c r="C1851" i="55"/>
  <c r="C1852" i="55"/>
  <c r="C1853" i="55"/>
  <c r="C1854" i="55"/>
  <c r="C1855" i="55"/>
  <c r="C1856" i="55"/>
  <c r="C1857" i="55"/>
  <c r="C1858" i="55"/>
  <c r="C1859" i="55"/>
  <c r="C1860" i="55"/>
  <c r="C1861" i="55"/>
  <c r="C1862" i="55"/>
  <c r="C1863" i="55"/>
  <c r="C1864" i="55"/>
  <c r="C1727" i="55"/>
  <c r="B2925" i="19"/>
  <c r="D1219" i="35"/>
  <c r="F1219" i="35"/>
  <c r="E1219" i="35"/>
  <c r="C3239" i="21"/>
  <c r="C3390" i="21"/>
  <c r="C3333" i="21"/>
  <c r="E733" i="35"/>
  <c r="F733" i="35"/>
  <c r="D967" i="35"/>
  <c r="D1007" i="35"/>
  <c r="E998" i="35"/>
  <c r="F998" i="35"/>
  <c r="E999" i="35"/>
  <c r="F999" i="35"/>
  <c r="E1000" i="35"/>
  <c r="F1000" i="35"/>
  <c r="E1001" i="35"/>
  <c r="F1001" i="35"/>
  <c r="E1002" i="35"/>
  <c r="F1002" i="35"/>
  <c r="E1003" i="35"/>
  <c r="F1003" i="35"/>
  <c r="E1004" i="35"/>
  <c r="F1004" i="35"/>
  <c r="E1005" i="35"/>
  <c r="F1005" i="35"/>
  <c r="E1006" i="35"/>
  <c r="F1006" i="35"/>
  <c r="E1007" i="35"/>
  <c r="F1007" i="35"/>
  <c r="E1008" i="35"/>
  <c r="F1008" i="35"/>
  <c r="E1009" i="35"/>
  <c r="F1009" i="35"/>
  <c r="E1010" i="35"/>
  <c r="F1010" i="35"/>
  <c r="E1011" i="35"/>
  <c r="F1011" i="35"/>
  <c r="E1012" i="35"/>
  <c r="F1012" i="35"/>
  <c r="E1013" i="35"/>
  <c r="F1013" i="35"/>
  <c r="D1027" i="35"/>
  <c r="H1234" i="35"/>
  <c r="H1233" i="35"/>
  <c r="A24" i="59"/>
  <c r="A25" i="59"/>
  <c r="H648" i="35"/>
  <c r="H649" i="35" s="1"/>
  <c r="D641" i="35"/>
  <c r="E860" i="35"/>
  <c r="F860" i="35"/>
  <c r="E861" i="35"/>
  <c r="F861" i="35"/>
  <c r="E862" i="35"/>
  <c r="F862" i="35"/>
  <c r="E863" i="35"/>
  <c r="F863" i="35"/>
  <c r="E864" i="35"/>
  <c r="F864" i="35"/>
  <c r="E865" i="35"/>
  <c r="F865" i="35"/>
  <c r="E866" i="35"/>
  <c r="F866" i="35"/>
  <c r="E867" i="35"/>
  <c r="F867" i="35"/>
  <c r="E868" i="35"/>
  <c r="F868" i="35"/>
  <c r="E869" i="35"/>
  <c r="F869" i="35"/>
  <c r="E870" i="35"/>
  <c r="F870" i="35"/>
  <c r="E871" i="35"/>
  <c r="F871" i="35"/>
  <c r="E872" i="35"/>
  <c r="F872" i="35"/>
  <c r="E873" i="35"/>
  <c r="F873" i="35"/>
  <c r="E874" i="35"/>
  <c r="F874" i="35"/>
  <c r="E875" i="35"/>
  <c r="F875" i="35"/>
  <c r="E876" i="35"/>
  <c r="F876" i="35"/>
  <c r="E877" i="35"/>
  <c r="F877" i="35"/>
  <c r="E878" i="35"/>
  <c r="F878" i="35"/>
  <c r="E879" i="35"/>
  <c r="F879" i="35"/>
  <c r="E880" i="35"/>
  <c r="F880" i="35"/>
  <c r="E881" i="35"/>
  <c r="F881" i="35"/>
  <c r="E882" i="35"/>
  <c r="F882" i="35"/>
  <c r="E883" i="35"/>
  <c r="F883" i="35"/>
  <c r="E884" i="35"/>
  <c r="F884" i="35"/>
  <c r="E885" i="35"/>
  <c r="F885" i="35"/>
  <c r="E886" i="35"/>
  <c r="F886" i="35"/>
  <c r="E887" i="35"/>
  <c r="F887" i="35"/>
  <c r="E888" i="35"/>
  <c r="F888" i="35"/>
  <c r="E889" i="35"/>
  <c r="F889" i="35"/>
  <c r="E890" i="35"/>
  <c r="F890" i="35"/>
  <c r="E891" i="35"/>
  <c r="F891" i="35"/>
  <c r="E892" i="35"/>
  <c r="F892" i="35"/>
  <c r="E893" i="35"/>
  <c r="F893" i="35"/>
  <c r="E894" i="35"/>
  <c r="F894" i="35"/>
  <c r="E895" i="35"/>
  <c r="F895" i="35"/>
  <c r="E896" i="35"/>
  <c r="F896" i="35"/>
  <c r="E897" i="35"/>
  <c r="F897" i="35"/>
  <c r="E898" i="35"/>
  <c r="F898" i="35"/>
  <c r="E899" i="35"/>
  <c r="F899" i="35"/>
  <c r="E900" i="35"/>
  <c r="F900" i="35"/>
  <c r="E901" i="35"/>
  <c r="F901" i="35"/>
  <c r="E902" i="35"/>
  <c r="F902" i="35"/>
  <c r="E903" i="35"/>
  <c r="F903" i="35"/>
  <c r="E904" i="35"/>
  <c r="F904" i="35"/>
  <c r="E905" i="35"/>
  <c r="F905" i="35"/>
  <c r="E906" i="35"/>
  <c r="F906" i="35"/>
  <c r="E907" i="35"/>
  <c r="F907" i="35"/>
  <c r="E908" i="35"/>
  <c r="F908" i="35"/>
  <c r="E909" i="35"/>
  <c r="F909" i="35"/>
  <c r="E910" i="35"/>
  <c r="F910" i="35"/>
  <c r="E911" i="35"/>
  <c r="F911" i="35"/>
  <c r="E912" i="35"/>
  <c r="F912" i="35"/>
  <c r="E913" i="35"/>
  <c r="F913" i="35"/>
  <c r="E914" i="35"/>
  <c r="F914" i="35"/>
  <c r="E915" i="35"/>
  <c r="F915" i="35"/>
  <c r="E916" i="35"/>
  <c r="F916" i="35"/>
  <c r="E917" i="35"/>
  <c r="F917" i="35"/>
  <c r="E918" i="35"/>
  <c r="F918" i="35"/>
  <c r="E919" i="35"/>
  <c r="F919" i="35"/>
  <c r="E920" i="35"/>
  <c r="F920" i="35"/>
  <c r="E921" i="35"/>
  <c r="F921" i="35"/>
  <c r="E922" i="35"/>
  <c r="F922" i="35"/>
  <c r="E923" i="35"/>
  <c r="F923" i="35"/>
  <c r="E924" i="35"/>
  <c r="F924" i="35"/>
  <c r="E925" i="35"/>
  <c r="F925" i="35"/>
  <c r="E926" i="35"/>
  <c r="F926" i="35"/>
  <c r="E927" i="35"/>
  <c r="F927" i="35"/>
  <c r="E928" i="35"/>
  <c r="F928" i="35"/>
  <c r="E929" i="35"/>
  <c r="F929" i="35"/>
  <c r="E930" i="35"/>
  <c r="F930" i="35"/>
  <c r="E931" i="35"/>
  <c r="F931" i="35"/>
  <c r="E932" i="35"/>
  <c r="F932" i="35"/>
  <c r="E933" i="35"/>
  <c r="F933" i="35"/>
  <c r="E934" i="35"/>
  <c r="F934" i="35"/>
  <c r="E935" i="35"/>
  <c r="F935" i="35"/>
  <c r="E936" i="35"/>
  <c r="F936" i="35"/>
  <c r="E937" i="35"/>
  <c r="F937" i="35"/>
  <c r="E938" i="35"/>
  <c r="F938" i="35"/>
  <c r="E939" i="35"/>
  <c r="F939" i="35"/>
  <c r="E940" i="35"/>
  <c r="F940" i="35"/>
  <c r="E941" i="35"/>
  <c r="F941" i="35"/>
  <c r="E942" i="35"/>
  <c r="F942" i="35"/>
  <c r="E943" i="35"/>
  <c r="F943" i="35"/>
  <c r="E944" i="35"/>
  <c r="F944" i="35"/>
  <c r="E945" i="35"/>
  <c r="F945" i="35"/>
  <c r="E946" i="35"/>
  <c r="F946" i="35"/>
  <c r="E947" i="35"/>
  <c r="F947" i="35"/>
  <c r="E948" i="35"/>
  <c r="F948" i="35"/>
  <c r="E949" i="35"/>
  <c r="F949" i="35"/>
  <c r="E950" i="35"/>
  <c r="F950" i="35"/>
  <c r="E951" i="35"/>
  <c r="F951" i="35"/>
  <c r="E952" i="35"/>
  <c r="F952" i="35"/>
  <c r="E953" i="35"/>
  <c r="F953" i="35"/>
  <c r="E954" i="35"/>
  <c r="F954" i="35"/>
  <c r="E955" i="35"/>
  <c r="F955" i="35"/>
  <c r="E956" i="35"/>
  <c r="F956" i="35"/>
  <c r="E957" i="35"/>
  <c r="F957" i="35"/>
  <c r="E958" i="35"/>
  <c r="F958" i="35"/>
  <c r="E959" i="35"/>
  <c r="F959" i="35"/>
  <c r="E960" i="35"/>
  <c r="F960" i="35"/>
  <c r="E961" i="35"/>
  <c r="F961" i="35"/>
  <c r="E962" i="35"/>
  <c r="F962" i="35"/>
  <c r="E963" i="35"/>
  <c r="F963" i="35"/>
  <c r="E964" i="35"/>
  <c r="F964" i="35"/>
  <c r="E965" i="35"/>
  <c r="F965" i="35"/>
  <c r="E966" i="35"/>
  <c r="F966" i="35"/>
  <c r="E967" i="35"/>
  <c r="F967" i="35"/>
  <c r="E968" i="35"/>
  <c r="F968" i="35"/>
  <c r="E969" i="35"/>
  <c r="F969" i="35"/>
  <c r="E970" i="35"/>
  <c r="F970" i="35"/>
  <c r="E971" i="35"/>
  <c r="F971" i="35"/>
  <c r="E972" i="35"/>
  <c r="F972" i="35"/>
  <c r="E973" i="35"/>
  <c r="F973" i="35"/>
  <c r="E974" i="35"/>
  <c r="F974" i="35"/>
  <c r="E975" i="35"/>
  <c r="F975" i="35"/>
  <c r="E976" i="35"/>
  <c r="F976" i="35"/>
  <c r="E977" i="35"/>
  <c r="F977" i="35"/>
  <c r="E978" i="35"/>
  <c r="F978" i="35"/>
  <c r="E979" i="35"/>
  <c r="F979" i="35"/>
  <c r="E980" i="35"/>
  <c r="F980" i="35"/>
  <c r="E981" i="35"/>
  <c r="F981" i="35"/>
  <c r="E982" i="35"/>
  <c r="F982" i="35"/>
  <c r="E983" i="35"/>
  <c r="F983" i="35"/>
  <c r="E984" i="35"/>
  <c r="F984" i="35"/>
  <c r="E985" i="35"/>
  <c r="F985" i="35"/>
  <c r="E986" i="35"/>
  <c r="F986" i="35"/>
  <c r="E987" i="35"/>
  <c r="F987" i="35"/>
  <c r="E988" i="35"/>
  <c r="F988" i="35"/>
  <c r="E989" i="35"/>
  <c r="F989" i="35"/>
  <c r="E990" i="35"/>
  <c r="F990" i="35"/>
  <c r="E991" i="35"/>
  <c r="F991" i="35"/>
  <c r="E992" i="35"/>
  <c r="F992" i="35"/>
  <c r="E993" i="35"/>
  <c r="F993" i="35"/>
  <c r="E994" i="35"/>
  <c r="F994" i="35"/>
  <c r="E995" i="35"/>
  <c r="F995" i="35"/>
  <c r="E996" i="35"/>
  <c r="F996" i="35"/>
  <c r="E997" i="35"/>
  <c r="F997" i="35"/>
  <c r="E859" i="35"/>
  <c r="F859" i="35"/>
  <c r="F738" i="35"/>
  <c r="F739" i="35"/>
  <c r="F740" i="35"/>
  <c r="F741" i="35"/>
  <c r="F742" i="35"/>
  <c r="F743" i="35"/>
  <c r="F744" i="35"/>
  <c r="F745" i="35"/>
  <c r="F746" i="35"/>
  <c r="F747" i="35"/>
  <c r="F748" i="35"/>
  <c r="F749" i="35"/>
  <c r="F750" i="35"/>
  <c r="F751" i="35"/>
  <c r="F752" i="35"/>
  <c r="F753" i="35"/>
  <c r="F754" i="35"/>
  <c r="F755" i="35"/>
  <c r="F756" i="35"/>
  <c r="F757" i="35"/>
  <c r="F758" i="35"/>
  <c r="F759" i="35"/>
  <c r="F760" i="35"/>
  <c r="F761" i="35"/>
  <c r="F762" i="35"/>
  <c r="F763" i="35"/>
  <c r="F764" i="35"/>
  <c r="F765" i="35"/>
  <c r="F766" i="35"/>
  <c r="F767" i="35"/>
  <c r="F768" i="35"/>
  <c r="F769" i="35"/>
  <c r="F770" i="35"/>
  <c r="F771" i="35"/>
  <c r="F772" i="35"/>
  <c r="F773" i="35"/>
  <c r="F774" i="35"/>
  <c r="F775" i="35"/>
  <c r="F776" i="35"/>
  <c r="F777" i="35"/>
  <c r="F778" i="35"/>
  <c r="F779" i="35"/>
  <c r="F780" i="35"/>
  <c r="F781" i="35"/>
  <c r="F782" i="35"/>
  <c r="F783" i="35"/>
  <c r="F784" i="35"/>
  <c r="F785" i="35"/>
  <c r="F786" i="35"/>
  <c r="F787" i="35"/>
  <c r="F788" i="35"/>
  <c r="F789" i="35"/>
  <c r="F790" i="35"/>
  <c r="F791" i="35"/>
  <c r="F792" i="35"/>
  <c r="F793" i="35"/>
  <c r="F794" i="35"/>
  <c r="F795" i="35"/>
  <c r="F796" i="35"/>
  <c r="F797" i="35"/>
  <c r="F798" i="35"/>
  <c r="F799" i="35"/>
  <c r="F800" i="35"/>
  <c r="F801" i="35"/>
  <c r="F802" i="35"/>
  <c r="F803" i="35"/>
  <c r="F804" i="35"/>
  <c r="F805" i="35"/>
  <c r="F806" i="35"/>
  <c r="F807" i="35"/>
  <c r="F808" i="35"/>
  <c r="F809" i="35"/>
  <c r="F810" i="35"/>
  <c r="F811" i="35"/>
  <c r="F812" i="35"/>
  <c r="F813" i="35"/>
  <c r="F814" i="35"/>
  <c r="F815" i="35"/>
  <c r="F816" i="35"/>
  <c r="F817" i="35"/>
  <c r="F818" i="35"/>
  <c r="F819" i="35"/>
  <c r="F820" i="35"/>
  <c r="F821" i="35"/>
  <c r="F822" i="35"/>
  <c r="F823" i="35"/>
  <c r="F824" i="35"/>
  <c r="F825" i="35"/>
  <c r="F826" i="35"/>
  <c r="F827" i="35"/>
  <c r="F828" i="35"/>
  <c r="F829" i="35"/>
  <c r="F830" i="35"/>
  <c r="F831" i="35"/>
  <c r="F832" i="35"/>
  <c r="F833" i="35"/>
  <c r="F834" i="35"/>
  <c r="F835" i="35"/>
  <c r="F836" i="35"/>
  <c r="F837" i="35"/>
  <c r="F838" i="35"/>
  <c r="F839" i="35"/>
  <c r="F840" i="35"/>
  <c r="F841" i="35"/>
  <c r="F842" i="35"/>
  <c r="F843" i="35"/>
  <c r="F844" i="35"/>
  <c r="F845" i="35"/>
  <c r="F846" i="35"/>
  <c r="F847" i="35"/>
  <c r="F848" i="35"/>
  <c r="F849" i="35"/>
  <c r="F850" i="35"/>
  <c r="F851" i="35"/>
  <c r="F852" i="35"/>
  <c r="F853" i="35"/>
  <c r="F854" i="35"/>
  <c r="F855" i="35"/>
  <c r="F737" i="35"/>
  <c r="E738" i="35"/>
  <c r="E739" i="35"/>
  <c r="E740" i="35"/>
  <c r="E741" i="35"/>
  <c r="E742" i="35"/>
  <c r="E743" i="35"/>
  <c r="E744" i="35"/>
  <c r="E745" i="35"/>
  <c r="E746" i="35"/>
  <c r="E747" i="35"/>
  <c r="E748" i="35"/>
  <c r="E749" i="35"/>
  <c r="E750" i="35"/>
  <c r="E751" i="35"/>
  <c r="E752" i="35"/>
  <c r="E753" i="35"/>
  <c r="E754" i="35"/>
  <c r="E755" i="35"/>
  <c r="E756" i="35"/>
  <c r="E757" i="35"/>
  <c r="E758" i="35"/>
  <c r="E759" i="35"/>
  <c r="E760" i="35"/>
  <c r="E761" i="35"/>
  <c r="E762" i="35"/>
  <c r="E763" i="35"/>
  <c r="E764" i="35"/>
  <c r="E765" i="35"/>
  <c r="E766" i="35"/>
  <c r="E767" i="35"/>
  <c r="E768" i="35"/>
  <c r="E769" i="35"/>
  <c r="E770" i="35"/>
  <c r="E771" i="35"/>
  <c r="E772" i="35"/>
  <c r="E773" i="35"/>
  <c r="E774" i="35"/>
  <c r="E775" i="35"/>
  <c r="E776" i="35"/>
  <c r="E777" i="35"/>
  <c r="E778" i="35"/>
  <c r="E779" i="35"/>
  <c r="E780" i="35"/>
  <c r="E781" i="35"/>
  <c r="E782" i="35"/>
  <c r="E783" i="35"/>
  <c r="E784" i="35"/>
  <c r="E785" i="35"/>
  <c r="E786" i="35"/>
  <c r="E787" i="35"/>
  <c r="E788" i="35"/>
  <c r="E789" i="35"/>
  <c r="E790" i="35"/>
  <c r="E791" i="35"/>
  <c r="E792" i="35"/>
  <c r="E793" i="35"/>
  <c r="E794" i="35"/>
  <c r="E795" i="35"/>
  <c r="E796" i="35"/>
  <c r="E797" i="35"/>
  <c r="E798" i="35"/>
  <c r="E799" i="35"/>
  <c r="E800" i="35"/>
  <c r="E801" i="35"/>
  <c r="E802" i="35"/>
  <c r="E803" i="35"/>
  <c r="E804" i="35"/>
  <c r="E805" i="35"/>
  <c r="E806" i="35"/>
  <c r="E807" i="35"/>
  <c r="E808" i="35"/>
  <c r="E809" i="35"/>
  <c r="E810" i="35"/>
  <c r="E811" i="35"/>
  <c r="E812" i="35"/>
  <c r="E813" i="35"/>
  <c r="E814" i="35"/>
  <c r="E815" i="35"/>
  <c r="E816" i="35"/>
  <c r="E817" i="35"/>
  <c r="E818" i="35"/>
  <c r="E819" i="35"/>
  <c r="E820" i="35"/>
  <c r="E821" i="35"/>
  <c r="E822" i="35"/>
  <c r="E823" i="35"/>
  <c r="E824" i="35"/>
  <c r="E825" i="35"/>
  <c r="E826" i="35"/>
  <c r="E827" i="35"/>
  <c r="E828" i="35"/>
  <c r="E829" i="35"/>
  <c r="E830" i="35"/>
  <c r="E831" i="35"/>
  <c r="E832" i="35"/>
  <c r="E833" i="35"/>
  <c r="E834" i="35"/>
  <c r="E835" i="35"/>
  <c r="E836" i="35"/>
  <c r="E837" i="35"/>
  <c r="E838" i="35"/>
  <c r="E839" i="35"/>
  <c r="E840" i="35"/>
  <c r="E841" i="35"/>
  <c r="E842" i="35"/>
  <c r="E843" i="35"/>
  <c r="E844" i="35"/>
  <c r="E845" i="35"/>
  <c r="E846" i="35"/>
  <c r="E847" i="35"/>
  <c r="E848" i="35"/>
  <c r="E849" i="35"/>
  <c r="E850" i="35"/>
  <c r="E851" i="35"/>
  <c r="E852" i="35"/>
  <c r="E853" i="35"/>
  <c r="E854" i="35"/>
  <c r="E855" i="35"/>
  <c r="E737" i="35"/>
  <c r="F651" i="35"/>
  <c r="F652" i="35"/>
  <c r="F653" i="35"/>
  <c r="F654" i="35"/>
  <c r="F655" i="35"/>
  <c r="F656" i="35"/>
  <c r="F657" i="35"/>
  <c r="F658" i="35"/>
  <c r="F659" i="35"/>
  <c r="F660" i="35"/>
  <c r="F661" i="35"/>
  <c r="F662" i="35"/>
  <c r="F663" i="35"/>
  <c r="F664" i="35"/>
  <c r="F665" i="35"/>
  <c r="F666" i="35"/>
  <c r="F667" i="35"/>
  <c r="F668" i="35"/>
  <c r="F669" i="35"/>
  <c r="F670" i="35"/>
  <c r="F671" i="35"/>
  <c r="F672" i="35"/>
  <c r="F673" i="35"/>
  <c r="F674" i="35"/>
  <c r="F675" i="35"/>
  <c r="F676" i="35"/>
  <c r="F677" i="35"/>
  <c r="F678" i="35"/>
  <c r="F679" i="35"/>
  <c r="F680" i="35"/>
  <c r="F681" i="35"/>
  <c r="F682" i="35"/>
  <c r="F683" i="35"/>
  <c r="F684" i="35"/>
  <c r="F685" i="35"/>
  <c r="F686" i="35"/>
  <c r="F687" i="35"/>
  <c r="F688" i="35"/>
  <c r="F689" i="35"/>
  <c r="F690" i="35"/>
  <c r="F691" i="35"/>
  <c r="F692" i="35"/>
  <c r="F693" i="35"/>
  <c r="F694" i="35"/>
  <c r="F695" i="35"/>
  <c r="F696" i="35"/>
  <c r="F697" i="35"/>
  <c r="F698" i="35"/>
  <c r="F699" i="35"/>
  <c r="F700" i="35"/>
  <c r="F701" i="35"/>
  <c r="F702" i="35"/>
  <c r="F703" i="35"/>
  <c r="F704" i="35"/>
  <c r="F705" i="35"/>
  <c r="F706" i="35"/>
  <c r="F707" i="35"/>
  <c r="F708" i="35"/>
  <c r="F709" i="35"/>
  <c r="F710" i="35"/>
  <c r="F711" i="35"/>
  <c r="F712" i="35"/>
  <c r="F713" i="35"/>
  <c r="F714" i="35"/>
  <c r="F715" i="35"/>
  <c r="F716" i="35"/>
  <c r="F717" i="35"/>
  <c r="F718" i="35"/>
  <c r="F719" i="35"/>
  <c r="F720" i="35"/>
  <c r="F721" i="35"/>
  <c r="F722" i="35"/>
  <c r="F723" i="35"/>
  <c r="F724" i="35"/>
  <c r="F725" i="35"/>
  <c r="F726" i="35"/>
  <c r="F727" i="35"/>
  <c r="F728" i="35"/>
  <c r="F729" i="35"/>
  <c r="F730" i="35"/>
  <c r="F731" i="35"/>
  <c r="F732" i="35"/>
  <c r="F650" i="35"/>
  <c r="F1027" i="35" s="1"/>
  <c r="E651" i="35"/>
  <c r="E652" i="35"/>
  <c r="E653" i="35"/>
  <c r="E654" i="35"/>
  <c r="E655" i="35"/>
  <c r="E656" i="35"/>
  <c r="E657" i="35"/>
  <c r="E658" i="35"/>
  <c r="E659" i="35"/>
  <c r="E660" i="35"/>
  <c r="E661" i="35"/>
  <c r="E662" i="35"/>
  <c r="E663" i="35"/>
  <c r="E664" i="35"/>
  <c r="E665" i="35"/>
  <c r="E666" i="35"/>
  <c r="E667" i="35"/>
  <c r="E668" i="35"/>
  <c r="E669" i="35"/>
  <c r="E670" i="35"/>
  <c r="E671" i="35"/>
  <c r="E672" i="35"/>
  <c r="E673" i="35"/>
  <c r="E674" i="35"/>
  <c r="E675" i="35"/>
  <c r="E676" i="35"/>
  <c r="E677" i="35"/>
  <c r="E678" i="35"/>
  <c r="E679" i="35"/>
  <c r="E680" i="35"/>
  <c r="E681" i="35"/>
  <c r="E682" i="35"/>
  <c r="E683" i="35"/>
  <c r="E684" i="35"/>
  <c r="E685" i="35"/>
  <c r="E686" i="35"/>
  <c r="E687" i="35"/>
  <c r="E688" i="35"/>
  <c r="E689" i="35"/>
  <c r="E690" i="35"/>
  <c r="E691" i="35"/>
  <c r="E692" i="35"/>
  <c r="E693" i="35"/>
  <c r="E694" i="35"/>
  <c r="E695" i="35"/>
  <c r="E696" i="35"/>
  <c r="E697" i="35"/>
  <c r="E698" i="35"/>
  <c r="E699" i="35"/>
  <c r="E700" i="35"/>
  <c r="E701" i="35"/>
  <c r="E702" i="35"/>
  <c r="E703" i="35"/>
  <c r="E704" i="35"/>
  <c r="E705" i="35"/>
  <c r="E706" i="35"/>
  <c r="E707" i="35"/>
  <c r="E708" i="35"/>
  <c r="E709" i="35"/>
  <c r="E710" i="35"/>
  <c r="E711" i="35"/>
  <c r="E712" i="35"/>
  <c r="E713" i="35"/>
  <c r="E714" i="35"/>
  <c r="E715" i="35"/>
  <c r="E716" i="35"/>
  <c r="E717" i="35"/>
  <c r="E718" i="35"/>
  <c r="E719" i="35"/>
  <c r="E720" i="35"/>
  <c r="E721" i="35"/>
  <c r="E722" i="35"/>
  <c r="E723" i="35"/>
  <c r="E724" i="35"/>
  <c r="E725" i="35"/>
  <c r="E726" i="35"/>
  <c r="E727" i="35"/>
  <c r="E728" i="35"/>
  <c r="E729" i="35"/>
  <c r="E730" i="35"/>
  <c r="E731" i="35"/>
  <c r="E732" i="35"/>
  <c r="E650" i="35"/>
  <c r="E1027" i="35" s="1"/>
  <c r="H650" i="35" l="1"/>
  <c r="H651" i="35" s="1"/>
  <c r="H652" i="35" s="1"/>
  <c r="H653" i="35" s="1"/>
  <c r="H654" i="35" s="1"/>
  <c r="H655" i="35" s="1"/>
  <c r="H656" i="35" s="1"/>
  <c r="H657" i="35" s="1"/>
  <c r="H658" i="35" s="1"/>
  <c r="H659" i="35" s="1"/>
  <c r="H660" i="35" s="1"/>
  <c r="H661" i="35" s="1"/>
  <c r="H662" i="35" s="1"/>
  <c r="H663" i="35" s="1"/>
  <c r="H664" i="35" s="1"/>
  <c r="H665" i="35" s="1"/>
  <c r="H666" i="35" s="1"/>
  <c r="H667" i="35" s="1"/>
  <c r="H668" i="35" s="1"/>
  <c r="H669" i="35" s="1"/>
  <c r="H670" i="35" s="1"/>
  <c r="H671" i="35" s="1"/>
  <c r="H672" i="35" s="1"/>
  <c r="H673" i="35" s="1"/>
  <c r="H674" i="35" s="1"/>
  <c r="H675" i="35" s="1"/>
  <c r="H676" i="35" s="1"/>
  <c r="H677" i="35" s="1"/>
  <c r="H678" i="35" s="1"/>
  <c r="H679" i="35" s="1"/>
  <c r="H680" i="35" s="1"/>
  <c r="H681" i="35" s="1"/>
  <c r="H682" i="35" s="1"/>
  <c r="H683" i="35" s="1"/>
  <c r="H684" i="35" s="1"/>
  <c r="H685" i="35" s="1"/>
  <c r="H686" i="35" s="1"/>
  <c r="H687" i="35" s="1"/>
  <c r="H688" i="35" s="1"/>
  <c r="H689" i="35" s="1"/>
  <c r="H690" i="35" s="1"/>
  <c r="H691" i="35" s="1"/>
  <c r="H692" i="35" s="1"/>
  <c r="H693" i="35" s="1"/>
  <c r="H694" i="35" s="1"/>
  <c r="H695" i="35" s="1"/>
  <c r="H696" i="35" s="1"/>
  <c r="H697" i="35" s="1"/>
  <c r="H698" i="35" s="1"/>
  <c r="H699" i="35" s="1"/>
  <c r="H700" i="35" s="1"/>
  <c r="H701" i="35" s="1"/>
  <c r="H702" i="35" s="1"/>
  <c r="H703" i="35" s="1"/>
  <c r="H704" i="35" s="1"/>
  <c r="H705" i="35" s="1"/>
  <c r="H706" i="35" s="1"/>
  <c r="H707" i="35" s="1"/>
  <c r="H708" i="35" s="1"/>
  <c r="H709" i="35" s="1"/>
  <c r="H710" i="35" s="1"/>
  <c r="H711" i="35" s="1"/>
  <c r="H712" i="35" s="1"/>
  <c r="H713" i="35" s="1"/>
  <c r="H714" i="35" s="1"/>
  <c r="H715" i="35" s="1"/>
  <c r="H716" i="35" s="1"/>
  <c r="H717" i="35" s="1"/>
  <c r="H718" i="35" s="1"/>
  <c r="H719" i="35" s="1"/>
  <c r="H720" i="35" s="1"/>
  <c r="H721" i="35" s="1"/>
  <c r="H722" i="35" s="1"/>
  <c r="H723" i="35" s="1"/>
  <c r="H724" i="35" s="1"/>
  <c r="H725" i="35" s="1"/>
  <c r="H726" i="35" s="1"/>
  <c r="H727" i="35" s="1"/>
  <c r="H728" i="35" s="1"/>
  <c r="H729" i="35" s="1"/>
  <c r="H730" i="35" s="1"/>
  <c r="H731" i="35" s="1"/>
  <c r="H732" i="35" s="1"/>
  <c r="H734" i="35" l="1"/>
  <c r="H735" i="35" s="1"/>
  <c r="H736" i="35" s="1"/>
  <c r="H737" i="35" s="1"/>
  <c r="H738" i="35" s="1"/>
  <c r="H739" i="35" s="1"/>
  <c r="H740" i="35" s="1"/>
  <c r="H741" i="35" s="1"/>
  <c r="H742" i="35" s="1"/>
  <c r="H743" i="35" s="1"/>
  <c r="H744" i="35" s="1"/>
  <c r="H745" i="35" s="1"/>
  <c r="H746" i="35" s="1"/>
  <c r="H747" i="35" s="1"/>
  <c r="H748" i="35" s="1"/>
  <c r="H749" i="35" s="1"/>
  <c r="H750" i="35" s="1"/>
  <c r="H751" i="35" s="1"/>
  <c r="H752" i="35" s="1"/>
  <c r="H753" i="35" s="1"/>
  <c r="H754" i="35" s="1"/>
  <c r="H755" i="35" s="1"/>
  <c r="H756" i="35" s="1"/>
  <c r="H757" i="35" s="1"/>
  <c r="H758" i="35" s="1"/>
  <c r="H759" i="35" s="1"/>
  <c r="H760" i="35" s="1"/>
  <c r="H761" i="35" s="1"/>
  <c r="H762" i="35" s="1"/>
  <c r="H763" i="35" s="1"/>
  <c r="H764" i="35" s="1"/>
  <c r="H765" i="35" s="1"/>
  <c r="H766" i="35" s="1"/>
  <c r="H767" i="35" s="1"/>
  <c r="H768" i="35" s="1"/>
  <c r="H769" i="35" s="1"/>
  <c r="H770" i="35" s="1"/>
  <c r="H771" i="35" s="1"/>
  <c r="H772" i="35" s="1"/>
  <c r="H773" i="35" s="1"/>
  <c r="H774" i="35" s="1"/>
  <c r="H775" i="35" s="1"/>
  <c r="H776" i="35" s="1"/>
  <c r="H777" i="35" s="1"/>
  <c r="H778" i="35" s="1"/>
  <c r="H779" i="35" s="1"/>
  <c r="H780" i="35" s="1"/>
  <c r="H781" i="35" s="1"/>
  <c r="H782" i="35" s="1"/>
  <c r="H783" i="35" s="1"/>
  <c r="H784" i="35" s="1"/>
  <c r="H785" i="35" s="1"/>
  <c r="H786" i="35" s="1"/>
  <c r="H787" i="35" s="1"/>
  <c r="H788" i="35" s="1"/>
  <c r="H789" i="35" s="1"/>
  <c r="H790" i="35" s="1"/>
  <c r="H791" i="35" s="1"/>
  <c r="H792" i="35" s="1"/>
  <c r="H793" i="35" s="1"/>
  <c r="H794" i="35" s="1"/>
  <c r="H795" i="35" s="1"/>
  <c r="H796" i="35" s="1"/>
  <c r="H797" i="35" s="1"/>
  <c r="H798" i="35" s="1"/>
  <c r="H799" i="35" s="1"/>
  <c r="H800" i="35" s="1"/>
  <c r="H801" i="35" s="1"/>
  <c r="H802" i="35" s="1"/>
  <c r="H803" i="35" s="1"/>
  <c r="H804" i="35" s="1"/>
  <c r="H805" i="35" s="1"/>
  <c r="H806" i="35" s="1"/>
  <c r="H807" i="35" s="1"/>
  <c r="H808" i="35" s="1"/>
  <c r="H809" i="35" s="1"/>
  <c r="H810" i="35" s="1"/>
  <c r="H811" i="35" s="1"/>
  <c r="H812" i="35" s="1"/>
  <c r="H813" i="35" s="1"/>
  <c r="H814" i="35" s="1"/>
  <c r="H815" i="35" s="1"/>
  <c r="H816" i="35" s="1"/>
  <c r="H817" i="35" s="1"/>
  <c r="H818" i="35" s="1"/>
  <c r="H819" i="35" s="1"/>
  <c r="H820" i="35" s="1"/>
  <c r="H821" i="35" s="1"/>
  <c r="H822" i="35" s="1"/>
  <c r="H823" i="35" s="1"/>
  <c r="H824" i="35" s="1"/>
  <c r="H825" i="35" s="1"/>
  <c r="H826" i="35" s="1"/>
  <c r="H827" i="35" s="1"/>
  <c r="H828" i="35" s="1"/>
  <c r="H829" i="35" s="1"/>
  <c r="H830" i="35" s="1"/>
  <c r="H831" i="35" s="1"/>
  <c r="H832" i="35" s="1"/>
  <c r="H833" i="35" s="1"/>
  <c r="H834" i="35" s="1"/>
  <c r="H835" i="35" s="1"/>
  <c r="H836" i="35" s="1"/>
  <c r="H837" i="35" s="1"/>
  <c r="H838" i="35" s="1"/>
  <c r="H839" i="35" s="1"/>
  <c r="H840" i="35" s="1"/>
  <c r="H841" i="35" s="1"/>
  <c r="H842" i="35" s="1"/>
  <c r="H843" i="35" s="1"/>
  <c r="H844" i="35" s="1"/>
  <c r="H845" i="35" s="1"/>
  <c r="H846" i="35" s="1"/>
  <c r="H847" i="35" s="1"/>
  <c r="H848" i="35" s="1"/>
  <c r="H849" i="35" s="1"/>
  <c r="H850" i="35" s="1"/>
  <c r="H851" i="35" s="1"/>
  <c r="H852" i="35" s="1"/>
  <c r="H853" i="35" s="1"/>
  <c r="H854" i="35" s="1"/>
  <c r="H855" i="35" s="1"/>
  <c r="H856" i="35" s="1"/>
  <c r="H857" i="35" s="1"/>
  <c r="H858" i="35" s="1"/>
  <c r="H859" i="35" s="1"/>
  <c r="H860" i="35" s="1"/>
  <c r="H861" i="35" s="1"/>
  <c r="H862" i="35" s="1"/>
  <c r="H863" i="35" s="1"/>
  <c r="H864" i="35" s="1"/>
  <c r="H865" i="35" s="1"/>
  <c r="H866" i="35" s="1"/>
  <c r="H867" i="35" s="1"/>
  <c r="H868" i="35" s="1"/>
  <c r="H869" i="35" s="1"/>
  <c r="H870" i="35" s="1"/>
  <c r="H871" i="35" s="1"/>
  <c r="H872" i="35" s="1"/>
  <c r="H873" i="35" s="1"/>
  <c r="H874" i="35" s="1"/>
  <c r="H875" i="35" s="1"/>
  <c r="H876" i="35" s="1"/>
  <c r="H877" i="35" s="1"/>
  <c r="H878" i="35" s="1"/>
  <c r="H879" i="35" s="1"/>
  <c r="H880" i="35" s="1"/>
  <c r="H881" i="35" s="1"/>
  <c r="H882" i="35" s="1"/>
  <c r="H883" i="35" s="1"/>
  <c r="H884" i="35" s="1"/>
  <c r="H885" i="35" s="1"/>
  <c r="H886" i="35" s="1"/>
  <c r="H887" i="35" s="1"/>
  <c r="H888" i="35" s="1"/>
  <c r="H889" i="35" s="1"/>
  <c r="H890" i="35" s="1"/>
  <c r="H891" i="35" s="1"/>
  <c r="H892" i="35" s="1"/>
  <c r="H893" i="35" s="1"/>
  <c r="H894" i="35" s="1"/>
  <c r="H895" i="35" s="1"/>
  <c r="H896" i="35" s="1"/>
  <c r="H897" i="35" s="1"/>
  <c r="H898" i="35" s="1"/>
  <c r="H899" i="35" s="1"/>
  <c r="H900" i="35" s="1"/>
  <c r="H901" i="35" s="1"/>
  <c r="H902" i="35" s="1"/>
  <c r="H903" i="35" s="1"/>
  <c r="H904" i="35" s="1"/>
  <c r="H905" i="35" s="1"/>
  <c r="H906" i="35" s="1"/>
  <c r="H907" i="35" s="1"/>
  <c r="H908" i="35" s="1"/>
  <c r="H909" i="35" s="1"/>
  <c r="H910" i="35" s="1"/>
  <c r="H911" i="35" s="1"/>
  <c r="H912" i="35" s="1"/>
  <c r="H913" i="35" s="1"/>
  <c r="H914" i="35" s="1"/>
  <c r="H915" i="35" s="1"/>
  <c r="H916" i="35" s="1"/>
  <c r="H917" i="35" s="1"/>
  <c r="H918" i="35" s="1"/>
  <c r="H919" i="35" s="1"/>
  <c r="H920" i="35" s="1"/>
  <c r="H921" i="35" s="1"/>
  <c r="H922" i="35" s="1"/>
  <c r="H923" i="35" s="1"/>
  <c r="H924" i="35" s="1"/>
  <c r="H925" i="35" s="1"/>
  <c r="H926" i="35" s="1"/>
  <c r="H927" i="35" s="1"/>
  <c r="H928" i="35" s="1"/>
  <c r="H929" i="35" s="1"/>
  <c r="H930" i="35" s="1"/>
  <c r="H931" i="35" s="1"/>
  <c r="H932" i="35" s="1"/>
  <c r="H933" i="35" s="1"/>
  <c r="H934" i="35" s="1"/>
  <c r="H935" i="35" s="1"/>
  <c r="H936" i="35" s="1"/>
  <c r="H937" i="35" s="1"/>
  <c r="H938" i="35" s="1"/>
  <c r="H939" i="35" s="1"/>
  <c r="H940" i="35" s="1"/>
  <c r="H941" i="35" s="1"/>
  <c r="H942" i="35" s="1"/>
  <c r="H943" i="35" s="1"/>
  <c r="H944" i="35" s="1"/>
  <c r="H945" i="35" s="1"/>
  <c r="H946" i="35" s="1"/>
  <c r="H947" i="35" s="1"/>
  <c r="H948" i="35" s="1"/>
  <c r="H949" i="35" s="1"/>
  <c r="H950" i="35" s="1"/>
  <c r="H951" i="35" s="1"/>
  <c r="H952" i="35" s="1"/>
  <c r="H953" i="35" s="1"/>
  <c r="H954" i="35" s="1"/>
  <c r="H955" i="35" s="1"/>
  <c r="H956" i="35" s="1"/>
  <c r="H957" i="35" s="1"/>
  <c r="H958" i="35" s="1"/>
  <c r="H959" i="35" s="1"/>
  <c r="H960" i="35" s="1"/>
  <c r="H961" i="35" s="1"/>
  <c r="H962" i="35" s="1"/>
  <c r="H963" i="35" s="1"/>
  <c r="H964" i="35" s="1"/>
  <c r="H965" i="35" s="1"/>
  <c r="H966" i="35" s="1"/>
  <c r="H967" i="35" s="1"/>
  <c r="H968" i="35" s="1"/>
  <c r="H969" i="35" s="1"/>
  <c r="H970" i="35" s="1"/>
  <c r="H971" i="35" s="1"/>
  <c r="H972" i="35" s="1"/>
  <c r="H973" i="35" s="1"/>
  <c r="H974" i="35" s="1"/>
  <c r="H975" i="35" s="1"/>
  <c r="H976" i="35" s="1"/>
  <c r="H977" i="35" s="1"/>
  <c r="H978" i="35" s="1"/>
  <c r="H979" i="35" s="1"/>
  <c r="H980" i="35" s="1"/>
  <c r="H981" i="35" s="1"/>
  <c r="H982" i="35" s="1"/>
  <c r="H983" i="35" s="1"/>
  <c r="H984" i="35" s="1"/>
  <c r="H985" i="35" s="1"/>
  <c r="H986" i="35" s="1"/>
  <c r="H987" i="35" s="1"/>
  <c r="H988" i="35" s="1"/>
  <c r="H989" i="35" s="1"/>
  <c r="H990" i="35" s="1"/>
  <c r="H991" i="35" s="1"/>
  <c r="H992" i="35" s="1"/>
  <c r="H993" i="35" s="1"/>
  <c r="H994" i="35" s="1"/>
  <c r="H995" i="35" s="1"/>
  <c r="H996" i="35" s="1"/>
  <c r="H997" i="35" s="1"/>
  <c r="H1014" i="35" s="1"/>
  <c r="H1015" i="35" s="1"/>
  <c r="H1016" i="35" s="1"/>
  <c r="H1017" i="35" s="1"/>
  <c r="H1018" i="35" s="1"/>
  <c r="H1019" i="35" s="1"/>
  <c r="H1020" i="35" s="1"/>
  <c r="H1021" i="35" s="1"/>
  <c r="H1022" i="35" s="1"/>
  <c r="H1023" i="35" s="1"/>
  <c r="H1024" i="35" s="1"/>
  <c r="H1025" i="35" s="1"/>
  <c r="H1026" i="35" s="1"/>
  <c r="H733" i="35"/>
  <c r="F178" i="55"/>
  <c r="B1602" i="21"/>
  <c r="C3095" i="21"/>
  <c r="C3096" i="21"/>
  <c r="C3097" i="21"/>
  <c r="C3098" i="21"/>
  <c r="C3099" i="21"/>
  <c r="C3100" i="21"/>
  <c r="C3101" i="21"/>
  <c r="C3102" i="21"/>
  <c r="C3103" i="21"/>
  <c r="C3104" i="21"/>
  <c r="C3105" i="21"/>
  <c r="C3106" i="21"/>
  <c r="C3107" i="21"/>
  <c r="C3108" i="21"/>
  <c r="C3109" i="21"/>
  <c r="C3110" i="21"/>
  <c r="C3111" i="21"/>
  <c r="C3112" i="21"/>
  <c r="C3113" i="21"/>
  <c r="C3114" i="21"/>
  <c r="C3115" i="21"/>
  <c r="C3116" i="21"/>
  <c r="C3117" i="21"/>
  <c r="C3118" i="21"/>
  <c r="C3119" i="21"/>
  <c r="C3120" i="21"/>
  <c r="C3121" i="21"/>
  <c r="C3122" i="21"/>
  <c r="C3123" i="21"/>
  <c r="C3124" i="21"/>
  <c r="C3125" i="21"/>
  <c r="C3126" i="21"/>
  <c r="C3127" i="21"/>
  <c r="C3128" i="21"/>
  <c r="C3129" i="21"/>
  <c r="C3130" i="21"/>
  <c r="C3131" i="21"/>
  <c r="C3132" i="21"/>
  <c r="C3133" i="21"/>
  <c r="C3134" i="21"/>
  <c r="C3135" i="21"/>
  <c r="C3136" i="21"/>
  <c r="C3137" i="21"/>
  <c r="C3138" i="21"/>
  <c r="C3139" i="21"/>
  <c r="C3140" i="21"/>
  <c r="C3141" i="21"/>
  <c r="C3142" i="21"/>
  <c r="C3143" i="21"/>
  <c r="C3144" i="21"/>
  <c r="C3145" i="21"/>
  <c r="C3146" i="21"/>
  <c r="C3147" i="21"/>
  <c r="C3148" i="21"/>
  <c r="C3149" i="21"/>
  <c r="C3150" i="21"/>
  <c r="C3151" i="21"/>
  <c r="C3152" i="21"/>
  <c r="C3153" i="21"/>
  <c r="C3154" i="21"/>
  <c r="C3155" i="21"/>
  <c r="C3156" i="21"/>
  <c r="C3157" i="21"/>
  <c r="C3158" i="21"/>
  <c r="C3159" i="21"/>
  <c r="C3160" i="21"/>
  <c r="C3161" i="21"/>
  <c r="C3162" i="21"/>
  <c r="C3163" i="21"/>
  <c r="C3164" i="21"/>
  <c r="C3165" i="21"/>
  <c r="C3166" i="21"/>
  <c r="C3167" i="21"/>
  <c r="C3168" i="21"/>
  <c r="C3169" i="21"/>
  <c r="C3170" i="21"/>
  <c r="C3171" i="21"/>
  <c r="C3172" i="21"/>
  <c r="C3173" i="21"/>
  <c r="C3174" i="21"/>
  <c r="C3175" i="21"/>
  <c r="C3176" i="21"/>
  <c r="C3177" i="21"/>
  <c r="C3178" i="21"/>
  <c r="C3179" i="21"/>
  <c r="C3180" i="21"/>
  <c r="C3181" i="21"/>
  <c r="C3182" i="21"/>
  <c r="C3183" i="21"/>
  <c r="C3184" i="21"/>
  <c r="C3185" i="21"/>
  <c r="C3186" i="21"/>
  <c r="C3187" i="21"/>
  <c r="C3188" i="21"/>
  <c r="C3189" i="21"/>
  <c r="C3190" i="21"/>
  <c r="C3191" i="21"/>
  <c r="C3192" i="21"/>
  <c r="C3193" i="21"/>
  <c r="C3194" i="21"/>
  <c r="C3195" i="21"/>
  <c r="C3196" i="21"/>
  <c r="C3197" i="21"/>
  <c r="C3198" i="21"/>
  <c r="C3199" i="21"/>
  <c r="C3200" i="21"/>
  <c r="C3201" i="21"/>
  <c r="C3202" i="21"/>
  <c r="C3203" i="21"/>
  <c r="C3204" i="21"/>
  <c r="C3205" i="21"/>
  <c r="C3206" i="21"/>
  <c r="C3207" i="21"/>
  <c r="C3208" i="21"/>
  <c r="C3209" i="21"/>
  <c r="C3210" i="21"/>
  <c r="C3211" i="21"/>
  <c r="C3212" i="21"/>
  <c r="C3213" i="21"/>
  <c r="C3214" i="21"/>
  <c r="C3215" i="21"/>
  <c r="C3216" i="21"/>
  <c r="C3217" i="21"/>
  <c r="C3218" i="21"/>
  <c r="C3219" i="21"/>
  <c r="C3220" i="21"/>
  <c r="C3221" i="21"/>
  <c r="C3222" i="21"/>
  <c r="C3223" i="21"/>
  <c r="C3224" i="21"/>
  <c r="C3225" i="21"/>
  <c r="C3226" i="21"/>
  <c r="C3227" i="21"/>
  <c r="C3228" i="21"/>
  <c r="C3229" i="21"/>
  <c r="C3230" i="21"/>
  <c r="C3231" i="21"/>
  <c r="C3232" i="21"/>
  <c r="C3233" i="21"/>
  <c r="C3234" i="21"/>
  <c r="C3235" i="21"/>
  <c r="C3236" i="21"/>
  <c r="C3237" i="21"/>
  <c r="C3238" i="21"/>
  <c r="C3240" i="21"/>
  <c r="C3241" i="21"/>
  <c r="C3242" i="21"/>
  <c r="C3243" i="21"/>
  <c r="C3244" i="21"/>
  <c r="C3245" i="21"/>
  <c r="C3246" i="21"/>
  <c r="C3247" i="21"/>
  <c r="C3248" i="21"/>
  <c r="C3249" i="21"/>
  <c r="C3250" i="21"/>
  <c r="C3251" i="21"/>
  <c r="C3252" i="21"/>
  <c r="C3253" i="21"/>
  <c r="C3254" i="21"/>
  <c r="C3255" i="21"/>
  <c r="C3256" i="21"/>
  <c r="C3257" i="21"/>
  <c r="C3258" i="21"/>
  <c r="C3259" i="21"/>
  <c r="C3260" i="21"/>
  <c r="C3261" i="21"/>
  <c r="C3262" i="21"/>
  <c r="C3263" i="21"/>
  <c r="C3264" i="21"/>
  <c r="C3265" i="21"/>
  <c r="C3266" i="21"/>
  <c r="C3267" i="21"/>
  <c r="C3268" i="21"/>
  <c r="C3269" i="21"/>
  <c r="C3270" i="21"/>
  <c r="C3271" i="21"/>
  <c r="C3272" i="21"/>
  <c r="C3273" i="21"/>
  <c r="C3274" i="21"/>
  <c r="C3275" i="21"/>
  <c r="C3276" i="21"/>
  <c r="C3277" i="21"/>
  <c r="C3278" i="21"/>
  <c r="C3279" i="21"/>
  <c r="C3280" i="21"/>
  <c r="C3281" i="21"/>
  <c r="C3282" i="21"/>
  <c r="C3283" i="21"/>
  <c r="C3284" i="21"/>
  <c r="C3285" i="21"/>
  <c r="C3286" i="21"/>
  <c r="C3287" i="21"/>
  <c r="C3288" i="21"/>
  <c r="C3289" i="21"/>
  <c r="C3290" i="21"/>
  <c r="C3291" i="21"/>
  <c r="C3292" i="21"/>
  <c r="C3293" i="21"/>
  <c r="C3294" i="21"/>
  <c r="C3295" i="21"/>
  <c r="C3296" i="21"/>
  <c r="C3297" i="21"/>
  <c r="C3298" i="21"/>
  <c r="C3299" i="21"/>
  <c r="C3300" i="21"/>
  <c r="C3301" i="21"/>
  <c r="C3302" i="21"/>
  <c r="C3303" i="21"/>
  <c r="C3304" i="21"/>
  <c r="C3305" i="21"/>
  <c r="C3306" i="21"/>
  <c r="C3307" i="21"/>
  <c r="C3308" i="21"/>
  <c r="C3309" i="21"/>
  <c r="C3310" i="21"/>
  <c r="C3311" i="21"/>
  <c r="C3312" i="21"/>
  <c r="C3313" i="21"/>
  <c r="C3314" i="21"/>
  <c r="C3315" i="21"/>
  <c r="C3316" i="21"/>
  <c r="C3317" i="21"/>
  <c r="C3318" i="21"/>
  <c r="C3319" i="21"/>
  <c r="C3320" i="21"/>
  <c r="C3321" i="21"/>
  <c r="C3322" i="21"/>
  <c r="C3323" i="21"/>
  <c r="C3324" i="21"/>
  <c r="C3325" i="21"/>
  <c r="C3326" i="21"/>
  <c r="C3327" i="21"/>
  <c r="C3328" i="21"/>
  <c r="C3329" i="21"/>
  <c r="C3330" i="21"/>
  <c r="C3331" i="21"/>
  <c r="C3332" i="21"/>
  <c r="C3334" i="21"/>
  <c r="C3335" i="21"/>
  <c r="C3336" i="21"/>
  <c r="C3337" i="21"/>
  <c r="C3338" i="21"/>
  <c r="C3339" i="21"/>
  <c r="C3340" i="21"/>
  <c r="C3341" i="21"/>
  <c r="C3342" i="21"/>
  <c r="C3343" i="21"/>
  <c r="C3344" i="21"/>
  <c r="C3345" i="21"/>
  <c r="C3346" i="21"/>
  <c r="C3347" i="21"/>
  <c r="C3348" i="21"/>
  <c r="C3349" i="21"/>
  <c r="C3350" i="21"/>
  <c r="C3351" i="21"/>
  <c r="C3352" i="21"/>
  <c r="C3353" i="21"/>
  <c r="C3354" i="21"/>
  <c r="C3355" i="21"/>
  <c r="C3356" i="21"/>
  <c r="C3357" i="21"/>
  <c r="C3358" i="21"/>
  <c r="C3359" i="21"/>
  <c r="C3360" i="21"/>
  <c r="C3361" i="21"/>
  <c r="C3362" i="21"/>
  <c r="C3363" i="21"/>
  <c r="C3364" i="21"/>
  <c r="C3365" i="21"/>
  <c r="C3366" i="21"/>
  <c r="C3367" i="21"/>
  <c r="C3368" i="21"/>
  <c r="C3369" i="21"/>
  <c r="C3370" i="21"/>
  <c r="C3371" i="21"/>
  <c r="C3372" i="21"/>
  <c r="C3373" i="21"/>
  <c r="C3374" i="21"/>
  <c r="C3375" i="21"/>
  <c r="C3376" i="21"/>
  <c r="C3377" i="21"/>
  <c r="C3378" i="21"/>
  <c r="C3379" i="21"/>
  <c r="C3380" i="21"/>
  <c r="C3381" i="21"/>
  <c r="C3382" i="21"/>
  <c r="C3383" i="21"/>
  <c r="C3384" i="21"/>
  <c r="C3385" i="21"/>
  <c r="C3386" i="21"/>
  <c r="C3387" i="21"/>
  <c r="C3388" i="21"/>
  <c r="C3389" i="21"/>
  <c r="C3391" i="21"/>
  <c r="C3392" i="21"/>
  <c r="C3393" i="21"/>
  <c r="C3394" i="21"/>
  <c r="C3395" i="21"/>
  <c r="C3396" i="21"/>
  <c r="C3397" i="21"/>
  <c r="C3398" i="21"/>
  <c r="C3399" i="21"/>
  <c r="C3400" i="21"/>
  <c r="C3401" i="21"/>
  <c r="C3402" i="21"/>
  <c r="C3403" i="21"/>
  <c r="C3404" i="21"/>
  <c r="C3405" i="21"/>
  <c r="C3406" i="21"/>
  <c r="C3407" i="21"/>
  <c r="C3408" i="21"/>
  <c r="C3409" i="21"/>
  <c r="C3410" i="21"/>
  <c r="C3411" i="21"/>
  <c r="C3412" i="21"/>
  <c r="C3413" i="21"/>
  <c r="C3414" i="21"/>
  <c r="C3415" i="21"/>
  <c r="C3416" i="21"/>
  <c r="C3417" i="21"/>
  <c r="C3418" i="21"/>
  <c r="C3419" i="21"/>
  <c r="C3420" i="21"/>
  <c r="C3421" i="21"/>
  <c r="C3422" i="21"/>
  <c r="C3423" i="21"/>
  <c r="C3424" i="21"/>
  <c r="C3425" i="21"/>
  <c r="C3426" i="21"/>
  <c r="C3427" i="21"/>
  <c r="C3428" i="21"/>
  <c r="C3429" i="21"/>
  <c r="C3430" i="21"/>
  <c r="C3431" i="21"/>
  <c r="C3432" i="21"/>
  <c r="C3433" i="21"/>
  <c r="C3434" i="21"/>
  <c r="C3435" i="21"/>
  <c r="C3436" i="21"/>
  <c r="C3437" i="21"/>
  <c r="C3438" i="21"/>
  <c r="C3439" i="21"/>
  <c r="C3440" i="21"/>
  <c r="C3441" i="21"/>
  <c r="C3442" i="21"/>
  <c r="C3443" i="21"/>
  <c r="C3444" i="21"/>
  <c r="C3445" i="21"/>
  <c r="C3446" i="21"/>
  <c r="C3447" i="21"/>
  <c r="C3448" i="21"/>
  <c r="C3449" i="21"/>
  <c r="C3450" i="21"/>
  <c r="C3451" i="21"/>
  <c r="C3452" i="21"/>
  <c r="C3453" i="21"/>
  <c r="C3454" i="21"/>
  <c r="C3455" i="21"/>
  <c r="C3456" i="21"/>
  <c r="C3457" i="21"/>
  <c r="C3458" i="21"/>
  <c r="C3459" i="21"/>
  <c r="C3460" i="21"/>
  <c r="C3461" i="21"/>
  <c r="C3462" i="21"/>
  <c r="C3463" i="21"/>
  <c r="C3464" i="21"/>
  <c r="C3465" i="21"/>
  <c r="C3466" i="21"/>
  <c r="C3467" i="21"/>
  <c r="C3468" i="21"/>
  <c r="C3469" i="21"/>
  <c r="C3470" i="21"/>
  <c r="C3471" i="21"/>
  <c r="C3472" i="21"/>
  <c r="C3473" i="21"/>
  <c r="C3094" i="21"/>
  <c r="F793" i="55"/>
  <c r="F792" i="55"/>
  <c r="F791" i="55"/>
  <c r="F790" i="55"/>
  <c r="F789" i="55"/>
  <c r="F788" i="55"/>
  <c r="F787" i="55"/>
  <c r="F786" i="55"/>
  <c r="F785" i="55"/>
  <c r="F784" i="55"/>
  <c r="F783" i="55"/>
  <c r="F782" i="55"/>
  <c r="F781" i="55"/>
  <c r="F780" i="55"/>
  <c r="F779" i="55"/>
  <c r="F778" i="55"/>
  <c r="F777" i="55"/>
  <c r="F776" i="55"/>
  <c r="F775" i="55"/>
  <c r="F774" i="55"/>
  <c r="F773" i="55"/>
  <c r="F772" i="55"/>
  <c r="F771" i="55"/>
  <c r="F770" i="55"/>
  <c r="F769" i="55"/>
  <c r="F768" i="55"/>
  <c r="F767" i="55"/>
  <c r="F766" i="55"/>
  <c r="F765" i="55"/>
  <c r="F764" i="55"/>
  <c r="F763" i="55"/>
  <c r="F762" i="55"/>
  <c r="F761" i="55"/>
  <c r="F760" i="55"/>
  <c r="F759" i="55"/>
  <c r="F758" i="55"/>
  <c r="F757" i="55"/>
  <c r="F756" i="55"/>
  <c r="F755" i="55"/>
  <c r="F754" i="55"/>
  <c r="F753" i="55"/>
  <c r="F752" i="55"/>
  <c r="F751" i="55"/>
  <c r="F750" i="55"/>
  <c r="F749" i="55"/>
  <c r="F748" i="55"/>
  <c r="F747" i="55"/>
  <c r="F746" i="55"/>
  <c r="F745" i="55"/>
  <c r="F744" i="55"/>
  <c r="F743" i="55"/>
  <c r="F742" i="55"/>
  <c r="F741" i="55"/>
  <c r="F740" i="55"/>
  <c r="F739" i="55"/>
  <c r="F738" i="55"/>
  <c r="F737" i="55"/>
  <c r="F736" i="55"/>
  <c r="F735" i="55"/>
  <c r="F734" i="55"/>
  <c r="F733" i="55"/>
  <c r="F732" i="55"/>
  <c r="F731" i="55"/>
  <c r="F730" i="55"/>
  <c r="F729" i="55"/>
  <c r="F728" i="55"/>
  <c r="F727" i="55"/>
  <c r="F726" i="55"/>
  <c r="F725" i="55"/>
  <c r="F724" i="55"/>
  <c r="F723" i="55"/>
  <c r="F722" i="55"/>
  <c r="F721" i="55"/>
  <c r="F720" i="55"/>
  <c r="F719" i="55"/>
  <c r="F718" i="55"/>
  <c r="F717" i="55"/>
  <c r="F716" i="55"/>
  <c r="F715" i="55"/>
  <c r="F714" i="55"/>
  <c r="F713" i="55"/>
  <c r="F712" i="55"/>
  <c r="F711" i="55"/>
  <c r="F710" i="55"/>
  <c r="F709" i="55"/>
  <c r="F708" i="55"/>
  <c r="F707" i="55"/>
  <c r="F706" i="55"/>
  <c r="F705" i="55"/>
  <c r="F704" i="55"/>
  <c r="F703" i="55"/>
  <c r="F702" i="55"/>
  <c r="F701" i="55"/>
  <c r="F700" i="55"/>
  <c r="F699" i="55"/>
  <c r="F698" i="55"/>
  <c r="F697" i="55"/>
  <c r="F696" i="55"/>
  <c r="F695" i="55"/>
  <c r="F694" i="55"/>
  <c r="F693" i="55"/>
  <c r="F692" i="55"/>
  <c r="F691" i="55"/>
  <c r="F690" i="55"/>
  <c r="F689" i="55"/>
  <c r="F688" i="55"/>
  <c r="F687" i="55"/>
  <c r="F686" i="55"/>
  <c r="F685" i="55"/>
  <c r="F684" i="55"/>
  <c r="F683" i="55"/>
  <c r="F682" i="55"/>
  <c r="F681" i="55"/>
  <c r="F680" i="55"/>
  <c r="F679" i="55"/>
  <c r="F678" i="55"/>
  <c r="F677" i="55"/>
  <c r="F676" i="55"/>
  <c r="F675" i="55"/>
  <c r="F674" i="55"/>
  <c r="F673" i="55"/>
  <c r="F672" i="55"/>
  <c r="F671" i="55"/>
  <c r="F670" i="55"/>
  <c r="F669" i="55"/>
  <c r="F668" i="55"/>
  <c r="F667" i="55"/>
  <c r="F666" i="55"/>
  <c r="F665" i="55"/>
  <c r="F664" i="55"/>
  <c r="F663" i="55"/>
  <c r="F662" i="55"/>
  <c r="F661" i="55"/>
  <c r="F660" i="55"/>
  <c r="F659" i="55"/>
  <c r="F658" i="55"/>
  <c r="F657" i="55"/>
  <c r="F656" i="55"/>
  <c r="F655" i="55"/>
  <c r="F654" i="55"/>
  <c r="F653" i="55"/>
  <c r="F652" i="55"/>
  <c r="F651" i="55"/>
  <c r="F650" i="55"/>
  <c r="F649" i="55"/>
  <c r="F648" i="55"/>
  <c r="F647" i="55"/>
  <c r="F646" i="55"/>
  <c r="F645" i="55"/>
  <c r="F644" i="55"/>
  <c r="F643" i="55"/>
  <c r="F642" i="55"/>
  <c r="F641" i="55"/>
  <c r="F640" i="55"/>
  <c r="F639" i="55"/>
  <c r="F638" i="55"/>
  <c r="F637" i="55"/>
  <c r="F636" i="55"/>
  <c r="F635" i="55"/>
  <c r="F634" i="55"/>
  <c r="F633" i="55"/>
  <c r="F632" i="55"/>
  <c r="F631" i="55"/>
  <c r="F630" i="55"/>
  <c r="F629" i="55"/>
  <c r="F628" i="55"/>
  <c r="F627" i="55"/>
  <c r="F626" i="55"/>
  <c r="F625" i="55"/>
  <c r="F624" i="55"/>
  <c r="F623" i="55"/>
  <c r="F622" i="55"/>
  <c r="F621" i="55"/>
  <c r="F620" i="55"/>
  <c r="F619" i="55"/>
  <c r="F618" i="55"/>
  <c r="F617" i="55"/>
  <c r="F616" i="55"/>
  <c r="F615" i="55"/>
  <c r="F614" i="55"/>
  <c r="F613" i="55"/>
  <c r="F612" i="55"/>
  <c r="F611" i="55"/>
  <c r="F610" i="55"/>
  <c r="F609" i="55"/>
  <c r="F608" i="55"/>
  <c r="F607" i="55"/>
  <c r="F606" i="55"/>
  <c r="F605" i="55"/>
  <c r="F604" i="55"/>
  <c r="F603" i="55"/>
  <c r="F602" i="55"/>
  <c r="F601" i="55"/>
  <c r="F600" i="55"/>
  <c r="F599" i="55"/>
  <c r="F598" i="55"/>
  <c r="F597" i="55"/>
  <c r="F596" i="55"/>
  <c r="F595" i="55"/>
  <c r="F594" i="55"/>
  <c r="F593" i="55"/>
  <c r="F592" i="55"/>
  <c r="F591" i="55"/>
  <c r="F590" i="55"/>
  <c r="F589" i="55"/>
  <c r="F588" i="55"/>
  <c r="F587" i="55"/>
  <c r="F586" i="55"/>
  <c r="F585" i="55"/>
  <c r="F584" i="55"/>
  <c r="F583" i="55"/>
  <c r="F582" i="55"/>
  <c r="F581" i="55"/>
  <c r="F580" i="55"/>
  <c r="F579" i="55"/>
  <c r="F578" i="55"/>
  <c r="F577" i="55"/>
  <c r="F576" i="55"/>
  <c r="F575" i="55"/>
  <c r="F574" i="55"/>
  <c r="F573" i="55"/>
  <c r="F572" i="55"/>
  <c r="F571" i="55"/>
  <c r="F570" i="55"/>
  <c r="F569" i="55"/>
  <c r="F568" i="55"/>
  <c r="F567" i="55"/>
  <c r="F566" i="55"/>
  <c r="F565" i="55"/>
  <c r="F564" i="55"/>
  <c r="F563" i="55"/>
  <c r="F562" i="55"/>
  <c r="F561" i="55"/>
  <c r="F560" i="55"/>
  <c r="F559" i="55"/>
  <c r="F558" i="55"/>
  <c r="F557" i="55"/>
  <c r="F556" i="55"/>
  <c r="F555" i="55"/>
  <c r="F554" i="55"/>
  <c r="F553" i="55"/>
  <c r="F552" i="55"/>
  <c r="F551" i="55"/>
  <c r="F550" i="55"/>
  <c r="F549" i="55"/>
  <c r="F548" i="55"/>
  <c r="F547" i="55"/>
  <c r="F546" i="55"/>
  <c r="F545" i="55"/>
  <c r="F544" i="55"/>
  <c r="F543" i="55"/>
  <c r="F542" i="55"/>
  <c r="F541" i="55"/>
  <c r="F540" i="55"/>
  <c r="F539" i="55"/>
  <c r="F538" i="55"/>
  <c r="F537" i="55"/>
  <c r="F536" i="55"/>
  <c r="F535" i="55"/>
  <c r="F534" i="55"/>
  <c r="F533" i="55"/>
  <c r="F532" i="55"/>
  <c r="F531" i="55"/>
  <c r="F530" i="55"/>
  <c r="F529" i="55"/>
  <c r="F528" i="55"/>
  <c r="F527" i="55"/>
  <c r="F526" i="55"/>
  <c r="F525" i="55"/>
  <c r="F524" i="55"/>
  <c r="F523" i="55"/>
  <c r="F522" i="55"/>
  <c r="F521" i="55"/>
  <c r="F520" i="55"/>
  <c r="F519" i="55"/>
  <c r="F518" i="55"/>
  <c r="F517" i="55"/>
  <c r="F516" i="55"/>
  <c r="F515" i="55"/>
  <c r="F514" i="55"/>
  <c r="F513" i="55"/>
  <c r="F512" i="55"/>
  <c r="F511" i="55"/>
  <c r="F510" i="55"/>
  <c r="F509" i="55"/>
  <c r="F508" i="55"/>
  <c r="F507" i="55"/>
  <c r="F506" i="55"/>
  <c r="F505" i="55"/>
  <c r="F504" i="55"/>
  <c r="F503" i="55"/>
  <c r="F502" i="55"/>
  <c r="F501" i="55"/>
  <c r="F500" i="55"/>
  <c r="F499" i="55"/>
  <c r="F498" i="55"/>
  <c r="F497" i="55"/>
  <c r="F496" i="55"/>
  <c r="F495" i="55"/>
  <c r="F494" i="55"/>
  <c r="F493" i="55"/>
  <c r="F492" i="55"/>
  <c r="F491" i="55"/>
  <c r="F490" i="55"/>
  <c r="F489" i="55"/>
  <c r="F488" i="55"/>
  <c r="F487" i="55"/>
  <c r="F486" i="55"/>
  <c r="F485" i="55"/>
  <c r="F484" i="55"/>
  <c r="F483" i="55"/>
  <c r="F482" i="55"/>
  <c r="F481" i="55"/>
  <c r="F480" i="55"/>
  <c r="F479" i="55"/>
  <c r="F478" i="55"/>
  <c r="F477" i="55"/>
  <c r="F476" i="55"/>
  <c r="F475" i="55"/>
  <c r="F474" i="55"/>
  <c r="F473" i="55"/>
  <c r="F472" i="55"/>
  <c r="F471" i="55"/>
  <c r="F470" i="55"/>
  <c r="F469" i="55"/>
  <c r="F468" i="55"/>
  <c r="F467" i="55"/>
  <c r="F466" i="55"/>
  <c r="F465" i="55"/>
  <c r="F464" i="55"/>
  <c r="F463" i="55"/>
  <c r="F462" i="55"/>
  <c r="F461" i="55"/>
  <c r="F460" i="55"/>
  <c r="F459" i="55"/>
  <c r="F458" i="55"/>
  <c r="F457" i="55"/>
  <c r="F456" i="55"/>
  <c r="F455" i="55"/>
  <c r="F454" i="55"/>
  <c r="F453" i="55"/>
  <c r="F452" i="55"/>
  <c r="F451" i="55"/>
  <c r="F450" i="55"/>
  <c r="F449" i="55"/>
  <c r="F448" i="55"/>
  <c r="F447" i="55"/>
  <c r="F446" i="55"/>
  <c r="F445" i="55"/>
  <c r="F444" i="55"/>
  <c r="F443" i="55"/>
  <c r="F442" i="55"/>
  <c r="F441" i="55"/>
  <c r="F440" i="55"/>
  <c r="F439" i="55"/>
  <c r="F438" i="55"/>
  <c r="F437" i="55"/>
  <c r="F436" i="55"/>
  <c r="F435" i="55"/>
  <c r="F434" i="55"/>
  <c r="F433" i="55"/>
  <c r="F432" i="55"/>
  <c r="F431" i="55"/>
  <c r="F430" i="55"/>
  <c r="F429" i="55"/>
  <c r="F428" i="55"/>
  <c r="F427" i="55"/>
  <c r="F426" i="55"/>
  <c r="F425" i="55"/>
  <c r="F424" i="55"/>
  <c r="F423" i="55"/>
  <c r="F422" i="55"/>
  <c r="F421" i="55"/>
  <c r="F420" i="55"/>
  <c r="F419" i="55"/>
  <c r="F418" i="55"/>
  <c r="F417" i="55"/>
  <c r="F416" i="55"/>
  <c r="F415" i="55"/>
  <c r="F414" i="55"/>
  <c r="H415" i="55"/>
  <c r="H416" i="55"/>
  <c r="H417" i="55"/>
  <c r="H418" i="55"/>
  <c r="H419" i="55"/>
  <c r="H420" i="55"/>
  <c r="H421" i="55"/>
  <c r="H422" i="55"/>
  <c r="H423" i="55"/>
  <c r="H424" i="55"/>
  <c r="H425" i="55"/>
  <c r="H426" i="55"/>
  <c r="H427" i="55"/>
  <c r="H428" i="55"/>
  <c r="H429" i="55"/>
  <c r="H430" i="55"/>
  <c r="H431" i="55"/>
  <c r="H432" i="55"/>
  <c r="H433" i="55"/>
  <c r="H434" i="55"/>
  <c r="H435" i="55"/>
  <c r="H436" i="55"/>
  <c r="H437" i="55"/>
  <c r="H438" i="55"/>
  <c r="H439" i="55"/>
  <c r="H440" i="55"/>
  <c r="H441" i="55"/>
  <c r="H442" i="55"/>
  <c r="H443" i="55"/>
  <c r="H444" i="55"/>
  <c r="H445" i="55"/>
  <c r="H446" i="55"/>
  <c r="H447" i="55"/>
  <c r="H448" i="55"/>
  <c r="H449" i="55"/>
  <c r="H450" i="55"/>
  <c r="H451" i="55"/>
  <c r="H452" i="55"/>
  <c r="H453" i="55"/>
  <c r="H454" i="55"/>
  <c r="H455" i="55"/>
  <c r="H456" i="55"/>
  <c r="H457" i="55"/>
  <c r="H458" i="55"/>
  <c r="H459" i="55"/>
  <c r="H460" i="55"/>
  <c r="H461" i="55"/>
  <c r="H462" i="55"/>
  <c r="H463" i="55"/>
  <c r="H464" i="55"/>
  <c r="H465" i="55"/>
  <c r="H466" i="55"/>
  <c r="H467" i="55"/>
  <c r="H468" i="55"/>
  <c r="H469" i="55"/>
  <c r="H470" i="55"/>
  <c r="H471" i="55"/>
  <c r="H472" i="55"/>
  <c r="H473" i="55"/>
  <c r="H474" i="55"/>
  <c r="H475" i="55"/>
  <c r="H476" i="55"/>
  <c r="H477" i="55"/>
  <c r="H478" i="55"/>
  <c r="H479" i="55"/>
  <c r="H480" i="55"/>
  <c r="H481" i="55"/>
  <c r="H482" i="55"/>
  <c r="H483" i="55"/>
  <c r="H484" i="55"/>
  <c r="H485" i="55"/>
  <c r="H486" i="55"/>
  <c r="H487" i="55"/>
  <c r="H488" i="55"/>
  <c r="H489" i="55"/>
  <c r="H490" i="55"/>
  <c r="H491" i="55"/>
  <c r="H492" i="55"/>
  <c r="H493" i="55"/>
  <c r="H494" i="55"/>
  <c r="H495" i="55"/>
  <c r="H496" i="55"/>
  <c r="H497" i="55"/>
  <c r="H498" i="55"/>
  <c r="H499" i="55"/>
  <c r="H500" i="55"/>
  <c r="H501" i="55"/>
  <c r="H502" i="55"/>
  <c r="H503" i="55"/>
  <c r="H504" i="55"/>
  <c r="H505" i="55"/>
  <c r="H506" i="55"/>
  <c r="H507" i="55"/>
  <c r="H508" i="55"/>
  <c r="H509" i="55"/>
  <c r="H510" i="55"/>
  <c r="H511" i="55"/>
  <c r="H512" i="55"/>
  <c r="H513" i="55"/>
  <c r="H514" i="55"/>
  <c r="H515" i="55"/>
  <c r="H516" i="55"/>
  <c r="H517" i="55"/>
  <c r="H518" i="55"/>
  <c r="H519" i="55"/>
  <c r="H520" i="55"/>
  <c r="H521" i="55"/>
  <c r="H522" i="55"/>
  <c r="H523" i="55"/>
  <c r="H524" i="55"/>
  <c r="H525" i="55"/>
  <c r="H526" i="55"/>
  <c r="H527" i="55"/>
  <c r="H528" i="55"/>
  <c r="H529" i="55"/>
  <c r="H530" i="55"/>
  <c r="H531" i="55"/>
  <c r="H532" i="55"/>
  <c r="H533" i="55"/>
  <c r="H534" i="55"/>
  <c r="H535" i="55"/>
  <c r="H536" i="55"/>
  <c r="H537" i="55"/>
  <c r="H538" i="55"/>
  <c r="H539" i="55"/>
  <c r="H540" i="55"/>
  <c r="H541" i="55"/>
  <c r="H542" i="55"/>
  <c r="H543" i="55"/>
  <c r="H544" i="55"/>
  <c r="H545" i="55"/>
  <c r="H546" i="55"/>
  <c r="H547" i="55"/>
  <c r="H548" i="55"/>
  <c r="H549" i="55"/>
  <c r="H550" i="55"/>
  <c r="H551" i="55"/>
  <c r="H552" i="55"/>
  <c r="H553" i="55"/>
  <c r="H554" i="55"/>
  <c r="H555" i="55"/>
  <c r="H556" i="55"/>
  <c r="H557" i="55"/>
  <c r="H558" i="55"/>
  <c r="H559" i="55"/>
  <c r="H560" i="55"/>
  <c r="H561" i="55"/>
  <c r="H562" i="55"/>
  <c r="H563" i="55"/>
  <c r="H564" i="55"/>
  <c r="H565" i="55"/>
  <c r="H566" i="55"/>
  <c r="H567" i="55"/>
  <c r="H568" i="55"/>
  <c r="H569" i="55"/>
  <c r="H570" i="55"/>
  <c r="H571" i="55"/>
  <c r="H572" i="55"/>
  <c r="H573" i="55"/>
  <c r="H574" i="55"/>
  <c r="H575" i="55"/>
  <c r="H576" i="55"/>
  <c r="H577" i="55"/>
  <c r="H578" i="55"/>
  <c r="H579" i="55"/>
  <c r="H580" i="55"/>
  <c r="H581" i="55"/>
  <c r="H582" i="55"/>
  <c r="H583" i="55"/>
  <c r="H584" i="55"/>
  <c r="H585" i="55"/>
  <c r="H586" i="55"/>
  <c r="H587" i="55"/>
  <c r="H588" i="55"/>
  <c r="H589" i="55"/>
  <c r="H590" i="55"/>
  <c r="H591" i="55"/>
  <c r="H592" i="55"/>
  <c r="H593" i="55"/>
  <c r="H594" i="55"/>
  <c r="H595" i="55"/>
  <c r="H596" i="55"/>
  <c r="H597" i="55"/>
  <c r="H598" i="55"/>
  <c r="H599" i="55"/>
  <c r="H600" i="55"/>
  <c r="H601" i="55"/>
  <c r="H602" i="55"/>
  <c r="H603" i="55"/>
  <c r="H604" i="55"/>
  <c r="H605" i="55"/>
  <c r="H606" i="55"/>
  <c r="H607" i="55"/>
  <c r="H608" i="55"/>
  <c r="H609" i="55"/>
  <c r="H610" i="55"/>
  <c r="H611" i="55"/>
  <c r="H612" i="55"/>
  <c r="H613" i="55"/>
  <c r="H614" i="55"/>
  <c r="H615" i="55"/>
  <c r="H616" i="55"/>
  <c r="H617" i="55"/>
  <c r="H618" i="55"/>
  <c r="H619" i="55"/>
  <c r="H620" i="55"/>
  <c r="H621" i="55"/>
  <c r="H622" i="55"/>
  <c r="H623" i="55"/>
  <c r="H624" i="55"/>
  <c r="H625" i="55"/>
  <c r="H626" i="55"/>
  <c r="H627" i="55"/>
  <c r="H628" i="55"/>
  <c r="H629" i="55"/>
  <c r="H630" i="55"/>
  <c r="H631" i="55"/>
  <c r="H632" i="55"/>
  <c r="H633" i="55"/>
  <c r="H634" i="55"/>
  <c r="H635" i="55"/>
  <c r="H636" i="55"/>
  <c r="H637" i="55"/>
  <c r="H638" i="55"/>
  <c r="H639" i="55"/>
  <c r="H640" i="55"/>
  <c r="H641" i="55"/>
  <c r="H642" i="55"/>
  <c r="H643" i="55"/>
  <c r="H644" i="55"/>
  <c r="H645" i="55"/>
  <c r="H646" i="55"/>
  <c r="H647" i="55"/>
  <c r="H648" i="55"/>
  <c r="H649" i="55"/>
  <c r="H650" i="55"/>
  <c r="H651" i="55"/>
  <c r="H652" i="55"/>
  <c r="H653" i="55"/>
  <c r="H654" i="55"/>
  <c r="H655" i="55"/>
  <c r="H656" i="55"/>
  <c r="H657" i="55"/>
  <c r="H658" i="55"/>
  <c r="H659" i="55"/>
  <c r="H660" i="55"/>
  <c r="H661" i="55"/>
  <c r="H662" i="55"/>
  <c r="H663" i="55"/>
  <c r="H664" i="55"/>
  <c r="H665" i="55"/>
  <c r="H666" i="55"/>
  <c r="H667" i="55"/>
  <c r="H668" i="55"/>
  <c r="H669" i="55"/>
  <c r="H670" i="55"/>
  <c r="H671" i="55"/>
  <c r="H672" i="55"/>
  <c r="H673" i="55"/>
  <c r="H674" i="55"/>
  <c r="H675" i="55"/>
  <c r="H676" i="55"/>
  <c r="H677" i="55"/>
  <c r="H678" i="55"/>
  <c r="H679" i="55"/>
  <c r="H680" i="55"/>
  <c r="H681" i="55"/>
  <c r="H682" i="55"/>
  <c r="H683" i="55"/>
  <c r="H684" i="55"/>
  <c r="H685" i="55"/>
  <c r="H686" i="55"/>
  <c r="H687" i="55"/>
  <c r="H688" i="55"/>
  <c r="H689" i="55"/>
  <c r="H690" i="55"/>
  <c r="H691" i="55"/>
  <c r="H692" i="55"/>
  <c r="H693" i="55"/>
  <c r="H694" i="55"/>
  <c r="H695" i="55"/>
  <c r="H696" i="55"/>
  <c r="H697" i="55"/>
  <c r="H698" i="55"/>
  <c r="H699" i="55"/>
  <c r="H700" i="55"/>
  <c r="H701" i="55"/>
  <c r="H702" i="55"/>
  <c r="H703" i="55"/>
  <c r="H704" i="55"/>
  <c r="H705" i="55"/>
  <c r="H706" i="55"/>
  <c r="H707" i="55"/>
  <c r="H708" i="55"/>
  <c r="H709" i="55"/>
  <c r="H710" i="55"/>
  <c r="H711" i="55"/>
  <c r="H712" i="55"/>
  <c r="H713" i="55"/>
  <c r="H714" i="55"/>
  <c r="H715" i="55"/>
  <c r="H716" i="55"/>
  <c r="H717" i="55"/>
  <c r="H718" i="55"/>
  <c r="H719" i="55"/>
  <c r="H720" i="55"/>
  <c r="H721" i="55"/>
  <c r="H722" i="55"/>
  <c r="H723" i="55"/>
  <c r="H724" i="55"/>
  <c r="H725" i="55"/>
  <c r="H726" i="55"/>
  <c r="H727" i="55"/>
  <c r="H728" i="55"/>
  <c r="H729" i="55"/>
  <c r="H730" i="55"/>
  <c r="H731" i="55"/>
  <c r="H732" i="55"/>
  <c r="H733" i="55"/>
  <c r="H734" i="55"/>
  <c r="H735" i="55"/>
  <c r="H736" i="55"/>
  <c r="H737" i="55"/>
  <c r="H738" i="55"/>
  <c r="H739" i="55"/>
  <c r="H740" i="55"/>
  <c r="H741" i="55"/>
  <c r="H742" i="55"/>
  <c r="H743" i="55"/>
  <c r="H744" i="55"/>
  <c r="H745" i="55"/>
  <c r="H746" i="55"/>
  <c r="H747" i="55"/>
  <c r="H748" i="55"/>
  <c r="H749" i="55"/>
  <c r="H750" i="55"/>
  <c r="H751" i="55"/>
  <c r="H752" i="55"/>
  <c r="H753" i="55"/>
  <c r="H754" i="55"/>
  <c r="H755" i="55"/>
  <c r="H756" i="55"/>
  <c r="H757" i="55"/>
  <c r="H758" i="55"/>
  <c r="H759" i="55"/>
  <c r="H760" i="55"/>
  <c r="H761" i="55"/>
  <c r="H762" i="55"/>
  <c r="H763" i="55"/>
  <c r="H764" i="55"/>
  <c r="H765" i="55"/>
  <c r="H766" i="55"/>
  <c r="H767" i="55"/>
  <c r="H768" i="55"/>
  <c r="H769" i="55"/>
  <c r="H770" i="55"/>
  <c r="H771" i="55"/>
  <c r="H772" i="55"/>
  <c r="H773" i="55"/>
  <c r="H774" i="55"/>
  <c r="H775" i="55"/>
  <c r="H776" i="55"/>
  <c r="H777" i="55"/>
  <c r="H778" i="55"/>
  <c r="H779" i="55"/>
  <c r="H780" i="55"/>
  <c r="H781" i="55"/>
  <c r="H782" i="55"/>
  <c r="H783" i="55"/>
  <c r="H784" i="55"/>
  <c r="H785" i="55"/>
  <c r="H786" i="55"/>
  <c r="H787" i="55"/>
  <c r="H788" i="55"/>
  <c r="H789" i="55"/>
  <c r="H790" i="55"/>
  <c r="H791" i="55"/>
  <c r="H792" i="55"/>
  <c r="H793" i="55"/>
  <c r="H414" i="55"/>
  <c r="C3093" i="21" l="1"/>
  <c r="H998" i="35"/>
  <c r="H999" i="35" s="1"/>
  <c r="H1000" i="35" s="1"/>
  <c r="H1001" i="35" s="1"/>
  <c r="H1002" i="35" s="1"/>
  <c r="H1003" i="35" s="1"/>
  <c r="H1004" i="35" s="1"/>
  <c r="H1005" i="35" s="1"/>
  <c r="H1006" i="35" s="1"/>
  <c r="H1007" i="35" s="1"/>
  <c r="H1008" i="35" s="1"/>
  <c r="H1009" i="35" s="1"/>
  <c r="H1010" i="35" s="1"/>
  <c r="H1011" i="35" s="1"/>
  <c r="H1012" i="35" s="1"/>
  <c r="H1013" i="35" s="1"/>
  <c r="F413" i="55"/>
  <c r="D413" i="55"/>
  <c r="C413" i="55"/>
  <c r="B2911" i="19"/>
  <c r="B2900" i="19"/>
  <c r="C2938" i="19" l="1"/>
  <c r="D2938" i="19"/>
  <c r="E2938" i="19"/>
  <c r="F2938" i="19"/>
  <c r="G2938" i="19"/>
  <c r="B2938" i="19"/>
  <c r="B1728" i="19" l="1"/>
  <c r="E794" i="19"/>
  <c r="F794" i="19"/>
  <c r="G794" i="19"/>
  <c r="H794" i="19"/>
  <c r="C794" i="55"/>
  <c r="D794" i="55"/>
  <c r="E794" i="55"/>
  <c r="F794" i="55"/>
  <c r="B794" i="55"/>
  <c r="G802" i="55"/>
  <c r="G803" i="55"/>
  <c r="G804" i="55"/>
  <c r="G805" i="55"/>
  <c r="G806" i="55"/>
  <c r="G807" i="55"/>
  <c r="G808" i="55"/>
  <c r="G809" i="55"/>
  <c r="G810" i="55"/>
  <c r="G811" i="55"/>
  <c r="G812" i="55"/>
  <c r="G813" i="55"/>
  <c r="G814" i="55"/>
  <c r="G815" i="55"/>
  <c r="G816" i="55"/>
  <c r="G817" i="55"/>
  <c r="G818" i="55"/>
  <c r="G819" i="55"/>
  <c r="G820" i="55"/>
  <c r="G821" i="55"/>
  <c r="G822" i="55"/>
  <c r="G823" i="55"/>
  <c r="G824" i="55"/>
  <c r="G825" i="55"/>
  <c r="G826" i="55"/>
  <c r="G827" i="55"/>
  <c r="G828" i="55"/>
  <c r="G829" i="55"/>
  <c r="G830" i="55"/>
  <c r="G831" i="55"/>
  <c r="G832" i="55"/>
  <c r="G833" i="55"/>
  <c r="G834" i="55"/>
  <c r="G835" i="55"/>
  <c r="G836" i="55"/>
  <c r="G837" i="55"/>
  <c r="G838" i="55"/>
  <c r="G839" i="55"/>
  <c r="G840" i="55"/>
  <c r="G841" i="55"/>
  <c r="G842" i="55"/>
  <c r="G843" i="55"/>
  <c r="G844" i="55"/>
  <c r="G845" i="55"/>
  <c r="G846" i="55"/>
  <c r="G847" i="55"/>
  <c r="G848" i="55"/>
  <c r="G849" i="55"/>
  <c r="G850" i="55"/>
  <c r="G851" i="55"/>
  <c r="G852" i="55"/>
  <c r="G853" i="55"/>
  <c r="G854" i="55"/>
  <c r="G855" i="55"/>
  <c r="G856" i="55"/>
  <c r="G857" i="55"/>
  <c r="G858" i="55"/>
  <c r="G859" i="55"/>
  <c r="G860" i="55"/>
  <c r="G861" i="55"/>
  <c r="G862" i="55"/>
  <c r="G863" i="55"/>
  <c r="G864" i="55"/>
  <c r="G865" i="55"/>
  <c r="G866" i="55"/>
  <c r="G867" i="55"/>
  <c r="G868" i="55"/>
  <c r="G869" i="55"/>
  <c r="G870" i="55"/>
  <c r="G871" i="55"/>
  <c r="G872" i="55"/>
  <c r="G873" i="55"/>
  <c r="G874" i="55"/>
  <c r="G875" i="55"/>
  <c r="G876" i="55"/>
  <c r="G877" i="55"/>
  <c r="G878" i="55"/>
  <c r="G879" i="55"/>
  <c r="G880" i="55"/>
  <c r="G881" i="55"/>
  <c r="G882" i="55"/>
  <c r="G883" i="55"/>
  <c r="G884" i="55"/>
  <c r="G885" i="55"/>
  <c r="G886" i="55"/>
  <c r="G887" i="55"/>
  <c r="G888" i="55"/>
  <c r="G889" i="55"/>
  <c r="G890" i="55"/>
  <c r="G891" i="55"/>
  <c r="G892" i="55"/>
  <c r="G893" i="55"/>
  <c r="G894" i="55"/>
  <c r="G895" i="55"/>
  <c r="G896" i="55"/>
  <c r="G897" i="55"/>
  <c r="G898" i="55"/>
  <c r="G899" i="55"/>
  <c r="G900" i="55"/>
  <c r="G901" i="55"/>
  <c r="G902" i="55"/>
  <c r="G903" i="55"/>
  <c r="G904" i="55"/>
  <c r="G905" i="55"/>
  <c r="G906" i="55"/>
  <c r="G907" i="55"/>
  <c r="G908" i="55"/>
  <c r="G909" i="55"/>
  <c r="G910" i="55"/>
  <c r="G911" i="55"/>
  <c r="G912" i="55"/>
  <c r="G913" i="55"/>
  <c r="G914" i="55"/>
  <c r="G915" i="55"/>
  <c r="G916" i="55"/>
  <c r="G917" i="55"/>
  <c r="G918" i="55"/>
  <c r="G919" i="55"/>
  <c r="G920" i="55"/>
  <c r="G921" i="55"/>
  <c r="G922" i="55"/>
  <c r="G923" i="55"/>
  <c r="G924" i="55"/>
  <c r="G925" i="55"/>
  <c r="G926" i="55"/>
  <c r="G927" i="55"/>
  <c r="G928" i="55"/>
  <c r="G929" i="55"/>
  <c r="G930" i="55"/>
  <c r="G931" i="55"/>
  <c r="G932" i="55"/>
  <c r="G796" i="55"/>
  <c r="G797" i="55"/>
  <c r="G798" i="55"/>
  <c r="G799" i="55"/>
  <c r="G800" i="55"/>
  <c r="G801" i="55"/>
  <c r="G795" i="55"/>
  <c r="G2545" i="21"/>
  <c r="G2546" i="21"/>
  <c r="G2547" i="21"/>
  <c r="G2548" i="21"/>
  <c r="G2549" i="21"/>
  <c r="G2550" i="21"/>
  <c r="G2551" i="21"/>
  <c r="G2552" i="21"/>
  <c r="G2553" i="21"/>
  <c r="G2554" i="21"/>
  <c r="G2555" i="21"/>
  <c r="G2556" i="21"/>
  <c r="G2557" i="21"/>
  <c r="G2558" i="21"/>
  <c r="G2559" i="21"/>
  <c r="G2560" i="21"/>
  <c r="G2561" i="21"/>
  <c r="G2562" i="21"/>
  <c r="G2563" i="21"/>
  <c r="G2564" i="21"/>
  <c r="G2565" i="21"/>
  <c r="G2566" i="21"/>
  <c r="G2567" i="21"/>
  <c r="G2568" i="21"/>
  <c r="G2569" i="21"/>
  <c r="G2570" i="21"/>
  <c r="G2571" i="21"/>
  <c r="G2572" i="21"/>
  <c r="G2573" i="21"/>
  <c r="G2574" i="21"/>
  <c r="G2575" i="21"/>
  <c r="G2576" i="21"/>
  <c r="G2577" i="21"/>
  <c r="G2578" i="21"/>
  <c r="G2579" i="21"/>
  <c r="G2580" i="21"/>
  <c r="G2581" i="21"/>
  <c r="G2582" i="21"/>
  <c r="G2583" i="21"/>
  <c r="G2584" i="21"/>
  <c r="G2585" i="21"/>
  <c r="G2586" i="21"/>
  <c r="G2587" i="21"/>
  <c r="G2588" i="21"/>
  <c r="G2589" i="21"/>
  <c r="G2590" i="21"/>
  <c r="G2591" i="21"/>
  <c r="G2592" i="21"/>
  <c r="G2593" i="21"/>
  <c r="G2594" i="21"/>
  <c r="G2595" i="21"/>
  <c r="G2596" i="21"/>
  <c r="G2597" i="21"/>
  <c r="G2598" i="21"/>
  <c r="G2599" i="21"/>
  <c r="G2600" i="21"/>
  <c r="G2601" i="21"/>
  <c r="G2602" i="21"/>
  <c r="G2603" i="21"/>
  <c r="G2604" i="21"/>
  <c r="G2605" i="21"/>
  <c r="G2606" i="21"/>
  <c r="G2607" i="21"/>
  <c r="G2608" i="21"/>
  <c r="G2609" i="21"/>
  <c r="G2610" i="21"/>
  <c r="G2611" i="21"/>
  <c r="G2612" i="21"/>
  <c r="G2613" i="21"/>
  <c r="G2614" i="21"/>
  <c r="G2615" i="21"/>
  <c r="G2616" i="21"/>
  <c r="G2617" i="21"/>
  <c r="G2618" i="21"/>
  <c r="G2619" i="21"/>
  <c r="G2620" i="21"/>
  <c r="G2621" i="21"/>
  <c r="G2622" i="21"/>
  <c r="G2623" i="21"/>
  <c r="G2624" i="21"/>
  <c r="G2625" i="21"/>
  <c r="G2626" i="21"/>
  <c r="G2627" i="21"/>
  <c r="G2628" i="21"/>
  <c r="G2629" i="21"/>
  <c r="G2630" i="21"/>
  <c r="G2631" i="21"/>
  <c r="G2632" i="21"/>
  <c r="G2633" i="21"/>
  <c r="G2634" i="21"/>
  <c r="G2635" i="21"/>
  <c r="G2636" i="21"/>
  <c r="G2637" i="21"/>
  <c r="G2638" i="21"/>
  <c r="G2639" i="21"/>
  <c r="G2640" i="21"/>
  <c r="G2641" i="21"/>
  <c r="G2642" i="21"/>
  <c r="G2643" i="21"/>
  <c r="G2644" i="21"/>
  <c r="G2645" i="21"/>
  <c r="G2646" i="21"/>
  <c r="G2647" i="21"/>
  <c r="G2648" i="21"/>
  <c r="G2649" i="21"/>
  <c r="G2650" i="21"/>
  <c r="G2651" i="21"/>
  <c r="G2652" i="21"/>
  <c r="G2653" i="21"/>
  <c r="G2654" i="21"/>
  <c r="G2655" i="21"/>
  <c r="G2656" i="21"/>
  <c r="G2657" i="21"/>
  <c r="G2658" i="21"/>
  <c r="G2659" i="21"/>
  <c r="G2660" i="21"/>
  <c r="G2661" i="21"/>
  <c r="G2662" i="21"/>
  <c r="G2663" i="21"/>
  <c r="G2664" i="21"/>
  <c r="G2665" i="21"/>
  <c r="G2666" i="21"/>
  <c r="G2667" i="21"/>
  <c r="G2668" i="21"/>
  <c r="G2669" i="21"/>
  <c r="G2670" i="21"/>
  <c r="G2671" i="21"/>
  <c r="G2672" i="21"/>
  <c r="G2673" i="21"/>
  <c r="G2674" i="21"/>
  <c r="G2675" i="21"/>
  <c r="G2676" i="21"/>
  <c r="G2677" i="21"/>
  <c r="G2678" i="21"/>
  <c r="G2679" i="21"/>
  <c r="G2680" i="21"/>
  <c r="G2544" i="21"/>
  <c r="G2543" i="21"/>
  <c r="H743" i="21"/>
  <c r="I744" i="21"/>
  <c r="I745" i="21"/>
  <c r="I746" i="21"/>
  <c r="I747" i="21"/>
  <c r="I748" i="21"/>
  <c r="I749" i="21"/>
  <c r="I750" i="21"/>
  <c r="I751" i="21"/>
  <c r="I752" i="21"/>
  <c r="I753" i="21"/>
  <c r="I754" i="21"/>
  <c r="I755" i="21"/>
  <c r="I756" i="21"/>
  <c r="I757" i="21"/>
  <c r="I758" i="21"/>
  <c r="I759" i="21"/>
  <c r="I760" i="21"/>
  <c r="I761" i="21"/>
  <c r="I762" i="21"/>
  <c r="I763" i="21"/>
  <c r="I764" i="21"/>
  <c r="I765" i="21"/>
  <c r="I766" i="21"/>
  <c r="I767" i="21"/>
  <c r="I768" i="21"/>
  <c r="I769" i="21"/>
  <c r="I770" i="21"/>
  <c r="I771" i="21"/>
  <c r="I772" i="21"/>
  <c r="I773" i="21"/>
  <c r="I774" i="21"/>
  <c r="I775" i="21"/>
  <c r="I776" i="21"/>
  <c r="I777" i="21"/>
  <c r="I778" i="21"/>
  <c r="I779" i="21"/>
  <c r="I780" i="21"/>
  <c r="I781" i="21"/>
  <c r="I782" i="21"/>
  <c r="I783" i="21"/>
  <c r="I784" i="21"/>
  <c r="I785" i="21"/>
  <c r="I786" i="21"/>
  <c r="I787" i="21"/>
  <c r="I788" i="21"/>
  <c r="I789" i="21"/>
  <c r="I790" i="21"/>
  <c r="I791" i="21"/>
  <c r="I792" i="21"/>
  <c r="I793" i="21"/>
  <c r="I794" i="21"/>
  <c r="I795" i="21"/>
  <c r="I796" i="21"/>
  <c r="I797" i="21"/>
  <c r="I798" i="21"/>
  <c r="I799" i="21"/>
  <c r="I800" i="21"/>
  <c r="I801" i="21"/>
  <c r="I802" i="21"/>
  <c r="I803" i="21"/>
  <c r="I804" i="21"/>
  <c r="I805" i="21"/>
  <c r="I806" i="21"/>
  <c r="I807" i="21"/>
  <c r="I808" i="21"/>
  <c r="I809" i="21"/>
  <c r="I810" i="21"/>
  <c r="I811" i="21"/>
  <c r="I812" i="21"/>
  <c r="I813" i="21"/>
  <c r="I814" i="21"/>
  <c r="I815" i="21"/>
  <c r="I816" i="21"/>
  <c r="I817" i="21"/>
  <c r="I818" i="21"/>
  <c r="I819" i="21"/>
  <c r="I820" i="21"/>
  <c r="I821" i="21"/>
  <c r="I822" i="21"/>
  <c r="I823" i="21"/>
  <c r="I824" i="21"/>
  <c r="I825" i="21"/>
  <c r="I826" i="21"/>
  <c r="I827" i="21"/>
  <c r="I828" i="21"/>
  <c r="I829" i="21"/>
  <c r="I830" i="21"/>
  <c r="I831" i="21"/>
  <c r="I832" i="21"/>
  <c r="I833" i="21"/>
  <c r="I834" i="21"/>
  <c r="I835" i="21"/>
  <c r="I836" i="21"/>
  <c r="I837" i="21"/>
  <c r="I838" i="21"/>
  <c r="I839" i="21"/>
  <c r="I840" i="21"/>
  <c r="I841" i="21"/>
  <c r="I842" i="21"/>
  <c r="I843" i="21"/>
  <c r="I844" i="21"/>
  <c r="I845" i="21"/>
  <c r="I846" i="21"/>
  <c r="I847" i="21"/>
  <c r="I848" i="21"/>
  <c r="I849" i="21"/>
  <c r="I850" i="21"/>
  <c r="I851" i="21"/>
  <c r="I852" i="21"/>
  <c r="I853" i="21"/>
  <c r="I854" i="21"/>
  <c r="I855" i="21"/>
  <c r="I856" i="21"/>
  <c r="I857" i="21"/>
  <c r="I858" i="21"/>
  <c r="I859" i="21"/>
  <c r="I860" i="21"/>
  <c r="I861" i="21"/>
  <c r="I862" i="21"/>
  <c r="I863" i="21"/>
  <c r="I864" i="21"/>
  <c r="I865" i="21"/>
  <c r="I866" i="21"/>
  <c r="I867" i="21"/>
  <c r="C2848" i="19"/>
  <c r="D2848" i="19"/>
  <c r="E2848" i="19"/>
  <c r="F2848" i="19"/>
  <c r="G2848" i="19"/>
  <c r="H2848" i="19"/>
  <c r="I2848" i="19"/>
  <c r="J2848" i="19"/>
  <c r="B2848" i="19"/>
  <c r="F1728" i="19"/>
  <c r="G1728" i="19"/>
  <c r="H1728" i="19"/>
  <c r="E1346" i="19"/>
  <c r="E1728" i="19"/>
  <c r="C1728" i="19"/>
  <c r="I1731" i="19"/>
  <c r="I1732" i="19"/>
  <c r="I1733" i="19"/>
  <c r="I1734" i="19"/>
  <c r="I1735" i="19"/>
  <c r="I1736" i="19"/>
  <c r="I1737" i="19"/>
  <c r="I1738" i="19"/>
  <c r="I1739" i="19"/>
  <c r="I1740" i="19"/>
  <c r="I1741" i="19"/>
  <c r="I1742" i="19"/>
  <c r="I1743" i="19"/>
  <c r="I1744" i="19"/>
  <c r="I1745" i="19"/>
  <c r="I1746" i="19"/>
  <c r="I1747" i="19"/>
  <c r="I1748" i="19"/>
  <c r="I1749" i="19"/>
  <c r="I1750" i="19"/>
  <c r="I1751" i="19"/>
  <c r="I1752" i="19"/>
  <c r="I1753" i="19"/>
  <c r="I1754" i="19"/>
  <c r="I1755" i="19"/>
  <c r="I1756" i="19"/>
  <c r="I1757" i="19"/>
  <c r="I1758" i="19"/>
  <c r="I1759" i="19"/>
  <c r="I1760" i="19"/>
  <c r="I1761" i="19"/>
  <c r="I1762" i="19"/>
  <c r="I1763" i="19"/>
  <c r="I1764" i="19"/>
  <c r="I1765" i="19"/>
  <c r="I1766" i="19"/>
  <c r="I1767" i="19"/>
  <c r="I1768" i="19"/>
  <c r="I1769" i="19"/>
  <c r="I1770" i="19"/>
  <c r="I1771" i="19"/>
  <c r="I1772" i="19"/>
  <c r="I1773" i="19"/>
  <c r="I1774" i="19"/>
  <c r="I1775" i="19"/>
  <c r="I1776" i="19"/>
  <c r="I1777" i="19"/>
  <c r="I1778" i="19"/>
  <c r="I1779" i="19"/>
  <c r="I1780" i="19"/>
  <c r="I1781" i="19"/>
  <c r="I1782" i="19"/>
  <c r="I1783" i="19"/>
  <c r="I1784" i="19"/>
  <c r="I1785" i="19"/>
  <c r="I1786" i="19"/>
  <c r="I1787" i="19"/>
  <c r="I1788" i="19"/>
  <c r="I1789" i="19"/>
  <c r="I1790" i="19"/>
  <c r="I1791" i="19"/>
  <c r="I1792" i="19"/>
  <c r="I1793" i="19"/>
  <c r="I1794" i="19"/>
  <c r="I1795" i="19"/>
  <c r="I1796" i="19"/>
  <c r="I1797" i="19"/>
  <c r="I1798" i="19"/>
  <c r="I1799" i="19"/>
  <c r="I1800" i="19"/>
  <c r="I1801" i="19"/>
  <c r="I1802" i="19"/>
  <c r="I1803" i="19"/>
  <c r="I1804" i="19"/>
  <c r="I1805" i="19"/>
  <c r="I1806" i="19"/>
  <c r="I1807" i="19"/>
  <c r="I1808" i="19"/>
  <c r="I1809" i="19"/>
  <c r="I1810" i="19"/>
  <c r="I1811" i="19"/>
  <c r="I1812" i="19"/>
  <c r="I1813" i="19"/>
  <c r="I1814" i="19"/>
  <c r="I1815" i="19"/>
  <c r="I1816" i="19"/>
  <c r="I1817" i="19"/>
  <c r="I1818" i="19"/>
  <c r="I1819" i="19"/>
  <c r="I1820" i="19"/>
  <c r="I1821" i="19"/>
  <c r="I1822" i="19"/>
  <c r="I1823" i="19"/>
  <c r="I1824" i="19"/>
  <c r="I1825" i="19"/>
  <c r="I1826" i="19"/>
  <c r="I1827" i="19"/>
  <c r="I1828" i="19"/>
  <c r="I1829" i="19"/>
  <c r="I1830" i="19"/>
  <c r="I1831" i="19"/>
  <c r="I1832" i="19"/>
  <c r="I1833" i="19"/>
  <c r="I1834" i="19"/>
  <c r="I1835" i="19"/>
  <c r="I1836" i="19"/>
  <c r="I1837" i="19"/>
  <c r="I1838" i="19"/>
  <c r="I1839" i="19"/>
  <c r="I1840" i="19"/>
  <c r="I1841" i="19"/>
  <c r="I1842" i="19"/>
  <c r="I1843" i="19"/>
  <c r="I1844" i="19"/>
  <c r="I1845" i="19"/>
  <c r="I1846" i="19"/>
  <c r="I1847" i="19"/>
  <c r="I1848" i="19"/>
  <c r="I1849" i="19"/>
  <c r="I1850" i="19"/>
  <c r="I1851" i="19"/>
  <c r="I1852" i="19"/>
  <c r="I1853" i="19"/>
  <c r="I1854" i="19"/>
  <c r="I1855" i="19"/>
  <c r="I1856" i="19"/>
  <c r="I1857" i="19"/>
  <c r="I1858" i="19"/>
  <c r="I1859" i="19"/>
  <c r="I1860" i="19"/>
  <c r="I1861" i="19"/>
  <c r="I1862" i="19"/>
  <c r="I1863" i="19"/>
  <c r="I1864" i="19"/>
  <c r="I1865" i="19"/>
  <c r="I1866" i="19"/>
  <c r="I1730" i="19"/>
  <c r="I1729" i="19"/>
  <c r="I929" i="19"/>
  <c r="I795" i="19"/>
  <c r="I796" i="19"/>
  <c r="I797" i="19"/>
  <c r="I798" i="19"/>
  <c r="I799" i="19"/>
  <c r="I800" i="19"/>
  <c r="I801" i="19"/>
  <c r="I802" i="19"/>
  <c r="I803" i="19"/>
  <c r="I804" i="19"/>
  <c r="I805" i="19"/>
  <c r="I806" i="19"/>
  <c r="I807" i="19"/>
  <c r="I808" i="19"/>
  <c r="I809" i="19"/>
  <c r="I810" i="19"/>
  <c r="I811" i="19"/>
  <c r="I812" i="19"/>
  <c r="I813" i="19"/>
  <c r="I814" i="19"/>
  <c r="I815" i="19"/>
  <c r="I816" i="19"/>
  <c r="I817" i="19"/>
  <c r="I818" i="19"/>
  <c r="I819" i="19"/>
  <c r="I820" i="19"/>
  <c r="I821" i="19"/>
  <c r="I822" i="19"/>
  <c r="I823" i="19"/>
  <c r="I824" i="19"/>
  <c r="I825" i="19"/>
  <c r="I826" i="19"/>
  <c r="I827" i="19"/>
  <c r="I828" i="19"/>
  <c r="I829" i="19"/>
  <c r="I830" i="19"/>
  <c r="I831" i="19"/>
  <c r="I832" i="19"/>
  <c r="I833" i="19"/>
  <c r="I834" i="19"/>
  <c r="I835" i="19"/>
  <c r="I836" i="19"/>
  <c r="I837" i="19"/>
  <c r="I838" i="19"/>
  <c r="I839" i="19"/>
  <c r="I840" i="19"/>
  <c r="I841" i="19"/>
  <c r="I842" i="19"/>
  <c r="I843" i="19"/>
  <c r="I844" i="19"/>
  <c r="I845" i="19"/>
  <c r="I846" i="19"/>
  <c r="I847" i="19"/>
  <c r="I848" i="19"/>
  <c r="I849" i="19"/>
  <c r="I850" i="19"/>
  <c r="I851" i="19"/>
  <c r="I852" i="19"/>
  <c r="I853" i="19"/>
  <c r="I854" i="19"/>
  <c r="I855" i="19"/>
  <c r="I856" i="19"/>
  <c r="I857" i="19"/>
  <c r="I858" i="19"/>
  <c r="I859" i="19"/>
  <c r="I860" i="19"/>
  <c r="I861" i="19"/>
  <c r="I862" i="19"/>
  <c r="I863" i="19"/>
  <c r="I864" i="19"/>
  <c r="I865" i="19"/>
  <c r="I866" i="19"/>
  <c r="I867" i="19"/>
  <c r="I868" i="19"/>
  <c r="I869" i="19"/>
  <c r="I870" i="19"/>
  <c r="I871" i="19"/>
  <c r="I872" i="19"/>
  <c r="I873" i="19"/>
  <c r="I874" i="19"/>
  <c r="I875" i="19"/>
  <c r="I876" i="19"/>
  <c r="I877" i="19"/>
  <c r="I878" i="19"/>
  <c r="I879" i="19"/>
  <c r="I880" i="19"/>
  <c r="I881" i="19"/>
  <c r="I882" i="19"/>
  <c r="I883" i="19"/>
  <c r="I884" i="19"/>
  <c r="I885" i="19"/>
  <c r="I886" i="19"/>
  <c r="I887" i="19"/>
  <c r="I888" i="19"/>
  <c r="I889" i="19"/>
  <c r="I890" i="19"/>
  <c r="I891" i="19"/>
  <c r="I892" i="19"/>
  <c r="I893" i="19"/>
  <c r="I894" i="19"/>
  <c r="I895" i="19"/>
  <c r="I896" i="19"/>
  <c r="I897" i="19"/>
  <c r="I898" i="19"/>
  <c r="I899" i="19"/>
  <c r="I900" i="19"/>
  <c r="I901" i="19"/>
  <c r="I902" i="19"/>
  <c r="I903" i="19"/>
  <c r="I904" i="19"/>
  <c r="I905" i="19"/>
  <c r="I906" i="19"/>
  <c r="I907" i="19"/>
  <c r="I908" i="19"/>
  <c r="I909" i="19"/>
  <c r="I910" i="19"/>
  <c r="I911" i="19"/>
  <c r="I912" i="19"/>
  <c r="I913" i="19"/>
  <c r="I914" i="19"/>
  <c r="I915" i="19"/>
  <c r="I916" i="19"/>
  <c r="I917" i="19"/>
  <c r="I918" i="19"/>
  <c r="I919" i="19"/>
  <c r="I920" i="19"/>
  <c r="I921" i="19"/>
  <c r="I922" i="19"/>
  <c r="I923" i="19"/>
  <c r="I924" i="19"/>
  <c r="I925" i="19"/>
  <c r="I926" i="19"/>
  <c r="I927" i="19"/>
  <c r="I928" i="19"/>
  <c r="I930" i="19"/>
  <c r="I931" i="19"/>
  <c r="I932" i="19"/>
  <c r="E738" i="46"/>
  <c r="E739" i="46"/>
  <c r="E740" i="46"/>
  <c r="E741" i="46"/>
  <c r="E742" i="46"/>
  <c r="E743" i="46"/>
  <c r="E744" i="46"/>
  <c r="E745" i="46"/>
  <c r="E746" i="46"/>
  <c r="E747" i="46"/>
  <c r="E748" i="46"/>
  <c r="E749" i="46"/>
  <c r="E750" i="46"/>
  <c r="E751" i="46"/>
  <c r="E752" i="46"/>
  <c r="E753" i="46"/>
  <c r="E754" i="46"/>
  <c r="E755" i="46"/>
  <c r="E756" i="46"/>
  <c r="E757" i="46"/>
  <c r="E758" i="46"/>
  <c r="E759" i="46"/>
  <c r="E760" i="46"/>
  <c r="E761" i="46"/>
  <c r="E762" i="46"/>
  <c r="E763" i="46"/>
  <c r="E764" i="46"/>
  <c r="E765" i="46"/>
  <c r="E766" i="46"/>
  <c r="E767" i="46"/>
  <c r="E768" i="46"/>
  <c r="E769" i="46"/>
  <c r="E770" i="46"/>
  <c r="E771" i="46"/>
  <c r="E772" i="46"/>
  <c r="E773" i="46"/>
  <c r="E774" i="46"/>
  <c r="E775" i="46"/>
  <c r="E776" i="46"/>
  <c r="E777" i="46"/>
  <c r="E778" i="46"/>
  <c r="E779" i="46"/>
  <c r="E780" i="46"/>
  <c r="E781" i="46"/>
  <c r="E782" i="46"/>
  <c r="E783" i="46"/>
  <c r="E784" i="46"/>
  <c r="E785" i="46"/>
  <c r="E786" i="46"/>
  <c r="E787" i="46"/>
  <c r="E788" i="46"/>
  <c r="E789" i="46"/>
  <c r="E790" i="46"/>
  <c r="E791" i="46"/>
  <c r="E792" i="46"/>
  <c r="E793" i="46"/>
  <c r="E794" i="46"/>
  <c r="E795" i="46"/>
  <c r="E796" i="46"/>
  <c r="E797" i="46"/>
  <c r="E798" i="46"/>
  <c r="E799" i="46"/>
  <c r="E800" i="46"/>
  <c r="E801" i="46"/>
  <c r="E802" i="46"/>
  <c r="E803" i="46"/>
  <c r="E804" i="46"/>
  <c r="E805" i="46"/>
  <c r="E806" i="46"/>
  <c r="E807" i="46"/>
  <c r="E808" i="46"/>
  <c r="E809" i="46"/>
  <c r="E810" i="46"/>
  <c r="E811" i="46"/>
  <c r="E812" i="46"/>
  <c r="E813" i="46"/>
  <c r="E814" i="46"/>
  <c r="E815" i="46"/>
  <c r="E816" i="46"/>
  <c r="E817" i="46"/>
  <c r="E818" i="46"/>
  <c r="E819" i="46"/>
  <c r="E820" i="46"/>
  <c r="E821" i="46"/>
  <c r="E822" i="46"/>
  <c r="E823" i="46"/>
  <c r="E824" i="46"/>
  <c r="E825" i="46"/>
  <c r="E826" i="46"/>
  <c r="E827" i="46"/>
  <c r="E828" i="46"/>
  <c r="E829" i="46"/>
  <c r="E830" i="46"/>
  <c r="E831" i="46"/>
  <c r="E832" i="46"/>
  <c r="E833" i="46"/>
  <c r="E834" i="46"/>
  <c r="E835" i="46"/>
  <c r="E836" i="46"/>
  <c r="E837" i="46"/>
  <c r="E838" i="46"/>
  <c r="E839" i="46"/>
  <c r="E840" i="46"/>
  <c r="E841" i="46"/>
  <c r="E842" i="46"/>
  <c r="E843" i="46"/>
  <c r="E844" i="46"/>
  <c r="E845" i="46"/>
  <c r="E846" i="46"/>
  <c r="E847" i="46"/>
  <c r="E848" i="46"/>
  <c r="E849" i="46"/>
  <c r="E850" i="46"/>
  <c r="E851" i="46"/>
  <c r="E852" i="46"/>
  <c r="E853" i="46"/>
  <c r="E854" i="46"/>
  <c r="E855" i="46"/>
  <c r="E856" i="46"/>
  <c r="E857" i="46"/>
  <c r="E858" i="46"/>
  <c r="E859" i="46"/>
  <c r="E736" i="46"/>
  <c r="E737" i="46"/>
  <c r="D8" i="54"/>
  <c r="I2796" i="19"/>
  <c r="E2662" i="19"/>
  <c r="F1337" i="35"/>
  <c r="E1337" i="35"/>
  <c r="D1337" i="35"/>
  <c r="D8" i="55"/>
  <c r="B8" i="55"/>
  <c r="B1107" i="55"/>
  <c r="B1108" i="55"/>
  <c r="B941" i="55"/>
  <c r="B942" i="55"/>
  <c r="B943" i="55"/>
  <c r="B944" i="55"/>
  <c r="B945" i="55"/>
  <c r="B946" i="55"/>
  <c r="B947" i="55"/>
  <c r="B948" i="55"/>
  <c r="B949" i="55"/>
  <c r="B950" i="55"/>
  <c r="B951" i="55"/>
  <c r="B952" i="55"/>
  <c r="B953" i="55"/>
  <c r="B954" i="55"/>
  <c r="B955" i="55"/>
  <c r="B956" i="55"/>
  <c r="B957" i="55"/>
  <c r="B958" i="55"/>
  <c r="B959" i="55"/>
  <c r="B960" i="55"/>
  <c r="B961" i="55"/>
  <c r="B962" i="55"/>
  <c r="B963" i="55"/>
  <c r="B964" i="55"/>
  <c r="B965" i="55"/>
  <c r="B966" i="55"/>
  <c r="B967" i="55"/>
  <c r="B968" i="55"/>
  <c r="B969" i="55"/>
  <c r="B970" i="55"/>
  <c r="B971" i="55"/>
  <c r="B972" i="55"/>
  <c r="B973" i="55"/>
  <c r="B974" i="55"/>
  <c r="B975" i="55"/>
  <c r="B976" i="55"/>
  <c r="B977" i="55"/>
  <c r="B978" i="55"/>
  <c r="B979" i="55"/>
  <c r="B980" i="55"/>
  <c r="B981" i="55"/>
  <c r="B982" i="55"/>
  <c r="B983" i="55"/>
  <c r="B984" i="55"/>
  <c r="B985" i="55"/>
  <c r="B986" i="55"/>
  <c r="B987" i="55"/>
  <c r="B988" i="55"/>
  <c r="B989" i="55"/>
  <c r="B990" i="55"/>
  <c r="B991" i="55"/>
  <c r="B992" i="55"/>
  <c r="B993" i="55"/>
  <c r="B994" i="55"/>
  <c r="B995" i="55"/>
  <c r="B996" i="55"/>
  <c r="B997" i="55"/>
  <c r="B998" i="55"/>
  <c r="B999" i="55"/>
  <c r="B1000" i="55"/>
  <c r="B1001" i="55"/>
  <c r="B1002" i="55"/>
  <c r="B1003" i="55"/>
  <c r="B1004" i="55"/>
  <c r="B1005" i="55"/>
  <c r="B1006" i="55"/>
  <c r="B1007" i="55"/>
  <c r="B1008" i="55"/>
  <c r="B1009" i="55"/>
  <c r="B1010" i="55"/>
  <c r="B1011" i="55"/>
  <c r="B1012" i="55"/>
  <c r="B1013" i="55"/>
  <c r="B1014" i="55"/>
  <c r="B1015" i="55"/>
  <c r="B1016" i="55"/>
  <c r="B1017" i="55"/>
  <c r="B1018" i="55"/>
  <c r="B1019" i="55"/>
  <c r="B1020" i="55"/>
  <c r="B1021" i="55"/>
  <c r="B1022" i="55"/>
  <c r="B1023" i="55"/>
  <c r="B1024" i="55"/>
  <c r="B1025" i="55"/>
  <c r="B1026" i="55"/>
  <c r="B1027" i="55"/>
  <c r="B1028" i="55"/>
  <c r="B1029" i="55"/>
  <c r="B1030" i="55"/>
  <c r="B1031" i="55"/>
  <c r="B1032" i="55"/>
  <c r="B1033" i="55"/>
  <c r="B1034" i="55"/>
  <c r="B1035" i="55"/>
  <c r="B1036" i="55"/>
  <c r="B1037" i="55"/>
  <c r="B1038" i="55"/>
  <c r="B1039" i="55"/>
  <c r="B1040" i="55"/>
  <c r="B1041" i="55"/>
  <c r="B1042" i="55"/>
  <c r="B1043" i="55"/>
  <c r="B1044" i="55"/>
  <c r="B1045" i="55"/>
  <c r="B1046" i="55"/>
  <c r="B1047" i="55"/>
  <c r="B1048" i="55"/>
  <c r="B1049" i="55"/>
  <c r="B1050" i="55"/>
  <c r="B1051" i="55"/>
  <c r="B1052" i="55"/>
  <c r="B1053" i="55"/>
  <c r="B1054" i="55"/>
  <c r="B1055" i="55"/>
  <c r="B1056" i="55"/>
  <c r="B1057" i="55"/>
  <c r="B1058" i="55"/>
  <c r="B1059" i="55"/>
  <c r="B1060" i="55"/>
  <c r="B1061" i="55"/>
  <c r="B1062" i="55"/>
  <c r="B1063" i="55"/>
  <c r="B1064" i="55"/>
  <c r="B1065" i="55"/>
  <c r="B1066" i="55"/>
  <c r="B1067" i="55"/>
  <c r="B1068" i="55"/>
  <c r="B1069" i="55"/>
  <c r="B1070" i="55"/>
  <c r="B1071" i="55"/>
  <c r="B1072" i="55"/>
  <c r="B1073" i="55"/>
  <c r="B1074" i="55"/>
  <c r="B1075" i="55"/>
  <c r="B1076" i="55"/>
  <c r="B1077" i="55"/>
  <c r="B1078" i="55"/>
  <c r="B1079" i="55"/>
  <c r="B1080" i="55"/>
  <c r="B1081" i="55"/>
  <c r="B1082" i="55"/>
  <c r="B1083" i="55"/>
  <c r="B1084" i="55"/>
  <c r="B1085" i="55"/>
  <c r="B1086" i="55"/>
  <c r="B1087" i="55"/>
  <c r="B1088" i="55"/>
  <c r="B1089" i="55"/>
  <c r="B1090" i="55"/>
  <c r="B1091" i="55"/>
  <c r="B1092" i="55"/>
  <c r="B1093" i="55"/>
  <c r="B1094" i="55"/>
  <c r="B1095" i="55"/>
  <c r="B1096" i="55"/>
  <c r="B1097" i="55"/>
  <c r="B1098" i="55"/>
  <c r="B1099" i="55"/>
  <c r="B1100" i="55"/>
  <c r="B1101" i="55"/>
  <c r="B1102" i="55"/>
  <c r="B1103" i="55"/>
  <c r="B1104" i="55"/>
  <c r="B1105" i="55"/>
  <c r="B1106" i="55"/>
  <c r="B940" i="55"/>
  <c r="A10" i="55"/>
  <c r="A11" i="55"/>
  <c r="A12" i="55"/>
  <c r="F12" i="55" s="1"/>
  <c r="A13" i="55"/>
  <c r="A14" i="55"/>
  <c r="A15" i="55"/>
  <c r="C15" i="55" s="1"/>
  <c r="A16" i="55"/>
  <c r="A17" i="55"/>
  <c r="F17" i="55" s="1"/>
  <c r="A18" i="55"/>
  <c r="A19" i="55"/>
  <c r="A20" i="55"/>
  <c r="A21" i="55"/>
  <c r="A22" i="55"/>
  <c r="A23" i="55"/>
  <c r="C23" i="55" s="1"/>
  <c r="A24" i="55"/>
  <c r="A25" i="55"/>
  <c r="A26" i="55"/>
  <c r="A27" i="55"/>
  <c r="A28" i="55"/>
  <c r="F28" i="55" s="1"/>
  <c r="A29" i="55"/>
  <c r="A30" i="55"/>
  <c r="A31" i="55"/>
  <c r="A32" i="55"/>
  <c r="A33" i="55"/>
  <c r="A34" i="55"/>
  <c r="C34" i="55" s="1"/>
  <c r="A35" i="55"/>
  <c r="A36" i="55"/>
  <c r="A37" i="55"/>
  <c r="A38" i="55"/>
  <c r="A39" i="55"/>
  <c r="A40" i="55"/>
  <c r="A41" i="55"/>
  <c r="A42" i="55"/>
  <c r="A43" i="55"/>
  <c r="A44" i="55"/>
  <c r="A45" i="55"/>
  <c r="A46" i="55"/>
  <c r="A47" i="55"/>
  <c r="C47" i="55" s="1"/>
  <c r="A48" i="55"/>
  <c r="A49" i="55"/>
  <c r="F49" i="55" s="1"/>
  <c r="A50" i="55"/>
  <c r="A51" i="55"/>
  <c r="A52" i="55"/>
  <c r="A53" i="55"/>
  <c r="A54" i="55"/>
  <c r="A55" i="55"/>
  <c r="A56" i="55"/>
  <c r="A57" i="55"/>
  <c r="A58" i="55"/>
  <c r="A59" i="55"/>
  <c r="A60" i="55"/>
  <c r="F60" i="55" s="1"/>
  <c r="A61" i="55"/>
  <c r="A62" i="55"/>
  <c r="A63" i="55"/>
  <c r="A64" i="55"/>
  <c r="A65" i="55"/>
  <c r="A66" i="55"/>
  <c r="C66" i="55" s="1"/>
  <c r="A67" i="55"/>
  <c r="A68" i="55"/>
  <c r="A69" i="55"/>
  <c r="A70" i="55"/>
  <c r="A71" i="55"/>
  <c r="A72" i="55"/>
  <c r="A73" i="55"/>
  <c r="A74" i="55"/>
  <c r="A75" i="55"/>
  <c r="A76" i="55"/>
  <c r="A77" i="55"/>
  <c r="A78" i="55"/>
  <c r="A79" i="55"/>
  <c r="C79" i="55" s="1"/>
  <c r="A80" i="55"/>
  <c r="A81" i="55"/>
  <c r="F81" i="55" s="1"/>
  <c r="A82" i="55"/>
  <c r="A83" i="55"/>
  <c r="A84" i="55"/>
  <c r="A85" i="55"/>
  <c r="A86" i="55"/>
  <c r="A87" i="55"/>
  <c r="A88" i="55"/>
  <c r="A89" i="55"/>
  <c r="A90" i="55"/>
  <c r="A91" i="55"/>
  <c r="A92" i="55"/>
  <c r="F92" i="55" s="1"/>
  <c r="A93" i="55"/>
  <c r="A94" i="55"/>
  <c r="A95" i="55"/>
  <c r="A96" i="55"/>
  <c r="A97" i="55"/>
  <c r="A98" i="55"/>
  <c r="C98" i="55" s="1"/>
  <c r="A99" i="55"/>
  <c r="A100" i="55"/>
  <c r="A101" i="55"/>
  <c r="A102" i="55"/>
  <c r="A103" i="55"/>
  <c r="A104" i="55"/>
  <c r="A105" i="55"/>
  <c r="A106" i="55"/>
  <c r="A107" i="55"/>
  <c r="A108" i="55"/>
  <c r="A109" i="55"/>
  <c r="A110" i="55"/>
  <c r="A111" i="55"/>
  <c r="C111" i="55" s="1"/>
  <c r="A112" i="55"/>
  <c r="A113" i="55"/>
  <c r="F113" i="55" s="1"/>
  <c r="A114" i="55"/>
  <c r="A115" i="55"/>
  <c r="A116" i="55"/>
  <c r="A117" i="55"/>
  <c r="A118" i="55"/>
  <c r="A119" i="55"/>
  <c r="A120" i="55"/>
  <c r="A121" i="55"/>
  <c r="A122" i="55"/>
  <c r="A123" i="55"/>
  <c r="A124" i="55"/>
  <c r="A125" i="55"/>
  <c r="A126" i="55"/>
  <c r="A127" i="55"/>
  <c r="A128" i="55"/>
  <c r="A129" i="55"/>
  <c r="A130" i="55"/>
  <c r="F130" i="55" s="1"/>
  <c r="A131" i="55"/>
  <c r="A132" i="55"/>
  <c r="A133" i="55"/>
  <c r="A134" i="55"/>
  <c r="A135" i="55"/>
  <c r="A136" i="55"/>
  <c r="A137" i="55"/>
  <c r="A138" i="55"/>
  <c r="A139" i="55"/>
  <c r="A140" i="55"/>
  <c r="A141" i="55"/>
  <c r="A142" i="55"/>
  <c r="A143" i="55"/>
  <c r="C143" i="55" s="1"/>
  <c r="A144" i="55"/>
  <c r="A145" i="55"/>
  <c r="A146" i="55"/>
  <c r="A147" i="55"/>
  <c r="A148" i="55"/>
  <c r="A149" i="55"/>
  <c r="A150" i="55"/>
  <c r="A151" i="55"/>
  <c r="A152" i="55"/>
  <c r="A153" i="55"/>
  <c r="A154" i="55"/>
  <c r="A155" i="55"/>
  <c r="A156" i="55"/>
  <c r="A157" i="55"/>
  <c r="A158" i="55"/>
  <c r="A159" i="55"/>
  <c r="A160" i="55"/>
  <c r="A161" i="55"/>
  <c r="A162" i="55"/>
  <c r="C162" i="55" s="1"/>
  <c r="A163" i="55"/>
  <c r="A164" i="55"/>
  <c r="A165" i="55"/>
  <c r="A166" i="55"/>
  <c r="A167" i="55"/>
  <c r="A168" i="55"/>
  <c r="A169" i="55"/>
  <c r="A170" i="55"/>
  <c r="A171" i="55"/>
  <c r="A172" i="55"/>
  <c r="A173" i="55"/>
  <c r="A174" i="55"/>
  <c r="A175" i="55"/>
  <c r="C175" i="55" s="1"/>
  <c r="A176" i="55"/>
  <c r="A177" i="55"/>
  <c r="F177" i="55" s="1"/>
  <c r="A9" i="55"/>
  <c r="D203" i="35"/>
  <c r="A2690" i="21"/>
  <c r="A2691" i="21"/>
  <c r="A2692" i="21"/>
  <c r="A943" i="55" s="1"/>
  <c r="A2693" i="21"/>
  <c r="A2694" i="21"/>
  <c r="A945" i="55" s="1"/>
  <c r="A2695" i="21"/>
  <c r="A946" i="55" s="1"/>
  <c r="A2696" i="21"/>
  <c r="A2697" i="21"/>
  <c r="A948" i="55" s="1"/>
  <c r="A2698" i="21"/>
  <c r="A949" i="55" s="1"/>
  <c r="A2699" i="21"/>
  <c r="A950" i="55" s="1"/>
  <c r="A2700" i="21"/>
  <c r="A951" i="55" s="1"/>
  <c r="A2701" i="21"/>
  <c r="A2702" i="21"/>
  <c r="A953" i="55" s="1"/>
  <c r="A2703" i="21"/>
  <c r="A954" i="55" s="1"/>
  <c r="A2704" i="21"/>
  <c r="A2705" i="21"/>
  <c r="A2706" i="21"/>
  <c r="A957" i="55" s="1"/>
  <c r="A2707" i="21"/>
  <c r="A958" i="55" s="1"/>
  <c r="A2708" i="21"/>
  <c r="A959" i="55" s="1"/>
  <c r="A2709" i="21"/>
  <c r="A2710" i="21"/>
  <c r="A961" i="55" s="1"/>
  <c r="A2711" i="21"/>
  <c r="A962" i="55" s="1"/>
  <c r="A2712" i="21"/>
  <c r="A2713" i="21"/>
  <c r="A2714" i="21"/>
  <c r="A965" i="55" s="1"/>
  <c r="A2715" i="21"/>
  <c r="A2716" i="21"/>
  <c r="A967" i="55" s="1"/>
  <c r="A2717" i="21"/>
  <c r="A2718" i="21"/>
  <c r="A969" i="55" s="1"/>
  <c r="A2719" i="21"/>
  <c r="A970" i="55" s="1"/>
  <c r="A2720" i="21"/>
  <c r="A2721" i="21"/>
  <c r="A972" i="55" s="1"/>
  <c r="A2722" i="21"/>
  <c r="A973" i="55" s="1"/>
  <c r="A2723" i="21"/>
  <c r="A2724" i="21"/>
  <c r="A975" i="55" s="1"/>
  <c r="A2725" i="21"/>
  <c r="A2726" i="21"/>
  <c r="A977" i="55" s="1"/>
  <c r="A2727" i="21"/>
  <c r="A978" i="55" s="1"/>
  <c r="A2728" i="21"/>
  <c r="A2729" i="21"/>
  <c r="A980" i="55" s="1"/>
  <c r="A2730" i="21"/>
  <c r="A981" i="55" s="1"/>
  <c r="A2731" i="21"/>
  <c r="A982" i="55" s="1"/>
  <c r="A2732" i="21"/>
  <c r="A983" i="55" s="1"/>
  <c r="A2733" i="21"/>
  <c r="A2734" i="21"/>
  <c r="A985" i="55" s="1"/>
  <c r="A2735" i="21"/>
  <c r="A986" i="55" s="1"/>
  <c r="A2736" i="21"/>
  <c r="A2737" i="21"/>
  <c r="A2738" i="21"/>
  <c r="A989" i="55" s="1"/>
  <c r="A2739" i="21"/>
  <c r="A990" i="55" s="1"/>
  <c r="A2740" i="21"/>
  <c r="A991" i="55" s="1"/>
  <c r="A2741" i="21"/>
  <c r="C2741" i="21" s="1"/>
  <c r="C992" i="55" s="1"/>
  <c r="A2742" i="21"/>
  <c r="A993" i="55" s="1"/>
  <c r="A2743" i="21"/>
  <c r="A994" i="55" s="1"/>
  <c r="A2744" i="21"/>
  <c r="A2745" i="21"/>
  <c r="A2746" i="21"/>
  <c r="A997" i="55" s="1"/>
  <c r="A2747" i="21"/>
  <c r="A2748" i="21"/>
  <c r="A999" i="55" s="1"/>
  <c r="A2749" i="21"/>
  <c r="A2750" i="21"/>
  <c r="A1001" i="55" s="1"/>
  <c r="A2751" i="21"/>
  <c r="A1002" i="55" s="1"/>
  <c r="A2752" i="21"/>
  <c r="A2753" i="21"/>
  <c r="A1004" i="55" s="1"/>
  <c r="A2754" i="21"/>
  <c r="A1005" i="55" s="1"/>
  <c r="A2755" i="21"/>
  <c r="A2756" i="21"/>
  <c r="A1007" i="55" s="1"/>
  <c r="A2757" i="21"/>
  <c r="A2758" i="21"/>
  <c r="A1009" i="55" s="1"/>
  <c r="A2759" i="21"/>
  <c r="A1010" i="55" s="1"/>
  <c r="A2760" i="21"/>
  <c r="A2761" i="21"/>
  <c r="A1012" i="55" s="1"/>
  <c r="A2762" i="21"/>
  <c r="A1013" i="55" s="1"/>
  <c r="A2763" i="21"/>
  <c r="A1014" i="55" s="1"/>
  <c r="A2764" i="21"/>
  <c r="A1015" i="55" s="1"/>
  <c r="A2765" i="21"/>
  <c r="A2766" i="21"/>
  <c r="A1017" i="55" s="1"/>
  <c r="A2767" i="21"/>
  <c r="A1018" i="55" s="1"/>
  <c r="A2768" i="21"/>
  <c r="A2769" i="21"/>
  <c r="A2770" i="21"/>
  <c r="A1021" i="55" s="1"/>
  <c r="A2771" i="21"/>
  <c r="A1022" i="55" s="1"/>
  <c r="A2772" i="21"/>
  <c r="A1023" i="55" s="1"/>
  <c r="A2773" i="21"/>
  <c r="A2774" i="21"/>
  <c r="A1025" i="55" s="1"/>
  <c r="A2775" i="21"/>
  <c r="A1026" i="55" s="1"/>
  <c r="A2776" i="21"/>
  <c r="A2777" i="21"/>
  <c r="A2778" i="21"/>
  <c r="A1029" i="55" s="1"/>
  <c r="A2779" i="21"/>
  <c r="A2780" i="21"/>
  <c r="A1031" i="55" s="1"/>
  <c r="A2781" i="21"/>
  <c r="A2782" i="21"/>
  <c r="A1033" i="55" s="1"/>
  <c r="A2783" i="21"/>
  <c r="A1034" i="55" s="1"/>
  <c r="A2784" i="21"/>
  <c r="A2785" i="21"/>
  <c r="A1036" i="55" s="1"/>
  <c r="A2786" i="21"/>
  <c r="A1037" i="55" s="1"/>
  <c r="A2787" i="21"/>
  <c r="A2788" i="21"/>
  <c r="A1039" i="55" s="1"/>
  <c r="A2789" i="21"/>
  <c r="C2789" i="21" s="1"/>
  <c r="A2790" i="21"/>
  <c r="A1041" i="55" s="1"/>
  <c r="A2791" i="21"/>
  <c r="A1042" i="55" s="1"/>
  <c r="A2792" i="21"/>
  <c r="A2793" i="21"/>
  <c r="A1044" i="55" s="1"/>
  <c r="A2794" i="21"/>
  <c r="A1045" i="55" s="1"/>
  <c r="A2795" i="21"/>
  <c r="A1046" i="55" s="1"/>
  <c r="A2796" i="21"/>
  <c r="A1047" i="55" s="1"/>
  <c r="A2797" i="21"/>
  <c r="A2798" i="21"/>
  <c r="A1049" i="55" s="1"/>
  <c r="A2799" i="21"/>
  <c r="A1050" i="55" s="1"/>
  <c r="A2800" i="21"/>
  <c r="A2801" i="21"/>
  <c r="A2802" i="21"/>
  <c r="A1053" i="55" s="1"/>
  <c r="A2803" i="21"/>
  <c r="A1054" i="55" s="1"/>
  <c r="A2804" i="21"/>
  <c r="A1055" i="55" s="1"/>
  <c r="A2805" i="21"/>
  <c r="A2806" i="21"/>
  <c r="A1057" i="55" s="1"/>
  <c r="A2807" i="21"/>
  <c r="A1058" i="55" s="1"/>
  <c r="A2808" i="21"/>
  <c r="A2809" i="21"/>
  <c r="A2810" i="21"/>
  <c r="A1061" i="55" s="1"/>
  <c r="A2811" i="21"/>
  <c r="A2812" i="21"/>
  <c r="A1063" i="55" s="1"/>
  <c r="A2813" i="21"/>
  <c r="A2814" i="21"/>
  <c r="A1065" i="55" s="1"/>
  <c r="A2815" i="21"/>
  <c r="A1066" i="55" s="1"/>
  <c r="A2816" i="21"/>
  <c r="A2817" i="21"/>
  <c r="A1068" i="55" s="1"/>
  <c r="A2818" i="21"/>
  <c r="A1069" i="55" s="1"/>
  <c r="A2819" i="21"/>
  <c r="A2820" i="21"/>
  <c r="A1071" i="55" s="1"/>
  <c r="A2821" i="21"/>
  <c r="A2822" i="21"/>
  <c r="A1073" i="55" s="1"/>
  <c r="A2823" i="21"/>
  <c r="A1074" i="55" s="1"/>
  <c r="A2824" i="21"/>
  <c r="A2825" i="21"/>
  <c r="A1076" i="55" s="1"/>
  <c r="A2826" i="21"/>
  <c r="A1077" i="55" s="1"/>
  <c r="A2827" i="21"/>
  <c r="A1078" i="55" s="1"/>
  <c r="A2828" i="21"/>
  <c r="A1079" i="55" s="1"/>
  <c r="A2829" i="21"/>
  <c r="A2830" i="21"/>
  <c r="A1081" i="55" s="1"/>
  <c r="A2831" i="21"/>
  <c r="A1082" i="55" s="1"/>
  <c r="A2832" i="21"/>
  <c r="A2833" i="21"/>
  <c r="A2834" i="21"/>
  <c r="A1085" i="55" s="1"/>
  <c r="A2835" i="21"/>
  <c r="A1086" i="55" s="1"/>
  <c r="A2836" i="21"/>
  <c r="A1087" i="55" s="1"/>
  <c r="A2837" i="21"/>
  <c r="A2838" i="21"/>
  <c r="A1089" i="55" s="1"/>
  <c r="A2839" i="21"/>
  <c r="A2840" i="21"/>
  <c r="A2841" i="21"/>
  <c r="A2842" i="21"/>
  <c r="A1093" i="55" s="1"/>
  <c r="A2843" i="21"/>
  <c r="A2844" i="21"/>
  <c r="A1095" i="55" s="1"/>
  <c r="A2845" i="21"/>
  <c r="A2846" i="21"/>
  <c r="A1097" i="55" s="1"/>
  <c r="A2847" i="21"/>
  <c r="A1098" i="55" s="1"/>
  <c r="A2848" i="21"/>
  <c r="A2849" i="21"/>
  <c r="A1100" i="55" s="1"/>
  <c r="A2850" i="21"/>
  <c r="A1101" i="55" s="1"/>
  <c r="A2851" i="21"/>
  <c r="A2852" i="21"/>
  <c r="C2852" i="21" s="1"/>
  <c r="A2853" i="21"/>
  <c r="A2854" i="21"/>
  <c r="A1105" i="55" s="1"/>
  <c r="A2855" i="21"/>
  <c r="A1106" i="55" s="1"/>
  <c r="A2856" i="21"/>
  <c r="A2857" i="21"/>
  <c r="A1108" i="55" s="1"/>
  <c r="A2689" i="21"/>
  <c r="A940" i="55" s="1"/>
  <c r="C2280" i="19"/>
  <c r="D2280" i="19"/>
  <c r="E2280" i="19"/>
  <c r="F2280" i="19"/>
  <c r="G2280" i="19"/>
  <c r="H2280" i="19"/>
  <c r="F1757" i="21"/>
  <c r="F1758" i="21"/>
  <c r="F1759" i="21"/>
  <c r="F1760" i="21"/>
  <c r="F1761" i="21"/>
  <c r="F1762" i="21"/>
  <c r="F1763" i="21"/>
  <c r="F1764" i="21"/>
  <c r="F1765" i="21"/>
  <c r="F1766" i="21"/>
  <c r="F1767" i="21"/>
  <c r="F1768" i="21"/>
  <c r="F1769" i="21"/>
  <c r="F1770" i="21"/>
  <c r="F1771" i="21"/>
  <c r="F1772" i="21"/>
  <c r="F1773" i="21"/>
  <c r="F1774" i="21"/>
  <c r="F1775" i="21"/>
  <c r="F1776" i="21"/>
  <c r="F1777" i="21"/>
  <c r="F1778" i="21"/>
  <c r="F1779" i="21"/>
  <c r="F1780" i="21"/>
  <c r="F1781" i="21"/>
  <c r="F1782" i="21"/>
  <c r="F1783" i="21"/>
  <c r="F1784" i="21"/>
  <c r="F1785" i="21"/>
  <c r="F1786" i="21"/>
  <c r="F1787" i="21"/>
  <c r="F1788" i="21"/>
  <c r="F1789" i="21"/>
  <c r="F1790" i="21"/>
  <c r="F1791" i="21"/>
  <c r="F1792" i="21"/>
  <c r="F1793" i="21"/>
  <c r="F1794" i="21"/>
  <c r="F1795" i="21"/>
  <c r="F1796" i="21"/>
  <c r="F1797" i="21"/>
  <c r="F1798" i="21"/>
  <c r="F1799" i="21"/>
  <c r="F1800" i="21"/>
  <c r="F1801" i="21"/>
  <c r="F1802" i="21"/>
  <c r="F1803" i="21"/>
  <c r="F1804" i="21"/>
  <c r="F1805" i="21"/>
  <c r="F1806" i="21"/>
  <c r="F1807" i="21"/>
  <c r="F1808" i="21"/>
  <c r="F1809" i="21"/>
  <c r="F1810" i="21"/>
  <c r="F1811" i="21"/>
  <c r="F1812" i="21"/>
  <c r="F1813" i="21"/>
  <c r="F1814" i="21"/>
  <c r="F1815" i="21"/>
  <c r="F1816" i="21"/>
  <c r="F1817" i="21"/>
  <c r="F1818" i="21"/>
  <c r="F1819" i="21"/>
  <c r="F1820" i="21"/>
  <c r="F1821" i="21"/>
  <c r="F1822" i="21"/>
  <c r="F1823" i="21"/>
  <c r="F1824" i="21"/>
  <c r="F1825" i="21"/>
  <c r="F1826" i="21"/>
  <c r="F1827" i="21"/>
  <c r="F1828" i="21"/>
  <c r="F1829" i="21"/>
  <c r="F1830" i="21"/>
  <c r="F1831" i="21"/>
  <c r="F1832" i="21"/>
  <c r="F1833" i="21"/>
  <c r="F1834" i="21"/>
  <c r="F1835" i="21"/>
  <c r="F1836" i="21"/>
  <c r="F1837" i="21"/>
  <c r="F1838" i="21"/>
  <c r="F1839" i="21"/>
  <c r="F1840" i="21"/>
  <c r="F1841" i="21"/>
  <c r="F1842" i="21"/>
  <c r="F1843" i="21"/>
  <c r="F1844" i="21"/>
  <c r="F1845" i="21"/>
  <c r="F1846" i="21"/>
  <c r="F1847" i="21"/>
  <c r="F1848" i="21"/>
  <c r="F1849" i="21"/>
  <c r="F1850" i="21"/>
  <c r="F1851" i="21"/>
  <c r="F1852" i="21"/>
  <c r="F1853" i="21"/>
  <c r="F1854" i="21"/>
  <c r="F1855" i="21"/>
  <c r="F1856" i="21"/>
  <c r="F1857" i="21"/>
  <c r="F1858" i="21"/>
  <c r="F1859" i="21"/>
  <c r="F1860" i="21"/>
  <c r="F1861" i="21"/>
  <c r="F1862" i="21"/>
  <c r="F1863" i="21"/>
  <c r="F1864" i="21"/>
  <c r="F1865" i="21"/>
  <c r="F1866" i="21"/>
  <c r="F1867" i="21"/>
  <c r="F1868" i="21"/>
  <c r="F1869" i="21"/>
  <c r="F1870" i="21"/>
  <c r="F1871" i="21"/>
  <c r="F1872" i="21"/>
  <c r="F1873" i="21"/>
  <c r="F1874" i="21"/>
  <c r="F1875" i="21"/>
  <c r="F1876" i="21"/>
  <c r="F1877" i="21"/>
  <c r="F1878" i="21"/>
  <c r="F1879" i="21"/>
  <c r="F1880" i="21"/>
  <c r="F1881" i="21"/>
  <c r="F1882" i="21"/>
  <c r="F1883" i="21"/>
  <c r="F1884" i="21"/>
  <c r="F1885" i="21"/>
  <c r="F1886" i="21"/>
  <c r="F1887" i="21"/>
  <c r="F1888" i="21"/>
  <c r="F1889" i="21"/>
  <c r="F1890" i="21"/>
  <c r="F1891" i="21"/>
  <c r="F1892" i="21"/>
  <c r="F1893" i="21"/>
  <c r="F1894" i="21"/>
  <c r="F1895" i="21"/>
  <c r="F1896" i="21"/>
  <c r="F1897" i="21"/>
  <c r="F1898" i="21"/>
  <c r="F1899" i="21"/>
  <c r="F1900" i="21"/>
  <c r="F1901" i="21"/>
  <c r="F1902" i="21"/>
  <c r="F1903" i="21"/>
  <c r="F1904" i="21"/>
  <c r="F1905" i="21"/>
  <c r="F1906" i="21"/>
  <c r="F1907" i="21"/>
  <c r="F1908" i="21"/>
  <c r="F1909" i="21"/>
  <c r="F1910" i="21"/>
  <c r="F1911" i="21"/>
  <c r="F1912" i="21"/>
  <c r="F1913" i="21"/>
  <c r="F1914" i="21"/>
  <c r="F1915" i="21"/>
  <c r="F1916" i="21"/>
  <c r="F1917" i="21"/>
  <c r="F1918" i="21"/>
  <c r="F1919" i="21"/>
  <c r="F1920" i="21"/>
  <c r="F1921" i="21"/>
  <c r="F1922" i="21"/>
  <c r="F1923" i="21"/>
  <c r="F1924" i="21"/>
  <c r="F1756" i="21"/>
  <c r="B2282" i="19"/>
  <c r="I2282" i="19" s="1"/>
  <c r="B415" i="55" s="1"/>
  <c r="B2283" i="19"/>
  <c r="I2283" i="19" s="1"/>
  <c r="B416" i="55" s="1"/>
  <c r="B2284" i="19"/>
  <c r="I2284" i="19" s="1"/>
  <c r="B417" i="55" s="1"/>
  <c r="B2285" i="19"/>
  <c r="I2285" i="19" s="1"/>
  <c r="B418" i="55" s="1"/>
  <c r="B2286" i="19"/>
  <c r="I2286" i="19" s="1"/>
  <c r="B419" i="55" s="1"/>
  <c r="B2287" i="19"/>
  <c r="I2287" i="19" s="1"/>
  <c r="B420" i="55" s="1"/>
  <c r="B2288" i="19"/>
  <c r="I2288" i="19" s="1"/>
  <c r="B421" i="55" s="1"/>
  <c r="B2289" i="19"/>
  <c r="I2289" i="19" s="1"/>
  <c r="B422" i="55" s="1"/>
  <c r="B2290" i="19"/>
  <c r="I2290" i="19" s="1"/>
  <c r="B423" i="55" s="1"/>
  <c r="B2291" i="19"/>
  <c r="I2291" i="19" s="1"/>
  <c r="B424" i="55" s="1"/>
  <c r="B2292" i="19"/>
  <c r="I2292" i="19" s="1"/>
  <c r="B425" i="55" s="1"/>
  <c r="B2293" i="19"/>
  <c r="I2293" i="19" s="1"/>
  <c r="B426" i="55" s="1"/>
  <c r="B2294" i="19"/>
  <c r="I2294" i="19" s="1"/>
  <c r="B427" i="55" s="1"/>
  <c r="B2295" i="19"/>
  <c r="I2295" i="19" s="1"/>
  <c r="B428" i="55" s="1"/>
  <c r="B2296" i="19"/>
  <c r="I2296" i="19" s="1"/>
  <c r="B429" i="55" s="1"/>
  <c r="B2297" i="19"/>
  <c r="I2297" i="19" s="1"/>
  <c r="B430" i="55" s="1"/>
  <c r="B2298" i="19"/>
  <c r="I2298" i="19" s="1"/>
  <c r="B431" i="55" s="1"/>
  <c r="B2299" i="19"/>
  <c r="I2299" i="19" s="1"/>
  <c r="B432" i="55" s="1"/>
  <c r="B2300" i="19"/>
  <c r="I2300" i="19" s="1"/>
  <c r="B433" i="55" s="1"/>
  <c r="B2301" i="19"/>
  <c r="I2301" i="19" s="1"/>
  <c r="B434" i="55" s="1"/>
  <c r="B2302" i="19"/>
  <c r="I2302" i="19" s="1"/>
  <c r="B435" i="55" s="1"/>
  <c r="B2303" i="19"/>
  <c r="I2303" i="19" s="1"/>
  <c r="B436" i="55" s="1"/>
  <c r="B2304" i="19"/>
  <c r="I2304" i="19" s="1"/>
  <c r="B437" i="55" s="1"/>
  <c r="B2305" i="19"/>
  <c r="I2305" i="19" s="1"/>
  <c r="B438" i="55" s="1"/>
  <c r="B2306" i="19"/>
  <c r="I2306" i="19" s="1"/>
  <c r="B439" i="55" s="1"/>
  <c r="B2307" i="19"/>
  <c r="I2307" i="19" s="1"/>
  <c r="B440" i="55" s="1"/>
  <c r="B2308" i="19"/>
  <c r="I2308" i="19" s="1"/>
  <c r="B441" i="55" s="1"/>
  <c r="B2309" i="19"/>
  <c r="I2309" i="19" s="1"/>
  <c r="B442" i="55" s="1"/>
  <c r="B2310" i="19"/>
  <c r="I2310" i="19" s="1"/>
  <c r="B443" i="55" s="1"/>
  <c r="B2311" i="19"/>
  <c r="I2311" i="19" s="1"/>
  <c r="B444" i="55" s="1"/>
  <c r="B2312" i="19"/>
  <c r="I2312" i="19" s="1"/>
  <c r="B445" i="55" s="1"/>
  <c r="B2313" i="19"/>
  <c r="I2313" i="19" s="1"/>
  <c r="B446" i="55" s="1"/>
  <c r="B2314" i="19"/>
  <c r="I2314" i="19" s="1"/>
  <c r="B447" i="55" s="1"/>
  <c r="B2315" i="19"/>
  <c r="I2315" i="19" s="1"/>
  <c r="B448" i="55" s="1"/>
  <c r="B2316" i="19"/>
  <c r="I2316" i="19" s="1"/>
  <c r="B449" i="55" s="1"/>
  <c r="B2317" i="19"/>
  <c r="I2317" i="19" s="1"/>
  <c r="B450" i="55" s="1"/>
  <c r="B2318" i="19"/>
  <c r="I2318" i="19" s="1"/>
  <c r="B451" i="55" s="1"/>
  <c r="B2319" i="19"/>
  <c r="I2319" i="19" s="1"/>
  <c r="B452" i="55" s="1"/>
  <c r="B2320" i="19"/>
  <c r="I2320" i="19" s="1"/>
  <c r="B453" i="55" s="1"/>
  <c r="B2321" i="19"/>
  <c r="I2321" i="19" s="1"/>
  <c r="B454" i="55" s="1"/>
  <c r="B2322" i="19"/>
  <c r="I2322" i="19" s="1"/>
  <c r="B455" i="55" s="1"/>
  <c r="B2323" i="19"/>
  <c r="I2323" i="19" s="1"/>
  <c r="B456" i="55" s="1"/>
  <c r="B2324" i="19"/>
  <c r="I2324" i="19" s="1"/>
  <c r="B457" i="55" s="1"/>
  <c r="B2325" i="19"/>
  <c r="I2325" i="19" s="1"/>
  <c r="B458" i="55" s="1"/>
  <c r="B2326" i="19"/>
  <c r="I2326" i="19" s="1"/>
  <c r="B459" i="55" s="1"/>
  <c r="B2327" i="19"/>
  <c r="I2327" i="19" s="1"/>
  <c r="B460" i="55" s="1"/>
  <c r="B2328" i="19"/>
  <c r="I2328" i="19" s="1"/>
  <c r="B461" i="55" s="1"/>
  <c r="B2329" i="19"/>
  <c r="I2329" i="19" s="1"/>
  <c r="B462" i="55" s="1"/>
  <c r="B2330" i="19"/>
  <c r="I2330" i="19" s="1"/>
  <c r="B463" i="55" s="1"/>
  <c r="B2331" i="19"/>
  <c r="I2331" i="19" s="1"/>
  <c r="B464" i="55" s="1"/>
  <c r="B2332" i="19"/>
  <c r="I2332" i="19" s="1"/>
  <c r="B465" i="55" s="1"/>
  <c r="B2333" i="19"/>
  <c r="I2333" i="19" s="1"/>
  <c r="B466" i="55" s="1"/>
  <c r="B2334" i="19"/>
  <c r="I2334" i="19" s="1"/>
  <c r="B467" i="55" s="1"/>
  <c r="B2335" i="19"/>
  <c r="I2335" i="19" s="1"/>
  <c r="B468" i="55" s="1"/>
  <c r="B2336" i="19"/>
  <c r="I2336" i="19" s="1"/>
  <c r="B469" i="55" s="1"/>
  <c r="B2337" i="19"/>
  <c r="I2337" i="19" s="1"/>
  <c r="B470" i="55" s="1"/>
  <c r="B2338" i="19"/>
  <c r="I2338" i="19" s="1"/>
  <c r="B471" i="55" s="1"/>
  <c r="B2339" i="19"/>
  <c r="I2339" i="19" s="1"/>
  <c r="B472" i="55" s="1"/>
  <c r="B2340" i="19"/>
  <c r="I2340" i="19" s="1"/>
  <c r="B473" i="55" s="1"/>
  <c r="B2341" i="19"/>
  <c r="I2341" i="19" s="1"/>
  <c r="B474" i="55" s="1"/>
  <c r="B2342" i="19"/>
  <c r="I2342" i="19" s="1"/>
  <c r="B475" i="55" s="1"/>
  <c r="B2343" i="19"/>
  <c r="I2343" i="19" s="1"/>
  <c r="B476" i="55" s="1"/>
  <c r="B2344" i="19"/>
  <c r="I2344" i="19" s="1"/>
  <c r="B477" i="55" s="1"/>
  <c r="B2345" i="19"/>
  <c r="I2345" i="19" s="1"/>
  <c r="B478" i="55" s="1"/>
  <c r="B2346" i="19"/>
  <c r="I2346" i="19" s="1"/>
  <c r="B479" i="55" s="1"/>
  <c r="B2347" i="19"/>
  <c r="I2347" i="19" s="1"/>
  <c r="B480" i="55" s="1"/>
  <c r="B2348" i="19"/>
  <c r="I2348" i="19" s="1"/>
  <c r="B481" i="55" s="1"/>
  <c r="B2349" i="19"/>
  <c r="I2349" i="19" s="1"/>
  <c r="B482" i="55" s="1"/>
  <c r="B2350" i="19"/>
  <c r="I2350" i="19" s="1"/>
  <c r="B483" i="55" s="1"/>
  <c r="B2351" i="19"/>
  <c r="I2351" i="19" s="1"/>
  <c r="B484" i="55" s="1"/>
  <c r="B2352" i="19"/>
  <c r="I2352" i="19" s="1"/>
  <c r="B485" i="55" s="1"/>
  <c r="B2353" i="19"/>
  <c r="I2353" i="19" s="1"/>
  <c r="B486" i="55" s="1"/>
  <c r="B2354" i="19"/>
  <c r="I2354" i="19" s="1"/>
  <c r="B487" i="55" s="1"/>
  <c r="B2355" i="19"/>
  <c r="I2355" i="19" s="1"/>
  <c r="B488" i="55" s="1"/>
  <c r="B2356" i="19"/>
  <c r="I2356" i="19" s="1"/>
  <c r="B489" i="55" s="1"/>
  <c r="B2357" i="19"/>
  <c r="I2357" i="19" s="1"/>
  <c r="B490" i="55" s="1"/>
  <c r="B2358" i="19"/>
  <c r="I2358" i="19" s="1"/>
  <c r="B491" i="55" s="1"/>
  <c r="B2359" i="19"/>
  <c r="I2359" i="19" s="1"/>
  <c r="B492" i="55" s="1"/>
  <c r="B2360" i="19"/>
  <c r="I2360" i="19" s="1"/>
  <c r="B493" i="55" s="1"/>
  <c r="B2361" i="19"/>
  <c r="I2361" i="19" s="1"/>
  <c r="B494" i="55" s="1"/>
  <c r="B2362" i="19"/>
  <c r="I2362" i="19" s="1"/>
  <c r="B495" i="55" s="1"/>
  <c r="B2363" i="19"/>
  <c r="I2363" i="19" s="1"/>
  <c r="B496" i="55" s="1"/>
  <c r="B2364" i="19"/>
  <c r="I2364" i="19" s="1"/>
  <c r="B497" i="55" s="1"/>
  <c r="B2365" i="19"/>
  <c r="I2365" i="19" s="1"/>
  <c r="B498" i="55" s="1"/>
  <c r="B2366" i="19"/>
  <c r="I2366" i="19" s="1"/>
  <c r="B499" i="55" s="1"/>
  <c r="B2367" i="19"/>
  <c r="I2367" i="19" s="1"/>
  <c r="B500" i="55" s="1"/>
  <c r="B2368" i="19"/>
  <c r="I2368" i="19" s="1"/>
  <c r="B501" i="55" s="1"/>
  <c r="B2369" i="19"/>
  <c r="I2369" i="19" s="1"/>
  <c r="B502" i="55" s="1"/>
  <c r="B2370" i="19"/>
  <c r="I2370" i="19" s="1"/>
  <c r="B503" i="55" s="1"/>
  <c r="B2371" i="19"/>
  <c r="I2371" i="19" s="1"/>
  <c r="B504" i="55" s="1"/>
  <c r="B2372" i="19"/>
  <c r="I2372" i="19" s="1"/>
  <c r="B505" i="55" s="1"/>
  <c r="B2373" i="19"/>
  <c r="I2373" i="19" s="1"/>
  <c r="B506" i="55" s="1"/>
  <c r="B2374" i="19"/>
  <c r="I2374" i="19" s="1"/>
  <c r="B507" i="55" s="1"/>
  <c r="B2375" i="19"/>
  <c r="I2375" i="19" s="1"/>
  <c r="B508" i="55" s="1"/>
  <c r="B2376" i="19"/>
  <c r="I2376" i="19" s="1"/>
  <c r="B509" i="55" s="1"/>
  <c r="B2377" i="19"/>
  <c r="I2377" i="19" s="1"/>
  <c r="B510" i="55" s="1"/>
  <c r="B2378" i="19"/>
  <c r="I2378" i="19" s="1"/>
  <c r="B511" i="55" s="1"/>
  <c r="B2379" i="19"/>
  <c r="I2379" i="19" s="1"/>
  <c r="B512" i="55" s="1"/>
  <c r="B2380" i="19"/>
  <c r="I2380" i="19" s="1"/>
  <c r="B513" i="55" s="1"/>
  <c r="B2381" i="19"/>
  <c r="I2381" i="19" s="1"/>
  <c r="B514" i="55" s="1"/>
  <c r="B2382" i="19"/>
  <c r="I2382" i="19" s="1"/>
  <c r="B515" i="55" s="1"/>
  <c r="B2383" i="19"/>
  <c r="I2383" i="19" s="1"/>
  <c r="B516" i="55" s="1"/>
  <c r="B2384" i="19"/>
  <c r="I2384" i="19" s="1"/>
  <c r="B517" i="55" s="1"/>
  <c r="B2385" i="19"/>
  <c r="I2385" i="19" s="1"/>
  <c r="B518" i="55" s="1"/>
  <c r="B2386" i="19"/>
  <c r="I2386" i="19" s="1"/>
  <c r="B519" i="55" s="1"/>
  <c r="B2387" i="19"/>
  <c r="I2387" i="19" s="1"/>
  <c r="B520" i="55" s="1"/>
  <c r="B2388" i="19"/>
  <c r="I2388" i="19" s="1"/>
  <c r="B521" i="55" s="1"/>
  <c r="B2389" i="19"/>
  <c r="I2389" i="19" s="1"/>
  <c r="B522" i="55" s="1"/>
  <c r="B2390" i="19"/>
  <c r="I2390" i="19" s="1"/>
  <c r="B523" i="55" s="1"/>
  <c r="B2391" i="19"/>
  <c r="I2391" i="19" s="1"/>
  <c r="B524" i="55" s="1"/>
  <c r="B2392" i="19"/>
  <c r="I2392" i="19" s="1"/>
  <c r="B525" i="55" s="1"/>
  <c r="B2393" i="19"/>
  <c r="I2393" i="19" s="1"/>
  <c r="B526" i="55" s="1"/>
  <c r="B2394" i="19"/>
  <c r="I2394" i="19" s="1"/>
  <c r="B527" i="55" s="1"/>
  <c r="B2395" i="19"/>
  <c r="I2395" i="19" s="1"/>
  <c r="B528" i="55" s="1"/>
  <c r="B2396" i="19"/>
  <c r="I2396" i="19" s="1"/>
  <c r="B529" i="55" s="1"/>
  <c r="B2397" i="19"/>
  <c r="I2397" i="19" s="1"/>
  <c r="B530" i="55" s="1"/>
  <c r="B2398" i="19"/>
  <c r="I2398" i="19" s="1"/>
  <c r="B531" i="55" s="1"/>
  <c r="B2399" i="19"/>
  <c r="I2399" i="19" s="1"/>
  <c r="B532" i="55" s="1"/>
  <c r="B2400" i="19"/>
  <c r="I2400" i="19" s="1"/>
  <c r="B533" i="55" s="1"/>
  <c r="B2401" i="19"/>
  <c r="I2401" i="19" s="1"/>
  <c r="B534" i="55" s="1"/>
  <c r="B2402" i="19"/>
  <c r="I2402" i="19" s="1"/>
  <c r="B535" i="55" s="1"/>
  <c r="B2403" i="19"/>
  <c r="I2403" i="19" s="1"/>
  <c r="B536" i="55" s="1"/>
  <c r="B2404" i="19"/>
  <c r="I2404" i="19" s="1"/>
  <c r="B537" i="55" s="1"/>
  <c r="B2405" i="19"/>
  <c r="I2405" i="19" s="1"/>
  <c r="B538" i="55" s="1"/>
  <c r="B2406" i="19"/>
  <c r="I2406" i="19" s="1"/>
  <c r="B539" i="55" s="1"/>
  <c r="B2407" i="19"/>
  <c r="I2407" i="19" s="1"/>
  <c r="B540" i="55" s="1"/>
  <c r="B2408" i="19"/>
  <c r="I2408" i="19" s="1"/>
  <c r="B541" i="55" s="1"/>
  <c r="B2409" i="19"/>
  <c r="I2409" i="19" s="1"/>
  <c r="B542" i="55" s="1"/>
  <c r="B2410" i="19"/>
  <c r="I2410" i="19" s="1"/>
  <c r="B543" i="55" s="1"/>
  <c r="B2411" i="19"/>
  <c r="I2411" i="19" s="1"/>
  <c r="B544" i="55" s="1"/>
  <c r="B2412" i="19"/>
  <c r="I2412" i="19" s="1"/>
  <c r="B545" i="55" s="1"/>
  <c r="B2413" i="19"/>
  <c r="I2413" i="19" s="1"/>
  <c r="B546" i="55" s="1"/>
  <c r="B2414" i="19"/>
  <c r="I2414" i="19" s="1"/>
  <c r="B547" i="55" s="1"/>
  <c r="B2415" i="19"/>
  <c r="I2415" i="19" s="1"/>
  <c r="B548" i="55" s="1"/>
  <c r="B2416" i="19"/>
  <c r="I2416" i="19" s="1"/>
  <c r="B549" i="55" s="1"/>
  <c r="B2417" i="19"/>
  <c r="I2417" i="19" s="1"/>
  <c r="B550" i="55" s="1"/>
  <c r="B2418" i="19"/>
  <c r="I2418" i="19" s="1"/>
  <c r="B551" i="55" s="1"/>
  <c r="B2419" i="19"/>
  <c r="I2419" i="19" s="1"/>
  <c r="B552" i="55" s="1"/>
  <c r="B2420" i="19"/>
  <c r="I2420" i="19" s="1"/>
  <c r="B553" i="55" s="1"/>
  <c r="B2421" i="19"/>
  <c r="I2421" i="19" s="1"/>
  <c r="B554" i="55" s="1"/>
  <c r="B2422" i="19"/>
  <c r="I2422" i="19" s="1"/>
  <c r="B555" i="55" s="1"/>
  <c r="B2423" i="19"/>
  <c r="I2423" i="19" s="1"/>
  <c r="B556" i="55" s="1"/>
  <c r="B2424" i="19"/>
  <c r="I2424" i="19" s="1"/>
  <c r="B557" i="55" s="1"/>
  <c r="B2425" i="19"/>
  <c r="I2425" i="19" s="1"/>
  <c r="B558" i="55" s="1"/>
  <c r="B2426" i="19"/>
  <c r="I2426" i="19" s="1"/>
  <c r="B559" i="55" s="1"/>
  <c r="B2427" i="19"/>
  <c r="I2427" i="19" s="1"/>
  <c r="B560" i="55" s="1"/>
  <c r="B2428" i="19"/>
  <c r="I2428" i="19" s="1"/>
  <c r="B561" i="55" s="1"/>
  <c r="B2429" i="19"/>
  <c r="I2429" i="19" s="1"/>
  <c r="B562" i="55" s="1"/>
  <c r="B2430" i="19"/>
  <c r="I2430" i="19" s="1"/>
  <c r="B563" i="55" s="1"/>
  <c r="B2431" i="19"/>
  <c r="I2431" i="19" s="1"/>
  <c r="B564" i="55" s="1"/>
  <c r="B2432" i="19"/>
  <c r="I2432" i="19" s="1"/>
  <c r="B565" i="55" s="1"/>
  <c r="B2433" i="19"/>
  <c r="I2433" i="19" s="1"/>
  <c r="B566" i="55" s="1"/>
  <c r="B2434" i="19"/>
  <c r="I2434" i="19" s="1"/>
  <c r="B567" i="55" s="1"/>
  <c r="B2435" i="19"/>
  <c r="I2435" i="19" s="1"/>
  <c r="B568" i="55" s="1"/>
  <c r="B2436" i="19"/>
  <c r="I2436" i="19" s="1"/>
  <c r="B569" i="55" s="1"/>
  <c r="B2437" i="19"/>
  <c r="I2437" i="19" s="1"/>
  <c r="B570" i="55" s="1"/>
  <c r="B2438" i="19"/>
  <c r="I2438" i="19" s="1"/>
  <c r="B571" i="55" s="1"/>
  <c r="B2439" i="19"/>
  <c r="I2439" i="19" s="1"/>
  <c r="B572" i="55" s="1"/>
  <c r="B2440" i="19"/>
  <c r="I2440" i="19" s="1"/>
  <c r="B573" i="55" s="1"/>
  <c r="B2441" i="19"/>
  <c r="I2441" i="19" s="1"/>
  <c r="B574" i="55" s="1"/>
  <c r="B2442" i="19"/>
  <c r="I2442" i="19" s="1"/>
  <c r="B575" i="55" s="1"/>
  <c r="B2443" i="19"/>
  <c r="I2443" i="19" s="1"/>
  <c r="B576" i="55" s="1"/>
  <c r="B2444" i="19"/>
  <c r="I2444" i="19" s="1"/>
  <c r="B577" i="55" s="1"/>
  <c r="B2445" i="19"/>
  <c r="I2445" i="19" s="1"/>
  <c r="B578" i="55" s="1"/>
  <c r="B2446" i="19"/>
  <c r="I2446" i="19" s="1"/>
  <c r="B579" i="55" s="1"/>
  <c r="B2447" i="19"/>
  <c r="I2447" i="19" s="1"/>
  <c r="B580" i="55" s="1"/>
  <c r="B2448" i="19"/>
  <c r="I2448" i="19" s="1"/>
  <c r="B581" i="55" s="1"/>
  <c r="B2449" i="19"/>
  <c r="I2449" i="19" s="1"/>
  <c r="B582" i="55" s="1"/>
  <c r="B2450" i="19"/>
  <c r="I2450" i="19" s="1"/>
  <c r="B583" i="55" s="1"/>
  <c r="B2451" i="19"/>
  <c r="I2451" i="19" s="1"/>
  <c r="B584" i="55" s="1"/>
  <c r="B2452" i="19"/>
  <c r="I2452" i="19" s="1"/>
  <c r="B585" i="55" s="1"/>
  <c r="B2453" i="19"/>
  <c r="I2453" i="19" s="1"/>
  <c r="B586" i="55" s="1"/>
  <c r="B2454" i="19"/>
  <c r="I2454" i="19" s="1"/>
  <c r="B587" i="55" s="1"/>
  <c r="B2455" i="19"/>
  <c r="I2455" i="19" s="1"/>
  <c r="B588" i="55" s="1"/>
  <c r="B2456" i="19"/>
  <c r="I2456" i="19" s="1"/>
  <c r="B589" i="55" s="1"/>
  <c r="B2457" i="19"/>
  <c r="I2457" i="19" s="1"/>
  <c r="B590" i="55" s="1"/>
  <c r="B2458" i="19"/>
  <c r="I2458" i="19" s="1"/>
  <c r="B591" i="55" s="1"/>
  <c r="B2459" i="19"/>
  <c r="I2459" i="19" s="1"/>
  <c r="B592" i="55" s="1"/>
  <c r="B2460" i="19"/>
  <c r="I2460" i="19" s="1"/>
  <c r="B593" i="55" s="1"/>
  <c r="B2461" i="19"/>
  <c r="I2461" i="19" s="1"/>
  <c r="B594" i="55" s="1"/>
  <c r="B2462" i="19"/>
  <c r="I2462" i="19" s="1"/>
  <c r="B595" i="55" s="1"/>
  <c r="B2463" i="19"/>
  <c r="I2463" i="19" s="1"/>
  <c r="B596" i="55" s="1"/>
  <c r="B2464" i="19"/>
  <c r="I2464" i="19" s="1"/>
  <c r="B597" i="55" s="1"/>
  <c r="B2465" i="19"/>
  <c r="I2465" i="19" s="1"/>
  <c r="B598" i="55" s="1"/>
  <c r="B2466" i="19"/>
  <c r="I2466" i="19" s="1"/>
  <c r="B599" i="55" s="1"/>
  <c r="B2467" i="19"/>
  <c r="I2467" i="19" s="1"/>
  <c r="B600" i="55" s="1"/>
  <c r="B2468" i="19"/>
  <c r="I2468" i="19" s="1"/>
  <c r="B601" i="55" s="1"/>
  <c r="B2469" i="19"/>
  <c r="I2469" i="19" s="1"/>
  <c r="B602" i="55" s="1"/>
  <c r="B2470" i="19"/>
  <c r="I2470" i="19" s="1"/>
  <c r="B603" i="55" s="1"/>
  <c r="B2471" i="19"/>
  <c r="I2471" i="19" s="1"/>
  <c r="B604" i="55" s="1"/>
  <c r="B2472" i="19"/>
  <c r="I2472" i="19" s="1"/>
  <c r="B605" i="55" s="1"/>
  <c r="B2473" i="19"/>
  <c r="I2473" i="19" s="1"/>
  <c r="B606" i="55" s="1"/>
  <c r="B2474" i="19"/>
  <c r="I2474" i="19" s="1"/>
  <c r="B607" i="55" s="1"/>
  <c r="B2475" i="19"/>
  <c r="I2475" i="19" s="1"/>
  <c r="B608" i="55" s="1"/>
  <c r="B2476" i="19"/>
  <c r="I2476" i="19" s="1"/>
  <c r="B609" i="55" s="1"/>
  <c r="B2477" i="19"/>
  <c r="I2477" i="19" s="1"/>
  <c r="B610" i="55" s="1"/>
  <c r="B2478" i="19"/>
  <c r="I2478" i="19" s="1"/>
  <c r="B611" i="55" s="1"/>
  <c r="B2479" i="19"/>
  <c r="I2479" i="19" s="1"/>
  <c r="B612" i="55" s="1"/>
  <c r="B2480" i="19"/>
  <c r="I2480" i="19" s="1"/>
  <c r="B613" i="55" s="1"/>
  <c r="B2481" i="19"/>
  <c r="I2481" i="19" s="1"/>
  <c r="B614" i="55" s="1"/>
  <c r="B2482" i="19"/>
  <c r="I2482" i="19" s="1"/>
  <c r="B615" i="55" s="1"/>
  <c r="B2483" i="19"/>
  <c r="I2483" i="19" s="1"/>
  <c r="B616" i="55" s="1"/>
  <c r="B2484" i="19"/>
  <c r="I2484" i="19" s="1"/>
  <c r="B617" i="55" s="1"/>
  <c r="B2485" i="19"/>
  <c r="I2485" i="19" s="1"/>
  <c r="B618" i="55" s="1"/>
  <c r="B2486" i="19"/>
  <c r="I2486" i="19" s="1"/>
  <c r="B619" i="55" s="1"/>
  <c r="B2487" i="19"/>
  <c r="I2487" i="19" s="1"/>
  <c r="B620" i="55" s="1"/>
  <c r="B2488" i="19"/>
  <c r="I2488" i="19" s="1"/>
  <c r="B621" i="55" s="1"/>
  <c r="B2489" i="19"/>
  <c r="I2489" i="19" s="1"/>
  <c r="B622" i="55" s="1"/>
  <c r="B2490" i="19"/>
  <c r="I2490" i="19" s="1"/>
  <c r="B623" i="55" s="1"/>
  <c r="B2491" i="19"/>
  <c r="I2491" i="19" s="1"/>
  <c r="B624" i="55" s="1"/>
  <c r="B2492" i="19"/>
  <c r="I2492" i="19" s="1"/>
  <c r="B625" i="55" s="1"/>
  <c r="B2493" i="19"/>
  <c r="I2493" i="19" s="1"/>
  <c r="B626" i="55" s="1"/>
  <c r="B2494" i="19"/>
  <c r="I2494" i="19" s="1"/>
  <c r="B627" i="55" s="1"/>
  <c r="B2495" i="19"/>
  <c r="I2495" i="19" s="1"/>
  <c r="B628" i="55" s="1"/>
  <c r="B2496" i="19"/>
  <c r="I2496" i="19" s="1"/>
  <c r="B629" i="55" s="1"/>
  <c r="B2497" i="19"/>
  <c r="I2497" i="19" s="1"/>
  <c r="B630" i="55" s="1"/>
  <c r="B2498" i="19"/>
  <c r="I2498" i="19" s="1"/>
  <c r="B631" i="55" s="1"/>
  <c r="B2499" i="19"/>
  <c r="I2499" i="19" s="1"/>
  <c r="B632" i="55" s="1"/>
  <c r="B2500" i="19"/>
  <c r="I2500" i="19" s="1"/>
  <c r="B633" i="55" s="1"/>
  <c r="B2501" i="19"/>
  <c r="I2501" i="19" s="1"/>
  <c r="B634" i="55" s="1"/>
  <c r="B2502" i="19"/>
  <c r="I2502" i="19" s="1"/>
  <c r="B635" i="55" s="1"/>
  <c r="B2503" i="19"/>
  <c r="I2503" i="19" s="1"/>
  <c r="B636" i="55" s="1"/>
  <c r="B2504" i="19"/>
  <c r="I2504" i="19" s="1"/>
  <c r="B637" i="55" s="1"/>
  <c r="B2505" i="19"/>
  <c r="I2505" i="19" s="1"/>
  <c r="B638" i="55" s="1"/>
  <c r="B2506" i="19"/>
  <c r="I2506" i="19" s="1"/>
  <c r="B639" i="55" s="1"/>
  <c r="B2507" i="19"/>
  <c r="I2507" i="19" s="1"/>
  <c r="B640" i="55" s="1"/>
  <c r="B2508" i="19"/>
  <c r="I2508" i="19" s="1"/>
  <c r="B641" i="55" s="1"/>
  <c r="B2509" i="19"/>
  <c r="I2509" i="19" s="1"/>
  <c r="B642" i="55" s="1"/>
  <c r="B2510" i="19"/>
  <c r="I2510" i="19" s="1"/>
  <c r="B643" i="55" s="1"/>
  <c r="B2511" i="19"/>
  <c r="I2511" i="19" s="1"/>
  <c r="B644" i="55" s="1"/>
  <c r="B2512" i="19"/>
  <c r="I2512" i="19" s="1"/>
  <c r="B645" i="55" s="1"/>
  <c r="B2513" i="19"/>
  <c r="I2513" i="19" s="1"/>
  <c r="B646" i="55" s="1"/>
  <c r="B2514" i="19"/>
  <c r="I2514" i="19" s="1"/>
  <c r="B647" i="55" s="1"/>
  <c r="B2515" i="19"/>
  <c r="I2515" i="19" s="1"/>
  <c r="B648" i="55" s="1"/>
  <c r="B2516" i="19"/>
  <c r="I2516" i="19" s="1"/>
  <c r="B649" i="55" s="1"/>
  <c r="B2517" i="19"/>
  <c r="I2517" i="19" s="1"/>
  <c r="B650" i="55" s="1"/>
  <c r="B2518" i="19"/>
  <c r="I2518" i="19" s="1"/>
  <c r="B651" i="55" s="1"/>
  <c r="B2519" i="19"/>
  <c r="I2519" i="19" s="1"/>
  <c r="B652" i="55" s="1"/>
  <c r="B2520" i="19"/>
  <c r="I2520" i="19" s="1"/>
  <c r="B653" i="55" s="1"/>
  <c r="B2521" i="19"/>
  <c r="I2521" i="19" s="1"/>
  <c r="B654" i="55" s="1"/>
  <c r="B2522" i="19"/>
  <c r="I2522" i="19" s="1"/>
  <c r="B655" i="55" s="1"/>
  <c r="B2523" i="19"/>
  <c r="I2523" i="19" s="1"/>
  <c r="B656" i="55" s="1"/>
  <c r="B2524" i="19"/>
  <c r="I2524" i="19" s="1"/>
  <c r="B657" i="55" s="1"/>
  <c r="B2525" i="19"/>
  <c r="I2525" i="19" s="1"/>
  <c r="B658" i="55" s="1"/>
  <c r="B2526" i="19"/>
  <c r="I2526" i="19" s="1"/>
  <c r="B659" i="55" s="1"/>
  <c r="B2527" i="19"/>
  <c r="I2527" i="19" s="1"/>
  <c r="B660" i="55" s="1"/>
  <c r="B2528" i="19"/>
  <c r="I2528" i="19" s="1"/>
  <c r="B661" i="55" s="1"/>
  <c r="B2529" i="19"/>
  <c r="I2529" i="19" s="1"/>
  <c r="B662" i="55" s="1"/>
  <c r="B2530" i="19"/>
  <c r="I2530" i="19" s="1"/>
  <c r="B663" i="55" s="1"/>
  <c r="B2531" i="19"/>
  <c r="I2531" i="19" s="1"/>
  <c r="B664" i="55" s="1"/>
  <c r="B2532" i="19"/>
  <c r="I2532" i="19" s="1"/>
  <c r="B665" i="55" s="1"/>
  <c r="B2533" i="19"/>
  <c r="I2533" i="19" s="1"/>
  <c r="B666" i="55" s="1"/>
  <c r="B2534" i="19"/>
  <c r="I2534" i="19" s="1"/>
  <c r="B667" i="55" s="1"/>
  <c r="B2535" i="19"/>
  <c r="I2535" i="19" s="1"/>
  <c r="B668" i="55" s="1"/>
  <c r="B2536" i="19"/>
  <c r="I2536" i="19" s="1"/>
  <c r="B669" i="55" s="1"/>
  <c r="B2537" i="19"/>
  <c r="I2537" i="19" s="1"/>
  <c r="B670" i="55" s="1"/>
  <c r="B2538" i="19"/>
  <c r="I2538" i="19" s="1"/>
  <c r="B671" i="55" s="1"/>
  <c r="B2539" i="19"/>
  <c r="I2539" i="19" s="1"/>
  <c r="B672" i="55" s="1"/>
  <c r="B2540" i="19"/>
  <c r="I2540" i="19" s="1"/>
  <c r="B673" i="55" s="1"/>
  <c r="B2541" i="19"/>
  <c r="I2541" i="19" s="1"/>
  <c r="B674" i="55" s="1"/>
  <c r="B2542" i="19"/>
  <c r="I2542" i="19" s="1"/>
  <c r="B675" i="55" s="1"/>
  <c r="B2543" i="19"/>
  <c r="I2543" i="19" s="1"/>
  <c r="B676" i="55" s="1"/>
  <c r="B2544" i="19"/>
  <c r="I2544" i="19" s="1"/>
  <c r="B677" i="55" s="1"/>
  <c r="B2545" i="19"/>
  <c r="I2545" i="19" s="1"/>
  <c r="B678" i="55" s="1"/>
  <c r="B2546" i="19"/>
  <c r="I2546" i="19" s="1"/>
  <c r="B679" i="55" s="1"/>
  <c r="B2547" i="19"/>
  <c r="I2547" i="19" s="1"/>
  <c r="B680" i="55" s="1"/>
  <c r="B2548" i="19"/>
  <c r="I2548" i="19" s="1"/>
  <c r="B681" i="55" s="1"/>
  <c r="B2549" i="19"/>
  <c r="I2549" i="19" s="1"/>
  <c r="B682" i="55" s="1"/>
  <c r="B2550" i="19"/>
  <c r="I2550" i="19" s="1"/>
  <c r="B683" i="55" s="1"/>
  <c r="B2551" i="19"/>
  <c r="I2551" i="19" s="1"/>
  <c r="B684" i="55" s="1"/>
  <c r="B2552" i="19"/>
  <c r="I2552" i="19" s="1"/>
  <c r="B685" i="55" s="1"/>
  <c r="B2553" i="19"/>
  <c r="I2553" i="19" s="1"/>
  <c r="B686" i="55" s="1"/>
  <c r="B2554" i="19"/>
  <c r="I2554" i="19" s="1"/>
  <c r="B687" i="55" s="1"/>
  <c r="B2555" i="19"/>
  <c r="I2555" i="19" s="1"/>
  <c r="B688" i="55" s="1"/>
  <c r="B2556" i="19"/>
  <c r="I2556" i="19" s="1"/>
  <c r="B689" i="55" s="1"/>
  <c r="B2557" i="19"/>
  <c r="I2557" i="19" s="1"/>
  <c r="B690" i="55" s="1"/>
  <c r="B2558" i="19"/>
  <c r="I2558" i="19" s="1"/>
  <c r="B691" i="55" s="1"/>
  <c r="B2559" i="19"/>
  <c r="I2559" i="19" s="1"/>
  <c r="B692" i="55" s="1"/>
  <c r="B2560" i="19"/>
  <c r="I2560" i="19" s="1"/>
  <c r="B693" i="55" s="1"/>
  <c r="B2561" i="19"/>
  <c r="I2561" i="19" s="1"/>
  <c r="B694" i="55" s="1"/>
  <c r="B2562" i="19"/>
  <c r="I2562" i="19" s="1"/>
  <c r="B695" i="55" s="1"/>
  <c r="B2563" i="19"/>
  <c r="I2563" i="19" s="1"/>
  <c r="B696" i="55" s="1"/>
  <c r="B2564" i="19"/>
  <c r="I2564" i="19" s="1"/>
  <c r="B697" i="55" s="1"/>
  <c r="B2565" i="19"/>
  <c r="I2565" i="19" s="1"/>
  <c r="B698" i="55" s="1"/>
  <c r="B2566" i="19"/>
  <c r="I2566" i="19" s="1"/>
  <c r="B699" i="55" s="1"/>
  <c r="B2567" i="19"/>
  <c r="I2567" i="19" s="1"/>
  <c r="B700" i="55" s="1"/>
  <c r="B2568" i="19"/>
  <c r="I2568" i="19" s="1"/>
  <c r="B701" i="55" s="1"/>
  <c r="B2569" i="19"/>
  <c r="I2569" i="19" s="1"/>
  <c r="B702" i="55" s="1"/>
  <c r="B2570" i="19"/>
  <c r="I2570" i="19" s="1"/>
  <c r="B703" i="55" s="1"/>
  <c r="B2571" i="19"/>
  <c r="I2571" i="19" s="1"/>
  <c r="B704" i="55" s="1"/>
  <c r="B2572" i="19"/>
  <c r="I2572" i="19" s="1"/>
  <c r="B705" i="55" s="1"/>
  <c r="B2573" i="19"/>
  <c r="I2573" i="19" s="1"/>
  <c r="B706" i="55" s="1"/>
  <c r="B2574" i="19"/>
  <c r="I2574" i="19" s="1"/>
  <c r="B707" i="55" s="1"/>
  <c r="B2575" i="19"/>
  <c r="I2575" i="19" s="1"/>
  <c r="B708" i="55" s="1"/>
  <c r="B2576" i="19"/>
  <c r="I2576" i="19" s="1"/>
  <c r="B709" i="55" s="1"/>
  <c r="B2577" i="19"/>
  <c r="I2577" i="19" s="1"/>
  <c r="B710" i="55" s="1"/>
  <c r="B2578" i="19"/>
  <c r="I2578" i="19" s="1"/>
  <c r="B711" i="55" s="1"/>
  <c r="B2579" i="19"/>
  <c r="I2579" i="19" s="1"/>
  <c r="B712" i="55" s="1"/>
  <c r="B2580" i="19"/>
  <c r="I2580" i="19" s="1"/>
  <c r="B713" i="55" s="1"/>
  <c r="B2581" i="19"/>
  <c r="I2581" i="19" s="1"/>
  <c r="B714" i="55" s="1"/>
  <c r="B2582" i="19"/>
  <c r="I2582" i="19" s="1"/>
  <c r="B715" i="55" s="1"/>
  <c r="B2583" i="19"/>
  <c r="I2583" i="19" s="1"/>
  <c r="B716" i="55" s="1"/>
  <c r="B2584" i="19"/>
  <c r="I2584" i="19" s="1"/>
  <c r="B717" i="55" s="1"/>
  <c r="B2585" i="19"/>
  <c r="I2585" i="19" s="1"/>
  <c r="B718" i="55" s="1"/>
  <c r="B2586" i="19"/>
  <c r="I2586" i="19" s="1"/>
  <c r="B719" i="55" s="1"/>
  <c r="B2587" i="19"/>
  <c r="I2587" i="19" s="1"/>
  <c r="B720" i="55" s="1"/>
  <c r="B2588" i="19"/>
  <c r="I2588" i="19" s="1"/>
  <c r="B721" i="55" s="1"/>
  <c r="B2589" i="19"/>
  <c r="I2589" i="19" s="1"/>
  <c r="B722" i="55" s="1"/>
  <c r="B2590" i="19"/>
  <c r="I2590" i="19" s="1"/>
  <c r="B723" i="55" s="1"/>
  <c r="B2591" i="19"/>
  <c r="I2591" i="19" s="1"/>
  <c r="B724" i="55" s="1"/>
  <c r="B2592" i="19"/>
  <c r="I2592" i="19" s="1"/>
  <c r="B725" i="55" s="1"/>
  <c r="B2593" i="19"/>
  <c r="I2593" i="19" s="1"/>
  <c r="B726" i="55" s="1"/>
  <c r="B2594" i="19"/>
  <c r="I2594" i="19" s="1"/>
  <c r="B727" i="55" s="1"/>
  <c r="B2595" i="19"/>
  <c r="I2595" i="19" s="1"/>
  <c r="B728" i="55" s="1"/>
  <c r="B2596" i="19"/>
  <c r="I2596" i="19" s="1"/>
  <c r="B729" i="55" s="1"/>
  <c r="B2597" i="19"/>
  <c r="I2597" i="19" s="1"/>
  <c r="B730" i="55" s="1"/>
  <c r="B2598" i="19"/>
  <c r="I2598" i="19" s="1"/>
  <c r="B731" i="55" s="1"/>
  <c r="B2599" i="19"/>
  <c r="I2599" i="19" s="1"/>
  <c r="B732" i="55" s="1"/>
  <c r="B2600" i="19"/>
  <c r="I2600" i="19" s="1"/>
  <c r="B733" i="55" s="1"/>
  <c r="B2601" i="19"/>
  <c r="I2601" i="19" s="1"/>
  <c r="B734" i="55" s="1"/>
  <c r="B2602" i="19"/>
  <c r="I2602" i="19" s="1"/>
  <c r="B735" i="55" s="1"/>
  <c r="B2603" i="19"/>
  <c r="I2603" i="19" s="1"/>
  <c r="B736" i="55" s="1"/>
  <c r="B2604" i="19"/>
  <c r="I2604" i="19" s="1"/>
  <c r="B737" i="55" s="1"/>
  <c r="B2605" i="19"/>
  <c r="I2605" i="19" s="1"/>
  <c r="B738" i="55" s="1"/>
  <c r="B2606" i="19"/>
  <c r="I2606" i="19" s="1"/>
  <c r="B739" i="55" s="1"/>
  <c r="B2607" i="19"/>
  <c r="I2607" i="19" s="1"/>
  <c r="B740" i="55" s="1"/>
  <c r="B2608" i="19"/>
  <c r="I2608" i="19" s="1"/>
  <c r="B741" i="55" s="1"/>
  <c r="B2609" i="19"/>
  <c r="I2609" i="19" s="1"/>
  <c r="B742" i="55" s="1"/>
  <c r="B2610" i="19"/>
  <c r="I2610" i="19" s="1"/>
  <c r="B743" i="55" s="1"/>
  <c r="B2611" i="19"/>
  <c r="I2611" i="19" s="1"/>
  <c r="B744" i="55" s="1"/>
  <c r="B2612" i="19"/>
  <c r="I2612" i="19" s="1"/>
  <c r="B745" i="55" s="1"/>
  <c r="B2613" i="19"/>
  <c r="I2613" i="19" s="1"/>
  <c r="B746" i="55" s="1"/>
  <c r="B2614" i="19"/>
  <c r="I2614" i="19" s="1"/>
  <c r="B747" i="55" s="1"/>
  <c r="B2615" i="19"/>
  <c r="I2615" i="19" s="1"/>
  <c r="B748" i="55" s="1"/>
  <c r="B2616" i="19"/>
  <c r="I2616" i="19" s="1"/>
  <c r="B749" i="55" s="1"/>
  <c r="B2617" i="19"/>
  <c r="I2617" i="19" s="1"/>
  <c r="B750" i="55" s="1"/>
  <c r="B2618" i="19"/>
  <c r="I2618" i="19" s="1"/>
  <c r="B751" i="55" s="1"/>
  <c r="B2619" i="19"/>
  <c r="I2619" i="19" s="1"/>
  <c r="B752" i="55" s="1"/>
  <c r="B2620" i="19"/>
  <c r="I2620" i="19" s="1"/>
  <c r="B753" i="55" s="1"/>
  <c r="B2621" i="19"/>
  <c r="I2621" i="19" s="1"/>
  <c r="B754" i="55" s="1"/>
  <c r="B2622" i="19"/>
  <c r="I2622" i="19" s="1"/>
  <c r="B755" i="55" s="1"/>
  <c r="B2623" i="19"/>
  <c r="I2623" i="19" s="1"/>
  <c r="B756" i="55" s="1"/>
  <c r="B2624" i="19"/>
  <c r="I2624" i="19" s="1"/>
  <c r="B757" i="55" s="1"/>
  <c r="B2625" i="19"/>
  <c r="I2625" i="19" s="1"/>
  <c r="B758" i="55" s="1"/>
  <c r="B2626" i="19"/>
  <c r="I2626" i="19" s="1"/>
  <c r="B759" i="55" s="1"/>
  <c r="B2627" i="19"/>
  <c r="I2627" i="19" s="1"/>
  <c r="B760" i="55" s="1"/>
  <c r="B2628" i="19"/>
  <c r="I2628" i="19" s="1"/>
  <c r="B761" i="55" s="1"/>
  <c r="B2629" i="19"/>
  <c r="I2629" i="19" s="1"/>
  <c r="B762" i="55" s="1"/>
  <c r="B2630" i="19"/>
  <c r="I2630" i="19" s="1"/>
  <c r="B763" i="55" s="1"/>
  <c r="B2631" i="19"/>
  <c r="I2631" i="19" s="1"/>
  <c r="B764" i="55" s="1"/>
  <c r="B2632" i="19"/>
  <c r="I2632" i="19" s="1"/>
  <c r="B765" i="55" s="1"/>
  <c r="B2633" i="19"/>
  <c r="I2633" i="19" s="1"/>
  <c r="B766" i="55" s="1"/>
  <c r="B2634" i="19"/>
  <c r="I2634" i="19" s="1"/>
  <c r="B767" i="55" s="1"/>
  <c r="B2635" i="19"/>
  <c r="I2635" i="19" s="1"/>
  <c r="B768" i="55" s="1"/>
  <c r="B2636" i="19"/>
  <c r="I2636" i="19" s="1"/>
  <c r="B769" i="55" s="1"/>
  <c r="B2637" i="19"/>
  <c r="I2637" i="19" s="1"/>
  <c r="B770" i="55" s="1"/>
  <c r="B2638" i="19"/>
  <c r="I2638" i="19" s="1"/>
  <c r="B771" i="55" s="1"/>
  <c r="B2639" i="19"/>
  <c r="I2639" i="19" s="1"/>
  <c r="B772" i="55" s="1"/>
  <c r="B2640" i="19"/>
  <c r="I2640" i="19" s="1"/>
  <c r="B773" i="55" s="1"/>
  <c r="B2641" i="19"/>
  <c r="I2641" i="19" s="1"/>
  <c r="B774" i="55" s="1"/>
  <c r="B2642" i="19"/>
  <c r="I2642" i="19" s="1"/>
  <c r="B775" i="55" s="1"/>
  <c r="B2643" i="19"/>
  <c r="I2643" i="19" s="1"/>
  <c r="B776" i="55" s="1"/>
  <c r="B2644" i="19"/>
  <c r="I2644" i="19" s="1"/>
  <c r="B777" i="55" s="1"/>
  <c r="B2645" i="19"/>
  <c r="I2645" i="19" s="1"/>
  <c r="B778" i="55" s="1"/>
  <c r="B2646" i="19"/>
  <c r="I2646" i="19" s="1"/>
  <c r="B779" i="55" s="1"/>
  <c r="B2647" i="19"/>
  <c r="I2647" i="19" s="1"/>
  <c r="B780" i="55" s="1"/>
  <c r="B2648" i="19"/>
  <c r="I2648" i="19" s="1"/>
  <c r="B781" i="55" s="1"/>
  <c r="B2649" i="19"/>
  <c r="I2649" i="19" s="1"/>
  <c r="B782" i="55" s="1"/>
  <c r="B2650" i="19"/>
  <c r="I2650" i="19" s="1"/>
  <c r="B783" i="55" s="1"/>
  <c r="B2651" i="19"/>
  <c r="I2651" i="19" s="1"/>
  <c r="B784" i="55" s="1"/>
  <c r="B2652" i="19"/>
  <c r="I2652" i="19" s="1"/>
  <c r="B785" i="55" s="1"/>
  <c r="B2653" i="19"/>
  <c r="I2653" i="19" s="1"/>
  <c r="B786" i="55" s="1"/>
  <c r="B2654" i="19"/>
  <c r="I2654" i="19" s="1"/>
  <c r="B787" i="55" s="1"/>
  <c r="B2655" i="19"/>
  <c r="I2655" i="19" s="1"/>
  <c r="B788" i="55" s="1"/>
  <c r="B2656" i="19"/>
  <c r="I2656" i="19" s="1"/>
  <c r="B789" i="55" s="1"/>
  <c r="B2657" i="19"/>
  <c r="I2657" i="19" s="1"/>
  <c r="B790" i="55" s="1"/>
  <c r="B2658" i="19"/>
  <c r="I2658" i="19" s="1"/>
  <c r="B791" i="55" s="1"/>
  <c r="B2659" i="19"/>
  <c r="I2659" i="19" s="1"/>
  <c r="B792" i="55" s="1"/>
  <c r="B2660" i="19"/>
  <c r="I2660" i="19" s="1"/>
  <c r="B793" i="55" s="1"/>
  <c r="B2281" i="19"/>
  <c r="I2281" i="19" s="1"/>
  <c r="B414" i="55" s="1"/>
  <c r="C1757" i="21"/>
  <c r="C1758" i="21"/>
  <c r="C1759" i="21"/>
  <c r="C1760" i="21"/>
  <c r="C1761" i="21"/>
  <c r="C1762" i="21"/>
  <c r="C1763" i="21"/>
  <c r="C1764" i="21"/>
  <c r="C1765" i="21"/>
  <c r="C1766" i="21"/>
  <c r="C1767" i="21"/>
  <c r="C1768" i="21"/>
  <c r="C1769" i="21"/>
  <c r="C1770" i="21"/>
  <c r="C1771" i="21"/>
  <c r="C1772" i="21"/>
  <c r="C1773" i="21"/>
  <c r="C1774" i="21"/>
  <c r="C1775" i="21"/>
  <c r="C1776" i="21"/>
  <c r="C1777" i="21"/>
  <c r="C1778" i="21"/>
  <c r="C1779" i="21"/>
  <c r="C1780" i="21"/>
  <c r="C1781" i="21"/>
  <c r="C1782" i="21"/>
  <c r="C1783" i="21"/>
  <c r="C1784" i="21"/>
  <c r="C1785" i="21"/>
  <c r="C1786" i="21"/>
  <c r="C1787" i="21"/>
  <c r="C1788" i="21"/>
  <c r="C1789" i="21"/>
  <c r="C1790" i="21"/>
  <c r="C1791" i="21"/>
  <c r="C1792" i="21"/>
  <c r="C1793" i="21"/>
  <c r="C1794" i="21"/>
  <c r="C1795" i="21"/>
  <c r="C1796" i="21"/>
  <c r="C1797" i="21"/>
  <c r="C1798" i="21"/>
  <c r="C1799" i="21"/>
  <c r="C1800" i="21"/>
  <c r="C1801" i="21"/>
  <c r="C1802" i="21"/>
  <c r="C1803" i="21"/>
  <c r="C1804" i="21"/>
  <c r="C1805" i="21"/>
  <c r="C1806" i="21"/>
  <c r="C1807" i="21"/>
  <c r="C1808" i="21"/>
  <c r="C1809" i="21"/>
  <c r="C1810" i="21"/>
  <c r="C1811" i="21"/>
  <c r="C1812" i="21"/>
  <c r="C1813" i="21"/>
  <c r="C1814" i="21"/>
  <c r="C1815" i="21"/>
  <c r="C1816" i="21"/>
  <c r="C1817" i="21"/>
  <c r="C1818" i="21"/>
  <c r="C1819" i="21"/>
  <c r="C1820" i="21"/>
  <c r="C1821" i="21"/>
  <c r="C1822" i="21"/>
  <c r="C1823" i="21"/>
  <c r="C1824" i="21"/>
  <c r="C1825" i="21"/>
  <c r="C1826" i="21"/>
  <c r="C1827" i="21"/>
  <c r="C1828" i="21"/>
  <c r="C1829" i="21"/>
  <c r="C1830" i="21"/>
  <c r="C1831" i="21"/>
  <c r="C1832" i="21"/>
  <c r="C1833" i="21"/>
  <c r="C1834" i="21"/>
  <c r="C1835" i="21"/>
  <c r="C1836" i="21"/>
  <c r="C1837" i="21"/>
  <c r="C1838" i="21"/>
  <c r="C1839" i="21"/>
  <c r="C1840" i="21"/>
  <c r="C1841" i="21"/>
  <c r="C1842" i="21"/>
  <c r="C1843" i="21"/>
  <c r="C1844" i="21"/>
  <c r="C1845" i="21"/>
  <c r="C1846" i="21"/>
  <c r="C1847" i="21"/>
  <c r="C1848" i="21"/>
  <c r="C1849" i="21"/>
  <c r="C1850" i="21"/>
  <c r="C1851" i="21"/>
  <c r="C1852" i="21"/>
  <c r="C1853" i="21"/>
  <c r="C1854" i="21"/>
  <c r="C1855" i="21"/>
  <c r="C1856" i="21"/>
  <c r="C1857" i="21"/>
  <c r="C1858" i="21"/>
  <c r="C1859" i="21"/>
  <c r="C1860" i="21"/>
  <c r="C1861" i="21"/>
  <c r="C1862" i="21"/>
  <c r="C1863" i="21"/>
  <c r="C1864" i="21"/>
  <c r="C1865" i="21"/>
  <c r="C1866" i="21"/>
  <c r="C1867" i="21"/>
  <c r="C1868" i="21"/>
  <c r="C1869" i="21"/>
  <c r="C1870" i="21"/>
  <c r="C1871" i="21"/>
  <c r="C1872" i="21"/>
  <c r="C1873" i="21"/>
  <c r="C1874" i="21"/>
  <c r="C1875" i="21"/>
  <c r="C1876" i="21"/>
  <c r="C1877" i="21"/>
  <c r="C1878" i="21"/>
  <c r="C1879" i="21"/>
  <c r="C1880" i="21"/>
  <c r="C1881" i="21"/>
  <c r="C1882" i="21"/>
  <c r="C1883" i="21"/>
  <c r="C1884" i="21"/>
  <c r="C1885" i="21"/>
  <c r="C1886" i="21"/>
  <c r="C1887" i="21"/>
  <c r="C1888" i="21"/>
  <c r="C1889" i="21"/>
  <c r="C1890" i="21"/>
  <c r="C1891" i="21"/>
  <c r="C1892" i="21"/>
  <c r="C1893" i="21"/>
  <c r="C1894" i="21"/>
  <c r="C1895" i="21"/>
  <c r="C1896" i="21"/>
  <c r="C1897" i="21"/>
  <c r="C1898" i="21"/>
  <c r="C1899" i="21"/>
  <c r="C1900" i="21"/>
  <c r="C1901" i="21"/>
  <c r="C1902" i="21"/>
  <c r="C1903" i="21"/>
  <c r="C1904" i="21"/>
  <c r="C1905" i="21"/>
  <c r="C1906" i="21"/>
  <c r="C1907" i="21"/>
  <c r="C1908" i="21"/>
  <c r="C1909" i="21"/>
  <c r="C1910" i="21"/>
  <c r="C1911" i="21"/>
  <c r="C1912" i="21"/>
  <c r="C1913" i="21"/>
  <c r="C1914" i="21"/>
  <c r="C1915" i="21"/>
  <c r="C1916" i="21"/>
  <c r="C1917" i="21"/>
  <c r="C1918" i="21"/>
  <c r="C1919" i="21"/>
  <c r="C1920" i="21"/>
  <c r="C1921" i="21"/>
  <c r="C1922" i="21"/>
  <c r="C1923" i="21"/>
  <c r="E1923" i="21" s="1"/>
  <c r="C1924" i="21"/>
  <c r="E1924" i="21" s="1"/>
  <c r="C1756" i="21"/>
  <c r="E1756" i="21" s="1"/>
  <c r="D1583" i="19"/>
  <c r="H1346" i="19"/>
  <c r="G1346" i="19"/>
  <c r="F1346" i="19"/>
  <c r="B1348" i="19"/>
  <c r="I1348" i="19" s="1"/>
  <c r="B1349" i="19"/>
  <c r="I1349" i="19" s="1"/>
  <c r="B1350" i="19"/>
  <c r="I1350" i="19" s="1"/>
  <c r="B1351" i="19"/>
  <c r="I1351" i="19" s="1"/>
  <c r="B1352" i="19"/>
  <c r="I1352" i="19" s="1"/>
  <c r="B1353" i="19"/>
  <c r="I1353" i="19" s="1"/>
  <c r="B1354" i="19"/>
  <c r="I1354" i="19" s="1"/>
  <c r="B1355" i="19"/>
  <c r="I1355" i="19" s="1"/>
  <c r="B1356" i="19"/>
  <c r="I1356" i="19" s="1"/>
  <c r="B1357" i="19"/>
  <c r="I1357" i="19" s="1"/>
  <c r="B1358" i="19"/>
  <c r="I1358" i="19" s="1"/>
  <c r="B1359" i="19"/>
  <c r="I1359" i="19" s="1"/>
  <c r="B1360" i="19"/>
  <c r="I1360" i="19" s="1"/>
  <c r="B1361" i="19"/>
  <c r="I1361" i="19" s="1"/>
  <c r="B1362" i="19"/>
  <c r="I1362" i="19" s="1"/>
  <c r="B1363" i="19"/>
  <c r="I1363" i="19" s="1"/>
  <c r="B1364" i="19"/>
  <c r="I1364" i="19" s="1"/>
  <c r="B1365" i="19"/>
  <c r="I1365" i="19" s="1"/>
  <c r="B1366" i="19"/>
  <c r="I1366" i="19" s="1"/>
  <c r="B1367" i="19"/>
  <c r="I1367" i="19" s="1"/>
  <c r="B1368" i="19"/>
  <c r="I1368" i="19" s="1"/>
  <c r="B1369" i="19"/>
  <c r="I1369" i="19" s="1"/>
  <c r="B1370" i="19"/>
  <c r="I1370" i="19" s="1"/>
  <c r="B1371" i="19"/>
  <c r="I1371" i="19" s="1"/>
  <c r="B1372" i="19"/>
  <c r="I1372" i="19" s="1"/>
  <c r="B1373" i="19"/>
  <c r="I1373" i="19" s="1"/>
  <c r="B1374" i="19"/>
  <c r="I1374" i="19" s="1"/>
  <c r="B1375" i="19"/>
  <c r="I1375" i="19" s="1"/>
  <c r="B1376" i="19"/>
  <c r="I1376" i="19" s="1"/>
  <c r="B1377" i="19"/>
  <c r="I1377" i="19" s="1"/>
  <c r="B1378" i="19"/>
  <c r="I1378" i="19" s="1"/>
  <c r="B1379" i="19"/>
  <c r="I1379" i="19" s="1"/>
  <c r="B1380" i="19"/>
  <c r="I1380" i="19" s="1"/>
  <c r="B1381" i="19"/>
  <c r="I1381" i="19" s="1"/>
  <c r="B1382" i="19"/>
  <c r="I1382" i="19" s="1"/>
  <c r="B1383" i="19"/>
  <c r="I1383" i="19" s="1"/>
  <c r="B1384" i="19"/>
  <c r="I1384" i="19" s="1"/>
  <c r="B1385" i="19"/>
  <c r="I1385" i="19" s="1"/>
  <c r="B1386" i="19"/>
  <c r="I1386" i="19" s="1"/>
  <c r="B1387" i="19"/>
  <c r="I1387" i="19" s="1"/>
  <c r="B1388" i="19"/>
  <c r="I1388" i="19" s="1"/>
  <c r="B1389" i="19"/>
  <c r="I1389" i="19" s="1"/>
  <c r="B1390" i="19"/>
  <c r="I1390" i="19" s="1"/>
  <c r="B1391" i="19"/>
  <c r="I1391" i="19" s="1"/>
  <c r="B1392" i="19"/>
  <c r="I1392" i="19" s="1"/>
  <c r="B1393" i="19"/>
  <c r="I1393" i="19" s="1"/>
  <c r="B1394" i="19"/>
  <c r="I1394" i="19" s="1"/>
  <c r="B1395" i="19"/>
  <c r="I1395" i="19" s="1"/>
  <c r="B1396" i="19"/>
  <c r="I1396" i="19" s="1"/>
  <c r="B1397" i="19"/>
  <c r="I1397" i="19" s="1"/>
  <c r="B1398" i="19"/>
  <c r="I1398" i="19" s="1"/>
  <c r="B1399" i="19"/>
  <c r="I1399" i="19" s="1"/>
  <c r="B1400" i="19"/>
  <c r="I1400" i="19" s="1"/>
  <c r="B1401" i="19"/>
  <c r="I1401" i="19" s="1"/>
  <c r="B1402" i="19"/>
  <c r="I1402" i="19" s="1"/>
  <c r="B1403" i="19"/>
  <c r="I1403" i="19" s="1"/>
  <c r="B1404" i="19"/>
  <c r="I1404" i="19" s="1"/>
  <c r="B1405" i="19"/>
  <c r="I1405" i="19" s="1"/>
  <c r="B1406" i="19"/>
  <c r="I1406" i="19" s="1"/>
  <c r="B1407" i="19"/>
  <c r="I1407" i="19" s="1"/>
  <c r="B1408" i="19"/>
  <c r="I1408" i="19" s="1"/>
  <c r="B1409" i="19"/>
  <c r="I1409" i="19" s="1"/>
  <c r="B1410" i="19"/>
  <c r="I1410" i="19" s="1"/>
  <c r="B1411" i="19"/>
  <c r="I1411" i="19" s="1"/>
  <c r="B1412" i="19"/>
  <c r="I1412" i="19" s="1"/>
  <c r="B1413" i="19"/>
  <c r="I1413" i="19" s="1"/>
  <c r="B1414" i="19"/>
  <c r="I1414" i="19" s="1"/>
  <c r="B1415" i="19"/>
  <c r="I1415" i="19" s="1"/>
  <c r="B1416" i="19"/>
  <c r="I1416" i="19" s="1"/>
  <c r="B1417" i="19"/>
  <c r="I1417" i="19" s="1"/>
  <c r="B1418" i="19"/>
  <c r="I1418" i="19" s="1"/>
  <c r="B1419" i="19"/>
  <c r="I1419" i="19" s="1"/>
  <c r="B1420" i="19"/>
  <c r="I1420" i="19" s="1"/>
  <c r="B1421" i="19"/>
  <c r="I1421" i="19" s="1"/>
  <c r="B1422" i="19"/>
  <c r="I1422" i="19" s="1"/>
  <c r="B1423" i="19"/>
  <c r="I1423" i="19" s="1"/>
  <c r="B1424" i="19"/>
  <c r="I1424" i="19" s="1"/>
  <c r="B1425" i="19"/>
  <c r="I1425" i="19" s="1"/>
  <c r="B1426" i="19"/>
  <c r="I1426" i="19" s="1"/>
  <c r="B1427" i="19"/>
  <c r="I1427" i="19" s="1"/>
  <c r="B1428" i="19"/>
  <c r="I1428" i="19" s="1"/>
  <c r="B1429" i="19"/>
  <c r="I1429" i="19" s="1"/>
  <c r="B1430" i="19"/>
  <c r="I1430" i="19" s="1"/>
  <c r="B1431" i="19"/>
  <c r="I1431" i="19" s="1"/>
  <c r="B1432" i="19"/>
  <c r="I1432" i="19" s="1"/>
  <c r="B1433" i="19"/>
  <c r="I1433" i="19" s="1"/>
  <c r="B1434" i="19"/>
  <c r="I1434" i="19" s="1"/>
  <c r="B1435" i="19"/>
  <c r="I1435" i="19" s="1"/>
  <c r="B1436" i="19"/>
  <c r="I1436" i="19" s="1"/>
  <c r="B1437" i="19"/>
  <c r="I1437" i="19" s="1"/>
  <c r="B1438" i="19"/>
  <c r="I1438" i="19" s="1"/>
  <c r="B1439" i="19"/>
  <c r="I1439" i="19" s="1"/>
  <c r="B1440" i="19"/>
  <c r="I1440" i="19" s="1"/>
  <c r="B1441" i="19"/>
  <c r="I1441" i="19" s="1"/>
  <c r="B1442" i="19"/>
  <c r="I1442" i="19" s="1"/>
  <c r="B1443" i="19"/>
  <c r="I1443" i="19" s="1"/>
  <c r="B1444" i="19"/>
  <c r="I1444" i="19" s="1"/>
  <c r="B1445" i="19"/>
  <c r="I1445" i="19" s="1"/>
  <c r="B1446" i="19"/>
  <c r="I1446" i="19" s="1"/>
  <c r="B1447" i="19"/>
  <c r="I1447" i="19" s="1"/>
  <c r="B1448" i="19"/>
  <c r="I1448" i="19" s="1"/>
  <c r="B1449" i="19"/>
  <c r="I1449" i="19" s="1"/>
  <c r="B1450" i="19"/>
  <c r="I1450" i="19" s="1"/>
  <c r="B1451" i="19"/>
  <c r="I1451" i="19" s="1"/>
  <c r="B1452" i="19"/>
  <c r="I1452" i="19" s="1"/>
  <c r="B1453" i="19"/>
  <c r="I1453" i="19" s="1"/>
  <c r="B1454" i="19"/>
  <c r="I1454" i="19" s="1"/>
  <c r="B1455" i="19"/>
  <c r="I1455" i="19" s="1"/>
  <c r="B1456" i="19"/>
  <c r="I1456" i="19" s="1"/>
  <c r="B1457" i="19"/>
  <c r="I1457" i="19" s="1"/>
  <c r="B1458" i="19"/>
  <c r="I1458" i="19" s="1"/>
  <c r="B1459" i="19"/>
  <c r="I1459" i="19" s="1"/>
  <c r="B1460" i="19"/>
  <c r="I1460" i="19" s="1"/>
  <c r="B1461" i="19"/>
  <c r="I1461" i="19" s="1"/>
  <c r="B1462" i="19"/>
  <c r="I1462" i="19" s="1"/>
  <c r="B1463" i="19"/>
  <c r="I1463" i="19" s="1"/>
  <c r="B1464" i="19"/>
  <c r="I1464" i="19" s="1"/>
  <c r="B1465" i="19"/>
  <c r="I1465" i="19" s="1"/>
  <c r="B1466" i="19"/>
  <c r="I1466" i="19" s="1"/>
  <c r="B1467" i="19"/>
  <c r="I1467" i="19" s="1"/>
  <c r="B1468" i="19"/>
  <c r="I1468" i="19" s="1"/>
  <c r="B1469" i="19"/>
  <c r="I1469" i="19" s="1"/>
  <c r="B1470" i="19"/>
  <c r="I1470" i="19" s="1"/>
  <c r="B1471" i="19"/>
  <c r="I1471" i="19" s="1"/>
  <c r="B1472" i="19"/>
  <c r="I1472" i="19" s="1"/>
  <c r="B1473" i="19"/>
  <c r="I1473" i="19" s="1"/>
  <c r="B1474" i="19"/>
  <c r="I1474" i="19" s="1"/>
  <c r="B1475" i="19"/>
  <c r="I1475" i="19" s="1"/>
  <c r="B1476" i="19"/>
  <c r="I1476" i="19" s="1"/>
  <c r="B1477" i="19"/>
  <c r="I1477" i="19" s="1"/>
  <c r="B1478" i="19"/>
  <c r="I1478" i="19" s="1"/>
  <c r="B1479" i="19"/>
  <c r="I1479" i="19" s="1"/>
  <c r="B1480" i="19"/>
  <c r="I1480" i="19" s="1"/>
  <c r="B1481" i="19"/>
  <c r="I1481" i="19" s="1"/>
  <c r="B1482" i="19"/>
  <c r="I1482" i="19" s="1"/>
  <c r="B1483" i="19"/>
  <c r="I1483" i="19" s="1"/>
  <c r="B1484" i="19"/>
  <c r="I1484" i="19" s="1"/>
  <c r="B1485" i="19"/>
  <c r="I1485" i="19" s="1"/>
  <c r="B1486" i="19"/>
  <c r="I1486" i="19" s="1"/>
  <c r="B1487" i="19"/>
  <c r="I1487" i="19" s="1"/>
  <c r="B1488" i="19"/>
  <c r="I1488" i="19" s="1"/>
  <c r="B1489" i="19"/>
  <c r="I1489" i="19" s="1"/>
  <c r="B1490" i="19"/>
  <c r="I1490" i="19" s="1"/>
  <c r="B1491" i="19"/>
  <c r="I1491" i="19" s="1"/>
  <c r="B1492" i="19"/>
  <c r="I1492" i="19" s="1"/>
  <c r="B1493" i="19"/>
  <c r="I1493" i="19" s="1"/>
  <c r="B1494" i="19"/>
  <c r="I1494" i="19" s="1"/>
  <c r="B1495" i="19"/>
  <c r="I1495" i="19" s="1"/>
  <c r="B1496" i="19"/>
  <c r="I1496" i="19" s="1"/>
  <c r="B1497" i="19"/>
  <c r="I1497" i="19" s="1"/>
  <c r="B1498" i="19"/>
  <c r="I1498" i="19" s="1"/>
  <c r="B1499" i="19"/>
  <c r="I1499" i="19" s="1"/>
  <c r="B1500" i="19"/>
  <c r="I1500" i="19" s="1"/>
  <c r="B1501" i="19"/>
  <c r="I1501" i="19" s="1"/>
  <c r="B1502" i="19"/>
  <c r="I1502" i="19" s="1"/>
  <c r="B1503" i="19"/>
  <c r="I1503" i="19" s="1"/>
  <c r="B1504" i="19"/>
  <c r="I1504" i="19" s="1"/>
  <c r="B1505" i="19"/>
  <c r="I1505" i="19" s="1"/>
  <c r="B1506" i="19"/>
  <c r="I1506" i="19" s="1"/>
  <c r="B1507" i="19"/>
  <c r="I1507" i="19" s="1"/>
  <c r="B1508" i="19"/>
  <c r="I1508" i="19" s="1"/>
  <c r="B1509" i="19"/>
  <c r="I1509" i="19" s="1"/>
  <c r="B1510" i="19"/>
  <c r="I1510" i="19" s="1"/>
  <c r="B1511" i="19"/>
  <c r="I1511" i="19" s="1"/>
  <c r="B1512" i="19"/>
  <c r="I1512" i="19" s="1"/>
  <c r="B1513" i="19"/>
  <c r="I1513" i="19" s="1"/>
  <c r="B1514" i="19"/>
  <c r="I1514" i="19" s="1"/>
  <c r="B1515" i="19"/>
  <c r="I1515" i="19" s="1"/>
  <c r="B1516" i="19"/>
  <c r="I1516" i="19" s="1"/>
  <c r="B1517" i="19"/>
  <c r="I1517" i="19" s="1"/>
  <c r="B1518" i="19"/>
  <c r="I1518" i="19" s="1"/>
  <c r="B1519" i="19"/>
  <c r="I1519" i="19" s="1"/>
  <c r="B1520" i="19"/>
  <c r="I1520" i="19" s="1"/>
  <c r="B1521" i="19"/>
  <c r="I1521" i="19" s="1"/>
  <c r="B1522" i="19"/>
  <c r="I1522" i="19" s="1"/>
  <c r="B1523" i="19"/>
  <c r="I1523" i="19" s="1"/>
  <c r="B1524" i="19"/>
  <c r="I1524" i="19" s="1"/>
  <c r="B1525" i="19"/>
  <c r="I1525" i="19" s="1"/>
  <c r="B1526" i="19"/>
  <c r="I1526" i="19" s="1"/>
  <c r="B1527" i="19"/>
  <c r="I1527" i="19" s="1"/>
  <c r="B1528" i="19"/>
  <c r="I1528" i="19" s="1"/>
  <c r="B1529" i="19"/>
  <c r="I1529" i="19" s="1"/>
  <c r="B1530" i="19"/>
  <c r="I1530" i="19" s="1"/>
  <c r="B1531" i="19"/>
  <c r="I1531" i="19" s="1"/>
  <c r="B1532" i="19"/>
  <c r="I1532" i="19" s="1"/>
  <c r="B1533" i="19"/>
  <c r="I1533" i="19" s="1"/>
  <c r="B1534" i="19"/>
  <c r="I1534" i="19" s="1"/>
  <c r="B1535" i="19"/>
  <c r="I1535" i="19" s="1"/>
  <c r="B1536" i="19"/>
  <c r="I1536" i="19" s="1"/>
  <c r="B1537" i="19"/>
  <c r="I1537" i="19" s="1"/>
  <c r="B1538" i="19"/>
  <c r="I1538" i="19" s="1"/>
  <c r="B1539" i="19"/>
  <c r="I1539" i="19" s="1"/>
  <c r="B1540" i="19"/>
  <c r="I1540" i="19" s="1"/>
  <c r="B1541" i="19"/>
  <c r="I1541" i="19" s="1"/>
  <c r="B1542" i="19"/>
  <c r="I1542" i="19" s="1"/>
  <c r="B1543" i="19"/>
  <c r="I1543" i="19" s="1"/>
  <c r="B1544" i="19"/>
  <c r="I1544" i="19" s="1"/>
  <c r="B1545" i="19"/>
  <c r="I1545" i="19" s="1"/>
  <c r="B1546" i="19"/>
  <c r="I1546" i="19" s="1"/>
  <c r="B1547" i="19"/>
  <c r="I1547" i="19" s="1"/>
  <c r="B1548" i="19"/>
  <c r="I1548" i="19" s="1"/>
  <c r="B1549" i="19"/>
  <c r="I1549" i="19" s="1"/>
  <c r="B1550" i="19"/>
  <c r="I1550" i="19" s="1"/>
  <c r="B1551" i="19"/>
  <c r="I1551" i="19" s="1"/>
  <c r="B1552" i="19"/>
  <c r="I1552" i="19" s="1"/>
  <c r="B1553" i="19"/>
  <c r="I1553" i="19" s="1"/>
  <c r="B1554" i="19"/>
  <c r="I1554" i="19" s="1"/>
  <c r="B1555" i="19"/>
  <c r="I1555" i="19" s="1"/>
  <c r="B1556" i="19"/>
  <c r="I1556" i="19" s="1"/>
  <c r="B1557" i="19"/>
  <c r="I1557" i="19" s="1"/>
  <c r="B1558" i="19"/>
  <c r="I1558" i="19" s="1"/>
  <c r="B1559" i="19"/>
  <c r="I1559" i="19" s="1"/>
  <c r="B1560" i="19"/>
  <c r="I1560" i="19" s="1"/>
  <c r="B1561" i="19"/>
  <c r="I1561" i="19" s="1"/>
  <c r="B1562" i="19"/>
  <c r="I1562" i="19" s="1"/>
  <c r="B1563" i="19"/>
  <c r="I1563" i="19" s="1"/>
  <c r="B1564" i="19"/>
  <c r="I1564" i="19" s="1"/>
  <c r="B1565" i="19"/>
  <c r="I1565" i="19" s="1"/>
  <c r="B1566" i="19"/>
  <c r="I1566" i="19" s="1"/>
  <c r="B1567" i="19"/>
  <c r="I1567" i="19" s="1"/>
  <c r="B1568" i="19"/>
  <c r="I1568" i="19" s="1"/>
  <c r="B1569" i="19"/>
  <c r="I1569" i="19" s="1"/>
  <c r="B1570" i="19"/>
  <c r="I1570" i="19" s="1"/>
  <c r="B1571" i="19"/>
  <c r="I1571" i="19" s="1"/>
  <c r="B1572" i="19"/>
  <c r="I1572" i="19" s="1"/>
  <c r="B1573" i="19"/>
  <c r="I1573" i="19" s="1"/>
  <c r="B1574" i="19"/>
  <c r="I1574" i="19" s="1"/>
  <c r="B1575" i="19"/>
  <c r="I1575" i="19" s="1"/>
  <c r="B1576" i="19"/>
  <c r="I1576" i="19" s="1"/>
  <c r="B1577" i="19"/>
  <c r="I1577" i="19" s="1"/>
  <c r="B1578" i="19"/>
  <c r="I1578" i="19" s="1"/>
  <c r="B1579" i="19"/>
  <c r="I1579" i="19" s="1"/>
  <c r="B1580" i="19"/>
  <c r="I1580" i="19" s="1"/>
  <c r="B1581" i="19"/>
  <c r="I1581" i="19" s="1"/>
  <c r="B1582" i="19"/>
  <c r="I1582" i="19" s="1"/>
  <c r="B1583" i="19"/>
  <c r="B1584" i="19"/>
  <c r="I1584" i="19" s="1"/>
  <c r="B1585" i="19"/>
  <c r="I1585" i="19" s="1"/>
  <c r="B1586" i="19"/>
  <c r="I1586" i="19" s="1"/>
  <c r="B1587" i="19"/>
  <c r="I1587" i="19" s="1"/>
  <c r="B1588" i="19"/>
  <c r="I1588" i="19" s="1"/>
  <c r="B1589" i="19"/>
  <c r="I1589" i="19" s="1"/>
  <c r="B1590" i="19"/>
  <c r="I1590" i="19" s="1"/>
  <c r="B1591" i="19"/>
  <c r="I1591" i="19" s="1"/>
  <c r="B1592" i="19"/>
  <c r="I1592" i="19" s="1"/>
  <c r="B1593" i="19"/>
  <c r="I1593" i="19" s="1"/>
  <c r="B1594" i="19"/>
  <c r="I1594" i="19" s="1"/>
  <c r="B1595" i="19"/>
  <c r="I1595" i="19" s="1"/>
  <c r="B1596" i="19"/>
  <c r="I1596" i="19" s="1"/>
  <c r="B1597" i="19"/>
  <c r="I1597" i="19" s="1"/>
  <c r="B1598" i="19"/>
  <c r="I1598" i="19" s="1"/>
  <c r="B1599" i="19"/>
  <c r="I1599" i="19" s="1"/>
  <c r="B1600" i="19"/>
  <c r="I1600" i="19" s="1"/>
  <c r="B1601" i="19"/>
  <c r="I1601" i="19" s="1"/>
  <c r="B1602" i="19"/>
  <c r="I1602" i="19" s="1"/>
  <c r="B1603" i="19"/>
  <c r="I1603" i="19" s="1"/>
  <c r="B1604" i="19"/>
  <c r="I1604" i="19" s="1"/>
  <c r="B1605" i="19"/>
  <c r="I1605" i="19" s="1"/>
  <c r="B1606" i="19"/>
  <c r="I1606" i="19" s="1"/>
  <c r="B1607" i="19"/>
  <c r="I1607" i="19" s="1"/>
  <c r="B1608" i="19"/>
  <c r="I1608" i="19" s="1"/>
  <c r="B1609" i="19"/>
  <c r="I1609" i="19" s="1"/>
  <c r="B1610" i="19"/>
  <c r="I1610" i="19" s="1"/>
  <c r="B1611" i="19"/>
  <c r="I1611" i="19" s="1"/>
  <c r="B1612" i="19"/>
  <c r="I1612" i="19" s="1"/>
  <c r="B1613" i="19"/>
  <c r="I1613" i="19" s="1"/>
  <c r="B1614" i="19"/>
  <c r="I1614" i="19" s="1"/>
  <c r="B1615" i="19"/>
  <c r="I1615" i="19" s="1"/>
  <c r="B1616" i="19"/>
  <c r="I1616" i="19" s="1"/>
  <c r="B1617" i="19"/>
  <c r="I1617" i="19" s="1"/>
  <c r="B1618" i="19"/>
  <c r="I1618" i="19" s="1"/>
  <c r="B1619" i="19"/>
  <c r="I1619" i="19" s="1"/>
  <c r="B1620" i="19"/>
  <c r="I1620" i="19" s="1"/>
  <c r="B1621" i="19"/>
  <c r="I1621" i="19" s="1"/>
  <c r="B1622" i="19"/>
  <c r="I1622" i="19" s="1"/>
  <c r="B1623" i="19"/>
  <c r="I1623" i="19" s="1"/>
  <c r="B1624" i="19"/>
  <c r="I1624" i="19" s="1"/>
  <c r="B1625" i="19"/>
  <c r="I1625" i="19" s="1"/>
  <c r="B1626" i="19"/>
  <c r="I1626" i="19" s="1"/>
  <c r="B1627" i="19"/>
  <c r="I1627" i="19" s="1"/>
  <c r="B1628" i="19"/>
  <c r="I1628" i="19" s="1"/>
  <c r="B1629" i="19"/>
  <c r="I1629" i="19" s="1"/>
  <c r="B1630" i="19"/>
  <c r="I1630" i="19" s="1"/>
  <c r="B1631" i="19"/>
  <c r="I1631" i="19" s="1"/>
  <c r="B1632" i="19"/>
  <c r="I1632" i="19" s="1"/>
  <c r="B1633" i="19"/>
  <c r="I1633" i="19" s="1"/>
  <c r="B1634" i="19"/>
  <c r="I1634" i="19" s="1"/>
  <c r="B1635" i="19"/>
  <c r="I1635" i="19" s="1"/>
  <c r="B1636" i="19"/>
  <c r="I1636" i="19" s="1"/>
  <c r="B1637" i="19"/>
  <c r="I1637" i="19" s="1"/>
  <c r="B1638" i="19"/>
  <c r="I1638" i="19" s="1"/>
  <c r="B1639" i="19"/>
  <c r="I1639" i="19" s="1"/>
  <c r="B1640" i="19"/>
  <c r="I1640" i="19" s="1"/>
  <c r="B1641" i="19"/>
  <c r="I1641" i="19" s="1"/>
  <c r="B1642" i="19"/>
  <c r="I1642" i="19" s="1"/>
  <c r="B1643" i="19"/>
  <c r="I1643" i="19" s="1"/>
  <c r="B1644" i="19"/>
  <c r="I1644" i="19" s="1"/>
  <c r="B1645" i="19"/>
  <c r="I1645" i="19" s="1"/>
  <c r="B1646" i="19"/>
  <c r="I1646" i="19" s="1"/>
  <c r="B1647" i="19"/>
  <c r="I1647" i="19" s="1"/>
  <c r="B1648" i="19"/>
  <c r="I1648" i="19" s="1"/>
  <c r="B1649" i="19"/>
  <c r="I1649" i="19" s="1"/>
  <c r="B1650" i="19"/>
  <c r="I1650" i="19" s="1"/>
  <c r="B1651" i="19"/>
  <c r="I1651" i="19" s="1"/>
  <c r="B1652" i="19"/>
  <c r="I1652" i="19" s="1"/>
  <c r="B1653" i="19"/>
  <c r="I1653" i="19" s="1"/>
  <c r="B1654" i="19"/>
  <c r="I1654" i="19" s="1"/>
  <c r="B1655" i="19"/>
  <c r="I1655" i="19" s="1"/>
  <c r="B1656" i="19"/>
  <c r="I1656" i="19" s="1"/>
  <c r="B1657" i="19"/>
  <c r="I1657" i="19" s="1"/>
  <c r="B1658" i="19"/>
  <c r="I1658" i="19" s="1"/>
  <c r="B1659" i="19"/>
  <c r="I1659" i="19" s="1"/>
  <c r="B1660" i="19"/>
  <c r="I1660" i="19" s="1"/>
  <c r="B1661" i="19"/>
  <c r="I1661" i="19" s="1"/>
  <c r="B1662" i="19"/>
  <c r="I1662" i="19" s="1"/>
  <c r="B1663" i="19"/>
  <c r="I1663" i="19" s="1"/>
  <c r="B1664" i="19"/>
  <c r="I1664" i="19" s="1"/>
  <c r="B1665" i="19"/>
  <c r="I1665" i="19" s="1"/>
  <c r="B1666" i="19"/>
  <c r="I1666" i="19" s="1"/>
  <c r="B1667" i="19"/>
  <c r="I1667" i="19" s="1"/>
  <c r="B1668" i="19"/>
  <c r="I1668" i="19" s="1"/>
  <c r="B1669" i="19"/>
  <c r="I1669" i="19" s="1"/>
  <c r="B1670" i="19"/>
  <c r="I1670" i="19" s="1"/>
  <c r="B1671" i="19"/>
  <c r="I1671" i="19" s="1"/>
  <c r="B1672" i="19"/>
  <c r="I1672" i="19" s="1"/>
  <c r="B1673" i="19"/>
  <c r="I1673" i="19" s="1"/>
  <c r="B1674" i="19"/>
  <c r="I1674" i="19" s="1"/>
  <c r="B1675" i="19"/>
  <c r="I1675" i="19" s="1"/>
  <c r="B1676" i="19"/>
  <c r="I1676" i="19" s="1"/>
  <c r="B1677" i="19"/>
  <c r="I1677" i="19" s="1"/>
  <c r="B1678" i="19"/>
  <c r="I1678" i="19" s="1"/>
  <c r="B1679" i="19"/>
  <c r="I1679" i="19" s="1"/>
  <c r="B1680" i="19"/>
  <c r="I1680" i="19" s="1"/>
  <c r="B1681" i="19"/>
  <c r="I1681" i="19" s="1"/>
  <c r="B1682" i="19"/>
  <c r="I1682" i="19" s="1"/>
  <c r="B1683" i="19"/>
  <c r="I1683" i="19" s="1"/>
  <c r="B1684" i="19"/>
  <c r="I1684" i="19" s="1"/>
  <c r="B1685" i="19"/>
  <c r="I1685" i="19" s="1"/>
  <c r="B1686" i="19"/>
  <c r="I1686" i="19" s="1"/>
  <c r="B1687" i="19"/>
  <c r="I1687" i="19" s="1"/>
  <c r="B1688" i="19"/>
  <c r="I1688" i="19" s="1"/>
  <c r="B1689" i="19"/>
  <c r="I1689" i="19" s="1"/>
  <c r="B1690" i="19"/>
  <c r="I1690" i="19" s="1"/>
  <c r="B1691" i="19"/>
  <c r="I1691" i="19" s="1"/>
  <c r="B1692" i="19"/>
  <c r="I1692" i="19" s="1"/>
  <c r="B1693" i="19"/>
  <c r="I1693" i="19" s="1"/>
  <c r="B1694" i="19"/>
  <c r="I1694" i="19" s="1"/>
  <c r="B1695" i="19"/>
  <c r="I1695" i="19" s="1"/>
  <c r="B1696" i="19"/>
  <c r="I1696" i="19" s="1"/>
  <c r="B1697" i="19"/>
  <c r="I1697" i="19" s="1"/>
  <c r="B1698" i="19"/>
  <c r="I1698" i="19" s="1"/>
  <c r="B1699" i="19"/>
  <c r="I1699" i="19" s="1"/>
  <c r="B1700" i="19"/>
  <c r="I1700" i="19" s="1"/>
  <c r="B1701" i="19"/>
  <c r="I1701" i="19" s="1"/>
  <c r="B1702" i="19"/>
  <c r="I1702" i="19" s="1"/>
  <c r="B1703" i="19"/>
  <c r="I1703" i="19" s="1"/>
  <c r="B1704" i="19"/>
  <c r="I1704" i="19" s="1"/>
  <c r="B1705" i="19"/>
  <c r="I1705" i="19" s="1"/>
  <c r="B1706" i="19"/>
  <c r="I1706" i="19" s="1"/>
  <c r="B1707" i="19"/>
  <c r="I1707" i="19" s="1"/>
  <c r="B1708" i="19"/>
  <c r="I1708" i="19" s="1"/>
  <c r="B1709" i="19"/>
  <c r="I1709" i="19" s="1"/>
  <c r="B1710" i="19"/>
  <c r="I1710" i="19" s="1"/>
  <c r="B1711" i="19"/>
  <c r="I1711" i="19" s="1"/>
  <c r="B1712" i="19"/>
  <c r="I1712" i="19" s="1"/>
  <c r="B1713" i="19"/>
  <c r="I1713" i="19" s="1"/>
  <c r="B1714" i="19"/>
  <c r="I1714" i="19" s="1"/>
  <c r="B1715" i="19"/>
  <c r="I1715" i="19" s="1"/>
  <c r="B1716" i="19"/>
  <c r="I1716" i="19" s="1"/>
  <c r="B1717" i="19"/>
  <c r="I1717" i="19" s="1"/>
  <c r="B1718" i="19"/>
  <c r="I1718" i="19" s="1"/>
  <c r="B1719" i="19"/>
  <c r="I1719" i="19" s="1"/>
  <c r="B1720" i="19"/>
  <c r="I1720" i="19" s="1"/>
  <c r="B1721" i="19"/>
  <c r="I1721" i="19" s="1"/>
  <c r="B1722" i="19"/>
  <c r="I1722" i="19" s="1"/>
  <c r="B1723" i="19"/>
  <c r="I1723" i="19" s="1"/>
  <c r="B1724" i="19"/>
  <c r="I1724" i="19" s="1"/>
  <c r="B1725" i="19"/>
  <c r="I1725" i="19" s="1"/>
  <c r="B1726" i="19"/>
  <c r="I1726" i="19" s="1"/>
  <c r="B1347" i="19"/>
  <c r="F412" i="19"/>
  <c r="G412" i="19"/>
  <c r="H412" i="19"/>
  <c r="D2811" i="19"/>
  <c r="D2812" i="19"/>
  <c r="D2813" i="19"/>
  <c r="D2814" i="19"/>
  <c r="D2815" i="19"/>
  <c r="D2816" i="19"/>
  <c r="D2817" i="19"/>
  <c r="D2818" i="19"/>
  <c r="D2819" i="19"/>
  <c r="D2810" i="19"/>
  <c r="F1877" i="19"/>
  <c r="G1877" i="19"/>
  <c r="H1877" i="19"/>
  <c r="F1878" i="19"/>
  <c r="G1878" i="19"/>
  <c r="H1878" i="19"/>
  <c r="F1879" i="19"/>
  <c r="G1879" i="19"/>
  <c r="H1879" i="19"/>
  <c r="F1880" i="19"/>
  <c r="G1880" i="19"/>
  <c r="H1880" i="19"/>
  <c r="F1881" i="19"/>
  <c r="G1881" i="19"/>
  <c r="H1881" i="19"/>
  <c r="F1882" i="19"/>
  <c r="G1882" i="19"/>
  <c r="H1882" i="19"/>
  <c r="F1883" i="19"/>
  <c r="G1883" i="19"/>
  <c r="H1883" i="19"/>
  <c r="F1884" i="19"/>
  <c r="G1884" i="19"/>
  <c r="H1884" i="19"/>
  <c r="F1885" i="19"/>
  <c r="G1885" i="19"/>
  <c r="H1885" i="19"/>
  <c r="F1886" i="19"/>
  <c r="G1886" i="19"/>
  <c r="H1886" i="19"/>
  <c r="F1887" i="19"/>
  <c r="G1887" i="19"/>
  <c r="H1887" i="19"/>
  <c r="F1888" i="19"/>
  <c r="G1888" i="19"/>
  <c r="H1888" i="19"/>
  <c r="F1889" i="19"/>
  <c r="G1889" i="19"/>
  <c r="H1889" i="19"/>
  <c r="F1890" i="19"/>
  <c r="G1890" i="19"/>
  <c r="H1890" i="19"/>
  <c r="F1891" i="19"/>
  <c r="G1891" i="19"/>
  <c r="H1891" i="19"/>
  <c r="F1892" i="19"/>
  <c r="G1892" i="19"/>
  <c r="H1892" i="19"/>
  <c r="F1893" i="19"/>
  <c r="G1893" i="19"/>
  <c r="H1893" i="19"/>
  <c r="F1894" i="19"/>
  <c r="G1894" i="19"/>
  <c r="H1894" i="19"/>
  <c r="F1895" i="19"/>
  <c r="G1895" i="19"/>
  <c r="H1895" i="19"/>
  <c r="F1896" i="19"/>
  <c r="G1896" i="19"/>
  <c r="H1896" i="19"/>
  <c r="F1897" i="19"/>
  <c r="G1897" i="19"/>
  <c r="H1897" i="19"/>
  <c r="F1898" i="19"/>
  <c r="G1898" i="19"/>
  <c r="H1898" i="19"/>
  <c r="F1899" i="19"/>
  <c r="G1899" i="19"/>
  <c r="H1899" i="19"/>
  <c r="F1900" i="19"/>
  <c r="G1900" i="19"/>
  <c r="H1900" i="19"/>
  <c r="F1901" i="19"/>
  <c r="G1901" i="19"/>
  <c r="H1901" i="19"/>
  <c r="F1902" i="19"/>
  <c r="G1902" i="19"/>
  <c r="H1902" i="19"/>
  <c r="F1903" i="19"/>
  <c r="G1903" i="19"/>
  <c r="H1903" i="19"/>
  <c r="F1904" i="19"/>
  <c r="G1904" i="19"/>
  <c r="H1904" i="19"/>
  <c r="F1905" i="19"/>
  <c r="G1905" i="19"/>
  <c r="H1905" i="19"/>
  <c r="F1906" i="19"/>
  <c r="G1906" i="19"/>
  <c r="H1906" i="19"/>
  <c r="F1907" i="19"/>
  <c r="G1907" i="19"/>
  <c r="H1907" i="19"/>
  <c r="F1908" i="19"/>
  <c r="G1908" i="19"/>
  <c r="H1908" i="19"/>
  <c r="F1909" i="19"/>
  <c r="G1909" i="19"/>
  <c r="H1909" i="19"/>
  <c r="F1910" i="19"/>
  <c r="G1910" i="19"/>
  <c r="H1910" i="19"/>
  <c r="F1911" i="19"/>
  <c r="G1911" i="19"/>
  <c r="H1911" i="19"/>
  <c r="F1912" i="19"/>
  <c r="G1912" i="19"/>
  <c r="H1912" i="19"/>
  <c r="F1913" i="19"/>
  <c r="G1913" i="19"/>
  <c r="H1913" i="19"/>
  <c r="F1914" i="19"/>
  <c r="G1914" i="19"/>
  <c r="H1914" i="19"/>
  <c r="F1915" i="19"/>
  <c r="G1915" i="19"/>
  <c r="H1915" i="19"/>
  <c r="F1916" i="19"/>
  <c r="G1916" i="19"/>
  <c r="H1916" i="19"/>
  <c r="F1917" i="19"/>
  <c r="G1917" i="19"/>
  <c r="H1917" i="19"/>
  <c r="F1918" i="19"/>
  <c r="G1918" i="19"/>
  <c r="H1918" i="19"/>
  <c r="F1919" i="19"/>
  <c r="G1919" i="19"/>
  <c r="H1919" i="19"/>
  <c r="F1920" i="19"/>
  <c r="G1920" i="19"/>
  <c r="H1920" i="19"/>
  <c r="F1921" i="19"/>
  <c r="G1921" i="19"/>
  <c r="H1921" i="19"/>
  <c r="F1922" i="19"/>
  <c r="G1922" i="19"/>
  <c r="H1922" i="19"/>
  <c r="F1923" i="19"/>
  <c r="G1923" i="19"/>
  <c r="H1923" i="19"/>
  <c r="F1924" i="19"/>
  <c r="G1924" i="19"/>
  <c r="H1924" i="19"/>
  <c r="F1925" i="19"/>
  <c r="G1925" i="19"/>
  <c r="H1925" i="19"/>
  <c r="F1926" i="19"/>
  <c r="G1926" i="19"/>
  <c r="H1926" i="19"/>
  <c r="F1927" i="19"/>
  <c r="G1927" i="19"/>
  <c r="H1927" i="19"/>
  <c r="F1928" i="19"/>
  <c r="G1928" i="19"/>
  <c r="H1928" i="19"/>
  <c r="F1929" i="19"/>
  <c r="G1929" i="19"/>
  <c r="H1929" i="19"/>
  <c r="F1930" i="19"/>
  <c r="G1930" i="19"/>
  <c r="H1930" i="19"/>
  <c r="F1931" i="19"/>
  <c r="G1931" i="19"/>
  <c r="H1931" i="19"/>
  <c r="F1932" i="19"/>
  <c r="G1932" i="19"/>
  <c r="H1932" i="19"/>
  <c r="F1933" i="19"/>
  <c r="G1933" i="19"/>
  <c r="H1933" i="19"/>
  <c r="F1934" i="19"/>
  <c r="G1934" i="19"/>
  <c r="H1934" i="19"/>
  <c r="F1935" i="19"/>
  <c r="G1935" i="19"/>
  <c r="H1935" i="19"/>
  <c r="F1936" i="19"/>
  <c r="G1936" i="19"/>
  <c r="H1936" i="19"/>
  <c r="F1937" i="19"/>
  <c r="G1937" i="19"/>
  <c r="H1937" i="19"/>
  <c r="F1938" i="19"/>
  <c r="G1938" i="19"/>
  <c r="H1938" i="19"/>
  <c r="F1939" i="19"/>
  <c r="G1939" i="19"/>
  <c r="H1939" i="19"/>
  <c r="F1940" i="19"/>
  <c r="G1940" i="19"/>
  <c r="H1940" i="19"/>
  <c r="F1941" i="19"/>
  <c r="G1941" i="19"/>
  <c r="H1941" i="19"/>
  <c r="F1942" i="19"/>
  <c r="G1942" i="19"/>
  <c r="H1942" i="19"/>
  <c r="F1943" i="19"/>
  <c r="G1943" i="19"/>
  <c r="H1943" i="19"/>
  <c r="F1944" i="19"/>
  <c r="G1944" i="19"/>
  <c r="H1944" i="19"/>
  <c r="F1945" i="19"/>
  <c r="G1945" i="19"/>
  <c r="H1945" i="19"/>
  <c r="F1946" i="19"/>
  <c r="G1946" i="19"/>
  <c r="H1946" i="19"/>
  <c r="F1947" i="19"/>
  <c r="G1947" i="19"/>
  <c r="H1947" i="19"/>
  <c r="F1948" i="19"/>
  <c r="G1948" i="19"/>
  <c r="H1948" i="19"/>
  <c r="F1949" i="19"/>
  <c r="G1949" i="19"/>
  <c r="H1949" i="19"/>
  <c r="F1950" i="19"/>
  <c r="G1950" i="19"/>
  <c r="H1950" i="19"/>
  <c r="F1951" i="19"/>
  <c r="G1951" i="19"/>
  <c r="H1951" i="19"/>
  <c r="F1952" i="19"/>
  <c r="G1952" i="19"/>
  <c r="H1952" i="19"/>
  <c r="F1953" i="19"/>
  <c r="G1953" i="19"/>
  <c r="H1953" i="19"/>
  <c r="F1954" i="19"/>
  <c r="G1954" i="19"/>
  <c r="H1954" i="19"/>
  <c r="F1955" i="19"/>
  <c r="G1955" i="19"/>
  <c r="H1955" i="19"/>
  <c r="F1956" i="19"/>
  <c r="G1956" i="19"/>
  <c r="H1956" i="19"/>
  <c r="F1957" i="19"/>
  <c r="G1957" i="19"/>
  <c r="H1957" i="19"/>
  <c r="F1958" i="19"/>
  <c r="G1958" i="19"/>
  <c r="H1958" i="19"/>
  <c r="F1959" i="19"/>
  <c r="G1959" i="19"/>
  <c r="H1959" i="19"/>
  <c r="F1960" i="19"/>
  <c r="G1960" i="19"/>
  <c r="H1960" i="19"/>
  <c r="F1961" i="19"/>
  <c r="G1961" i="19"/>
  <c r="H1961" i="19"/>
  <c r="F1962" i="19"/>
  <c r="G1962" i="19"/>
  <c r="H1962" i="19"/>
  <c r="F1963" i="19"/>
  <c r="G1963" i="19"/>
  <c r="H1963" i="19"/>
  <c r="F1964" i="19"/>
  <c r="G1964" i="19"/>
  <c r="H1964" i="19"/>
  <c r="F1965" i="19"/>
  <c r="G1965" i="19"/>
  <c r="H1965" i="19"/>
  <c r="F1966" i="19"/>
  <c r="G1966" i="19"/>
  <c r="H1966" i="19"/>
  <c r="F1967" i="19"/>
  <c r="G1967" i="19"/>
  <c r="H1967" i="19"/>
  <c r="F1968" i="19"/>
  <c r="G1968" i="19"/>
  <c r="H1968" i="19"/>
  <c r="F1969" i="19"/>
  <c r="G1969" i="19"/>
  <c r="H1969" i="19"/>
  <c r="F1970" i="19"/>
  <c r="G1970" i="19"/>
  <c r="H1970" i="19"/>
  <c r="F1971" i="19"/>
  <c r="G1971" i="19"/>
  <c r="H1971" i="19"/>
  <c r="F1972" i="19"/>
  <c r="G1972" i="19"/>
  <c r="H1972" i="19"/>
  <c r="F1973" i="19"/>
  <c r="G1973" i="19"/>
  <c r="H1973" i="19"/>
  <c r="F1974" i="19"/>
  <c r="G1974" i="19"/>
  <c r="H1974" i="19"/>
  <c r="F1975" i="19"/>
  <c r="G1975" i="19"/>
  <c r="H1975" i="19"/>
  <c r="F1976" i="19"/>
  <c r="G1976" i="19"/>
  <c r="H1976" i="19"/>
  <c r="F1977" i="19"/>
  <c r="G1977" i="19"/>
  <c r="H1977" i="19"/>
  <c r="F1978" i="19"/>
  <c r="G1978" i="19"/>
  <c r="H1978" i="19"/>
  <c r="F1979" i="19"/>
  <c r="G1979" i="19"/>
  <c r="H1979" i="19"/>
  <c r="F1980" i="19"/>
  <c r="G1980" i="19"/>
  <c r="H1980" i="19"/>
  <c r="F1981" i="19"/>
  <c r="G1981" i="19"/>
  <c r="H1981" i="19"/>
  <c r="F1982" i="19"/>
  <c r="G1982" i="19"/>
  <c r="H1982" i="19"/>
  <c r="F1983" i="19"/>
  <c r="G1983" i="19"/>
  <c r="H1983" i="19"/>
  <c r="F1984" i="19"/>
  <c r="G1984" i="19"/>
  <c r="H1984" i="19"/>
  <c r="F1985" i="19"/>
  <c r="G1985" i="19"/>
  <c r="H1985" i="19"/>
  <c r="F1986" i="19"/>
  <c r="G1986" i="19"/>
  <c r="H1986" i="19"/>
  <c r="F1987" i="19"/>
  <c r="G1987" i="19"/>
  <c r="H1987" i="19"/>
  <c r="F1988" i="19"/>
  <c r="G1988" i="19"/>
  <c r="H1988" i="19"/>
  <c r="F1989" i="19"/>
  <c r="G1989" i="19"/>
  <c r="H1989" i="19"/>
  <c r="F1990" i="19"/>
  <c r="G1990" i="19"/>
  <c r="H1990" i="19"/>
  <c r="F1991" i="19"/>
  <c r="G1991" i="19"/>
  <c r="H1991" i="19"/>
  <c r="F1992" i="19"/>
  <c r="G1992" i="19"/>
  <c r="H1992" i="19"/>
  <c r="F1993" i="19"/>
  <c r="G1993" i="19"/>
  <c r="H1993" i="19"/>
  <c r="F1994" i="19"/>
  <c r="G1994" i="19"/>
  <c r="H1994" i="19"/>
  <c r="F1995" i="19"/>
  <c r="G1995" i="19"/>
  <c r="H1995" i="19"/>
  <c r="F1996" i="19"/>
  <c r="G1996" i="19"/>
  <c r="H1996" i="19"/>
  <c r="F1997" i="19"/>
  <c r="G1997" i="19"/>
  <c r="H1997" i="19"/>
  <c r="F1998" i="19"/>
  <c r="G1998" i="19"/>
  <c r="H1998" i="19"/>
  <c r="F1999" i="19"/>
  <c r="G1999" i="19"/>
  <c r="H1999" i="19"/>
  <c r="F2000" i="19"/>
  <c r="G2000" i="19"/>
  <c r="H2000" i="19"/>
  <c r="F2001" i="19"/>
  <c r="G2001" i="19"/>
  <c r="H2001" i="19"/>
  <c r="F2002" i="19"/>
  <c r="G2002" i="19"/>
  <c r="H2002" i="19"/>
  <c r="F2003" i="19"/>
  <c r="G2003" i="19"/>
  <c r="H2003" i="19"/>
  <c r="F2004" i="19"/>
  <c r="G2004" i="19"/>
  <c r="H2004" i="19"/>
  <c r="F2005" i="19"/>
  <c r="G2005" i="19"/>
  <c r="H2005" i="19"/>
  <c r="F2006" i="19"/>
  <c r="G2006" i="19"/>
  <c r="H2006" i="19"/>
  <c r="F2007" i="19"/>
  <c r="G2007" i="19"/>
  <c r="H2007" i="19"/>
  <c r="F2008" i="19"/>
  <c r="G2008" i="19"/>
  <c r="H2008" i="19"/>
  <c r="F2009" i="19"/>
  <c r="G2009" i="19"/>
  <c r="H2009" i="19"/>
  <c r="F2010" i="19"/>
  <c r="G2010" i="19"/>
  <c r="H2010" i="19"/>
  <c r="F2011" i="19"/>
  <c r="G2011" i="19"/>
  <c r="H2011" i="19"/>
  <c r="F2012" i="19"/>
  <c r="G2012" i="19"/>
  <c r="H2012" i="19"/>
  <c r="F2013" i="19"/>
  <c r="G2013" i="19"/>
  <c r="H2013" i="19"/>
  <c r="F2014" i="19"/>
  <c r="G2014" i="19"/>
  <c r="H2014" i="19"/>
  <c r="F2015" i="19"/>
  <c r="G2015" i="19"/>
  <c r="H2015" i="19"/>
  <c r="F2016" i="19"/>
  <c r="G2016" i="19"/>
  <c r="H2016" i="19"/>
  <c r="F2017" i="19"/>
  <c r="G2017" i="19"/>
  <c r="H2017" i="19"/>
  <c r="F2018" i="19"/>
  <c r="G2018" i="19"/>
  <c r="H2018" i="19"/>
  <c r="F2019" i="19"/>
  <c r="G2019" i="19"/>
  <c r="H2019" i="19"/>
  <c r="F2020" i="19"/>
  <c r="G2020" i="19"/>
  <c r="H2020" i="19"/>
  <c r="F2021" i="19"/>
  <c r="G2021" i="19"/>
  <c r="H2021" i="19"/>
  <c r="F2022" i="19"/>
  <c r="G2022" i="19"/>
  <c r="H2022" i="19"/>
  <c r="F2023" i="19"/>
  <c r="G2023" i="19"/>
  <c r="H2023" i="19"/>
  <c r="F2024" i="19"/>
  <c r="G2024" i="19"/>
  <c r="H2024" i="19"/>
  <c r="F2025" i="19"/>
  <c r="G2025" i="19"/>
  <c r="H2025" i="19"/>
  <c r="F2026" i="19"/>
  <c r="G2026" i="19"/>
  <c r="H2026" i="19"/>
  <c r="F2027" i="19"/>
  <c r="G2027" i="19"/>
  <c r="H2027" i="19"/>
  <c r="F2028" i="19"/>
  <c r="G2028" i="19"/>
  <c r="H2028" i="19"/>
  <c r="F2029" i="19"/>
  <c r="G2029" i="19"/>
  <c r="H2029" i="19"/>
  <c r="F2030" i="19"/>
  <c r="G2030" i="19"/>
  <c r="H2030" i="19"/>
  <c r="F2031" i="19"/>
  <c r="G2031" i="19"/>
  <c r="H2031" i="19"/>
  <c r="F2032" i="19"/>
  <c r="G2032" i="19"/>
  <c r="H2032" i="19"/>
  <c r="F2033" i="19"/>
  <c r="G2033" i="19"/>
  <c r="H2033" i="19"/>
  <c r="F2034" i="19"/>
  <c r="G2034" i="19"/>
  <c r="H2034" i="19"/>
  <c r="F2035" i="19"/>
  <c r="G2035" i="19"/>
  <c r="H2035" i="19"/>
  <c r="F2036" i="19"/>
  <c r="G2036" i="19"/>
  <c r="H2036" i="19"/>
  <c r="F2037" i="19"/>
  <c r="G2037" i="19"/>
  <c r="H2037" i="19"/>
  <c r="F2038" i="19"/>
  <c r="G2038" i="19"/>
  <c r="H2038" i="19"/>
  <c r="F2039" i="19"/>
  <c r="G2039" i="19"/>
  <c r="H2039" i="19"/>
  <c r="F2040" i="19"/>
  <c r="G2040" i="19"/>
  <c r="H2040" i="19"/>
  <c r="F2041" i="19"/>
  <c r="G2041" i="19"/>
  <c r="H2041" i="19"/>
  <c r="F2042" i="19"/>
  <c r="G2042" i="19"/>
  <c r="H2042" i="19"/>
  <c r="F2043" i="19"/>
  <c r="G2043" i="19"/>
  <c r="H2043" i="19"/>
  <c r="F2044" i="19"/>
  <c r="G2044" i="19"/>
  <c r="H2044" i="19"/>
  <c r="H1876" i="19"/>
  <c r="G1876" i="19"/>
  <c r="F1876" i="19"/>
  <c r="D1110" i="55"/>
  <c r="D1111" i="55"/>
  <c r="D1112" i="55"/>
  <c r="D1113" i="55"/>
  <c r="D1114" i="55"/>
  <c r="D1115" i="55"/>
  <c r="D1116" i="55"/>
  <c r="D1117" i="55"/>
  <c r="D1118" i="55"/>
  <c r="D1119" i="55"/>
  <c r="D1120" i="55"/>
  <c r="D1121" i="55"/>
  <c r="D1122" i="55"/>
  <c r="D1123" i="55"/>
  <c r="D1124" i="55"/>
  <c r="D1125" i="55"/>
  <c r="D1126" i="55"/>
  <c r="D1127" i="55"/>
  <c r="D1128" i="55"/>
  <c r="D1129" i="55"/>
  <c r="D1130" i="55"/>
  <c r="D1131" i="55"/>
  <c r="D1132" i="55"/>
  <c r="D1133" i="55"/>
  <c r="D1134" i="55"/>
  <c r="D1135" i="55"/>
  <c r="D1136" i="55"/>
  <c r="D1137" i="55"/>
  <c r="D1138" i="55"/>
  <c r="D1139" i="55"/>
  <c r="D1140" i="55"/>
  <c r="D1141" i="55"/>
  <c r="D1142" i="55"/>
  <c r="D1143" i="55"/>
  <c r="D1144" i="55"/>
  <c r="D1145" i="55"/>
  <c r="D1146" i="55"/>
  <c r="D1147" i="55"/>
  <c r="D1148" i="55"/>
  <c r="D1149" i="55"/>
  <c r="D1150" i="55"/>
  <c r="D1151" i="55"/>
  <c r="D1152" i="55"/>
  <c r="D1153" i="55"/>
  <c r="D1154" i="55"/>
  <c r="D1155" i="55"/>
  <c r="D1156" i="55"/>
  <c r="D1157" i="55"/>
  <c r="D1158" i="55"/>
  <c r="D1159" i="55"/>
  <c r="D1160" i="55"/>
  <c r="D1161" i="55"/>
  <c r="D1162" i="55"/>
  <c r="D1163" i="55"/>
  <c r="D1164" i="55"/>
  <c r="D1165" i="55"/>
  <c r="D1166" i="55"/>
  <c r="D1167" i="55"/>
  <c r="D1168" i="55"/>
  <c r="D1169" i="55"/>
  <c r="D1170" i="55"/>
  <c r="D1171" i="55"/>
  <c r="D1172" i="55"/>
  <c r="D1173" i="55"/>
  <c r="D1174" i="55"/>
  <c r="D1175" i="55"/>
  <c r="D1176" i="55"/>
  <c r="D1177" i="55"/>
  <c r="D1178" i="55"/>
  <c r="D1179" i="55"/>
  <c r="D1180" i="55"/>
  <c r="D1181" i="55"/>
  <c r="D1182" i="55"/>
  <c r="D1183" i="55"/>
  <c r="D1184" i="55"/>
  <c r="D1185" i="55"/>
  <c r="D1186" i="55"/>
  <c r="D1187" i="55"/>
  <c r="D1188" i="55"/>
  <c r="D1189" i="55"/>
  <c r="D1190" i="55"/>
  <c r="D1191" i="55"/>
  <c r="D1192" i="55"/>
  <c r="D1193" i="55"/>
  <c r="D1194" i="55"/>
  <c r="D1195" i="55"/>
  <c r="D1196" i="55"/>
  <c r="D1197" i="55"/>
  <c r="D1198" i="55"/>
  <c r="D1199" i="55"/>
  <c r="D1200" i="55"/>
  <c r="D1201" i="55"/>
  <c r="D1202" i="55"/>
  <c r="D1203" i="55"/>
  <c r="D1204" i="55"/>
  <c r="D1205" i="55"/>
  <c r="D1206" i="55"/>
  <c r="D1207" i="55"/>
  <c r="D1208" i="55"/>
  <c r="D1209" i="55"/>
  <c r="D1210" i="55"/>
  <c r="D1211" i="55"/>
  <c r="D1212" i="55"/>
  <c r="D1213" i="55"/>
  <c r="D1214" i="55"/>
  <c r="D1215" i="55"/>
  <c r="D1216" i="55"/>
  <c r="D1217" i="55"/>
  <c r="D1218" i="55"/>
  <c r="D1219" i="55"/>
  <c r="D1220" i="55"/>
  <c r="D1221" i="55"/>
  <c r="D1222" i="55"/>
  <c r="D1223" i="55"/>
  <c r="D1224" i="55"/>
  <c r="D1225" i="55"/>
  <c r="D1226" i="55"/>
  <c r="D1227" i="55"/>
  <c r="D1228" i="55"/>
  <c r="D1229" i="55"/>
  <c r="D1230" i="55"/>
  <c r="D1231" i="55"/>
  <c r="D1232" i="55"/>
  <c r="D1233" i="55"/>
  <c r="D1234" i="55"/>
  <c r="D1235" i="55"/>
  <c r="D1236" i="55"/>
  <c r="D1237" i="55"/>
  <c r="D1238" i="55"/>
  <c r="D1239" i="55"/>
  <c r="D1240" i="55"/>
  <c r="D1241" i="55"/>
  <c r="D1242" i="55"/>
  <c r="D1243" i="55"/>
  <c r="D1244" i="55"/>
  <c r="D1245" i="55"/>
  <c r="D1246" i="55"/>
  <c r="D1247" i="55"/>
  <c r="D1248" i="55"/>
  <c r="D1249" i="55"/>
  <c r="D1250" i="55"/>
  <c r="D1251" i="55"/>
  <c r="D1252" i="55"/>
  <c r="D1253" i="55"/>
  <c r="D1254" i="55"/>
  <c r="D1255" i="55"/>
  <c r="D1256" i="55"/>
  <c r="D1257" i="55"/>
  <c r="D1258" i="55"/>
  <c r="D1259" i="55"/>
  <c r="D1260" i="55"/>
  <c r="D1261" i="55"/>
  <c r="D1262" i="55"/>
  <c r="D1263" i="55"/>
  <c r="D1264" i="55"/>
  <c r="D1265" i="55"/>
  <c r="D1266" i="55"/>
  <c r="D1267" i="55"/>
  <c r="D1268" i="55"/>
  <c r="D1269" i="55"/>
  <c r="D1270" i="55"/>
  <c r="D1271" i="55"/>
  <c r="D1272" i="55"/>
  <c r="D1273" i="55"/>
  <c r="D1274" i="55"/>
  <c r="D1275" i="55"/>
  <c r="D1276" i="55"/>
  <c r="D1277" i="55"/>
  <c r="D1278" i="55"/>
  <c r="D1279" i="55"/>
  <c r="D1280" i="55"/>
  <c r="D1281" i="55"/>
  <c r="D1282" i="55"/>
  <c r="D1283" i="55"/>
  <c r="D1284" i="55"/>
  <c r="D1285" i="55"/>
  <c r="D1286" i="55"/>
  <c r="D1287" i="55"/>
  <c r="D1288" i="55"/>
  <c r="D1289" i="55"/>
  <c r="D1290" i="55"/>
  <c r="D1291" i="55"/>
  <c r="D1292" i="55"/>
  <c r="D1293" i="55"/>
  <c r="D1294" i="55"/>
  <c r="D1295" i="55"/>
  <c r="D1296" i="55"/>
  <c r="D1297" i="55"/>
  <c r="D1298" i="55"/>
  <c r="D1299" i="55"/>
  <c r="D1300" i="55"/>
  <c r="D1301" i="55"/>
  <c r="D1302" i="55"/>
  <c r="D1303" i="55"/>
  <c r="D1304" i="55"/>
  <c r="D1305" i="55"/>
  <c r="D1306" i="55"/>
  <c r="D1307" i="55"/>
  <c r="D1308" i="55"/>
  <c r="D1309" i="55"/>
  <c r="D1310" i="55"/>
  <c r="D1311" i="55"/>
  <c r="D1312" i="55"/>
  <c r="D1313" i="55"/>
  <c r="D1314" i="55"/>
  <c r="D1315" i="55"/>
  <c r="D1316" i="55"/>
  <c r="D1317" i="55"/>
  <c r="D1318" i="55"/>
  <c r="D1319" i="55"/>
  <c r="D1320" i="55"/>
  <c r="D1321" i="55"/>
  <c r="D1322" i="55"/>
  <c r="D1323" i="55"/>
  <c r="D1324" i="55"/>
  <c r="D1325" i="55"/>
  <c r="D1326" i="55"/>
  <c r="D1327" i="55"/>
  <c r="D1328" i="55"/>
  <c r="D1329" i="55"/>
  <c r="D1330" i="55"/>
  <c r="D1331" i="55"/>
  <c r="D1332" i="55"/>
  <c r="D1333" i="55"/>
  <c r="D1334" i="55"/>
  <c r="D1335" i="55"/>
  <c r="D1336" i="55"/>
  <c r="D1337" i="55"/>
  <c r="D1338" i="55"/>
  <c r="D1339" i="55"/>
  <c r="D1340" i="55"/>
  <c r="D1341" i="55"/>
  <c r="D1342" i="55"/>
  <c r="F2046" i="19"/>
  <c r="F2047" i="19"/>
  <c r="F2048" i="19"/>
  <c r="F2049" i="19"/>
  <c r="F2050" i="19"/>
  <c r="F2051" i="19"/>
  <c r="F2052" i="19"/>
  <c r="F2053" i="19"/>
  <c r="F2054" i="19"/>
  <c r="F2055" i="19"/>
  <c r="F2056" i="19"/>
  <c r="F2057" i="19"/>
  <c r="F2058" i="19"/>
  <c r="F2059" i="19"/>
  <c r="F2060" i="19"/>
  <c r="F2061" i="19"/>
  <c r="F2062" i="19"/>
  <c r="F2063" i="19"/>
  <c r="F2064" i="19"/>
  <c r="F2065" i="19"/>
  <c r="F2066" i="19"/>
  <c r="F2067" i="19"/>
  <c r="F2068" i="19"/>
  <c r="F2069" i="19"/>
  <c r="F2070" i="19"/>
  <c r="F2071" i="19"/>
  <c r="F2072" i="19"/>
  <c r="F2073" i="19"/>
  <c r="F2074" i="19"/>
  <c r="F2075" i="19"/>
  <c r="F2076" i="19"/>
  <c r="F2077" i="19"/>
  <c r="F2078" i="19"/>
  <c r="F2079" i="19"/>
  <c r="F2080" i="19"/>
  <c r="F2081" i="19"/>
  <c r="F2082" i="19"/>
  <c r="F2083" i="19"/>
  <c r="F2084" i="19"/>
  <c r="F2085" i="19"/>
  <c r="F2086" i="19"/>
  <c r="F2087" i="19"/>
  <c r="F2088" i="19"/>
  <c r="F2089" i="19"/>
  <c r="F2090" i="19"/>
  <c r="F2091" i="19"/>
  <c r="F2092" i="19"/>
  <c r="F2093" i="19"/>
  <c r="F2094" i="19"/>
  <c r="F2095" i="19"/>
  <c r="F2096" i="19"/>
  <c r="F2097" i="19"/>
  <c r="F2098" i="19"/>
  <c r="F2099" i="19"/>
  <c r="F2100" i="19"/>
  <c r="F2101" i="19"/>
  <c r="F2102" i="19"/>
  <c r="F2103" i="19"/>
  <c r="F2104" i="19"/>
  <c r="F2105" i="19"/>
  <c r="F2106" i="19"/>
  <c r="F2107" i="19"/>
  <c r="F2108" i="19"/>
  <c r="F2109" i="19"/>
  <c r="F2110" i="19"/>
  <c r="F2111" i="19"/>
  <c r="F2112" i="19"/>
  <c r="F2113" i="19"/>
  <c r="F2114" i="19"/>
  <c r="F2115" i="19"/>
  <c r="F2116" i="19"/>
  <c r="F2117" i="19"/>
  <c r="F2118" i="19"/>
  <c r="F2119" i="19"/>
  <c r="F2120" i="19"/>
  <c r="F2121" i="19"/>
  <c r="F2122" i="19"/>
  <c r="F2123" i="19"/>
  <c r="F2124" i="19"/>
  <c r="F2125" i="19"/>
  <c r="F2126" i="19"/>
  <c r="F2127" i="19"/>
  <c r="F2128" i="19"/>
  <c r="F2129" i="19"/>
  <c r="F2130" i="19"/>
  <c r="F2131" i="19"/>
  <c r="F2132" i="19"/>
  <c r="F2133" i="19"/>
  <c r="F2134" i="19"/>
  <c r="F2135" i="19"/>
  <c r="F2136" i="19"/>
  <c r="F2137" i="19"/>
  <c r="F2138" i="19"/>
  <c r="F2139" i="19"/>
  <c r="F2140" i="19"/>
  <c r="F2141" i="19"/>
  <c r="F2142" i="19"/>
  <c r="F2143" i="19"/>
  <c r="F2144" i="19"/>
  <c r="F2145" i="19"/>
  <c r="F2146" i="19"/>
  <c r="F2147" i="19"/>
  <c r="F2148" i="19"/>
  <c r="F2149" i="19"/>
  <c r="F2150" i="19"/>
  <c r="F2151" i="19"/>
  <c r="F2152" i="19"/>
  <c r="F2153" i="19"/>
  <c r="F2154" i="19"/>
  <c r="F2155" i="19"/>
  <c r="F2156" i="19"/>
  <c r="F2157" i="19"/>
  <c r="F2158" i="19"/>
  <c r="F2159" i="19"/>
  <c r="F2160" i="19"/>
  <c r="F2161" i="19"/>
  <c r="F2162" i="19"/>
  <c r="F2163" i="19"/>
  <c r="F2164" i="19"/>
  <c r="F2165" i="19"/>
  <c r="F2166" i="19"/>
  <c r="F2167" i="19"/>
  <c r="F2168" i="19"/>
  <c r="F2169" i="19"/>
  <c r="F2170" i="19"/>
  <c r="F2171" i="19"/>
  <c r="F2172" i="19"/>
  <c r="F2173" i="19"/>
  <c r="F2174" i="19"/>
  <c r="F2175" i="19"/>
  <c r="F2176" i="19"/>
  <c r="F2177" i="19"/>
  <c r="F2178" i="19"/>
  <c r="F2179" i="19"/>
  <c r="F2180" i="19"/>
  <c r="F2181" i="19"/>
  <c r="F2182" i="19"/>
  <c r="F2183" i="19"/>
  <c r="F2184" i="19"/>
  <c r="F2185" i="19"/>
  <c r="F2186" i="19"/>
  <c r="F2187" i="19"/>
  <c r="F2188" i="19"/>
  <c r="F2189" i="19"/>
  <c r="F2190" i="19"/>
  <c r="F2191" i="19"/>
  <c r="F2192" i="19"/>
  <c r="F2193" i="19"/>
  <c r="F2194" i="19"/>
  <c r="F2195" i="19"/>
  <c r="F2196" i="19"/>
  <c r="F2197" i="19"/>
  <c r="F2198" i="19"/>
  <c r="F2199" i="19"/>
  <c r="F2200" i="19"/>
  <c r="F2201" i="19"/>
  <c r="F2202" i="19"/>
  <c r="F2203" i="19"/>
  <c r="F2204" i="19"/>
  <c r="F2205" i="19"/>
  <c r="F2206" i="19"/>
  <c r="F2207" i="19"/>
  <c r="F2208" i="19"/>
  <c r="F2209" i="19"/>
  <c r="F2210" i="19"/>
  <c r="F2211" i="19"/>
  <c r="F2212" i="19"/>
  <c r="F2213" i="19"/>
  <c r="F2214" i="19"/>
  <c r="F2215" i="19"/>
  <c r="F2216" i="19"/>
  <c r="F2217" i="19"/>
  <c r="F2218" i="19"/>
  <c r="F2219" i="19"/>
  <c r="F2220" i="19"/>
  <c r="F2221" i="19"/>
  <c r="F2222" i="19"/>
  <c r="F2223" i="19"/>
  <c r="F2224" i="19"/>
  <c r="F2225" i="19"/>
  <c r="F2226" i="19"/>
  <c r="F2227" i="19"/>
  <c r="F2228" i="19"/>
  <c r="F2229" i="19"/>
  <c r="F2230" i="19"/>
  <c r="F2231" i="19"/>
  <c r="F2232" i="19"/>
  <c r="F2233" i="19"/>
  <c r="F2234" i="19"/>
  <c r="F2235" i="19"/>
  <c r="F2236" i="19"/>
  <c r="F2237" i="19"/>
  <c r="F2238" i="19"/>
  <c r="F2239" i="19"/>
  <c r="F2240" i="19"/>
  <c r="F2241" i="19"/>
  <c r="F2242" i="19"/>
  <c r="F2243" i="19"/>
  <c r="F2244" i="19"/>
  <c r="F2245" i="19"/>
  <c r="F2246" i="19"/>
  <c r="F2247" i="19"/>
  <c r="F2248" i="19"/>
  <c r="F2249" i="19"/>
  <c r="F2250" i="19"/>
  <c r="F2251" i="19"/>
  <c r="F2252" i="19"/>
  <c r="F2253" i="19"/>
  <c r="F2254" i="19"/>
  <c r="F2255" i="19"/>
  <c r="F2256" i="19"/>
  <c r="F2257" i="19"/>
  <c r="F2258" i="19"/>
  <c r="F2259" i="19"/>
  <c r="F2260" i="19"/>
  <c r="F2261" i="19"/>
  <c r="F2262" i="19"/>
  <c r="F2263" i="19"/>
  <c r="F2264" i="19"/>
  <c r="F2265" i="19"/>
  <c r="F2266" i="19"/>
  <c r="F2267" i="19"/>
  <c r="F2268" i="19"/>
  <c r="F2269" i="19"/>
  <c r="F2270" i="19"/>
  <c r="F2271" i="19"/>
  <c r="F2272" i="19"/>
  <c r="F2273" i="19"/>
  <c r="F2274" i="19"/>
  <c r="F2275" i="19"/>
  <c r="F2276" i="19"/>
  <c r="F2277" i="19"/>
  <c r="F2278" i="19"/>
  <c r="F2279" i="19"/>
  <c r="B1877" i="19"/>
  <c r="B1878" i="19"/>
  <c r="B1879" i="19"/>
  <c r="B1880" i="19"/>
  <c r="B1881" i="19"/>
  <c r="B1882" i="19"/>
  <c r="B1883" i="19"/>
  <c r="B1884" i="19"/>
  <c r="B1885" i="19"/>
  <c r="B1886" i="19"/>
  <c r="B1887" i="19"/>
  <c r="B1888" i="19"/>
  <c r="B1889" i="19"/>
  <c r="B1890" i="19"/>
  <c r="B1891" i="19"/>
  <c r="B1892" i="19"/>
  <c r="B1893" i="19"/>
  <c r="B1894" i="19"/>
  <c r="B1895" i="19"/>
  <c r="B1896" i="19"/>
  <c r="B1897" i="19"/>
  <c r="B1898" i="19"/>
  <c r="B1899" i="19"/>
  <c r="B1900" i="19"/>
  <c r="B1901" i="19"/>
  <c r="B1902" i="19"/>
  <c r="B1903" i="19"/>
  <c r="B1904" i="19"/>
  <c r="B1905" i="19"/>
  <c r="B1906" i="19"/>
  <c r="B1907" i="19"/>
  <c r="B1908" i="19"/>
  <c r="B1909" i="19"/>
  <c r="B1910" i="19"/>
  <c r="B1911" i="19"/>
  <c r="B1912" i="19"/>
  <c r="B1913" i="19"/>
  <c r="B1914" i="19"/>
  <c r="B1915" i="19"/>
  <c r="B1916" i="19"/>
  <c r="B1917" i="19"/>
  <c r="B1918" i="19"/>
  <c r="B1919" i="19"/>
  <c r="B1920" i="19"/>
  <c r="B1921" i="19"/>
  <c r="B1922" i="19"/>
  <c r="B1923" i="19"/>
  <c r="B1924" i="19"/>
  <c r="B1925" i="19"/>
  <c r="B1926" i="19"/>
  <c r="B1927" i="19"/>
  <c r="B1928" i="19"/>
  <c r="B1929" i="19"/>
  <c r="B1930" i="19"/>
  <c r="B1931" i="19"/>
  <c r="B1932" i="19"/>
  <c r="B1933" i="19"/>
  <c r="B1934" i="19"/>
  <c r="B1935" i="19"/>
  <c r="B1936" i="19"/>
  <c r="B1937" i="19"/>
  <c r="B1938" i="19"/>
  <c r="B1939" i="19"/>
  <c r="B1940" i="19"/>
  <c r="B1941" i="19"/>
  <c r="B1942" i="19"/>
  <c r="B1943" i="19"/>
  <c r="B1944" i="19"/>
  <c r="B1945" i="19"/>
  <c r="B1946" i="19"/>
  <c r="B1947" i="19"/>
  <c r="B1948" i="19"/>
  <c r="B1949" i="19"/>
  <c r="B1950" i="19"/>
  <c r="B1951" i="19"/>
  <c r="B1952" i="19"/>
  <c r="B1953" i="19"/>
  <c r="B1954" i="19"/>
  <c r="B1955" i="19"/>
  <c r="B1956" i="19"/>
  <c r="B1957" i="19"/>
  <c r="B1958" i="19"/>
  <c r="B1959" i="19"/>
  <c r="B1960" i="19"/>
  <c r="B1961" i="19"/>
  <c r="B1962" i="19"/>
  <c r="B1963" i="19"/>
  <c r="B1964" i="19"/>
  <c r="B1965" i="19"/>
  <c r="B1966" i="19"/>
  <c r="B1967" i="19"/>
  <c r="B1968" i="19"/>
  <c r="B1969" i="19"/>
  <c r="B1970" i="19"/>
  <c r="B1971" i="19"/>
  <c r="B1972" i="19"/>
  <c r="B1973" i="19"/>
  <c r="B1974" i="19"/>
  <c r="B1975" i="19"/>
  <c r="B1976" i="19"/>
  <c r="B1977" i="19"/>
  <c r="B1978" i="19"/>
  <c r="B1979" i="19"/>
  <c r="B1980" i="19"/>
  <c r="B1981" i="19"/>
  <c r="B1982" i="19"/>
  <c r="B1983" i="19"/>
  <c r="B1984" i="19"/>
  <c r="B1985" i="19"/>
  <c r="B1986" i="19"/>
  <c r="B1987" i="19"/>
  <c r="B1988" i="19"/>
  <c r="B1989" i="19"/>
  <c r="B1990" i="19"/>
  <c r="B1991" i="19"/>
  <c r="B1992" i="19"/>
  <c r="B1993" i="19"/>
  <c r="B1994" i="19"/>
  <c r="B1995" i="19"/>
  <c r="B1996" i="19"/>
  <c r="B1997" i="19"/>
  <c r="B1998" i="19"/>
  <c r="B1999" i="19"/>
  <c r="B2000" i="19"/>
  <c r="B2001" i="19"/>
  <c r="B2002" i="19"/>
  <c r="B2003" i="19"/>
  <c r="B2004" i="19"/>
  <c r="B2005" i="19"/>
  <c r="B2006" i="19"/>
  <c r="B2007" i="19"/>
  <c r="B2008" i="19"/>
  <c r="B2009" i="19"/>
  <c r="B2010" i="19"/>
  <c r="B2011" i="19"/>
  <c r="B2012" i="19"/>
  <c r="B2013" i="19"/>
  <c r="B2014" i="19"/>
  <c r="B2015" i="19"/>
  <c r="B2016" i="19"/>
  <c r="B2017" i="19"/>
  <c r="B2018" i="19"/>
  <c r="B2019" i="19"/>
  <c r="B2020" i="19"/>
  <c r="B2021" i="19"/>
  <c r="B2022" i="19"/>
  <c r="B2023" i="19"/>
  <c r="B2024" i="19"/>
  <c r="B2025" i="19"/>
  <c r="B2026" i="19"/>
  <c r="B2027" i="19"/>
  <c r="B2028" i="19"/>
  <c r="B2029" i="19"/>
  <c r="B2030" i="19"/>
  <c r="B2031" i="19"/>
  <c r="B2032" i="19"/>
  <c r="B2033" i="19"/>
  <c r="B2034" i="19"/>
  <c r="B2035" i="19"/>
  <c r="B2036" i="19"/>
  <c r="B2037" i="19"/>
  <c r="B2038" i="19"/>
  <c r="B2039" i="19"/>
  <c r="B2040" i="19"/>
  <c r="B2041" i="19"/>
  <c r="B2042" i="19"/>
  <c r="B2043" i="19"/>
  <c r="B2044" i="19"/>
  <c r="B1876" i="19"/>
  <c r="E179" i="55"/>
  <c r="G179" i="55" s="1"/>
  <c r="E400" i="55"/>
  <c r="G400" i="55" s="1"/>
  <c r="E401" i="55"/>
  <c r="G401" i="55" s="1"/>
  <c r="E402" i="55"/>
  <c r="G402" i="55" s="1"/>
  <c r="E403" i="55"/>
  <c r="G403" i="55" s="1"/>
  <c r="E404" i="55"/>
  <c r="G404" i="55" s="1"/>
  <c r="E405" i="55"/>
  <c r="G405" i="55" s="1"/>
  <c r="E406" i="55"/>
  <c r="G406" i="55" s="1"/>
  <c r="E407" i="55"/>
  <c r="G407" i="55" s="1"/>
  <c r="E408" i="55"/>
  <c r="G408" i="55" s="1"/>
  <c r="E409" i="55"/>
  <c r="G409" i="55" s="1"/>
  <c r="E410" i="55"/>
  <c r="G410" i="55" s="1"/>
  <c r="E411" i="55"/>
  <c r="G411" i="55" s="1"/>
  <c r="E412" i="55"/>
  <c r="G412" i="55" s="1"/>
  <c r="D178" i="55"/>
  <c r="C178" i="55"/>
  <c r="B178" i="55"/>
  <c r="E1304" i="35"/>
  <c r="E1299" i="35"/>
  <c r="E1294" i="35"/>
  <c r="E1289" i="35"/>
  <c r="E1282" i="35"/>
  <c r="F1304" i="35"/>
  <c r="F1299" i="35"/>
  <c r="F1294" i="35"/>
  <c r="F1289" i="35"/>
  <c r="F1282" i="35"/>
  <c r="B2910" i="19"/>
  <c r="B2899" i="19"/>
  <c r="F229" i="35"/>
  <c r="F228" i="35"/>
  <c r="F226" i="35"/>
  <c r="B413" i="55" l="1"/>
  <c r="I1347" i="19"/>
  <c r="A1090" i="55"/>
  <c r="C2839" i="21"/>
  <c r="C1090" i="55" s="1"/>
  <c r="F34" i="55"/>
  <c r="C2689" i="21"/>
  <c r="C940" i="55" s="1"/>
  <c r="F15" i="55"/>
  <c r="C2719" i="21"/>
  <c r="C970" i="55" s="1"/>
  <c r="C2711" i="21"/>
  <c r="C962" i="55" s="1"/>
  <c r="C2847" i="21"/>
  <c r="C1098" i="55" s="1"/>
  <c r="C2735" i="21"/>
  <c r="C986" i="55" s="1"/>
  <c r="C2807" i="21"/>
  <c r="C1058" i="55" s="1"/>
  <c r="G1756" i="21"/>
  <c r="F1309" i="35"/>
  <c r="I1989" i="19"/>
  <c r="I1901" i="19"/>
  <c r="I2021" i="19"/>
  <c r="I1933" i="19"/>
  <c r="I2029" i="19"/>
  <c r="I1941" i="19"/>
  <c r="I1978" i="19"/>
  <c r="I1890" i="19"/>
  <c r="I2797" i="19"/>
  <c r="I1949" i="19"/>
  <c r="I2037" i="19"/>
  <c r="I1970" i="19"/>
  <c r="I1882" i="19"/>
  <c r="I2010" i="19"/>
  <c r="I1922" i="19"/>
  <c r="I1965" i="19"/>
  <c r="I1877" i="19"/>
  <c r="I1986" i="19"/>
  <c r="I1898" i="19"/>
  <c r="I2742" i="19"/>
  <c r="I2741" i="19"/>
  <c r="I2718" i="19"/>
  <c r="I2725" i="19"/>
  <c r="I2790" i="19"/>
  <c r="I2702" i="19"/>
  <c r="I2789" i="19"/>
  <c r="I2723" i="19"/>
  <c r="I2701" i="19"/>
  <c r="I2710" i="19"/>
  <c r="I2709" i="19"/>
  <c r="I2781" i="19"/>
  <c r="I2715" i="19"/>
  <c r="I2736" i="19"/>
  <c r="I2034" i="19"/>
  <c r="I2717" i="19"/>
  <c r="F2662" i="19"/>
  <c r="I2759" i="19"/>
  <c r="I2737" i="19"/>
  <c r="I2693" i="19"/>
  <c r="I2671" i="19"/>
  <c r="I2013" i="19"/>
  <c r="I1925" i="19"/>
  <c r="I2800" i="19"/>
  <c r="I2758" i="19"/>
  <c r="I2714" i="19"/>
  <c r="I2670" i="19"/>
  <c r="I1946" i="19"/>
  <c r="I2788" i="19"/>
  <c r="I2678" i="19"/>
  <c r="I2757" i="19"/>
  <c r="I2787" i="19"/>
  <c r="I2677" i="19"/>
  <c r="I1917" i="19"/>
  <c r="I2712" i="19"/>
  <c r="I2676" i="19"/>
  <c r="I2691" i="19"/>
  <c r="I2042" i="19"/>
  <c r="I1583" i="19"/>
  <c r="I2726" i="19"/>
  <c r="I2018" i="19"/>
  <c r="I1930" i="19"/>
  <c r="I2766" i="19"/>
  <c r="I2700" i="19"/>
  <c r="I1962" i="19"/>
  <c r="I2799" i="19"/>
  <c r="I2735" i="19"/>
  <c r="I2713" i="19"/>
  <c r="I2669" i="19"/>
  <c r="I2765" i="19"/>
  <c r="I2005" i="19"/>
  <c r="I2798" i="19"/>
  <c r="I2778" i="19"/>
  <c r="I2734" i="19"/>
  <c r="I2690" i="19"/>
  <c r="I2764" i="19"/>
  <c r="I2026" i="19"/>
  <c r="I1938" i="19"/>
  <c r="I2777" i="19"/>
  <c r="I2733" i="19"/>
  <c r="I2711" i="19"/>
  <c r="I2689" i="19"/>
  <c r="I2667" i="19"/>
  <c r="I2763" i="19"/>
  <c r="I1981" i="19"/>
  <c r="I1893" i="19"/>
  <c r="I2740" i="19"/>
  <c r="I2002" i="19"/>
  <c r="I1914" i="19"/>
  <c r="I2739" i="19"/>
  <c r="I1957" i="19"/>
  <c r="I2774" i="19"/>
  <c r="I2686" i="19"/>
  <c r="I2782" i="19"/>
  <c r="I2716" i="19"/>
  <c r="I2694" i="19"/>
  <c r="I2773" i="19"/>
  <c r="I2685" i="19"/>
  <c r="I2750" i="19"/>
  <c r="I1954" i="19"/>
  <c r="I2749" i="19"/>
  <c r="I1997" i="19"/>
  <c r="I1909" i="19"/>
  <c r="I1973" i="19"/>
  <c r="I1885" i="19"/>
  <c r="I1994" i="19"/>
  <c r="I1906" i="19"/>
  <c r="I2776" i="19"/>
  <c r="I2754" i="19"/>
  <c r="I2688" i="19"/>
  <c r="I2666" i="19"/>
  <c r="I2775" i="19"/>
  <c r="I2753" i="19"/>
  <c r="I2687" i="19"/>
  <c r="I2665" i="19"/>
  <c r="I2752" i="19"/>
  <c r="I2730" i="19"/>
  <c r="I2664" i="19"/>
  <c r="I2751" i="19"/>
  <c r="I2729" i="19"/>
  <c r="I2707" i="19"/>
  <c r="G2662" i="19"/>
  <c r="I2794" i="19"/>
  <c r="I2728" i="19"/>
  <c r="I2706" i="19"/>
  <c r="I2780" i="19"/>
  <c r="I2692" i="19"/>
  <c r="I2727" i="19"/>
  <c r="I2705" i="19"/>
  <c r="I2683" i="19"/>
  <c r="I2779" i="19"/>
  <c r="I2792" i="19"/>
  <c r="I2770" i="19"/>
  <c r="I2704" i="19"/>
  <c r="I2682" i="19"/>
  <c r="I2756" i="19"/>
  <c r="I2668" i="19"/>
  <c r="I2791" i="19"/>
  <c r="I2769" i="19"/>
  <c r="I2681" i="19"/>
  <c r="I2755" i="19"/>
  <c r="I2768" i="19"/>
  <c r="I2746" i="19"/>
  <c r="I2680" i="19"/>
  <c r="I2732" i="19"/>
  <c r="I2767" i="19"/>
  <c r="I2745" i="19"/>
  <c r="I2679" i="19"/>
  <c r="I2731" i="19"/>
  <c r="I2744" i="19"/>
  <c r="I2722" i="19"/>
  <c r="I2708" i="19"/>
  <c r="I2743" i="19"/>
  <c r="I2721" i="19"/>
  <c r="I2699" i="19"/>
  <c r="I2795" i="19"/>
  <c r="I2784" i="19"/>
  <c r="I2762" i="19"/>
  <c r="I2696" i="19"/>
  <c r="I2674" i="19"/>
  <c r="I2748" i="19"/>
  <c r="I2793" i="19"/>
  <c r="I2703" i="19"/>
  <c r="I2786" i="19"/>
  <c r="I2720" i="19"/>
  <c r="I2698" i="19"/>
  <c r="I2772" i="19"/>
  <c r="I2684" i="19"/>
  <c r="I2785" i="19"/>
  <c r="I2719" i="19"/>
  <c r="I2697" i="19"/>
  <c r="I2675" i="19"/>
  <c r="I2771" i="19"/>
  <c r="I2783" i="19"/>
  <c r="I2761" i="19"/>
  <c r="I2695" i="19"/>
  <c r="I2673" i="19"/>
  <c r="I2747" i="19"/>
  <c r="I2760" i="19"/>
  <c r="I2738" i="19"/>
  <c r="I2672" i="19"/>
  <c r="I2724" i="19"/>
  <c r="I2663" i="19"/>
  <c r="C2806" i="21"/>
  <c r="C1057" i="55" s="1"/>
  <c r="C2846" i="21"/>
  <c r="C1097" i="55" s="1"/>
  <c r="C2783" i="21"/>
  <c r="C1034" i="55" s="1"/>
  <c r="C2718" i="21"/>
  <c r="C969" i="55" s="1"/>
  <c r="C2782" i="21"/>
  <c r="C1033" i="55" s="1"/>
  <c r="C2838" i="21"/>
  <c r="C1089" i="55" s="1"/>
  <c r="C2767" i="21"/>
  <c r="C1018" i="55" s="1"/>
  <c r="C2710" i="21"/>
  <c r="C49" i="55"/>
  <c r="C2831" i="21"/>
  <c r="C1082" i="55" s="1"/>
  <c r="C2759" i="21"/>
  <c r="D2759" i="21" s="1"/>
  <c r="C2695" i="21"/>
  <c r="C946" i="55" s="1"/>
  <c r="C17" i="55"/>
  <c r="C2823" i="21"/>
  <c r="C1074" i="55" s="1"/>
  <c r="C2743" i="21"/>
  <c r="C994" i="55" s="1"/>
  <c r="C2814" i="21"/>
  <c r="C2742" i="21"/>
  <c r="C993" i="55" s="1"/>
  <c r="C2844" i="21"/>
  <c r="C1095" i="55" s="1"/>
  <c r="C2826" i="21"/>
  <c r="C1077" i="55" s="1"/>
  <c r="C2763" i="21"/>
  <c r="C1014" i="55" s="1"/>
  <c r="C2740" i="21"/>
  <c r="C991" i="55" s="1"/>
  <c r="C2716" i="21"/>
  <c r="C967" i="55" s="1"/>
  <c r="C2692" i="21"/>
  <c r="C943" i="55" s="1"/>
  <c r="A1103" i="55"/>
  <c r="C12" i="55"/>
  <c r="C2804" i="21"/>
  <c r="C1055" i="55" s="1"/>
  <c r="C2780" i="21"/>
  <c r="C2764" i="21"/>
  <c r="C1015" i="55" s="1"/>
  <c r="G1923" i="21"/>
  <c r="C2855" i="21"/>
  <c r="D2855" i="21" s="1"/>
  <c r="C2820" i="21"/>
  <c r="C1071" i="55" s="1"/>
  <c r="C2799" i="21"/>
  <c r="D2799" i="21" s="1"/>
  <c r="C2778" i="21"/>
  <c r="C1029" i="55" s="1"/>
  <c r="C2756" i="21"/>
  <c r="C1007" i="55" s="1"/>
  <c r="C2732" i="21"/>
  <c r="C983" i="55" s="1"/>
  <c r="C2836" i="21"/>
  <c r="C1087" i="55" s="1"/>
  <c r="C2818" i="21"/>
  <c r="C1069" i="55" s="1"/>
  <c r="C2796" i="21"/>
  <c r="C2775" i="21"/>
  <c r="C1026" i="55" s="1"/>
  <c r="C2751" i="21"/>
  <c r="C1002" i="55" s="1"/>
  <c r="C2727" i="21"/>
  <c r="D2727" i="21" s="1"/>
  <c r="C2708" i="21"/>
  <c r="C959" i="55" s="1"/>
  <c r="F162" i="55"/>
  <c r="C2812" i="21"/>
  <c r="C1063" i="55" s="1"/>
  <c r="C2788" i="21"/>
  <c r="C1039" i="55" s="1"/>
  <c r="C2700" i="21"/>
  <c r="C2828" i="21"/>
  <c r="C1079" i="55" s="1"/>
  <c r="G1924" i="21"/>
  <c r="C2850" i="21"/>
  <c r="C1101" i="55" s="1"/>
  <c r="C2835" i="21"/>
  <c r="D2835" i="21" s="1"/>
  <c r="C2815" i="21"/>
  <c r="C1066" i="55" s="1"/>
  <c r="C2793" i="21"/>
  <c r="C1044" i="55" s="1"/>
  <c r="C2774" i="21"/>
  <c r="C1025" i="55" s="1"/>
  <c r="C2750" i="21"/>
  <c r="C1001" i="55" s="1"/>
  <c r="C2724" i="21"/>
  <c r="C975" i="55" s="1"/>
  <c r="C2707" i="21"/>
  <c r="C958" i="55" s="1"/>
  <c r="F143" i="55"/>
  <c r="C2849" i="21"/>
  <c r="D2849" i="21" s="1"/>
  <c r="C2834" i="21"/>
  <c r="D2834" i="21" s="1"/>
  <c r="C2791" i="21"/>
  <c r="C1042" i="55" s="1"/>
  <c r="C2772" i="21"/>
  <c r="C1023" i="55" s="1"/>
  <c r="C2748" i="21"/>
  <c r="C999" i="55" s="1"/>
  <c r="C2721" i="21"/>
  <c r="D2721" i="21" s="1"/>
  <c r="C2703" i="21"/>
  <c r="C954" i="55" s="1"/>
  <c r="C60" i="55"/>
  <c r="F111" i="55"/>
  <c r="E178" i="55"/>
  <c r="G178" i="55" s="1"/>
  <c r="C174" i="55"/>
  <c r="F174" i="55"/>
  <c r="C166" i="55"/>
  <c r="F166" i="55"/>
  <c r="C158" i="55"/>
  <c r="F158" i="55"/>
  <c r="C150" i="55"/>
  <c r="F150" i="55"/>
  <c r="C142" i="55"/>
  <c r="F142" i="55"/>
  <c r="C134" i="55"/>
  <c r="F134" i="55"/>
  <c r="C126" i="55"/>
  <c r="F126" i="55"/>
  <c r="C118" i="55"/>
  <c r="F118" i="55"/>
  <c r="C110" i="55"/>
  <c r="F110" i="55"/>
  <c r="C102" i="55"/>
  <c r="F102" i="55"/>
  <c r="C94" i="55"/>
  <c r="F94" i="55"/>
  <c r="C86" i="55"/>
  <c r="F86" i="55"/>
  <c r="C78" i="55"/>
  <c r="F78" i="55"/>
  <c r="C70" i="55"/>
  <c r="F70" i="55"/>
  <c r="C62" i="55"/>
  <c r="F62" i="55"/>
  <c r="C54" i="55"/>
  <c r="F54" i="55"/>
  <c r="C46" i="55"/>
  <c r="F46" i="55"/>
  <c r="C38" i="55"/>
  <c r="F38" i="55"/>
  <c r="C30" i="55"/>
  <c r="F30" i="55"/>
  <c r="C22" i="55"/>
  <c r="F22" i="55"/>
  <c r="C14" i="55"/>
  <c r="F14" i="55"/>
  <c r="D2735" i="21"/>
  <c r="A1102" i="55"/>
  <c r="C2851" i="21"/>
  <c r="A1094" i="55"/>
  <c r="C2843" i="21"/>
  <c r="A1070" i="55"/>
  <c r="C2819" i="21"/>
  <c r="A1062" i="55"/>
  <c r="C2811" i="21"/>
  <c r="A1038" i="55"/>
  <c r="C2787" i="21"/>
  <c r="A1030" i="55"/>
  <c r="C2779" i="21"/>
  <c r="A1006" i="55"/>
  <c r="C2755" i="21"/>
  <c r="A998" i="55"/>
  <c r="C2747" i="21"/>
  <c r="A974" i="55"/>
  <c r="C2723" i="21"/>
  <c r="A966" i="55"/>
  <c r="C2715" i="21"/>
  <c r="A942" i="55"/>
  <c r="C2691" i="21"/>
  <c r="C2762" i="21"/>
  <c r="C2706" i="21"/>
  <c r="A941" i="55"/>
  <c r="C2690" i="21"/>
  <c r="C2817" i="21"/>
  <c r="C2803" i="21"/>
  <c r="C2761" i="21"/>
  <c r="C2746" i="21"/>
  <c r="C2731" i="21"/>
  <c r="D2741" i="21"/>
  <c r="F172" i="55"/>
  <c r="C172" i="55"/>
  <c r="F164" i="55"/>
  <c r="C164" i="55"/>
  <c r="F156" i="55"/>
  <c r="C156" i="55"/>
  <c r="F148" i="55"/>
  <c r="C148" i="55"/>
  <c r="F140" i="55"/>
  <c r="C140" i="55"/>
  <c r="F132" i="55"/>
  <c r="C132" i="55"/>
  <c r="F124" i="55"/>
  <c r="C124" i="55"/>
  <c r="F116" i="55"/>
  <c r="C116" i="55"/>
  <c r="F108" i="55"/>
  <c r="C108" i="55"/>
  <c r="F100" i="55"/>
  <c r="C100" i="55"/>
  <c r="A1092" i="55"/>
  <c r="C2841" i="21"/>
  <c r="A1084" i="55"/>
  <c r="C2833" i="21"/>
  <c r="A1060" i="55"/>
  <c r="C2809" i="21"/>
  <c r="A1052" i="55"/>
  <c r="C2801" i="21"/>
  <c r="A1028" i="55"/>
  <c r="C2777" i="21"/>
  <c r="A1020" i="55"/>
  <c r="C2769" i="21"/>
  <c r="A996" i="55"/>
  <c r="C2745" i="21"/>
  <c r="A988" i="55"/>
  <c r="C2737" i="21"/>
  <c r="A964" i="55"/>
  <c r="C2713" i="21"/>
  <c r="A956" i="55"/>
  <c r="C2705" i="21"/>
  <c r="C2802" i="21"/>
  <c r="C2786" i="21"/>
  <c r="C2730" i="21"/>
  <c r="D2839" i="21"/>
  <c r="A1107" i="55"/>
  <c r="C2856" i="21"/>
  <c r="A1099" i="55"/>
  <c r="C2848" i="21"/>
  <c r="A1091" i="55"/>
  <c r="C2840" i="21"/>
  <c r="A1083" i="55"/>
  <c r="C2832" i="21"/>
  <c r="A1075" i="55"/>
  <c r="C2824" i="21"/>
  <c r="A1067" i="55"/>
  <c r="C2816" i="21"/>
  <c r="A1059" i="55"/>
  <c r="C2808" i="21"/>
  <c r="A1051" i="55"/>
  <c r="C2800" i="21"/>
  <c r="A1043" i="55"/>
  <c r="C2792" i="21"/>
  <c r="A1035" i="55"/>
  <c r="C2784" i="21"/>
  <c r="A1027" i="55"/>
  <c r="C2776" i="21"/>
  <c r="A1019" i="55"/>
  <c r="C2768" i="21"/>
  <c r="A1011" i="55"/>
  <c r="C2760" i="21"/>
  <c r="A1003" i="55"/>
  <c r="C2752" i="21"/>
  <c r="A995" i="55"/>
  <c r="C2744" i="21"/>
  <c r="A987" i="55"/>
  <c r="C2736" i="21"/>
  <c r="A979" i="55"/>
  <c r="C2728" i="21"/>
  <c r="A971" i="55"/>
  <c r="C2720" i="21"/>
  <c r="A963" i="55"/>
  <c r="C2712" i="21"/>
  <c r="A955" i="55"/>
  <c r="C2704" i="21"/>
  <c r="A947" i="55"/>
  <c r="C2696" i="21"/>
  <c r="C2857" i="21"/>
  <c r="C2842" i="21"/>
  <c r="C2827" i="21"/>
  <c r="C2785" i="21"/>
  <c r="C2771" i="21"/>
  <c r="C2729" i="21"/>
  <c r="C2714" i="21"/>
  <c r="C2699" i="21"/>
  <c r="A1040" i="55"/>
  <c r="C2770" i="21"/>
  <c r="C2754" i="21"/>
  <c r="C2698" i="21"/>
  <c r="F169" i="55"/>
  <c r="C169" i="55"/>
  <c r="F161" i="55"/>
  <c r="C161" i="55"/>
  <c r="F153" i="55"/>
  <c r="C153" i="55"/>
  <c r="F145" i="55"/>
  <c r="C145" i="55"/>
  <c r="F137" i="55"/>
  <c r="C137" i="55"/>
  <c r="F129" i="55"/>
  <c r="C129" i="55"/>
  <c r="F121" i="55"/>
  <c r="C121" i="55"/>
  <c r="C1103" i="55"/>
  <c r="D2852" i="21"/>
  <c r="C2825" i="21"/>
  <c r="C2810" i="21"/>
  <c r="C2795" i="21"/>
  <c r="C2753" i="21"/>
  <c r="C2739" i="21"/>
  <c r="C2697" i="21"/>
  <c r="A992" i="55"/>
  <c r="C177" i="55"/>
  <c r="E177" i="55" s="1"/>
  <c r="G177" i="55" s="1"/>
  <c r="C2853" i="21"/>
  <c r="A1104" i="55"/>
  <c r="A1096" i="55"/>
  <c r="C2845" i="21"/>
  <c r="C2837" i="21"/>
  <c r="A1088" i="55"/>
  <c r="A1080" i="55"/>
  <c r="C2829" i="21"/>
  <c r="C2821" i="21"/>
  <c r="A1072" i="55"/>
  <c r="A1064" i="55"/>
  <c r="C2813" i="21"/>
  <c r="C2805" i="21"/>
  <c r="A1056" i="55"/>
  <c r="A1048" i="55"/>
  <c r="C2797" i="21"/>
  <c r="C1040" i="55"/>
  <c r="D2789" i="21"/>
  <c r="A1032" i="55"/>
  <c r="C2781" i="21"/>
  <c r="C2773" i="21"/>
  <c r="A1024" i="55"/>
  <c r="A1016" i="55"/>
  <c r="C2765" i="21"/>
  <c r="C2757" i="21"/>
  <c r="A1008" i="55"/>
  <c r="A1000" i="55"/>
  <c r="C2749" i="21"/>
  <c r="A984" i="55"/>
  <c r="C2733" i="21"/>
  <c r="C2725" i="21"/>
  <c r="A976" i="55"/>
  <c r="A968" i="55"/>
  <c r="C2717" i="21"/>
  <c r="C2709" i="21"/>
  <c r="A960" i="55"/>
  <c r="A952" i="55"/>
  <c r="C2701" i="21"/>
  <c r="C2693" i="21"/>
  <c r="A944" i="55"/>
  <c r="C2794" i="21"/>
  <c r="C2738" i="21"/>
  <c r="C2722" i="21"/>
  <c r="F84" i="55"/>
  <c r="C84" i="55"/>
  <c r="F76" i="55"/>
  <c r="C76" i="55"/>
  <c r="F68" i="55"/>
  <c r="C68" i="55"/>
  <c r="F52" i="55"/>
  <c r="C52" i="55"/>
  <c r="F44" i="55"/>
  <c r="C44" i="55"/>
  <c r="F36" i="55"/>
  <c r="C36" i="55"/>
  <c r="F20" i="55"/>
  <c r="C20" i="55"/>
  <c r="C28" i="55"/>
  <c r="F171" i="55"/>
  <c r="C171" i="55"/>
  <c r="F163" i="55"/>
  <c r="C163" i="55"/>
  <c r="F155" i="55"/>
  <c r="C155" i="55"/>
  <c r="F147" i="55"/>
  <c r="C147" i="55"/>
  <c r="F139" i="55"/>
  <c r="C139" i="55"/>
  <c r="F131" i="55"/>
  <c r="C131" i="55"/>
  <c r="F123" i="55"/>
  <c r="C123" i="55"/>
  <c r="F115" i="55"/>
  <c r="C115" i="55"/>
  <c r="F107" i="55"/>
  <c r="C107" i="55"/>
  <c r="F99" i="55"/>
  <c r="C99" i="55"/>
  <c r="F91" i="55"/>
  <c r="C91" i="55"/>
  <c r="F83" i="55"/>
  <c r="C83" i="55"/>
  <c r="F75" i="55"/>
  <c r="C75" i="55"/>
  <c r="F67" i="55"/>
  <c r="C67" i="55"/>
  <c r="F59" i="55"/>
  <c r="C59" i="55"/>
  <c r="F51" i="55"/>
  <c r="C51" i="55"/>
  <c r="F43" i="55"/>
  <c r="C43" i="55"/>
  <c r="F35" i="55"/>
  <c r="C35" i="55"/>
  <c r="F27" i="55"/>
  <c r="C27" i="55"/>
  <c r="F19" i="55"/>
  <c r="C19" i="55"/>
  <c r="F11" i="55"/>
  <c r="C11" i="55"/>
  <c r="C2854" i="21"/>
  <c r="C2822" i="21"/>
  <c r="C2790" i="21"/>
  <c r="C2758" i="21"/>
  <c r="C2726" i="21"/>
  <c r="C2694" i="21"/>
  <c r="C9" i="55"/>
  <c r="F9" i="55"/>
  <c r="C170" i="55"/>
  <c r="F170" i="55"/>
  <c r="C154" i="55"/>
  <c r="F154" i="55"/>
  <c r="C146" i="55"/>
  <c r="F146" i="55"/>
  <c r="C138" i="55"/>
  <c r="F138" i="55"/>
  <c r="C130" i="55"/>
  <c r="C122" i="55"/>
  <c r="F122" i="55"/>
  <c r="C114" i="55"/>
  <c r="F114" i="55"/>
  <c r="C106" i="55"/>
  <c r="F106" i="55"/>
  <c r="C90" i="55"/>
  <c r="F90" i="55"/>
  <c r="C82" i="55"/>
  <c r="F82" i="55"/>
  <c r="C74" i="55"/>
  <c r="F74" i="55"/>
  <c r="C58" i="55"/>
  <c r="F58" i="55"/>
  <c r="C50" i="55"/>
  <c r="F50" i="55"/>
  <c r="C42" i="55"/>
  <c r="F42" i="55"/>
  <c r="C26" i="55"/>
  <c r="F26" i="55"/>
  <c r="C18" i="55"/>
  <c r="F18" i="55"/>
  <c r="C10" i="55"/>
  <c r="F10" i="55"/>
  <c r="F98" i="55"/>
  <c r="F105" i="55"/>
  <c r="C105" i="55"/>
  <c r="F97" i="55"/>
  <c r="C97" i="55"/>
  <c r="F89" i="55"/>
  <c r="C89" i="55"/>
  <c r="F73" i="55"/>
  <c r="C73" i="55"/>
  <c r="F65" i="55"/>
  <c r="C65" i="55"/>
  <c r="F57" i="55"/>
  <c r="C57" i="55"/>
  <c r="F41" i="55"/>
  <c r="C41" i="55"/>
  <c r="F33" i="55"/>
  <c r="C33" i="55"/>
  <c r="F25" i="55"/>
  <c r="C25" i="55"/>
  <c r="C113" i="55"/>
  <c r="F79" i="55"/>
  <c r="C2830" i="21"/>
  <c r="C2798" i="21"/>
  <c r="C2766" i="21"/>
  <c r="C2734" i="21"/>
  <c r="C2702" i="21"/>
  <c r="C92" i="55"/>
  <c r="F66" i="55"/>
  <c r="C167" i="55"/>
  <c r="F167" i="55"/>
  <c r="C159" i="55"/>
  <c r="F159" i="55"/>
  <c r="C151" i="55"/>
  <c r="F151" i="55"/>
  <c r="C135" i="55"/>
  <c r="F135" i="55"/>
  <c r="C127" i="55"/>
  <c r="F127" i="55"/>
  <c r="C119" i="55"/>
  <c r="F119" i="55"/>
  <c r="C103" i="55"/>
  <c r="F103" i="55"/>
  <c r="C95" i="55"/>
  <c r="F95" i="55"/>
  <c r="C87" i="55"/>
  <c r="F87" i="55"/>
  <c r="C71" i="55"/>
  <c r="F71" i="55"/>
  <c r="C63" i="55"/>
  <c r="F63" i="55"/>
  <c r="C55" i="55"/>
  <c r="F55" i="55"/>
  <c r="C39" i="55"/>
  <c r="F39" i="55"/>
  <c r="C31" i="55"/>
  <c r="F31" i="55"/>
  <c r="C81" i="55"/>
  <c r="F175" i="55"/>
  <c r="F47" i="55"/>
  <c r="C173" i="55"/>
  <c r="F173" i="55"/>
  <c r="C165" i="55"/>
  <c r="F165" i="55"/>
  <c r="C157" i="55"/>
  <c r="F157" i="55"/>
  <c r="C149" i="55"/>
  <c r="F149" i="55"/>
  <c r="C141" i="55"/>
  <c r="F141" i="55"/>
  <c r="C133" i="55"/>
  <c r="F133" i="55"/>
  <c r="C125" i="55"/>
  <c r="F125" i="55"/>
  <c r="C117" i="55"/>
  <c r="F117" i="55"/>
  <c r="C109" i="55"/>
  <c r="F109" i="55"/>
  <c r="C101" i="55"/>
  <c r="F101" i="55"/>
  <c r="C93" i="55"/>
  <c r="F93" i="55"/>
  <c r="C85" i="55"/>
  <c r="F85" i="55"/>
  <c r="C77" i="55"/>
  <c r="F77" i="55"/>
  <c r="C69" i="55"/>
  <c r="F69" i="55"/>
  <c r="C61" i="55"/>
  <c r="F61" i="55"/>
  <c r="C53" i="55"/>
  <c r="F53" i="55"/>
  <c r="C45" i="55"/>
  <c r="F45" i="55"/>
  <c r="C37" i="55"/>
  <c r="F37" i="55"/>
  <c r="C29" i="55"/>
  <c r="F29" i="55"/>
  <c r="C21" i="55"/>
  <c r="F21" i="55"/>
  <c r="C13" i="55"/>
  <c r="F13" i="55"/>
  <c r="C176" i="55"/>
  <c r="E176" i="55" s="1"/>
  <c r="F176" i="55"/>
  <c r="C168" i="55"/>
  <c r="F168" i="55"/>
  <c r="C160" i="55"/>
  <c r="F160" i="55"/>
  <c r="C152" i="55"/>
  <c r="F152" i="55"/>
  <c r="C144" i="55"/>
  <c r="F144" i="55"/>
  <c r="C136" i="55"/>
  <c r="F136" i="55"/>
  <c r="C128" i="55"/>
  <c r="F128" i="55"/>
  <c r="C120" i="55"/>
  <c r="F120" i="55"/>
  <c r="C112" i="55"/>
  <c r="F112" i="55"/>
  <c r="C104" i="55"/>
  <c r="F104" i="55"/>
  <c r="C96" i="55"/>
  <c r="F96" i="55"/>
  <c r="C88" i="55"/>
  <c r="F88" i="55"/>
  <c r="C80" i="55"/>
  <c r="F80" i="55"/>
  <c r="C72" i="55"/>
  <c r="F72" i="55"/>
  <c r="C64" i="55"/>
  <c r="F64" i="55"/>
  <c r="C56" i="55"/>
  <c r="F56" i="55"/>
  <c r="C48" i="55"/>
  <c r="F48" i="55"/>
  <c r="C40" i="55"/>
  <c r="F40" i="55"/>
  <c r="C32" i="55"/>
  <c r="F32" i="55"/>
  <c r="C24" i="55"/>
  <c r="F24" i="55"/>
  <c r="C16" i="55"/>
  <c r="F16" i="55"/>
  <c r="F23" i="55"/>
  <c r="I2024" i="19"/>
  <c r="I2000" i="19"/>
  <c r="I1992" i="19"/>
  <c r="I1968" i="19"/>
  <c r="I1960" i="19"/>
  <c r="I1952" i="19"/>
  <c r="I1944" i="19"/>
  <c r="I1936" i="19"/>
  <c r="I1928" i="19"/>
  <c r="I1920" i="19"/>
  <c r="I1912" i="19"/>
  <c r="I1904" i="19"/>
  <c r="I1896" i="19"/>
  <c r="I1888" i="19"/>
  <c r="I1880" i="19"/>
  <c r="I2040" i="19"/>
  <c r="I2016" i="19"/>
  <c r="I1976" i="19"/>
  <c r="I2032" i="19"/>
  <c r="I2008" i="19"/>
  <c r="I1984" i="19"/>
  <c r="F2045" i="19"/>
  <c r="I2043" i="19"/>
  <c r="I2038" i="19"/>
  <c r="I2035" i="19"/>
  <c r="I2030" i="19"/>
  <c r="I2027" i="19"/>
  <c r="I2022" i="19"/>
  <c r="I2019" i="19"/>
  <c r="I2014" i="19"/>
  <c r="I2011" i="19"/>
  <c r="I2006" i="19"/>
  <c r="I2003" i="19"/>
  <c r="I1998" i="19"/>
  <c r="I1995" i="19"/>
  <c r="I1990" i="19"/>
  <c r="I1987" i="19"/>
  <c r="I1982" i="19"/>
  <c r="I1979" i="19"/>
  <c r="I1974" i="19"/>
  <c r="I1971" i="19"/>
  <c r="I1966" i="19"/>
  <c r="I1963" i="19"/>
  <c r="I1958" i="19"/>
  <c r="I1955" i="19"/>
  <c r="I1950" i="19"/>
  <c r="I1947" i="19"/>
  <c r="I1942" i="19"/>
  <c r="I1939" i="19"/>
  <c r="I1934" i="19"/>
  <c r="I1931" i="19"/>
  <c r="I1926" i="19"/>
  <c r="I1923" i="19"/>
  <c r="I1918" i="19"/>
  <c r="I1915" i="19"/>
  <c r="I1910" i="19"/>
  <c r="I1907" i="19"/>
  <c r="I2044" i="19"/>
  <c r="I2039" i="19"/>
  <c r="I2036" i="19"/>
  <c r="I2031" i="19"/>
  <c r="I2028" i="19"/>
  <c r="I2023" i="19"/>
  <c r="I2020" i="19"/>
  <c r="I2015" i="19"/>
  <c r="I2012" i="19"/>
  <c r="I2007" i="19"/>
  <c r="I2004" i="19"/>
  <c r="I1999" i="19"/>
  <c r="I1996" i="19"/>
  <c r="I1991" i="19"/>
  <c r="I1988" i="19"/>
  <c r="I1983" i="19"/>
  <c r="I1980" i="19"/>
  <c r="I1975" i="19"/>
  <c r="I1972" i="19"/>
  <c r="I1967" i="19"/>
  <c r="I1964" i="19"/>
  <c r="I1959" i="19"/>
  <c r="I1956" i="19"/>
  <c r="I1951" i="19"/>
  <c r="I1948" i="19"/>
  <c r="I1943" i="19"/>
  <c r="I1940" i="19"/>
  <c r="I1935" i="19"/>
  <c r="I1932" i="19"/>
  <c r="I1927" i="19"/>
  <c r="I1924" i="19"/>
  <c r="I1919" i="19"/>
  <c r="I1916" i="19"/>
  <c r="I1911" i="19"/>
  <c r="I1908" i="19"/>
  <c r="I1903" i="19"/>
  <c r="I1900" i="19"/>
  <c r="I1895" i="19"/>
  <c r="I1892" i="19"/>
  <c r="I1887" i="19"/>
  <c r="I1884" i="19"/>
  <c r="I1879" i="19"/>
  <c r="I2041" i="19"/>
  <c r="I2033" i="19"/>
  <c r="I2025" i="19"/>
  <c r="I2017" i="19"/>
  <c r="I2009" i="19"/>
  <c r="I2001" i="19"/>
  <c r="I1993" i="19"/>
  <c r="I1985" i="19"/>
  <c r="I1977" i="19"/>
  <c r="I1969" i="19"/>
  <c r="I1961" i="19"/>
  <c r="I1953" i="19"/>
  <c r="I1945" i="19"/>
  <c r="I1937" i="19"/>
  <c r="I1929" i="19"/>
  <c r="I1921" i="19"/>
  <c r="I1913" i="19"/>
  <c r="I1905" i="19"/>
  <c r="I1902" i="19"/>
  <c r="I1899" i="19"/>
  <c r="I1897" i="19"/>
  <c r="I1894" i="19"/>
  <c r="I1891" i="19"/>
  <c r="I1889" i="19"/>
  <c r="I1886" i="19"/>
  <c r="I1881" i="19"/>
  <c r="I1883" i="19"/>
  <c r="I1878" i="19"/>
  <c r="I1876" i="19"/>
  <c r="C2858" i="21"/>
  <c r="D2806" i="21" l="1"/>
  <c r="D2719" i="21"/>
  <c r="D2689" i="21"/>
  <c r="C1100" i="55"/>
  <c r="D2847" i="21"/>
  <c r="D2807" i="21"/>
  <c r="C1085" i="55"/>
  <c r="D2711" i="21"/>
  <c r="D2740" i="21"/>
  <c r="D2748" i="21"/>
  <c r="D2838" i="21"/>
  <c r="D2823" i="21"/>
  <c r="D2844" i="21"/>
  <c r="D2751" i="21"/>
  <c r="D2804" i="21"/>
  <c r="C978" i="55"/>
  <c r="C1086" i="55"/>
  <c r="D2783" i="21"/>
  <c r="D2826" i="21"/>
  <c r="D2742" i="21"/>
  <c r="D2850" i="21"/>
  <c r="C1010" i="55"/>
  <c r="D2703" i="21"/>
  <c r="C972" i="55"/>
  <c r="D2778" i="21"/>
  <c r="C1106" i="55"/>
  <c r="D2707" i="21"/>
  <c r="D2831" i="21"/>
  <c r="D2764" i="21"/>
  <c r="D2782" i="21"/>
  <c r="D2756" i="21"/>
  <c r="D2815" i="21"/>
  <c r="D2724" i="21"/>
  <c r="D2812" i="21"/>
  <c r="C1050" i="55"/>
  <c r="D2846" i="21"/>
  <c r="D2695" i="21"/>
  <c r="D2767" i="21"/>
  <c r="D2818" i="21"/>
  <c r="D2732" i="21"/>
  <c r="D2708" i="21"/>
  <c r="D2772" i="21"/>
  <c r="D2743" i="21"/>
  <c r="D2774" i="21"/>
  <c r="D2788" i="21"/>
  <c r="D2692" i="21"/>
  <c r="D2718" i="21"/>
  <c r="D2763" i="21"/>
  <c r="C1065" i="55"/>
  <c r="D2814" i="21"/>
  <c r="C961" i="55"/>
  <c r="D2710" i="21"/>
  <c r="D2750" i="21"/>
  <c r="D2820" i="21"/>
  <c r="D2791" i="21"/>
  <c r="C951" i="55"/>
  <c r="D2700" i="21"/>
  <c r="C1047" i="55"/>
  <c r="D2796" i="21"/>
  <c r="D2716" i="21"/>
  <c r="D2775" i="21"/>
  <c r="D2793" i="21"/>
  <c r="D2828" i="21"/>
  <c r="G176" i="55"/>
  <c r="D2836" i="21"/>
  <c r="C1031" i="55"/>
  <c r="D2780" i="21"/>
  <c r="C2688" i="21"/>
  <c r="C1061" i="55"/>
  <c r="D2810" i="21"/>
  <c r="C966" i="55"/>
  <c r="D2715" i="21"/>
  <c r="C945" i="55"/>
  <c r="D2694" i="21"/>
  <c r="C968" i="55"/>
  <c r="D2717" i="21"/>
  <c r="C1046" i="55"/>
  <c r="D2795" i="21"/>
  <c r="C1036" i="55"/>
  <c r="D2785" i="21"/>
  <c r="C955" i="55"/>
  <c r="D2704" i="21"/>
  <c r="C987" i="55"/>
  <c r="D2736" i="21"/>
  <c r="C1019" i="55"/>
  <c r="D2768" i="21"/>
  <c r="C1051" i="55"/>
  <c r="D2800" i="21"/>
  <c r="C1083" i="55"/>
  <c r="D2832" i="21"/>
  <c r="C956" i="55"/>
  <c r="D2705" i="21"/>
  <c r="C1020" i="55"/>
  <c r="D2769" i="21"/>
  <c r="C1084" i="55"/>
  <c r="D2833" i="21"/>
  <c r="C982" i="55"/>
  <c r="D2731" i="21"/>
  <c r="C977" i="55"/>
  <c r="D2726" i="21"/>
  <c r="C1072" i="55"/>
  <c r="D2821" i="21"/>
  <c r="C997" i="55"/>
  <c r="D2746" i="21"/>
  <c r="C1009" i="55"/>
  <c r="D2758" i="21"/>
  <c r="C1016" i="55"/>
  <c r="D2765" i="21"/>
  <c r="C1048" i="55"/>
  <c r="D2797" i="21"/>
  <c r="C1080" i="55"/>
  <c r="D2829" i="21"/>
  <c r="C1076" i="55"/>
  <c r="D2825" i="21"/>
  <c r="C1005" i="55"/>
  <c r="D2754" i="21"/>
  <c r="C950" i="55"/>
  <c r="D2699" i="21"/>
  <c r="C963" i="55"/>
  <c r="D2712" i="21"/>
  <c r="C995" i="55"/>
  <c r="D2744" i="21"/>
  <c r="C1027" i="55"/>
  <c r="D2776" i="21"/>
  <c r="C1059" i="55"/>
  <c r="D2808" i="21"/>
  <c r="C1091" i="55"/>
  <c r="D2840" i="21"/>
  <c r="C964" i="55"/>
  <c r="D2713" i="21"/>
  <c r="C1028" i="55"/>
  <c r="D2777" i="21"/>
  <c r="C1092" i="55"/>
  <c r="D2841" i="21"/>
  <c r="C1012" i="55"/>
  <c r="D2761" i="21"/>
  <c r="C1013" i="55"/>
  <c r="D2762" i="21"/>
  <c r="C1094" i="55"/>
  <c r="D2843" i="21"/>
  <c r="D2702" i="21"/>
  <c r="C953" i="55"/>
  <c r="C1041" i="55"/>
  <c r="D2790" i="21"/>
  <c r="C944" i="55"/>
  <c r="D2693" i="21"/>
  <c r="C976" i="55"/>
  <c r="D2725" i="21"/>
  <c r="C1021" i="55"/>
  <c r="D2770" i="21"/>
  <c r="C965" i="55"/>
  <c r="D2714" i="21"/>
  <c r="C1078" i="55"/>
  <c r="D2827" i="21"/>
  <c r="C981" i="55"/>
  <c r="D2730" i="21"/>
  <c r="C974" i="55"/>
  <c r="D2723" i="21"/>
  <c r="C1038" i="55"/>
  <c r="D2787" i="21"/>
  <c r="C1102" i="55"/>
  <c r="D2851" i="21"/>
  <c r="C1008" i="55"/>
  <c r="D2757" i="21"/>
  <c r="C1030" i="55"/>
  <c r="D2779" i="21"/>
  <c r="D2734" i="21"/>
  <c r="C985" i="55"/>
  <c r="C1073" i="55"/>
  <c r="D2822" i="21"/>
  <c r="C952" i="55"/>
  <c r="D2701" i="21"/>
  <c r="C984" i="55"/>
  <c r="D2733" i="21"/>
  <c r="C990" i="55"/>
  <c r="D2739" i="21"/>
  <c r="C980" i="55"/>
  <c r="D2729" i="21"/>
  <c r="C1093" i="55"/>
  <c r="D2842" i="21"/>
  <c r="C971" i="55"/>
  <c r="D2720" i="21"/>
  <c r="C1003" i="55"/>
  <c r="D2752" i="21"/>
  <c r="C1035" i="55"/>
  <c r="D2784" i="21"/>
  <c r="C1067" i="55"/>
  <c r="D2816" i="21"/>
  <c r="C1099" i="55"/>
  <c r="D2848" i="21"/>
  <c r="C988" i="55"/>
  <c r="D2737" i="21"/>
  <c r="C1052" i="55"/>
  <c r="D2801" i="21"/>
  <c r="C957" i="55"/>
  <c r="D2706" i="21"/>
  <c r="D2766" i="21"/>
  <c r="C1017" i="55"/>
  <c r="C1105" i="55"/>
  <c r="D2854" i="21"/>
  <c r="C973" i="55"/>
  <c r="D2722" i="21"/>
  <c r="C1024" i="55"/>
  <c r="D2773" i="21"/>
  <c r="C1056" i="55"/>
  <c r="D2805" i="21"/>
  <c r="C1088" i="55"/>
  <c r="D2837" i="21"/>
  <c r="C1004" i="55"/>
  <c r="D2753" i="21"/>
  <c r="C1108" i="55"/>
  <c r="D1108" i="55" s="1"/>
  <c r="D2857" i="21"/>
  <c r="C1054" i="55"/>
  <c r="D2803" i="21"/>
  <c r="C998" i="55"/>
  <c r="D2747" i="21"/>
  <c r="C1062" i="55"/>
  <c r="D2811" i="21"/>
  <c r="C1104" i="55"/>
  <c r="D2853" i="21"/>
  <c r="C941" i="55"/>
  <c r="D2690" i="21"/>
  <c r="D2798" i="21"/>
  <c r="C1049" i="55"/>
  <c r="F8" i="55"/>
  <c r="C989" i="55"/>
  <c r="D2738" i="21"/>
  <c r="C1000" i="55"/>
  <c r="D2749" i="21"/>
  <c r="C1032" i="55"/>
  <c r="D2781" i="21"/>
  <c r="C1064" i="55"/>
  <c r="D2813" i="21"/>
  <c r="C1096" i="55"/>
  <c r="D2845" i="21"/>
  <c r="C947" i="55"/>
  <c r="D2696" i="21"/>
  <c r="C979" i="55"/>
  <c r="D2728" i="21"/>
  <c r="C1011" i="55"/>
  <c r="D2760" i="21"/>
  <c r="C1043" i="55"/>
  <c r="D2792" i="21"/>
  <c r="C1075" i="55"/>
  <c r="D2824" i="21"/>
  <c r="C1107" i="55"/>
  <c r="D1107" i="55" s="1"/>
  <c r="D2856" i="21"/>
  <c r="C1037" i="55"/>
  <c r="D2786" i="21"/>
  <c r="C996" i="55"/>
  <c r="D2745" i="21"/>
  <c r="C1060" i="55"/>
  <c r="D2809" i="21"/>
  <c r="C1068" i="55"/>
  <c r="D2817" i="21"/>
  <c r="C948" i="55"/>
  <c r="D2697" i="21"/>
  <c r="D2830" i="21"/>
  <c r="C1081" i="55"/>
  <c r="C8" i="55"/>
  <c r="C933" i="55" s="1"/>
  <c r="C1045" i="55"/>
  <c r="D2794" i="21"/>
  <c r="C960" i="55"/>
  <c r="D2709" i="21"/>
  <c r="C949" i="55"/>
  <c r="D2698" i="21"/>
  <c r="C1022" i="55"/>
  <c r="D2771" i="21"/>
  <c r="C1053" i="55"/>
  <c r="D2802" i="21"/>
  <c r="C942" i="55"/>
  <c r="D2691" i="21"/>
  <c r="C1006" i="55"/>
  <c r="D2755" i="21"/>
  <c r="C1070" i="55"/>
  <c r="D2819" i="21"/>
  <c r="D2860" i="21"/>
  <c r="D2861" i="21"/>
  <c r="D2862" i="21"/>
  <c r="D2863" i="21"/>
  <c r="D2864" i="21"/>
  <c r="D2865" i="21"/>
  <c r="D2866" i="21"/>
  <c r="D2867" i="21"/>
  <c r="D2868" i="21"/>
  <c r="D2869" i="21"/>
  <c r="D2870" i="21"/>
  <c r="D2871" i="21"/>
  <c r="D2872" i="21"/>
  <c r="D2873" i="21"/>
  <c r="D2874" i="21"/>
  <c r="D2875" i="21"/>
  <c r="D2876" i="21"/>
  <c r="D2877" i="21"/>
  <c r="D2878" i="21"/>
  <c r="D2879" i="21"/>
  <c r="D2880" i="21"/>
  <c r="B2858" i="21"/>
  <c r="D2858" i="21" s="1"/>
  <c r="B3093" i="21"/>
  <c r="A3093" i="21"/>
  <c r="F1925" i="21"/>
  <c r="H168" i="21"/>
  <c r="C1925" i="21"/>
  <c r="D1932" i="21"/>
  <c r="D2123" i="21"/>
  <c r="B1925" i="21"/>
  <c r="B1111" i="19"/>
  <c r="E169" i="21"/>
  <c r="E170" i="21"/>
  <c r="E171" i="21"/>
  <c r="E172" i="21"/>
  <c r="E173" i="21"/>
  <c r="E174" i="21"/>
  <c r="E175" i="21"/>
  <c r="E176" i="21"/>
  <c r="E177" i="21"/>
  <c r="E178" i="21"/>
  <c r="E179" i="21"/>
  <c r="E180" i="21"/>
  <c r="E181" i="21"/>
  <c r="E182" i="21"/>
  <c r="E183" i="21"/>
  <c r="E184" i="21"/>
  <c r="E185" i="21"/>
  <c r="E186" i="21"/>
  <c r="E187" i="21"/>
  <c r="E188" i="21"/>
  <c r="E189" i="21"/>
  <c r="E190" i="21"/>
  <c r="E191" i="21"/>
  <c r="E192" i="21"/>
  <c r="E193" i="21"/>
  <c r="E194" i="21"/>
  <c r="E195" i="21"/>
  <c r="E196" i="21"/>
  <c r="E197" i="21"/>
  <c r="E198" i="21"/>
  <c r="E199" i="21"/>
  <c r="E200" i="21"/>
  <c r="E201" i="21"/>
  <c r="E202" i="21"/>
  <c r="E203" i="21"/>
  <c r="E204" i="21"/>
  <c r="E205" i="21"/>
  <c r="E206" i="21"/>
  <c r="E207" i="21"/>
  <c r="E208" i="21"/>
  <c r="E209" i="21"/>
  <c r="E210" i="21"/>
  <c r="E211" i="21"/>
  <c r="E212" i="21"/>
  <c r="E213" i="21"/>
  <c r="E214" i="21"/>
  <c r="E215" i="21"/>
  <c r="E216" i="21"/>
  <c r="E217" i="21"/>
  <c r="E218" i="21"/>
  <c r="E219" i="21"/>
  <c r="E220" i="21"/>
  <c r="E221" i="21"/>
  <c r="E222" i="21"/>
  <c r="E223" i="21"/>
  <c r="E224" i="21"/>
  <c r="E225" i="21"/>
  <c r="E226" i="21"/>
  <c r="E227" i="21"/>
  <c r="E228" i="21"/>
  <c r="E229" i="21"/>
  <c r="E230" i="21"/>
  <c r="E231" i="21"/>
  <c r="E232" i="21"/>
  <c r="E233" i="21"/>
  <c r="E234" i="21"/>
  <c r="E235" i="21"/>
  <c r="E236" i="21"/>
  <c r="E237" i="21"/>
  <c r="E238" i="21"/>
  <c r="E239" i="21"/>
  <c r="E240" i="21"/>
  <c r="E241" i="21"/>
  <c r="E242" i="21"/>
  <c r="E243" i="21"/>
  <c r="E244" i="21"/>
  <c r="E245" i="21"/>
  <c r="E246" i="21"/>
  <c r="E247" i="21"/>
  <c r="E248" i="21"/>
  <c r="E249" i="21"/>
  <c r="E250" i="21"/>
  <c r="E251" i="21"/>
  <c r="E252" i="21"/>
  <c r="E253" i="21"/>
  <c r="E254" i="21"/>
  <c r="E255" i="21"/>
  <c r="E256" i="21"/>
  <c r="E257" i="21"/>
  <c r="E258" i="21"/>
  <c r="E259" i="21"/>
  <c r="E260" i="21"/>
  <c r="E261" i="21"/>
  <c r="E262" i="21"/>
  <c r="E263" i="21"/>
  <c r="E264" i="21"/>
  <c r="E265" i="21"/>
  <c r="E266" i="21"/>
  <c r="E267" i="21"/>
  <c r="E268" i="21"/>
  <c r="E269" i="21"/>
  <c r="E270" i="21"/>
  <c r="E271" i="21"/>
  <c r="E272" i="21"/>
  <c r="E273" i="21"/>
  <c r="E274" i="21"/>
  <c r="E275" i="21"/>
  <c r="E276" i="21"/>
  <c r="E277" i="21"/>
  <c r="E278" i="21"/>
  <c r="E279" i="21"/>
  <c r="E280" i="21"/>
  <c r="E281" i="21"/>
  <c r="E282" i="21"/>
  <c r="E283" i="21"/>
  <c r="E284" i="21"/>
  <c r="E285" i="21"/>
  <c r="E286" i="21"/>
  <c r="E287" i="21"/>
  <c r="E288" i="21"/>
  <c r="E289" i="21"/>
  <c r="E290" i="21"/>
  <c r="E291" i="21"/>
  <c r="E292" i="21"/>
  <c r="E293" i="21"/>
  <c r="E294" i="21"/>
  <c r="E295" i="21"/>
  <c r="E296" i="21"/>
  <c r="E297" i="21"/>
  <c r="E298" i="21"/>
  <c r="E299" i="21"/>
  <c r="E300" i="21"/>
  <c r="E301" i="21"/>
  <c r="E302" i="21"/>
  <c r="E303" i="21"/>
  <c r="E304" i="21"/>
  <c r="E305" i="21"/>
  <c r="E306" i="21"/>
  <c r="E307" i="21"/>
  <c r="E308" i="21"/>
  <c r="E309" i="21"/>
  <c r="E310" i="21"/>
  <c r="E311" i="21"/>
  <c r="E312" i="21"/>
  <c r="E313" i="21"/>
  <c r="E314" i="21"/>
  <c r="E315" i="21"/>
  <c r="E316" i="21"/>
  <c r="E317" i="21"/>
  <c r="E318" i="21"/>
  <c r="E319" i="21"/>
  <c r="E320" i="21"/>
  <c r="E321" i="21"/>
  <c r="E322" i="21"/>
  <c r="E323" i="21"/>
  <c r="E324" i="21"/>
  <c r="E325" i="21"/>
  <c r="E326" i="21"/>
  <c r="E327" i="21"/>
  <c r="E328" i="21"/>
  <c r="E329" i="21"/>
  <c r="E330" i="21"/>
  <c r="E331" i="21"/>
  <c r="E332" i="21"/>
  <c r="E333" i="21"/>
  <c r="E334" i="21"/>
  <c r="E335" i="21"/>
  <c r="E336" i="21"/>
  <c r="E337" i="21"/>
  <c r="E338" i="21"/>
  <c r="E339" i="21"/>
  <c r="E340" i="21"/>
  <c r="E341" i="21"/>
  <c r="E342" i="21"/>
  <c r="E343" i="21"/>
  <c r="E344" i="21"/>
  <c r="E345" i="21"/>
  <c r="E346" i="21"/>
  <c r="E347" i="21"/>
  <c r="E348" i="21"/>
  <c r="E349" i="21"/>
  <c r="E350" i="21"/>
  <c r="E351" i="21"/>
  <c r="E352" i="21"/>
  <c r="E353" i="21"/>
  <c r="E354" i="21"/>
  <c r="E355" i="21"/>
  <c r="E356" i="21"/>
  <c r="E357" i="21"/>
  <c r="E358" i="21"/>
  <c r="E359" i="21"/>
  <c r="E360" i="21"/>
  <c r="E361" i="21"/>
  <c r="E362" i="21"/>
  <c r="E363" i="21"/>
  <c r="E364" i="21"/>
  <c r="E365" i="21"/>
  <c r="E366" i="21"/>
  <c r="E367" i="21"/>
  <c r="E368" i="21"/>
  <c r="E369" i="21"/>
  <c r="E370" i="21"/>
  <c r="E371" i="21"/>
  <c r="E372" i="21"/>
  <c r="E373" i="21"/>
  <c r="E374" i="21"/>
  <c r="E375" i="21"/>
  <c r="E376" i="21"/>
  <c r="E377" i="21"/>
  <c r="E378" i="21"/>
  <c r="E379" i="21"/>
  <c r="E380" i="21"/>
  <c r="E381" i="21"/>
  <c r="E382" i="21"/>
  <c r="E383" i="21"/>
  <c r="E384" i="21"/>
  <c r="E385" i="21"/>
  <c r="E386" i="21"/>
  <c r="E387" i="21"/>
  <c r="E388" i="21"/>
  <c r="E389" i="21"/>
  <c r="E390" i="21"/>
  <c r="E391" i="21"/>
  <c r="E392" i="21"/>
  <c r="E393" i="21"/>
  <c r="E394" i="21"/>
  <c r="E395" i="21"/>
  <c r="E396" i="21"/>
  <c r="E397" i="21"/>
  <c r="E398" i="21"/>
  <c r="E399" i="21"/>
  <c r="E400" i="21"/>
  <c r="E401" i="21"/>
  <c r="E402" i="21"/>
  <c r="E403" i="21"/>
  <c r="E168" i="21"/>
  <c r="B1028" i="46"/>
  <c r="I411" i="19"/>
  <c r="I2817" i="19"/>
  <c r="J2817" i="19"/>
  <c r="I2818" i="19"/>
  <c r="J2818" i="19"/>
  <c r="I2819" i="19"/>
  <c r="J2819" i="19"/>
  <c r="F2811" i="19"/>
  <c r="G2811" i="19"/>
  <c r="F2812" i="19"/>
  <c r="G2812" i="19"/>
  <c r="F2813" i="19"/>
  <c r="G2813" i="19"/>
  <c r="F2814" i="19"/>
  <c r="G2814" i="19"/>
  <c r="F2815" i="19"/>
  <c r="G2815" i="19"/>
  <c r="F2816" i="19"/>
  <c r="G2816" i="19"/>
  <c r="F2817" i="19"/>
  <c r="G2817" i="19"/>
  <c r="F2818" i="19"/>
  <c r="G2818" i="19"/>
  <c r="F2819" i="19"/>
  <c r="G2819" i="19"/>
  <c r="C1875" i="19"/>
  <c r="D1875" i="19"/>
  <c r="E1875" i="19"/>
  <c r="F1875" i="19"/>
  <c r="G1875" i="19"/>
  <c r="H1875" i="19"/>
  <c r="I1875" i="19"/>
  <c r="C941" i="19"/>
  <c r="D941" i="19"/>
  <c r="E941" i="19"/>
  <c r="F941" i="19"/>
  <c r="G941" i="19"/>
  <c r="H941" i="19"/>
  <c r="I1105" i="19"/>
  <c r="I1106" i="19"/>
  <c r="I1107" i="19"/>
  <c r="I1108" i="19"/>
  <c r="I1109" i="19"/>
  <c r="I1110" i="19"/>
  <c r="F7" i="19"/>
  <c r="G7" i="19"/>
  <c r="H7" i="19"/>
  <c r="D1227" i="35"/>
  <c r="E369" i="35"/>
  <c r="F369" i="35"/>
  <c r="E382" i="35"/>
  <c r="F382" i="35"/>
  <c r="E381" i="35"/>
  <c r="F460" i="35"/>
  <c r="F459" i="35"/>
  <c r="D1925" i="21" l="1"/>
  <c r="E1925" i="21" s="1"/>
  <c r="F353" i="35"/>
  <c r="F381" i="35" l="1"/>
  <c r="F633" i="35"/>
  <c r="F634" i="35"/>
  <c r="F635" i="35"/>
  <c r="F636" i="35"/>
  <c r="F637" i="35"/>
  <c r="F638" i="35"/>
  <c r="F639" i="35"/>
  <c r="F640" i="35"/>
  <c r="F632" i="35"/>
  <c r="F630" i="35"/>
  <c r="F631" i="35"/>
  <c r="F629" i="35"/>
  <c r="F628" i="35"/>
  <c r="F627" i="35"/>
  <c r="F626" i="35"/>
  <c r="F625" i="35"/>
  <c r="F624" i="35"/>
  <c r="F623" i="35"/>
  <c r="F618" i="35"/>
  <c r="F619" i="35"/>
  <c r="F620" i="35"/>
  <c r="F621" i="35"/>
  <c r="F617" i="35"/>
  <c r="F576" i="35"/>
  <c r="F577" i="35"/>
  <c r="F578" i="35"/>
  <c r="F579" i="35"/>
  <c r="F580" i="35"/>
  <c r="F581" i="35"/>
  <c r="F582" i="35"/>
  <c r="F583" i="35"/>
  <c r="F584" i="35"/>
  <c r="F585" i="35"/>
  <c r="F586" i="35"/>
  <c r="F587" i="35"/>
  <c r="F588" i="35"/>
  <c r="F589" i="35"/>
  <c r="F590" i="35"/>
  <c r="F591" i="35"/>
  <c r="F592" i="35"/>
  <c r="F593" i="35"/>
  <c r="F594" i="35"/>
  <c r="F595" i="35"/>
  <c r="F596" i="35"/>
  <c r="F597" i="35"/>
  <c r="F598" i="35"/>
  <c r="F599" i="35"/>
  <c r="F600" i="35"/>
  <c r="F601" i="35"/>
  <c r="F602" i="35"/>
  <c r="F603" i="35"/>
  <c r="F604" i="35"/>
  <c r="F605" i="35"/>
  <c r="F606" i="35"/>
  <c r="F607" i="35"/>
  <c r="F608" i="35"/>
  <c r="F609" i="35"/>
  <c r="F610" i="35"/>
  <c r="F611" i="35"/>
  <c r="F612" i="35"/>
  <c r="F613" i="35"/>
  <c r="F614" i="35"/>
  <c r="F615" i="35"/>
  <c r="F575" i="35"/>
  <c r="F569" i="35"/>
  <c r="F570" i="35"/>
  <c r="F571" i="35"/>
  <c r="F572" i="35"/>
  <c r="F573" i="35"/>
  <c r="F568" i="35"/>
  <c r="F542" i="35"/>
  <c r="F543" i="35"/>
  <c r="F544" i="35"/>
  <c r="F545" i="35"/>
  <c r="F546" i="35"/>
  <c r="F547" i="35"/>
  <c r="F548" i="35"/>
  <c r="F549" i="35"/>
  <c r="F550" i="35"/>
  <c r="F551" i="35"/>
  <c r="F552" i="35"/>
  <c r="F553" i="35"/>
  <c r="F554" i="35"/>
  <c r="F555" i="35"/>
  <c r="F556" i="35"/>
  <c r="F557" i="35"/>
  <c r="F558" i="35"/>
  <c r="F559" i="35"/>
  <c r="F560" i="35"/>
  <c r="F561" i="35"/>
  <c r="F562" i="35"/>
  <c r="F563" i="35"/>
  <c r="F564" i="35"/>
  <c r="F565" i="35"/>
  <c r="F541" i="35"/>
  <c r="F515" i="35"/>
  <c r="F516" i="35"/>
  <c r="F517" i="35"/>
  <c r="F518" i="35"/>
  <c r="F519" i="35"/>
  <c r="F520" i="35"/>
  <c r="F521" i="35"/>
  <c r="F522" i="35"/>
  <c r="F523" i="35"/>
  <c r="F524" i="35"/>
  <c r="F525" i="35"/>
  <c r="F526" i="35"/>
  <c r="F527" i="35"/>
  <c r="F528" i="35"/>
  <c r="F529" i="35"/>
  <c r="F530" i="35"/>
  <c r="F531" i="35"/>
  <c r="F532" i="35"/>
  <c r="F533" i="35"/>
  <c r="F534" i="35"/>
  <c r="F535" i="35"/>
  <c r="F536" i="35"/>
  <c r="F537" i="35"/>
  <c r="F538" i="35"/>
  <c r="F514" i="35"/>
  <c r="F508" i="35"/>
  <c r="F509" i="35"/>
  <c r="F510" i="35"/>
  <c r="F511" i="35"/>
  <c r="F512" i="35"/>
  <c r="F507" i="35"/>
  <c r="F506" i="35"/>
  <c r="F505" i="35"/>
  <c r="F502" i="35"/>
  <c r="F503" i="35"/>
  <c r="F501" i="35"/>
  <c r="F479" i="35"/>
  <c r="F480" i="35"/>
  <c r="F481" i="35"/>
  <c r="F482" i="35"/>
  <c r="F483" i="35"/>
  <c r="F484" i="35"/>
  <c r="F485" i="35"/>
  <c r="F486" i="35"/>
  <c r="F487" i="35"/>
  <c r="F488" i="35"/>
  <c r="F489" i="35"/>
  <c r="F490" i="35"/>
  <c r="F491" i="35"/>
  <c r="F492" i="35"/>
  <c r="F493" i="35"/>
  <c r="F494" i="35"/>
  <c r="F495" i="35"/>
  <c r="F496" i="35"/>
  <c r="F497" i="35"/>
  <c r="F498" i="35"/>
  <c r="F478" i="35"/>
  <c r="F476" i="35"/>
  <c r="F475" i="35"/>
  <c r="F467" i="35"/>
  <c r="F403" i="35"/>
  <c r="F402" i="35"/>
  <c r="F426" i="35"/>
  <c r="F425" i="35"/>
  <c r="F376" i="35"/>
  <c r="F363" i="35"/>
  <c r="F356" i="35"/>
  <c r="F354" i="35"/>
  <c r="F355" i="35"/>
  <c r="F357" i="35"/>
  <c r="F358" i="35"/>
  <c r="F359" i="35"/>
  <c r="F360" i="35"/>
  <c r="F361" i="35"/>
  <c r="F362" i="35"/>
  <c r="F364" i="35"/>
  <c r="F365" i="35"/>
  <c r="F366" i="35"/>
  <c r="F367" i="35"/>
  <c r="F368" i="35"/>
  <c r="F370" i="35"/>
  <c r="F371" i="35"/>
  <c r="F372" i="35"/>
  <c r="F373" i="35"/>
  <c r="F374" i="35"/>
  <c r="F375" i="35"/>
  <c r="F377" i="35"/>
  <c r="F378" i="35"/>
  <c r="F379" i="35"/>
  <c r="F380" i="35"/>
  <c r="F383" i="35"/>
  <c r="F384" i="35"/>
  <c r="F385" i="35"/>
  <c r="F386" i="35"/>
  <c r="F387" i="35"/>
  <c r="F388" i="35"/>
  <c r="F389" i="35"/>
  <c r="F390" i="35"/>
  <c r="F391" i="35"/>
  <c r="F392" i="35"/>
  <c r="F393" i="35"/>
  <c r="F394" i="35"/>
  <c r="F395" i="35"/>
  <c r="F396" i="35"/>
  <c r="F397" i="35"/>
  <c r="F398" i="35"/>
  <c r="F399" i="35"/>
  <c r="F400" i="35"/>
  <c r="F401" i="35"/>
  <c r="F404" i="35"/>
  <c r="F405" i="35"/>
  <c r="F406" i="35"/>
  <c r="F407" i="35"/>
  <c r="F408" i="35"/>
  <c r="F409" i="35"/>
  <c r="F410" i="35"/>
  <c r="F411" i="35"/>
  <c r="F412" i="35"/>
  <c r="F413" i="35"/>
  <c r="F414" i="35"/>
  <c r="F415" i="35"/>
  <c r="F416" i="35"/>
  <c r="F417" i="35"/>
  <c r="F418" i="35"/>
  <c r="F419" i="35"/>
  <c r="F420" i="35"/>
  <c r="F421" i="35"/>
  <c r="F422" i="35"/>
  <c r="F423" i="35"/>
  <c r="F424" i="35"/>
  <c r="F427" i="35"/>
  <c r="F428" i="35"/>
  <c r="F429" i="35"/>
  <c r="F430" i="35"/>
  <c r="F431" i="35"/>
  <c r="F432" i="35"/>
  <c r="F433" i="35"/>
  <c r="F434" i="35"/>
  <c r="F435" i="35"/>
  <c r="F436" i="35"/>
  <c r="F437" i="35"/>
  <c r="F438" i="35"/>
  <c r="F439" i="35"/>
  <c r="F440" i="35"/>
  <c r="F441" i="35"/>
  <c r="F442" i="35"/>
  <c r="F443" i="35"/>
  <c r="F444" i="35"/>
  <c r="F445" i="35"/>
  <c r="F446" i="35"/>
  <c r="F447" i="35"/>
  <c r="F448" i="35"/>
  <c r="F449" i="35"/>
  <c r="F450" i="35"/>
  <c r="F451" i="35"/>
  <c r="F452" i="35"/>
  <c r="F453" i="35"/>
  <c r="F454" i="35"/>
  <c r="F455" i="35"/>
  <c r="F456" i="35"/>
  <c r="F457" i="35"/>
  <c r="F458" i="35"/>
  <c r="F461" i="35"/>
  <c r="F462" i="35"/>
  <c r="F463" i="35"/>
  <c r="F464" i="35"/>
  <c r="F465" i="35"/>
  <c r="F466" i="35"/>
  <c r="F468" i="35"/>
  <c r="F469" i="35"/>
  <c r="F470" i="35"/>
  <c r="F471" i="35"/>
  <c r="F472" i="35"/>
  <c r="F473" i="35"/>
  <c r="F474" i="35"/>
  <c r="F268" i="35"/>
  <c r="F248" i="35"/>
  <c r="F291" i="35"/>
  <c r="F314" i="35"/>
  <c r="F313" i="35"/>
  <c r="F292" i="35"/>
  <c r="F273" i="35"/>
  <c r="F249" i="35"/>
  <c r="F250" i="35"/>
  <c r="F251" i="35"/>
  <c r="F252" i="35"/>
  <c r="F253" i="35"/>
  <c r="F254" i="35"/>
  <c r="F255" i="35"/>
  <c r="F256" i="35"/>
  <c r="F257" i="35"/>
  <c r="F258" i="35"/>
  <c r="F259" i="35"/>
  <c r="F260" i="35"/>
  <c r="F261" i="35"/>
  <c r="F262" i="35"/>
  <c r="F263" i="35"/>
  <c r="F264" i="35"/>
  <c r="F265" i="35"/>
  <c r="F266" i="35"/>
  <c r="F267" i="35"/>
  <c r="F269" i="35"/>
  <c r="F270" i="35"/>
  <c r="F271" i="35"/>
  <c r="F272" i="35"/>
  <c r="F274" i="35"/>
  <c r="F275" i="35"/>
  <c r="F276" i="35"/>
  <c r="F277" i="35"/>
  <c r="F278" i="35"/>
  <c r="F279" i="35"/>
  <c r="F280" i="35"/>
  <c r="F281" i="35"/>
  <c r="F282" i="35"/>
  <c r="F283" i="35"/>
  <c r="F284" i="35"/>
  <c r="F285" i="35"/>
  <c r="F286" i="35"/>
  <c r="F287" i="35"/>
  <c r="F288" i="35"/>
  <c r="F289" i="35"/>
  <c r="F290" i="35"/>
  <c r="F293" i="35"/>
  <c r="F294" i="35"/>
  <c r="F295" i="35"/>
  <c r="F296" i="35"/>
  <c r="F297" i="35"/>
  <c r="F298" i="35"/>
  <c r="F299" i="35"/>
  <c r="F300" i="35"/>
  <c r="F301" i="35"/>
  <c r="F302" i="35"/>
  <c r="F303" i="35"/>
  <c r="F304" i="35"/>
  <c r="F305" i="35"/>
  <c r="F306" i="35"/>
  <c r="F307" i="35"/>
  <c r="F308" i="35"/>
  <c r="F309" i="35"/>
  <c r="F310" i="35"/>
  <c r="F311" i="35"/>
  <c r="F312" i="35"/>
  <c r="F315" i="35"/>
  <c r="F316" i="35"/>
  <c r="F317" i="35"/>
  <c r="F318" i="35"/>
  <c r="F319" i="35"/>
  <c r="F320" i="35"/>
  <c r="F321" i="35"/>
  <c r="F322" i="35"/>
  <c r="F323" i="35"/>
  <c r="F324" i="35"/>
  <c r="F325" i="35"/>
  <c r="F326" i="35"/>
  <c r="F327" i="35"/>
  <c r="F328" i="35"/>
  <c r="F329" i="35"/>
  <c r="F330" i="35"/>
  <c r="F331" i="35"/>
  <c r="F332" i="35"/>
  <c r="F333" i="35"/>
  <c r="F334" i="35"/>
  <c r="F335" i="35"/>
  <c r="F336" i="35"/>
  <c r="F337" i="35"/>
  <c r="F338" i="35"/>
  <c r="F339" i="35"/>
  <c r="F340" i="35"/>
  <c r="F341" i="35"/>
  <c r="F342" i="35"/>
  <c r="F343" i="35"/>
  <c r="F344" i="35"/>
  <c r="F345" i="35"/>
  <c r="F346" i="35"/>
  <c r="F347" i="35"/>
  <c r="F348" i="35"/>
  <c r="F349" i="35"/>
  <c r="F350" i="35"/>
  <c r="F351" i="35"/>
  <c r="F352" i="35"/>
  <c r="F241" i="35"/>
  <c r="F240" i="35"/>
  <c r="F242" i="35"/>
  <c r="F243" i="35"/>
  <c r="F244" i="35"/>
  <c r="F245" i="35"/>
  <c r="F246" i="35"/>
  <c r="F247" i="35"/>
  <c r="F239" i="35"/>
  <c r="F236" i="35"/>
  <c r="F237" i="35"/>
  <c r="F238" i="35"/>
  <c r="F235" i="35"/>
  <c r="E224" i="35"/>
  <c r="E223" i="35"/>
  <c r="F224" i="35"/>
  <c r="F223" i="35"/>
  <c r="F214" i="35"/>
  <c r="E640" i="35"/>
  <c r="E248" i="35"/>
  <c r="E263" i="35"/>
  <c r="F641" i="35" l="1"/>
  <c r="E641" i="35"/>
  <c r="H405" i="21"/>
  <c r="B405" i="21" l="1"/>
  <c r="D2862" i="19"/>
  <c r="C2862" i="19"/>
  <c r="B2862" i="19"/>
  <c r="G2862" i="19"/>
  <c r="F2862" i="19"/>
  <c r="E2862" i="19"/>
  <c r="H9" i="2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H49" i="21"/>
  <c r="H50" i="21"/>
  <c r="H51" i="21"/>
  <c r="H52" i="21"/>
  <c r="H53" i="21"/>
  <c r="H54" i="21"/>
  <c r="H55" i="21"/>
  <c r="H56" i="21"/>
  <c r="H57" i="21"/>
  <c r="H58" i="21"/>
  <c r="H59" i="21"/>
  <c r="H60" i="21"/>
  <c r="H61" i="21"/>
  <c r="H62" i="21"/>
  <c r="H63" i="21"/>
  <c r="H64" i="21"/>
  <c r="H65" i="21"/>
  <c r="H66" i="21"/>
  <c r="H67" i="21"/>
  <c r="H68" i="21"/>
  <c r="H69" i="21"/>
  <c r="H70" i="21"/>
  <c r="H71" i="21"/>
  <c r="H72" i="21"/>
  <c r="H73" i="21"/>
  <c r="H74" i="21"/>
  <c r="H75" i="21"/>
  <c r="H76" i="21"/>
  <c r="H77" i="21"/>
  <c r="H78" i="21"/>
  <c r="H79" i="21"/>
  <c r="H80" i="21"/>
  <c r="H81" i="21"/>
  <c r="H82" i="21"/>
  <c r="H83" i="21"/>
  <c r="H84" i="21"/>
  <c r="H85" i="21"/>
  <c r="H86" i="21"/>
  <c r="H87" i="21"/>
  <c r="H88" i="21"/>
  <c r="H89" i="21"/>
  <c r="H90" i="21"/>
  <c r="H91" i="21"/>
  <c r="H92" i="21"/>
  <c r="H93" i="21"/>
  <c r="H94" i="21"/>
  <c r="H95" i="21"/>
  <c r="H96" i="21"/>
  <c r="H97" i="21"/>
  <c r="H98" i="21"/>
  <c r="H99" i="21"/>
  <c r="H100" i="21"/>
  <c r="H101" i="21"/>
  <c r="H102" i="21"/>
  <c r="H103" i="21"/>
  <c r="H104" i="21"/>
  <c r="H105" i="21"/>
  <c r="H106" i="21"/>
  <c r="H107" i="21"/>
  <c r="H108" i="21"/>
  <c r="H109" i="21"/>
  <c r="H110" i="21"/>
  <c r="H111" i="21"/>
  <c r="H112" i="21"/>
  <c r="H113" i="21"/>
  <c r="H114" i="21"/>
  <c r="H115" i="21"/>
  <c r="H116" i="21"/>
  <c r="H117" i="21"/>
  <c r="H118" i="21"/>
  <c r="H119" i="21"/>
  <c r="H120" i="21"/>
  <c r="H121" i="21"/>
  <c r="H122" i="21"/>
  <c r="H123" i="21"/>
  <c r="H124" i="21"/>
  <c r="H125" i="21"/>
  <c r="H126" i="21"/>
  <c r="H127" i="21"/>
  <c r="H128" i="21"/>
  <c r="H129" i="21"/>
  <c r="H130" i="21"/>
  <c r="H131" i="21"/>
  <c r="H132" i="21"/>
  <c r="H133" i="21"/>
  <c r="H134" i="21"/>
  <c r="H135" i="21"/>
  <c r="H136" i="21"/>
  <c r="H137" i="21"/>
  <c r="H138" i="21"/>
  <c r="H139" i="21"/>
  <c r="H140" i="21"/>
  <c r="H141" i="21"/>
  <c r="H142" i="21"/>
  <c r="H143" i="21"/>
  <c r="H144" i="21"/>
  <c r="H145" i="21"/>
  <c r="H146" i="21"/>
  <c r="H147" i="21"/>
  <c r="H148" i="21"/>
  <c r="H149" i="21"/>
  <c r="H150" i="21"/>
  <c r="H151" i="21"/>
  <c r="H152" i="21"/>
  <c r="H153" i="21"/>
  <c r="H154" i="21"/>
  <c r="H155" i="21"/>
  <c r="H156" i="21"/>
  <c r="H157" i="21"/>
  <c r="H158" i="21"/>
  <c r="H159" i="21"/>
  <c r="H160" i="21"/>
  <c r="H161" i="21"/>
  <c r="H162" i="21"/>
  <c r="H163" i="21"/>
  <c r="H164" i="21"/>
  <c r="H165" i="21"/>
  <c r="H166" i="21"/>
  <c r="H8" i="21"/>
  <c r="O266" i="47"/>
  <c r="O265" i="47"/>
  <c r="O264" i="47"/>
  <c r="O263" i="47"/>
  <c r="O262" i="47"/>
  <c r="O261" i="47"/>
  <c r="O260" i="47"/>
  <c r="O259" i="47"/>
  <c r="O258" i="47"/>
  <c r="O257" i="47"/>
  <c r="O256" i="47"/>
  <c r="O255" i="47"/>
  <c r="O254" i="47"/>
  <c r="O253" i="47"/>
  <c r="O252" i="47"/>
  <c r="O251" i="47"/>
  <c r="O250" i="47"/>
  <c r="O249" i="47"/>
  <c r="O248" i="47"/>
  <c r="O247" i="47"/>
  <c r="O246" i="47"/>
  <c r="O245" i="47"/>
  <c r="O244" i="47"/>
  <c r="O243" i="47"/>
  <c r="O242" i="47"/>
  <c r="O241" i="47"/>
  <c r="O240" i="47"/>
  <c r="O239" i="47"/>
  <c r="O238" i="47"/>
  <c r="O237" i="47"/>
  <c r="O236" i="47"/>
  <c r="O235" i="47"/>
  <c r="O234" i="47"/>
  <c r="O233" i="47"/>
  <c r="O232" i="47"/>
  <c r="O231" i="47"/>
  <c r="O230" i="47"/>
  <c r="O229" i="47"/>
  <c r="O228" i="47"/>
  <c r="O227" i="47"/>
  <c r="O226" i="47"/>
  <c r="O225" i="47"/>
  <c r="O224" i="47"/>
  <c r="O223" i="47"/>
  <c r="O222" i="47"/>
  <c r="O221" i="47"/>
  <c r="O220" i="47"/>
  <c r="O219" i="47"/>
  <c r="O218" i="47"/>
  <c r="O217" i="47"/>
  <c r="O216" i="47"/>
  <c r="O215" i="47"/>
  <c r="O214" i="47"/>
  <c r="O213" i="47"/>
  <c r="O212" i="47"/>
  <c r="O211" i="47"/>
  <c r="O210" i="47"/>
  <c r="O209" i="47"/>
  <c r="O208" i="47"/>
  <c r="O207" i="47"/>
  <c r="O206" i="47"/>
  <c r="O205" i="47"/>
  <c r="O204" i="47"/>
  <c r="O203" i="47"/>
  <c r="O202" i="47"/>
  <c r="O201" i="47"/>
  <c r="O200" i="47"/>
  <c r="O199" i="47"/>
  <c r="O198" i="47"/>
  <c r="O197" i="47"/>
  <c r="O196" i="47"/>
  <c r="O195" i="47"/>
  <c r="O194" i="47"/>
  <c r="O193" i="47"/>
  <c r="O192" i="47"/>
  <c r="O191" i="47"/>
  <c r="O190" i="47"/>
  <c r="O189" i="47"/>
  <c r="O188" i="47"/>
  <c r="O187" i="47"/>
  <c r="O186" i="47"/>
  <c r="O185" i="47"/>
  <c r="O184" i="47"/>
  <c r="O183" i="47"/>
  <c r="O182" i="47"/>
  <c r="O181" i="47"/>
  <c r="O180" i="47"/>
  <c r="O179" i="47"/>
  <c r="O178" i="47"/>
  <c r="O177" i="47"/>
  <c r="O176" i="47"/>
  <c r="O175" i="47"/>
  <c r="O174" i="47"/>
  <c r="O173" i="47"/>
  <c r="O172" i="47"/>
  <c r="O171" i="47"/>
  <c r="O170" i="47"/>
  <c r="O169" i="47"/>
  <c r="O168" i="47"/>
  <c r="O167" i="47"/>
  <c r="O166" i="47"/>
  <c r="O165" i="47"/>
  <c r="O164" i="47"/>
  <c r="O163" i="47"/>
  <c r="O162" i="47"/>
  <c r="O161" i="47"/>
  <c r="O160" i="47"/>
  <c r="O159" i="47"/>
  <c r="O158" i="47"/>
  <c r="O157" i="47"/>
  <c r="O156" i="47"/>
  <c r="O155" i="47"/>
  <c r="O154" i="47"/>
  <c r="O153" i="47"/>
  <c r="O152" i="47"/>
  <c r="O151" i="47"/>
  <c r="O150" i="47"/>
  <c r="O149" i="47"/>
  <c r="O148" i="47"/>
  <c r="O147" i="47"/>
  <c r="H7" i="21" l="1"/>
  <c r="O670" i="47" l="1"/>
  <c r="O669" i="47"/>
  <c r="O668" i="47"/>
  <c r="O667" i="47"/>
  <c r="O70" i="47"/>
  <c r="L70" i="47"/>
  <c r="O18" i="47"/>
  <c r="L18" i="47"/>
  <c r="O17" i="47"/>
  <c r="L17" i="47"/>
  <c r="O16" i="47"/>
  <c r="L16" i="47"/>
  <c r="B2047" i="19"/>
  <c r="C2047" i="19"/>
  <c r="D2047" i="19"/>
  <c r="E2047" i="19"/>
  <c r="G2047" i="19"/>
  <c r="H2047" i="19"/>
  <c r="B2048" i="19"/>
  <c r="C2048" i="19"/>
  <c r="D2048" i="19"/>
  <c r="E2048" i="19"/>
  <c r="G2048" i="19"/>
  <c r="H2048" i="19"/>
  <c r="B2049" i="19"/>
  <c r="C2049" i="19"/>
  <c r="D2049" i="19"/>
  <c r="E2049" i="19"/>
  <c r="G2049" i="19"/>
  <c r="H2049" i="19"/>
  <c r="B2050" i="19"/>
  <c r="C2050" i="19"/>
  <c r="D2050" i="19"/>
  <c r="E2050" i="19"/>
  <c r="G2050" i="19"/>
  <c r="H2050" i="19"/>
  <c r="B2051" i="19"/>
  <c r="C2051" i="19"/>
  <c r="D2051" i="19"/>
  <c r="E2051" i="19"/>
  <c r="G2051" i="19"/>
  <c r="H2051" i="19"/>
  <c r="B2052" i="19"/>
  <c r="C2052" i="19"/>
  <c r="D2052" i="19"/>
  <c r="E2052" i="19"/>
  <c r="G2052" i="19"/>
  <c r="H2052" i="19"/>
  <c r="B2053" i="19"/>
  <c r="C2053" i="19"/>
  <c r="D2053" i="19"/>
  <c r="E2053" i="19"/>
  <c r="G2053" i="19"/>
  <c r="H2053" i="19"/>
  <c r="B2054" i="19"/>
  <c r="C2054" i="19"/>
  <c r="D2054" i="19"/>
  <c r="E2054" i="19"/>
  <c r="G2054" i="19"/>
  <c r="H2054" i="19"/>
  <c r="B2055" i="19"/>
  <c r="C2055" i="19"/>
  <c r="D2055" i="19"/>
  <c r="E2055" i="19"/>
  <c r="G2055" i="19"/>
  <c r="H2055" i="19"/>
  <c r="B2056" i="19"/>
  <c r="C2056" i="19"/>
  <c r="D2056" i="19"/>
  <c r="E2056" i="19"/>
  <c r="G2056" i="19"/>
  <c r="H2056" i="19"/>
  <c r="B2057" i="19"/>
  <c r="C2057" i="19"/>
  <c r="D2057" i="19"/>
  <c r="E2057" i="19"/>
  <c r="G2057" i="19"/>
  <c r="H2057" i="19"/>
  <c r="B2058" i="19"/>
  <c r="C2058" i="19"/>
  <c r="D2058" i="19"/>
  <c r="E2058" i="19"/>
  <c r="G2058" i="19"/>
  <c r="H2058" i="19"/>
  <c r="B2059" i="19"/>
  <c r="C2059" i="19"/>
  <c r="D2059" i="19"/>
  <c r="E2059" i="19"/>
  <c r="G2059" i="19"/>
  <c r="H2059" i="19"/>
  <c r="B2060" i="19"/>
  <c r="C2060" i="19"/>
  <c r="D2060" i="19"/>
  <c r="E2060" i="19"/>
  <c r="G2060" i="19"/>
  <c r="H2060" i="19"/>
  <c r="B2061" i="19"/>
  <c r="C2061" i="19"/>
  <c r="D2061" i="19"/>
  <c r="E2061" i="19"/>
  <c r="G2061" i="19"/>
  <c r="H2061" i="19"/>
  <c r="B2062" i="19"/>
  <c r="C2062" i="19"/>
  <c r="D2062" i="19"/>
  <c r="E2062" i="19"/>
  <c r="G2062" i="19"/>
  <c r="H2062" i="19"/>
  <c r="B2063" i="19"/>
  <c r="C2063" i="19"/>
  <c r="D2063" i="19"/>
  <c r="E2063" i="19"/>
  <c r="G2063" i="19"/>
  <c r="H2063" i="19"/>
  <c r="B2064" i="19"/>
  <c r="C2064" i="19"/>
  <c r="D2064" i="19"/>
  <c r="E2064" i="19"/>
  <c r="G2064" i="19"/>
  <c r="H2064" i="19"/>
  <c r="B2065" i="19"/>
  <c r="C2065" i="19"/>
  <c r="D2065" i="19"/>
  <c r="E2065" i="19"/>
  <c r="G2065" i="19"/>
  <c r="H2065" i="19"/>
  <c r="B2066" i="19"/>
  <c r="C2066" i="19"/>
  <c r="D2066" i="19"/>
  <c r="E2066" i="19"/>
  <c r="G2066" i="19"/>
  <c r="H2066" i="19"/>
  <c r="B2067" i="19"/>
  <c r="C2067" i="19"/>
  <c r="D2067" i="19"/>
  <c r="E2067" i="19"/>
  <c r="G2067" i="19"/>
  <c r="H2067" i="19"/>
  <c r="B2068" i="19"/>
  <c r="C2068" i="19"/>
  <c r="D2068" i="19"/>
  <c r="E2068" i="19"/>
  <c r="G2068" i="19"/>
  <c r="H2068" i="19"/>
  <c r="B2069" i="19"/>
  <c r="C2069" i="19"/>
  <c r="D2069" i="19"/>
  <c r="E2069" i="19"/>
  <c r="G2069" i="19"/>
  <c r="H2069" i="19"/>
  <c r="B2070" i="19"/>
  <c r="C2070" i="19"/>
  <c r="D2070" i="19"/>
  <c r="E2070" i="19"/>
  <c r="G2070" i="19"/>
  <c r="H2070" i="19"/>
  <c r="B2071" i="19"/>
  <c r="C2071" i="19"/>
  <c r="D2071" i="19"/>
  <c r="E2071" i="19"/>
  <c r="G2071" i="19"/>
  <c r="H2071" i="19"/>
  <c r="B2072" i="19"/>
  <c r="C2072" i="19"/>
  <c r="D2072" i="19"/>
  <c r="E2072" i="19"/>
  <c r="G2072" i="19"/>
  <c r="H2072" i="19"/>
  <c r="B2073" i="19"/>
  <c r="C2073" i="19"/>
  <c r="D2073" i="19"/>
  <c r="E2073" i="19"/>
  <c r="G2073" i="19"/>
  <c r="H2073" i="19"/>
  <c r="B2074" i="19"/>
  <c r="C2074" i="19"/>
  <c r="D2074" i="19"/>
  <c r="E2074" i="19"/>
  <c r="G2074" i="19"/>
  <c r="H2074" i="19"/>
  <c r="B2075" i="19"/>
  <c r="C2075" i="19"/>
  <c r="D2075" i="19"/>
  <c r="E2075" i="19"/>
  <c r="G2075" i="19"/>
  <c r="H2075" i="19"/>
  <c r="B2076" i="19"/>
  <c r="C2076" i="19"/>
  <c r="D2076" i="19"/>
  <c r="E2076" i="19"/>
  <c r="G2076" i="19"/>
  <c r="H2076" i="19"/>
  <c r="B2077" i="19"/>
  <c r="C2077" i="19"/>
  <c r="D2077" i="19"/>
  <c r="E2077" i="19"/>
  <c r="G2077" i="19"/>
  <c r="H2077" i="19"/>
  <c r="B2078" i="19"/>
  <c r="C2078" i="19"/>
  <c r="D2078" i="19"/>
  <c r="E2078" i="19"/>
  <c r="G2078" i="19"/>
  <c r="H2078" i="19"/>
  <c r="B2079" i="19"/>
  <c r="C2079" i="19"/>
  <c r="D2079" i="19"/>
  <c r="E2079" i="19"/>
  <c r="G2079" i="19"/>
  <c r="H2079" i="19"/>
  <c r="B2080" i="19"/>
  <c r="C2080" i="19"/>
  <c r="D2080" i="19"/>
  <c r="E2080" i="19"/>
  <c r="G2080" i="19"/>
  <c r="H2080" i="19"/>
  <c r="B2081" i="19"/>
  <c r="C2081" i="19"/>
  <c r="D2081" i="19"/>
  <c r="E2081" i="19"/>
  <c r="G2081" i="19"/>
  <c r="H2081" i="19"/>
  <c r="B2082" i="19"/>
  <c r="C2082" i="19"/>
  <c r="D2082" i="19"/>
  <c r="E2082" i="19"/>
  <c r="G2082" i="19"/>
  <c r="H2082" i="19"/>
  <c r="B2083" i="19"/>
  <c r="C2083" i="19"/>
  <c r="D2083" i="19"/>
  <c r="E2083" i="19"/>
  <c r="G2083" i="19"/>
  <c r="H2083" i="19"/>
  <c r="B2084" i="19"/>
  <c r="C2084" i="19"/>
  <c r="D2084" i="19"/>
  <c r="E2084" i="19"/>
  <c r="G2084" i="19"/>
  <c r="H2084" i="19"/>
  <c r="B2085" i="19"/>
  <c r="C2085" i="19"/>
  <c r="D2085" i="19"/>
  <c r="E2085" i="19"/>
  <c r="G2085" i="19"/>
  <c r="H2085" i="19"/>
  <c r="B2086" i="19"/>
  <c r="C2086" i="19"/>
  <c r="D2086" i="19"/>
  <c r="E2086" i="19"/>
  <c r="G2086" i="19"/>
  <c r="H2086" i="19"/>
  <c r="B2087" i="19"/>
  <c r="C2087" i="19"/>
  <c r="D2087" i="19"/>
  <c r="E2087" i="19"/>
  <c r="G2087" i="19"/>
  <c r="H2087" i="19"/>
  <c r="B2088" i="19"/>
  <c r="C2088" i="19"/>
  <c r="D2088" i="19"/>
  <c r="E2088" i="19"/>
  <c r="G2088" i="19"/>
  <c r="H2088" i="19"/>
  <c r="B2089" i="19"/>
  <c r="C2089" i="19"/>
  <c r="D2089" i="19"/>
  <c r="E2089" i="19"/>
  <c r="G2089" i="19"/>
  <c r="H2089" i="19"/>
  <c r="B2090" i="19"/>
  <c r="C2090" i="19"/>
  <c r="D2090" i="19"/>
  <c r="E2090" i="19"/>
  <c r="G2090" i="19"/>
  <c r="H2090" i="19"/>
  <c r="B2091" i="19"/>
  <c r="C2091" i="19"/>
  <c r="D2091" i="19"/>
  <c r="E2091" i="19"/>
  <c r="G2091" i="19"/>
  <c r="H2091" i="19"/>
  <c r="B2092" i="19"/>
  <c r="C2092" i="19"/>
  <c r="D2092" i="19"/>
  <c r="E2092" i="19"/>
  <c r="G2092" i="19"/>
  <c r="H2092" i="19"/>
  <c r="B2093" i="19"/>
  <c r="C2093" i="19"/>
  <c r="D2093" i="19"/>
  <c r="E2093" i="19"/>
  <c r="G2093" i="19"/>
  <c r="H2093" i="19"/>
  <c r="B2094" i="19"/>
  <c r="C2094" i="19"/>
  <c r="D2094" i="19"/>
  <c r="E2094" i="19"/>
  <c r="G2094" i="19"/>
  <c r="H2094" i="19"/>
  <c r="B2095" i="19"/>
  <c r="C2095" i="19"/>
  <c r="D2095" i="19"/>
  <c r="E2095" i="19"/>
  <c r="G2095" i="19"/>
  <c r="H2095" i="19"/>
  <c r="B2096" i="19"/>
  <c r="C2096" i="19"/>
  <c r="D2096" i="19"/>
  <c r="E2096" i="19"/>
  <c r="G2096" i="19"/>
  <c r="H2096" i="19"/>
  <c r="B2097" i="19"/>
  <c r="C2097" i="19"/>
  <c r="D2097" i="19"/>
  <c r="E2097" i="19"/>
  <c r="G2097" i="19"/>
  <c r="H2097" i="19"/>
  <c r="B2098" i="19"/>
  <c r="C2098" i="19"/>
  <c r="D2098" i="19"/>
  <c r="E2098" i="19"/>
  <c r="G2098" i="19"/>
  <c r="H2098" i="19"/>
  <c r="B2099" i="19"/>
  <c r="C2099" i="19"/>
  <c r="D2099" i="19"/>
  <c r="E2099" i="19"/>
  <c r="G2099" i="19"/>
  <c r="H2099" i="19"/>
  <c r="B2100" i="19"/>
  <c r="C2100" i="19"/>
  <c r="D2100" i="19"/>
  <c r="E2100" i="19"/>
  <c r="G2100" i="19"/>
  <c r="H2100" i="19"/>
  <c r="B2101" i="19"/>
  <c r="C2101" i="19"/>
  <c r="D2101" i="19"/>
  <c r="E2101" i="19"/>
  <c r="G2101" i="19"/>
  <c r="H2101" i="19"/>
  <c r="B2102" i="19"/>
  <c r="C2102" i="19"/>
  <c r="D2102" i="19"/>
  <c r="E2102" i="19"/>
  <c r="G2102" i="19"/>
  <c r="H2102" i="19"/>
  <c r="B2103" i="19"/>
  <c r="C2103" i="19"/>
  <c r="D2103" i="19"/>
  <c r="E2103" i="19"/>
  <c r="G2103" i="19"/>
  <c r="H2103" i="19"/>
  <c r="B2104" i="19"/>
  <c r="C2104" i="19"/>
  <c r="D2104" i="19"/>
  <c r="E2104" i="19"/>
  <c r="G2104" i="19"/>
  <c r="H2104" i="19"/>
  <c r="B2105" i="19"/>
  <c r="C2105" i="19"/>
  <c r="D2105" i="19"/>
  <c r="E2105" i="19"/>
  <c r="G2105" i="19"/>
  <c r="H2105" i="19"/>
  <c r="B2106" i="19"/>
  <c r="C2106" i="19"/>
  <c r="D2106" i="19"/>
  <c r="E2106" i="19"/>
  <c r="G2106" i="19"/>
  <c r="H2106" i="19"/>
  <c r="B2107" i="19"/>
  <c r="C2107" i="19"/>
  <c r="D2107" i="19"/>
  <c r="E2107" i="19"/>
  <c r="G2107" i="19"/>
  <c r="H2107" i="19"/>
  <c r="B2108" i="19"/>
  <c r="C2108" i="19"/>
  <c r="D2108" i="19"/>
  <c r="E2108" i="19"/>
  <c r="G2108" i="19"/>
  <c r="H2108" i="19"/>
  <c r="B2109" i="19"/>
  <c r="C2109" i="19"/>
  <c r="D2109" i="19"/>
  <c r="E2109" i="19"/>
  <c r="G2109" i="19"/>
  <c r="H2109" i="19"/>
  <c r="B2110" i="19"/>
  <c r="C2110" i="19"/>
  <c r="D2110" i="19"/>
  <c r="E2110" i="19"/>
  <c r="G2110" i="19"/>
  <c r="H2110" i="19"/>
  <c r="B2111" i="19"/>
  <c r="C2111" i="19"/>
  <c r="D2111" i="19"/>
  <c r="E2111" i="19"/>
  <c r="G2111" i="19"/>
  <c r="H2111" i="19"/>
  <c r="B2112" i="19"/>
  <c r="C2112" i="19"/>
  <c r="D2112" i="19"/>
  <c r="E2112" i="19"/>
  <c r="G2112" i="19"/>
  <c r="H2112" i="19"/>
  <c r="B2113" i="19"/>
  <c r="C2113" i="19"/>
  <c r="D2113" i="19"/>
  <c r="E2113" i="19"/>
  <c r="G2113" i="19"/>
  <c r="H2113" i="19"/>
  <c r="B2114" i="19"/>
  <c r="C2114" i="19"/>
  <c r="D2114" i="19"/>
  <c r="E2114" i="19"/>
  <c r="G2114" i="19"/>
  <c r="H2114" i="19"/>
  <c r="B2115" i="19"/>
  <c r="C2115" i="19"/>
  <c r="D2115" i="19"/>
  <c r="E2115" i="19"/>
  <c r="G2115" i="19"/>
  <c r="H2115" i="19"/>
  <c r="B2116" i="19"/>
  <c r="C2116" i="19"/>
  <c r="D2116" i="19"/>
  <c r="E2116" i="19"/>
  <c r="G2116" i="19"/>
  <c r="H2116" i="19"/>
  <c r="B2117" i="19"/>
  <c r="C2117" i="19"/>
  <c r="D2117" i="19"/>
  <c r="E2117" i="19"/>
  <c r="G2117" i="19"/>
  <c r="H2117" i="19"/>
  <c r="B2118" i="19"/>
  <c r="C2118" i="19"/>
  <c r="D2118" i="19"/>
  <c r="E2118" i="19"/>
  <c r="G2118" i="19"/>
  <c r="H2118" i="19"/>
  <c r="B2119" i="19"/>
  <c r="C2119" i="19"/>
  <c r="D2119" i="19"/>
  <c r="E2119" i="19"/>
  <c r="G2119" i="19"/>
  <c r="H2119" i="19"/>
  <c r="B2120" i="19"/>
  <c r="C2120" i="19"/>
  <c r="D2120" i="19"/>
  <c r="E2120" i="19"/>
  <c r="G2120" i="19"/>
  <c r="H2120" i="19"/>
  <c r="B2121" i="19"/>
  <c r="C2121" i="19"/>
  <c r="D2121" i="19"/>
  <c r="E2121" i="19"/>
  <c r="G2121" i="19"/>
  <c r="H2121" i="19"/>
  <c r="B2122" i="19"/>
  <c r="C2122" i="19"/>
  <c r="D2122" i="19"/>
  <c r="E2122" i="19"/>
  <c r="G2122" i="19"/>
  <c r="H2122" i="19"/>
  <c r="B2123" i="19"/>
  <c r="C2123" i="19"/>
  <c r="D2123" i="19"/>
  <c r="E2123" i="19"/>
  <c r="G2123" i="19"/>
  <c r="H2123" i="19"/>
  <c r="B2124" i="19"/>
  <c r="C2124" i="19"/>
  <c r="D2124" i="19"/>
  <c r="E2124" i="19"/>
  <c r="G2124" i="19"/>
  <c r="H2124" i="19"/>
  <c r="B2125" i="19"/>
  <c r="C2125" i="19"/>
  <c r="D2125" i="19"/>
  <c r="E2125" i="19"/>
  <c r="G2125" i="19"/>
  <c r="H2125" i="19"/>
  <c r="B2126" i="19"/>
  <c r="C2126" i="19"/>
  <c r="D2126" i="19"/>
  <c r="E2126" i="19"/>
  <c r="G2126" i="19"/>
  <c r="H2126" i="19"/>
  <c r="B2127" i="19"/>
  <c r="C2127" i="19"/>
  <c r="D2127" i="19"/>
  <c r="E2127" i="19"/>
  <c r="G2127" i="19"/>
  <c r="H2127" i="19"/>
  <c r="B2128" i="19"/>
  <c r="C2128" i="19"/>
  <c r="D2128" i="19"/>
  <c r="E2128" i="19"/>
  <c r="G2128" i="19"/>
  <c r="H2128" i="19"/>
  <c r="B2129" i="19"/>
  <c r="C2129" i="19"/>
  <c r="D2129" i="19"/>
  <c r="E2129" i="19"/>
  <c r="G2129" i="19"/>
  <c r="H2129" i="19"/>
  <c r="B2130" i="19"/>
  <c r="C2130" i="19"/>
  <c r="D2130" i="19"/>
  <c r="E2130" i="19"/>
  <c r="G2130" i="19"/>
  <c r="H2130" i="19"/>
  <c r="B2131" i="19"/>
  <c r="C2131" i="19"/>
  <c r="D2131" i="19"/>
  <c r="E2131" i="19"/>
  <c r="G2131" i="19"/>
  <c r="H2131" i="19"/>
  <c r="B2132" i="19"/>
  <c r="C2132" i="19"/>
  <c r="D2132" i="19"/>
  <c r="E2132" i="19"/>
  <c r="G2132" i="19"/>
  <c r="H2132" i="19"/>
  <c r="B2133" i="19"/>
  <c r="C2133" i="19"/>
  <c r="D2133" i="19"/>
  <c r="E2133" i="19"/>
  <c r="G2133" i="19"/>
  <c r="H2133" i="19"/>
  <c r="B2134" i="19"/>
  <c r="C2134" i="19"/>
  <c r="D2134" i="19"/>
  <c r="E2134" i="19"/>
  <c r="G2134" i="19"/>
  <c r="H2134" i="19"/>
  <c r="B2135" i="19"/>
  <c r="C2135" i="19"/>
  <c r="D2135" i="19"/>
  <c r="E2135" i="19"/>
  <c r="G2135" i="19"/>
  <c r="H2135" i="19"/>
  <c r="B2136" i="19"/>
  <c r="C2136" i="19"/>
  <c r="D2136" i="19"/>
  <c r="E2136" i="19"/>
  <c r="G2136" i="19"/>
  <c r="H2136" i="19"/>
  <c r="B2137" i="19"/>
  <c r="C2137" i="19"/>
  <c r="D2137" i="19"/>
  <c r="E2137" i="19"/>
  <c r="G2137" i="19"/>
  <c r="H2137" i="19"/>
  <c r="B2138" i="19"/>
  <c r="C2138" i="19"/>
  <c r="D2138" i="19"/>
  <c r="E2138" i="19"/>
  <c r="G2138" i="19"/>
  <c r="H2138" i="19"/>
  <c r="B2139" i="19"/>
  <c r="C2139" i="19"/>
  <c r="D2139" i="19"/>
  <c r="E2139" i="19"/>
  <c r="G2139" i="19"/>
  <c r="H2139" i="19"/>
  <c r="B2140" i="19"/>
  <c r="C2140" i="19"/>
  <c r="D2140" i="19"/>
  <c r="E2140" i="19"/>
  <c r="G2140" i="19"/>
  <c r="H2140" i="19"/>
  <c r="B2141" i="19"/>
  <c r="C2141" i="19"/>
  <c r="D2141" i="19"/>
  <c r="E2141" i="19"/>
  <c r="G2141" i="19"/>
  <c r="H2141" i="19"/>
  <c r="B2142" i="19"/>
  <c r="C2142" i="19"/>
  <c r="D2142" i="19"/>
  <c r="E2142" i="19"/>
  <c r="G2142" i="19"/>
  <c r="H2142" i="19"/>
  <c r="B2143" i="19"/>
  <c r="C2143" i="19"/>
  <c r="D2143" i="19"/>
  <c r="E2143" i="19"/>
  <c r="G2143" i="19"/>
  <c r="H2143" i="19"/>
  <c r="B2144" i="19"/>
  <c r="C2144" i="19"/>
  <c r="D2144" i="19"/>
  <c r="E2144" i="19"/>
  <c r="G2144" i="19"/>
  <c r="H2144" i="19"/>
  <c r="B2145" i="19"/>
  <c r="C2145" i="19"/>
  <c r="D2145" i="19"/>
  <c r="E2145" i="19"/>
  <c r="G2145" i="19"/>
  <c r="H2145" i="19"/>
  <c r="B2146" i="19"/>
  <c r="C2146" i="19"/>
  <c r="D2146" i="19"/>
  <c r="E2146" i="19"/>
  <c r="G2146" i="19"/>
  <c r="H2146" i="19"/>
  <c r="B2147" i="19"/>
  <c r="C2147" i="19"/>
  <c r="D2147" i="19"/>
  <c r="E2147" i="19"/>
  <c r="G2147" i="19"/>
  <c r="H2147" i="19"/>
  <c r="B2148" i="19"/>
  <c r="C2148" i="19"/>
  <c r="D2148" i="19"/>
  <c r="E2148" i="19"/>
  <c r="G2148" i="19"/>
  <c r="H2148" i="19"/>
  <c r="B2149" i="19"/>
  <c r="C2149" i="19"/>
  <c r="D2149" i="19"/>
  <c r="E2149" i="19"/>
  <c r="G2149" i="19"/>
  <c r="H2149" i="19"/>
  <c r="B2150" i="19"/>
  <c r="C2150" i="19"/>
  <c r="D2150" i="19"/>
  <c r="E2150" i="19"/>
  <c r="G2150" i="19"/>
  <c r="H2150" i="19"/>
  <c r="B2151" i="19"/>
  <c r="C2151" i="19"/>
  <c r="D2151" i="19"/>
  <c r="E2151" i="19"/>
  <c r="G2151" i="19"/>
  <c r="H2151" i="19"/>
  <c r="B2152" i="19"/>
  <c r="C2152" i="19"/>
  <c r="D2152" i="19"/>
  <c r="E2152" i="19"/>
  <c r="G2152" i="19"/>
  <c r="H2152" i="19"/>
  <c r="B2153" i="19"/>
  <c r="C2153" i="19"/>
  <c r="D2153" i="19"/>
  <c r="E2153" i="19"/>
  <c r="G2153" i="19"/>
  <c r="H2153" i="19"/>
  <c r="B2154" i="19"/>
  <c r="C2154" i="19"/>
  <c r="D2154" i="19"/>
  <c r="E2154" i="19"/>
  <c r="G2154" i="19"/>
  <c r="H2154" i="19"/>
  <c r="B2155" i="19"/>
  <c r="C2155" i="19"/>
  <c r="D2155" i="19"/>
  <c r="E2155" i="19"/>
  <c r="G2155" i="19"/>
  <c r="H2155" i="19"/>
  <c r="B2156" i="19"/>
  <c r="C2156" i="19"/>
  <c r="D2156" i="19"/>
  <c r="E2156" i="19"/>
  <c r="G2156" i="19"/>
  <c r="H2156" i="19"/>
  <c r="B2157" i="19"/>
  <c r="C2157" i="19"/>
  <c r="D2157" i="19"/>
  <c r="E2157" i="19"/>
  <c r="G2157" i="19"/>
  <c r="H2157" i="19"/>
  <c r="B2158" i="19"/>
  <c r="C2158" i="19"/>
  <c r="D2158" i="19"/>
  <c r="E2158" i="19"/>
  <c r="G2158" i="19"/>
  <c r="H2158" i="19"/>
  <c r="B2159" i="19"/>
  <c r="C2159" i="19"/>
  <c r="D2159" i="19"/>
  <c r="E2159" i="19"/>
  <c r="G2159" i="19"/>
  <c r="H2159" i="19"/>
  <c r="B2160" i="19"/>
  <c r="C2160" i="19"/>
  <c r="D2160" i="19"/>
  <c r="E2160" i="19"/>
  <c r="G2160" i="19"/>
  <c r="H2160" i="19"/>
  <c r="B2161" i="19"/>
  <c r="C2161" i="19"/>
  <c r="D2161" i="19"/>
  <c r="E2161" i="19"/>
  <c r="G2161" i="19"/>
  <c r="H2161" i="19"/>
  <c r="B2162" i="19"/>
  <c r="C2162" i="19"/>
  <c r="D2162" i="19"/>
  <c r="E2162" i="19"/>
  <c r="G2162" i="19"/>
  <c r="H2162" i="19"/>
  <c r="B2163" i="19"/>
  <c r="C2163" i="19"/>
  <c r="D2163" i="19"/>
  <c r="E2163" i="19"/>
  <c r="G2163" i="19"/>
  <c r="H2163" i="19"/>
  <c r="B2164" i="19"/>
  <c r="C2164" i="19"/>
  <c r="D2164" i="19"/>
  <c r="E2164" i="19"/>
  <c r="G2164" i="19"/>
  <c r="H2164" i="19"/>
  <c r="B2165" i="19"/>
  <c r="C2165" i="19"/>
  <c r="D2165" i="19"/>
  <c r="E2165" i="19"/>
  <c r="G2165" i="19"/>
  <c r="H2165" i="19"/>
  <c r="B2166" i="19"/>
  <c r="C2166" i="19"/>
  <c r="D2166" i="19"/>
  <c r="E2166" i="19"/>
  <c r="G2166" i="19"/>
  <c r="H2166" i="19"/>
  <c r="B2167" i="19"/>
  <c r="C2167" i="19"/>
  <c r="D2167" i="19"/>
  <c r="E2167" i="19"/>
  <c r="G2167" i="19"/>
  <c r="H2167" i="19"/>
  <c r="B2168" i="19"/>
  <c r="C2168" i="19"/>
  <c r="D2168" i="19"/>
  <c r="E2168" i="19"/>
  <c r="G2168" i="19"/>
  <c r="H2168" i="19"/>
  <c r="B2169" i="19"/>
  <c r="C2169" i="19"/>
  <c r="D2169" i="19"/>
  <c r="E2169" i="19"/>
  <c r="G2169" i="19"/>
  <c r="H2169" i="19"/>
  <c r="B2170" i="19"/>
  <c r="C2170" i="19"/>
  <c r="D2170" i="19"/>
  <c r="E2170" i="19"/>
  <c r="G2170" i="19"/>
  <c r="H2170" i="19"/>
  <c r="B2171" i="19"/>
  <c r="C2171" i="19"/>
  <c r="D2171" i="19"/>
  <c r="E2171" i="19"/>
  <c r="G2171" i="19"/>
  <c r="H2171" i="19"/>
  <c r="B2172" i="19"/>
  <c r="C2172" i="19"/>
  <c r="D2172" i="19"/>
  <c r="E2172" i="19"/>
  <c r="G2172" i="19"/>
  <c r="H2172" i="19"/>
  <c r="B2173" i="19"/>
  <c r="C2173" i="19"/>
  <c r="D2173" i="19"/>
  <c r="E2173" i="19"/>
  <c r="G2173" i="19"/>
  <c r="H2173" i="19"/>
  <c r="B2174" i="19"/>
  <c r="C2174" i="19"/>
  <c r="D2174" i="19"/>
  <c r="E2174" i="19"/>
  <c r="G2174" i="19"/>
  <c r="H2174" i="19"/>
  <c r="B2175" i="19"/>
  <c r="C2175" i="19"/>
  <c r="D2175" i="19"/>
  <c r="E2175" i="19"/>
  <c r="G2175" i="19"/>
  <c r="H2175" i="19"/>
  <c r="B2176" i="19"/>
  <c r="C2176" i="19"/>
  <c r="D2176" i="19"/>
  <c r="E2176" i="19"/>
  <c r="G2176" i="19"/>
  <c r="H2176" i="19"/>
  <c r="B2177" i="19"/>
  <c r="C2177" i="19"/>
  <c r="D2177" i="19"/>
  <c r="E2177" i="19"/>
  <c r="G2177" i="19"/>
  <c r="H2177" i="19"/>
  <c r="B2178" i="19"/>
  <c r="C2178" i="19"/>
  <c r="D2178" i="19"/>
  <c r="E2178" i="19"/>
  <c r="G2178" i="19"/>
  <c r="H2178" i="19"/>
  <c r="B2179" i="19"/>
  <c r="C2179" i="19"/>
  <c r="D2179" i="19"/>
  <c r="E2179" i="19"/>
  <c r="G2179" i="19"/>
  <c r="H2179" i="19"/>
  <c r="B2180" i="19"/>
  <c r="C2180" i="19"/>
  <c r="D2180" i="19"/>
  <c r="E2180" i="19"/>
  <c r="G2180" i="19"/>
  <c r="H2180" i="19"/>
  <c r="B2181" i="19"/>
  <c r="C2181" i="19"/>
  <c r="D2181" i="19"/>
  <c r="E2181" i="19"/>
  <c r="G2181" i="19"/>
  <c r="H2181" i="19"/>
  <c r="B2182" i="19"/>
  <c r="C2182" i="19"/>
  <c r="D2182" i="19"/>
  <c r="E2182" i="19"/>
  <c r="G2182" i="19"/>
  <c r="H2182" i="19"/>
  <c r="B2183" i="19"/>
  <c r="C2183" i="19"/>
  <c r="D2183" i="19"/>
  <c r="E2183" i="19"/>
  <c r="G2183" i="19"/>
  <c r="H2183" i="19"/>
  <c r="B2184" i="19"/>
  <c r="C2184" i="19"/>
  <c r="D2184" i="19"/>
  <c r="E2184" i="19"/>
  <c r="G2184" i="19"/>
  <c r="H2184" i="19"/>
  <c r="B2185" i="19"/>
  <c r="C2185" i="19"/>
  <c r="D2185" i="19"/>
  <c r="E2185" i="19"/>
  <c r="G2185" i="19"/>
  <c r="H2185" i="19"/>
  <c r="B2186" i="19"/>
  <c r="C2186" i="19"/>
  <c r="D2186" i="19"/>
  <c r="E2186" i="19"/>
  <c r="G2186" i="19"/>
  <c r="H2186" i="19"/>
  <c r="B2187" i="19"/>
  <c r="C2187" i="19"/>
  <c r="D2187" i="19"/>
  <c r="E2187" i="19"/>
  <c r="G2187" i="19"/>
  <c r="H2187" i="19"/>
  <c r="B2188" i="19"/>
  <c r="C2188" i="19"/>
  <c r="D2188" i="19"/>
  <c r="E2188" i="19"/>
  <c r="G2188" i="19"/>
  <c r="H2188" i="19"/>
  <c r="B2189" i="19"/>
  <c r="C2189" i="19"/>
  <c r="D2189" i="19"/>
  <c r="E2189" i="19"/>
  <c r="G2189" i="19"/>
  <c r="H2189" i="19"/>
  <c r="B2190" i="19"/>
  <c r="C2190" i="19"/>
  <c r="D2190" i="19"/>
  <c r="E2190" i="19"/>
  <c r="G2190" i="19"/>
  <c r="H2190" i="19"/>
  <c r="B2191" i="19"/>
  <c r="C2191" i="19"/>
  <c r="D2191" i="19"/>
  <c r="E2191" i="19"/>
  <c r="G2191" i="19"/>
  <c r="H2191" i="19"/>
  <c r="B2192" i="19"/>
  <c r="C2192" i="19"/>
  <c r="D2192" i="19"/>
  <c r="E2192" i="19"/>
  <c r="G2192" i="19"/>
  <c r="H2192" i="19"/>
  <c r="B2193" i="19"/>
  <c r="C2193" i="19"/>
  <c r="D2193" i="19"/>
  <c r="E2193" i="19"/>
  <c r="G2193" i="19"/>
  <c r="H2193" i="19"/>
  <c r="B2194" i="19"/>
  <c r="C2194" i="19"/>
  <c r="D2194" i="19"/>
  <c r="E2194" i="19"/>
  <c r="G2194" i="19"/>
  <c r="H2194" i="19"/>
  <c r="B2195" i="19"/>
  <c r="C2195" i="19"/>
  <c r="D2195" i="19"/>
  <c r="E2195" i="19"/>
  <c r="G2195" i="19"/>
  <c r="H2195" i="19"/>
  <c r="B2196" i="19"/>
  <c r="C2196" i="19"/>
  <c r="D2196" i="19"/>
  <c r="E2196" i="19"/>
  <c r="G2196" i="19"/>
  <c r="H2196" i="19"/>
  <c r="B2197" i="19"/>
  <c r="C2197" i="19"/>
  <c r="D2197" i="19"/>
  <c r="E2197" i="19"/>
  <c r="G2197" i="19"/>
  <c r="H2197" i="19"/>
  <c r="B2198" i="19"/>
  <c r="C2198" i="19"/>
  <c r="D2198" i="19"/>
  <c r="E2198" i="19"/>
  <c r="G2198" i="19"/>
  <c r="H2198" i="19"/>
  <c r="B2199" i="19"/>
  <c r="C2199" i="19"/>
  <c r="D2199" i="19"/>
  <c r="E2199" i="19"/>
  <c r="G2199" i="19"/>
  <c r="H2199" i="19"/>
  <c r="B2200" i="19"/>
  <c r="C2200" i="19"/>
  <c r="D2200" i="19"/>
  <c r="E2200" i="19"/>
  <c r="G2200" i="19"/>
  <c r="H2200" i="19"/>
  <c r="B2201" i="19"/>
  <c r="C2201" i="19"/>
  <c r="D2201" i="19"/>
  <c r="E2201" i="19"/>
  <c r="G2201" i="19"/>
  <c r="H2201" i="19"/>
  <c r="B2202" i="19"/>
  <c r="C2202" i="19"/>
  <c r="D2202" i="19"/>
  <c r="E2202" i="19"/>
  <c r="G2202" i="19"/>
  <c r="H2202" i="19"/>
  <c r="B2203" i="19"/>
  <c r="C2203" i="19"/>
  <c r="D2203" i="19"/>
  <c r="E2203" i="19"/>
  <c r="G2203" i="19"/>
  <c r="H2203" i="19"/>
  <c r="B2204" i="19"/>
  <c r="C2204" i="19"/>
  <c r="D2204" i="19"/>
  <c r="E2204" i="19"/>
  <c r="G2204" i="19"/>
  <c r="H2204" i="19"/>
  <c r="B2205" i="19"/>
  <c r="C2205" i="19"/>
  <c r="D2205" i="19"/>
  <c r="E2205" i="19"/>
  <c r="G2205" i="19"/>
  <c r="H2205" i="19"/>
  <c r="B2206" i="19"/>
  <c r="C2206" i="19"/>
  <c r="D2206" i="19"/>
  <c r="E2206" i="19"/>
  <c r="G2206" i="19"/>
  <c r="H2206" i="19"/>
  <c r="B2207" i="19"/>
  <c r="C2207" i="19"/>
  <c r="D2207" i="19"/>
  <c r="E2207" i="19"/>
  <c r="G2207" i="19"/>
  <c r="H2207" i="19"/>
  <c r="B2208" i="19"/>
  <c r="C2208" i="19"/>
  <c r="D2208" i="19"/>
  <c r="E2208" i="19"/>
  <c r="G2208" i="19"/>
  <c r="H2208" i="19"/>
  <c r="B2209" i="19"/>
  <c r="C2209" i="19"/>
  <c r="D2209" i="19"/>
  <c r="E2209" i="19"/>
  <c r="G2209" i="19"/>
  <c r="H2209" i="19"/>
  <c r="B2210" i="19"/>
  <c r="C2210" i="19"/>
  <c r="D2210" i="19"/>
  <c r="E2210" i="19"/>
  <c r="G2210" i="19"/>
  <c r="H2210" i="19"/>
  <c r="B2211" i="19"/>
  <c r="C2211" i="19"/>
  <c r="D2211" i="19"/>
  <c r="E2211" i="19"/>
  <c r="G2211" i="19"/>
  <c r="H2211" i="19"/>
  <c r="B2212" i="19"/>
  <c r="C2212" i="19"/>
  <c r="D2212" i="19"/>
  <c r="E2212" i="19"/>
  <c r="G2212" i="19"/>
  <c r="H2212" i="19"/>
  <c r="B2213" i="19"/>
  <c r="C2213" i="19"/>
  <c r="D2213" i="19"/>
  <c r="E2213" i="19"/>
  <c r="G2213" i="19"/>
  <c r="H2213" i="19"/>
  <c r="B2214" i="19"/>
  <c r="C2214" i="19"/>
  <c r="D2214" i="19"/>
  <c r="E2214" i="19"/>
  <c r="G2214" i="19"/>
  <c r="H2214" i="19"/>
  <c r="B2215" i="19"/>
  <c r="C2215" i="19"/>
  <c r="D2215" i="19"/>
  <c r="E2215" i="19"/>
  <c r="G2215" i="19"/>
  <c r="H2215" i="19"/>
  <c r="B2216" i="19"/>
  <c r="C2216" i="19"/>
  <c r="D2216" i="19"/>
  <c r="E2216" i="19"/>
  <c r="G2216" i="19"/>
  <c r="H2216" i="19"/>
  <c r="B2217" i="19"/>
  <c r="C2217" i="19"/>
  <c r="D2217" i="19"/>
  <c r="E2217" i="19"/>
  <c r="G2217" i="19"/>
  <c r="H2217" i="19"/>
  <c r="B2218" i="19"/>
  <c r="C2218" i="19"/>
  <c r="D2218" i="19"/>
  <c r="E2218" i="19"/>
  <c r="G2218" i="19"/>
  <c r="H2218" i="19"/>
  <c r="B2219" i="19"/>
  <c r="C2219" i="19"/>
  <c r="D2219" i="19"/>
  <c r="E2219" i="19"/>
  <c r="G2219" i="19"/>
  <c r="H2219" i="19"/>
  <c r="B2220" i="19"/>
  <c r="C2220" i="19"/>
  <c r="D2220" i="19"/>
  <c r="E2220" i="19"/>
  <c r="G2220" i="19"/>
  <c r="H2220" i="19"/>
  <c r="B2221" i="19"/>
  <c r="C2221" i="19"/>
  <c r="D2221" i="19"/>
  <c r="E2221" i="19"/>
  <c r="G2221" i="19"/>
  <c r="H2221" i="19"/>
  <c r="B2222" i="19"/>
  <c r="C2222" i="19"/>
  <c r="D2222" i="19"/>
  <c r="E2222" i="19"/>
  <c r="G2222" i="19"/>
  <c r="H2222" i="19"/>
  <c r="B2223" i="19"/>
  <c r="C2223" i="19"/>
  <c r="D2223" i="19"/>
  <c r="E2223" i="19"/>
  <c r="G2223" i="19"/>
  <c r="H2223" i="19"/>
  <c r="B2224" i="19"/>
  <c r="C2224" i="19"/>
  <c r="D2224" i="19"/>
  <c r="E2224" i="19"/>
  <c r="G2224" i="19"/>
  <c r="H2224" i="19"/>
  <c r="B2225" i="19"/>
  <c r="C2225" i="19"/>
  <c r="D2225" i="19"/>
  <c r="E2225" i="19"/>
  <c r="G2225" i="19"/>
  <c r="H2225" i="19"/>
  <c r="B2226" i="19"/>
  <c r="C2226" i="19"/>
  <c r="D2226" i="19"/>
  <c r="E2226" i="19"/>
  <c r="G2226" i="19"/>
  <c r="H2226" i="19"/>
  <c r="B2227" i="19"/>
  <c r="C2227" i="19"/>
  <c r="D2227" i="19"/>
  <c r="E2227" i="19"/>
  <c r="G2227" i="19"/>
  <c r="H2227" i="19"/>
  <c r="B2228" i="19"/>
  <c r="C2228" i="19"/>
  <c r="D2228" i="19"/>
  <c r="E2228" i="19"/>
  <c r="G2228" i="19"/>
  <c r="H2228" i="19"/>
  <c r="B2229" i="19"/>
  <c r="C2229" i="19"/>
  <c r="D2229" i="19"/>
  <c r="E2229" i="19"/>
  <c r="G2229" i="19"/>
  <c r="H2229" i="19"/>
  <c r="B2230" i="19"/>
  <c r="C2230" i="19"/>
  <c r="D2230" i="19"/>
  <c r="E2230" i="19"/>
  <c r="G2230" i="19"/>
  <c r="H2230" i="19"/>
  <c r="B2231" i="19"/>
  <c r="C2231" i="19"/>
  <c r="D2231" i="19"/>
  <c r="E2231" i="19"/>
  <c r="G2231" i="19"/>
  <c r="H2231" i="19"/>
  <c r="B2232" i="19"/>
  <c r="C2232" i="19"/>
  <c r="D2232" i="19"/>
  <c r="E2232" i="19"/>
  <c r="G2232" i="19"/>
  <c r="H2232" i="19"/>
  <c r="B2233" i="19"/>
  <c r="C2233" i="19"/>
  <c r="D2233" i="19"/>
  <c r="E2233" i="19"/>
  <c r="G2233" i="19"/>
  <c r="H2233" i="19"/>
  <c r="B2234" i="19"/>
  <c r="C2234" i="19"/>
  <c r="D2234" i="19"/>
  <c r="E2234" i="19"/>
  <c r="G2234" i="19"/>
  <c r="H2234" i="19"/>
  <c r="B2235" i="19"/>
  <c r="C2235" i="19"/>
  <c r="D2235" i="19"/>
  <c r="E2235" i="19"/>
  <c r="G2235" i="19"/>
  <c r="H2235" i="19"/>
  <c r="B2236" i="19"/>
  <c r="C2236" i="19"/>
  <c r="D2236" i="19"/>
  <c r="E2236" i="19"/>
  <c r="G2236" i="19"/>
  <c r="H2236" i="19"/>
  <c r="B2237" i="19"/>
  <c r="C2237" i="19"/>
  <c r="D2237" i="19"/>
  <c r="E2237" i="19"/>
  <c r="G2237" i="19"/>
  <c r="H2237" i="19"/>
  <c r="B2238" i="19"/>
  <c r="C2238" i="19"/>
  <c r="D2238" i="19"/>
  <c r="E2238" i="19"/>
  <c r="G2238" i="19"/>
  <c r="H2238" i="19"/>
  <c r="B2239" i="19"/>
  <c r="C2239" i="19"/>
  <c r="D2239" i="19"/>
  <c r="E2239" i="19"/>
  <c r="G2239" i="19"/>
  <c r="H2239" i="19"/>
  <c r="B2240" i="19"/>
  <c r="C2240" i="19"/>
  <c r="D2240" i="19"/>
  <c r="E2240" i="19"/>
  <c r="G2240" i="19"/>
  <c r="H2240" i="19"/>
  <c r="B2241" i="19"/>
  <c r="C2241" i="19"/>
  <c r="D2241" i="19"/>
  <c r="E2241" i="19"/>
  <c r="G2241" i="19"/>
  <c r="H2241" i="19"/>
  <c r="B2242" i="19"/>
  <c r="C2242" i="19"/>
  <c r="D2242" i="19"/>
  <c r="E2242" i="19"/>
  <c r="G2242" i="19"/>
  <c r="H2242" i="19"/>
  <c r="B2243" i="19"/>
  <c r="C2243" i="19"/>
  <c r="D2243" i="19"/>
  <c r="E2243" i="19"/>
  <c r="G2243" i="19"/>
  <c r="H2243" i="19"/>
  <c r="B2244" i="19"/>
  <c r="C2244" i="19"/>
  <c r="D2244" i="19"/>
  <c r="E2244" i="19"/>
  <c r="G2244" i="19"/>
  <c r="H2244" i="19"/>
  <c r="B2245" i="19"/>
  <c r="C2245" i="19"/>
  <c r="D2245" i="19"/>
  <c r="E2245" i="19"/>
  <c r="G2245" i="19"/>
  <c r="H2245" i="19"/>
  <c r="B2246" i="19"/>
  <c r="C2246" i="19"/>
  <c r="D2246" i="19"/>
  <c r="E2246" i="19"/>
  <c r="G2246" i="19"/>
  <c r="H2246" i="19"/>
  <c r="B2247" i="19"/>
  <c r="C2247" i="19"/>
  <c r="D2247" i="19"/>
  <c r="E2247" i="19"/>
  <c r="G2247" i="19"/>
  <c r="H2247" i="19"/>
  <c r="B2248" i="19"/>
  <c r="C2248" i="19"/>
  <c r="D2248" i="19"/>
  <c r="E2248" i="19"/>
  <c r="G2248" i="19"/>
  <c r="H2248" i="19"/>
  <c r="B2249" i="19"/>
  <c r="C2249" i="19"/>
  <c r="D2249" i="19"/>
  <c r="E2249" i="19"/>
  <c r="G2249" i="19"/>
  <c r="H2249" i="19"/>
  <c r="B2250" i="19"/>
  <c r="C2250" i="19"/>
  <c r="D2250" i="19"/>
  <c r="E2250" i="19"/>
  <c r="G2250" i="19"/>
  <c r="H2250" i="19"/>
  <c r="B2251" i="19"/>
  <c r="C2251" i="19"/>
  <c r="D2251" i="19"/>
  <c r="E2251" i="19"/>
  <c r="G2251" i="19"/>
  <c r="H2251" i="19"/>
  <c r="B2252" i="19"/>
  <c r="C2252" i="19"/>
  <c r="D2252" i="19"/>
  <c r="E2252" i="19"/>
  <c r="G2252" i="19"/>
  <c r="H2252" i="19"/>
  <c r="B2253" i="19"/>
  <c r="C2253" i="19"/>
  <c r="D2253" i="19"/>
  <c r="E2253" i="19"/>
  <c r="G2253" i="19"/>
  <c r="H2253" i="19"/>
  <c r="B2254" i="19"/>
  <c r="C2254" i="19"/>
  <c r="D2254" i="19"/>
  <c r="E2254" i="19"/>
  <c r="G2254" i="19"/>
  <c r="H2254" i="19"/>
  <c r="B2255" i="19"/>
  <c r="C2255" i="19"/>
  <c r="D2255" i="19"/>
  <c r="E2255" i="19"/>
  <c r="G2255" i="19"/>
  <c r="H2255" i="19"/>
  <c r="B2256" i="19"/>
  <c r="C2256" i="19"/>
  <c r="D2256" i="19"/>
  <c r="E2256" i="19"/>
  <c r="G2256" i="19"/>
  <c r="H2256" i="19"/>
  <c r="B2257" i="19"/>
  <c r="C2257" i="19"/>
  <c r="D2257" i="19"/>
  <c r="E2257" i="19"/>
  <c r="G2257" i="19"/>
  <c r="H2257" i="19"/>
  <c r="B2258" i="19"/>
  <c r="C2258" i="19"/>
  <c r="D2258" i="19"/>
  <c r="E2258" i="19"/>
  <c r="G2258" i="19"/>
  <c r="H2258" i="19"/>
  <c r="B2259" i="19"/>
  <c r="C2259" i="19"/>
  <c r="D2259" i="19"/>
  <c r="E2259" i="19"/>
  <c r="G2259" i="19"/>
  <c r="H2259" i="19"/>
  <c r="B2260" i="19"/>
  <c r="C2260" i="19"/>
  <c r="D2260" i="19"/>
  <c r="E2260" i="19"/>
  <c r="G2260" i="19"/>
  <c r="H2260" i="19"/>
  <c r="B2261" i="19"/>
  <c r="C2261" i="19"/>
  <c r="D2261" i="19"/>
  <c r="E2261" i="19"/>
  <c r="G2261" i="19"/>
  <c r="H2261" i="19"/>
  <c r="B2262" i="19"/>
  <c r="C2262" i="19"/>
  <c r="D2262" i="19"/>
  <c r="E2262" i="19"/>
  <c r="G2262" i="19"/>
  <c r="H2262" i="19"/>
  <c r="B2263" i="19"/>
  <c r="C2263" i="19"/>
  <c r="D2263" i="19"/>
  <c r="E2263" i="19"/>
  <c r="G2263" i="19"/>
  <c r="H2263" i="19"/>
  <c r="B2264" i="19"/>
  <c r="C2264" i="19"/>
  <c r="D2264" i="19"/>
  <c r="E2264" i="19"/>
  <c r="G2264" i="19"/>
  <c r="H2264" i="19"/>
  <c r="B2265" i="19"/>
  <c r="C2265" i="19"/>
  <c r="D2265" i="19"/>
  <c r="E2265" i="19"/>
  <c r="G2265" i="19"/>
  <c r="H2265" i="19"/>
  <c r="B2266" i="19"/>
  <c r="C2266" i="19"/>
  <c r="D2266" i="19"/>
  <c r="E2266" i="19"/>
  <c r="G2266" i="19"/>
  <c r="H2266" i="19"/>
  <c r="B2267" i="19"/>
  <c r="C2267" i="19"/>
  <c r="D2267" i="19"/>
  <c r="E2267" i="19"/>
  <c r="G2267" i="19"/>
  <c r="H2267" i="19"/>
  <c r="B2268" i="19"/>
  <c r="C2268" i="19"/>
  <c r="D2268" i="19"/>
  <c r="E2268" i="19"/>
  <c r="G2268" i="19"/>
  <c r="H2268" i="19"/>
  <c r="B2269" i="19"/>
  <c r="C2269" i="19"/>
  <c r="D2269" i="19"/>
  <c r="E2269" i="19"/>
  <c r="G2269" i="19"/>
  <c r="H2269" i="19"/>
  <c r="B2270" i="19"/>
  <c r="C2270" i="19"/>
  <c r="D2270" i="19"/>
  <c r="E2270" i="19"/>
  <c r="G2270" i="19"/>
  <c r="H2270" i="19"/>
  <c r="B2271" i="19"/>
  <c r="C2271" i="19"/>
  <c r="D2271" i="19"/>
  <c r="E2271" i="19"/>
  <c r="G2271" i="19"/>
  <c r="H2271" i="19"/>
  <c r="B2272" i="19"/>
  <c r="C2272" i="19"/>
  <c r="D2272" i="19"/>
  <c r="E2272" i="19"/>
  <c r="G2272" i="19"/>
  <c r="H2272" i="19"/>
  <c r="B2273" i="19"/>
  <c r="C2273" i="19"/>
  <c r="D2273" i="19"/>
  <c r="E2273" i="19"/>
  <c r="G2273" i="19"/>
  <c r="H2273" i="19"/>
  <c r="B2274" i="19"/>
  <c r="C2274" i="19"/>
  <c r="D2274" i="19"/>
  <c r="E2274" i="19"/>
  <c r="G2274" i="19"/>
  <c r="H2274" i="19"/>
  <c r="B2275" i="19"/>
  <c r="C2275" i="19"/>
  <c r="D2275" i="19"/>
  <c r="E2275" i="19"/>
  <c r="G2275" i="19"/>
  <c r="H2275" i="19"/>
  <c r="B2276" i="19"/>
  <c r="C2276" i="19"/>
  <c r="D2276" i="19"/>
  <c r="E2276" i="19"/>
  <c r="G2276" i="19"/>
  <c r="H2276" i="19"/>
  <c r="B2277" i="19"/>
  <c r="C2277" i="19"/>
  <c r="D2277" i="19"/>
  <c r="E2277" i="19"/>
  <c r="G2277" i="19"/>
  <c r="H2277" i="19"/>
  <c r="B2278" i="19"/>
  <c r="C2278" i="19"/>
  <c r="D2278" i="19"/>
  <c r="E2278" i="19"/>
  <c r="G2278" i="19"/>
  <c r="H2278" i="19"/>
  <c r="B2279" i="19"/>
  <c r="C2279" i="19"/>
  <c r="D2279" i="19"/>
  <c r="E2279" i="19"/>
  <c r="G2279" i="19"/>
  <c r="H2279" i="19"/>
  <c r="H2046" i="19"/>
  <c r="G2046" i="19"/>
  <c r="E2046" i="19"/>
  <c r="D2046" i="19"/>
  <c r="C2046" i="19"/>
  <c r="B2046" i="19"/>
  <c r="G1113" i="19"/>
  <c r="G1114" i="19"/>
  <c r="G1115" i="19"/>
  <c r="G1116" i="19"/>
  <c r="G1117" i="19"/>
  <c r="G1118" i="19"/>
  <c r="G1119" i="19"/>
  <c r="G1120" i="19"/>
  <c r="G1121" i="19"/>
  <c r="G1122" i="19"/>
  <c r="G1123" i="19"/>
  <c r="G1124" i="19"/>
  <c r="G1125" i="19"/>
  <c r="G1126" i="19"/>
  <c r="G1127" i="19"/>
  <c r="G1128" i="19"/>
  <c r="G1129" i="19"/>
  <c r="G1130" i="19"/>
  <c r="G1131" i="19"/>
  <c r="G1132" i="19"/>
  <c r="G1133" i="19"/>
  <c r="G1134" i="19"/>
  <c r="G1135" i="19"/>
  <c r="G1136" i="19"/>
  <c r="G1137" i="19"/>
  <c r="G1138" i="19"/>
  <c r="G1139" i="19"/>
  <c r="G1140" i="19"/>
  <c r="G1141" i="19"/>
  <c r="G1142" i="19"/>
  <c r="G1143" i="19"/>
  <c r="G1144" i="19"/>
  <c r="G1145" i="19"/>
  <c r="G1146" i="19"/>
  <c r="G1147" i="19"/>
  <c r="G1148" i="19"/>
  <c r="G1149" i="19"/>
  <c r="G1150" i="19"/>
  <c r="G1151" i="19"/>
  <c r="G1152" i="19"/>
  <c r="G1153" i="19"/>
  <c r="G1154" i="19"/>
  <c r="G1155" i="19"/>
  <c r="G1156" i="19"/>
  <c r="G1157" i="19"/>
  <c r="G1158" i="19"/>
  <c r="G1159" i="19"/>
  <c r="G1160" i="19"/>
  <c r="G1161" i="19"/>
  <c r="G1162" i="19"/>
  <c r="G1163" i="19"/>
  <c r="G1164" i="19"/>
  <c r="G1165" i="19"/>
  <c r="G1166" i="19"/>
  <c r="G1167" i="19"/>
  <c r="G1168" i="19"/>
  <c r="G1169" i="19"/>
  <c r="G1170" i="19"/>
  <c r="G1171" i="19"/>
  <c r="G1172" i="19"/>
  <c r="G1173" i="19"/>
  <c r="G1174" i="19"/>
  <c r="G1175" i="19"/>
  <c r="G1176" i="19"/>
  <c r="G1177" i="19"/>
  <c r="G1178" i="19"/>
  <c r="G1179" i="19"/>
  <c r="G1180" i="19"/>
  <c r="G1181" i="19"/>
  <c r="G1182" i="19"/>
  <c r="G1183" i="19"/>
  <c r="G1184" i="19"/>
  <c r="G1185" i="19"/>
  <c r="G1186" i="19"/>
  <c r="G1187" i="19"/>
  <c r="G1188" i="19"/>
  <c r="G1189" i="19"/>
  <c r="G1190" i="19"/>
  <c r="G1191" i="19"/>
  <c r="G1192" i="19"/>
  <c r="G1193" i="19"/>
  <c r="G1194" i="19"/>
  <c r="G1195" i="19"/>
  <c r="G1196" i="19"/>
  <c r="G1197" i="19"/>
  <c r="G1198" i="19"/>
  <c r="G1199" i="19"/>
  <c r="G1200" i="19"/>
  <c r="G1201" i="19"/>
  <c r="G1202" i="19"/>
  <c r="G1203" i="19"/>
  <c r="G1204" i="19"/>
  <c r="G1205" i="19"/>
  <c r="G1206" i="19"/>
  <c r="G1207" i="19"/>
  <c r="G1208" i="19"/>
  <c r="G1209" i="19"/>
  <c r="G1210" i="19"/>
  <c r="G1211" i="19"/>
  <c r="G1212" i="19"/>
  <c r="G1213" i="19"/>
  <c r="G1214" i="19"/>
  <c r="G1215" i="19"/>
  <c r="G1216" i="19"/>
  <c r="G1217" i="19"/>
  <c r="G1218" i="19"/>
  <c r="G1219" i="19"/>
  <c r="G1220" i="19"/>
  <c r="G1221" i="19"/>
  <c r="G1222" i="19"/>
  <c r="G1223" i="19"/>
  <c r="G1224" i="19"/>
  <c r="G1225" i="19"/>
  <c r="G1226" i="19"/>
  <c r="G1227" i="19"/>
  <c r="G1228" i="19"/>
  <c r="G1229" i="19"/>
  <c r="G1230" i="19"/>
  <c r="G1231" i="19"/>
  <c r="G1232" i="19"/>
  <c r="G1233" i="19"/>
  <c r="G1234" i="19"/>
  <c r="G1235" i="19"/>
  <c r="G1236" i="19"/>
  <c r="G1237" i="19"/>
  <c r="G1238" i="19"/>
  <c r="G1239" i="19"/>
  <c r="G1240" i="19"/>
  <c r="G1241" i="19"/>
  <c r="G1242" i="19"/>
  <c r="G1243" i="19"/>
  <c r="G1244" i="19"/>
  <c r="G1245" i="19"/>
  <c r="G1246" i="19"/>
  <c r="G1247" i="19"/>
  <c r="G1248" i="19"/>
  <c r="G1249" i="19"/>
  <c r="G1250" i="19"/>
  <c r="G1251" i="19"/>
  <c r="G1252" i="19"/>
  <c r="G1253" i="19"/>
  <c r="G1254" i="19"/>
  <c r="G1255" i="19"/>
  <c r="G1256" i="19"/>
  <c r="G1257" i="19"/>
  <c r="G1258" i="19"/>
  <c r="G1259" i="19"/>
  <c r="G1260" i="19"/>
  <c r="G1261" i="19"/>
  <c r="G1262" i="19"/>
  <c r="G1263" i="19"/>
  <c r="G1264" i="19"/>
  <c r="G1265" i="19"/>
  <c r="G1266" i="19"/>
  <c r="G1267" i="19"/>
  <c r="G1268" i="19"/>
  <c r="G1269" i="19"/>
  <c r="G1270" i="19"/>
  <c r="G1271" i="19"/>
  <c r="G1272" i="19"/>
  <c r="G1273" i="19"/>
  <c r="G1274" i="19"/>
  <c r="G1275" i="19"/>
  <c r="G1276" i="19"/>
  <c r="G1277" i="19"/>
  <c r="G1278" i="19"/>
  <c r="G1279" i="19"/>
  <c r="G1280" i="19"/>
  <c r="G1281" i="19"/>
  <c r="G1282" i="19"/>
  <c r="G1283" i="19"/>
  <c r="G1284" i="19"/>
  <c r="G1285" i="19"/>
  <c r="G1286" i="19"/>
  <c r="G1287" i="19"/>
  <c r="G1288" i="19"/>
  <c r="G1289" i="19"/>
  <c r="G1290" i="19"/>
  <c r="G1291" i="19"/>
  <c r="G1292" i="19"/>
  <c r="G1293" i="19"/>
  <c r="G1294" i="19"/>
  <c r="G1295" i="19"/>
  <c r="G1296" i="19"/>
  <c r="G1297" i="19"/>
  <c r="G1298" i="19"/>
  <c r="G1299" i="19"/>
  <c r="G1300" i="19"/>
  <c r="G1301" i="19"/>
  <c r="G1302" i="19"/>
  <c r="G1303" i="19"/>
  <c r="G1304" i="19"/>
  <c r="G1305" i="19"/>
  <c r="G1306" i="19"/>
  <c r="G1307" i="19"/>
  <c r="G1308" i="19"/>
  <c r="G1309" i="19"/>
  <c r="G1310" i="19"/>
  <c r="G1311" i="19"/>
  <c r="G1312" i="19"/>
  <c r="G1313" i="19"/>
  <c r="G1314" i="19"/>
  <c r="G1315" i="19"/>
  <c r="G1316" i="19"/>
  <c r="G1317" i="19"/>
  <c r="G1318" i="19"/>
  <c r="G1319" i="19"/>
  <c r="G1320" i="19"/>
  <c r="G1321" i="19"/>
  <c r="G1322" i="19"/>
  <c r="G1323" i="19"/>
  <c r="G1324" i="19"/>
  <c r="G1325" i="19"/>
  <c r="G1326" i="19"/>
  <c r="G1327" i="19"/>
  <c r="G1328" i="19"/>
  <c r="G1329" i="19"/>
  <c r="G1330" i="19"/>
  <c r="G1331" i="19"/>
  <c r="G1332" i="19"/>
  <c r="G1333" i="19"/>
  <c r="G1334" i="19"/>
  <c r="G1335" i="19"/>
  <c r="G1336" i="19"/>
  <c r="G1337" i="19"/>
  <c r="G1338" i="19"/>
  <c r="G1339" i="19"/>
  <c r="G1340" i="19"/>
  <c r="G1341" i="19"/>
  <c r="G1342" i="19"/>
  <c r="G1343" i="19"/>
  <c r="G1344" i="19"/>
  <c r="G1345" i="19"/>
  <c r="G1112" i="19"/>
  <c r="D2045" i="19" l="1"/>
  <c r="I2055" i="19"/>
  <c r="I2062" i="19"/>
  <c r="I2054" i="19"/>
  <c r="E2045" i="19"/>
  <c r="I2047" i="19"/>
  <c r="I2048" i="19"/>
  <c r="I2063" i="19"/>
  <c r="I2064" i="19"/>
  <c r="I2056" i="19"/>
  <c r="C2045" i="19"/>
  <c r="G2045" i="19"/>
  <c r="H2045" i="19"/>
  <c r="I2065" i="19"/>
  <c r="I2059" i="19"/>
  <c r="I2058" i="19"/>
  <c r="I2057" i="19"/>
  <c r="I2053" i="19"/>
  <c r="I2052" i="19"/>
  <c r="I2051" i="19"/>
  <c r="I2050" i="19"/>
  <c r="B2045" i="19"/>
  <c r="I2066" i="19"/>
  <c r="I2049" i="19"/>
  <c r="I2061" i="19"/>
  <c r="I2060" i="19"/>
  <c r="I2046" i="19"/>
  <c r="H1113" i="19"/>
  <c r="H1114" i="19"/>
  <c r="H1115" i="19"/>
  <c r="H1116" i="19"/>
  <c r="H1117" i="19"/>
  <c r="H1118" i="19"/>
  <c r="H1119" i="19"/>
  <c r="H1120" i="19"/>
  <c r="H1121" i="19"/>
  <c r="H1122" i="19"/>
  <c r="H1123" i="19"/>
  <c r="H1124" i="19"/>
  <c r="H1125" i="19"/>
  <c r="H1126" i="19"/>
  <c r="H1127" i="19"/>
  <c r="H1128" i="19"/>
  <c r="H1129" i="19"/>
  <c r="H1130" i="19"/>
  <c r="H1131" i="19"/>
  <c r="H1132" i="19"/>
  <c r="H1133" i="19"/>
  <c r="H1134" i="19"/>
  <c r="H1135" i="19"/>
  <c r="H1136" i="19"/>
  <c r="H1137" i="19"/>
  <c r="H1138" i="19"/>
  <c r="H1139" i="19"/>
  <c r="H1140" i="19"/>
  <c r="H1141" i="19"/>
  <c r="H1142" i="19"/>
  <c r="H1143" i="19"/>
  <c r="H1144" i="19"/>
  <c r="H1145" i="19"/>
  <c r="H1146" i="19"/>
  <c r="H1147" i="19"/>
  <c r="H1148" i="19"/>
  <c r="H1149" i="19"/>
  <c r="H1150" i="19"/>
  <c r="H1151" i="19"/>
  <c r="H1152" i="19"/>
  <c r="H1153" i="19"/>
  <c r="H1154" i="19"/>
  <c r="H1155" i="19"/>
  <c r="H1156" i="19"/>
  <c r="H1157" i="19"/>
  <c r="H1158" i="19"/>
  <c r="H1159" i="19"/>
  <c r="H1160" i="19"/>
  <c r="H1161" i="19"/>
  <c r="H1162" i="19"/>
  <c r="H1163" i="19"/>
  <c r="H1164" i="19"/>
  <c r="H1165" i="19"/>
  <c r="H1166" i="19"/>
  <c r="H1167" i="19"/>
  <c r="H1168" i="19"/>
  <c r="H1169" i="19"/>
  <c r="H1170" i="19"/>
  <c r="H1171" i="19"/>
  <c r="H1172" i="19"/>
  <c r="H1173" i="19"/>
  <c r="H1174" i="19"/>
  <c r="H1175" i="19"/>
  <c r="H1176" i="19"/>
  <c r="H1177" i="19"/>
  <c r="H1178" i="19"/>
  <c r="H1179" i="19"/>
  <c r="H1180" i="19"/>
  <c r="H1181" i="19"/>
  <c r="H1182" i="19"/>
  <c r="H1183" i="19"/>
  <c r="H1184" i="19"/>
  <c r="H1185" i="19"/>
  <c r="H1186" i="19"/>
  <c r="H1187" i="19"/>
  <c r="H1188" i="19"/>
  <c r="H1189" i="19"/>
  <c r="H1190" i="19"/>
  <c r="H1191" i="19"/>
  <c r="H1192" i="19"/>
  <c r="H1193" i="19"/>
  <c r="H1194" i="19"/>
  <c r="H1195" i="19"/>
  <c r="H1196" i="19"/>
  <c r="H1197" i="19"/>
  <c r="H1198" i="19"/>
  <c r="H1199" i="19"/>
  <c r="H1200" i="19"/>
  <c r="H1201" i="19"/>
  <c r="H1202" i="19"/>
  <c r="H1203" i="19"/>
  <c r="H1204" i="19"/>
  <c r="H1205" i="19"/>
  <c r="H1206" i="19"/>
  <c r="H1207" i="19"/>
  <c r="H1208" i="19"/>
  <c r="H1209" i="19"/>
  <c r="H1210" i="19"/>
  <c r="H1211" i="19"/>
  <c r="H1212" i="19"/>
  <c r="H1213" i="19"/>
  <c r="H1214" i="19"/>
  <c r="H1215" i="19"/>
  <c r="H1216" i="19"/>
  <c r="H1217" i="19"/>
  <c r="H1218" i="19"/>
  <c r="H1219" i="19"/>
  <c r="H1220" i="19"/>
  <c r="H1221" i="19"/>
  <c r="H1222" i="19"/>
  <c r="H1223" i="19"/>
  <c r="H1224" i="19"/>
  <c r="H1225" i="19"/>
  <c r="H1226" i="19"/>
  <c r="H1227" i="19"/>
  <c r="H1228" i="19"/>
  <c r="H1229" i="19"/>
  <c r="H1230" i="19"/>
  <c r="H1231" i="19"/>
  <c r="H1232" i="19"/>
  <c r="H1233" i="19"/>
  <c r="H1234" i="19"/>
  <c r="H1235" i="19"/>
  <c r="H1236" i="19"/>
  <c r="H1237" i="19"/>
  <c r="H1238" i="19"/>
  <c r="H1239" i="19"/>
  <c r="H1240" i="19"/>
  <c r="H1241" i="19"/>
  <c r="H1242" i="19"/>
  <c r="H1243" i="19"/>
  <c r="H1244" i="19"/>
  <c r="H1245" i="19"/>
  <c r="H1246" i="19"/>
  <c r="H1247" i="19"/>
  <c r="H1248" i="19"/>
  <c r="H1249" i="19"/>
  <c r="H1250" i="19"/>
  <c r="H1251" i="19"/>
  <c r="H1252" i="19"/>
  <c r="H1253" i="19"/>
  <c r="H1254" i="19"/>
  <c r="H1255" i="19"/>
  <c r="H1256" i="19"/>
  <c r="H1257" i="19"/>
  <c r="H1258" i="19"/>
  <c r="H1259" i="19"/>
  <c r="H1260" i="19"/>
  <c r="H1261" i="19"/>
  <c r="H1262" i="19"/>
  <c r="H1263" i="19"/>
  <c r="H1264" i="19"/>
  <c r="H1265" i="19"/>
  <c r="H1266" i="19"/>
  <c r="H1267" i="19"/>
  <c r="H1268" i="19"/>
  <c r="H1269" i="19"/>
  <c r="H1270" i="19"/>
  <c r="H1271" i="19"/>
  <c r="H1272" i="19"/>
  <c r="H1273" i="19"/>
  <c r="H1274" i="19"/>
  <c r="H1275" i="19"/>
  <c r="H1276" i="19"/>
  <c r="H1277" i="19"/>
  <c r="H1278" i="19"/>
  <c r="H1279" i="19"/>
  <c r="H1280" i="19"/>
  <c r="H1281" i="19"/>
  <c r="H1282" i="19"/>
  <c r="H1283" i="19"/>
  <c r="H1284" i="19"/>
  <c r="H1285" i="19"/>
  <c r="H1286" i="19"/>
  <c r="H1287" i="19"/>
  <c r="H1288" i="19"/>
  <c r="H1289" i="19"/>
  <c r="H1290" i="19"/>
  <c r="H1291" i="19"/>
  <c r="H1292" i="19"/>
  <c r="H1293" i="19"/>
  <c r="H1294" i="19"/>
  <c r="H1295" i="19"/>
  <c r="H1296" i="19"/>
  <c r="H1297" i="19"/>
  <c r="H1298" i="19"/>
  <c r="H1299" i="19"/>
  <c r="H1300" i="19"/>
  <c r="H1301" i="19"/>
  <c r="H1302" i="19"/>
  <c r="H1303" i="19"/>
  <c r="H1304" i="19"/>
  <c r="H1305" i="19"/>
  <c r="H1306" i="19"/>
  <c r="H1307" i="19"/>
  <c r="H1308" i="19"/>
  <c r="H1309" i="19"/>
  <c r="H1310" i="19"/>
  <c r="H1311" i="19"/>
  <c r="H1312" i="19"/>
  <c r="H1313" i="19"/>
  <c r="H1314" i="19"/>
  <c r="H1315" i="19"/>
  <c r="H1316" i="19"/>
  <c r="H1317" i="19"/>
  <c r="H1318" i="19"/>
  <c r="H1319" i="19"/>
  <c r="H1320" i="19"/>
  <c r="H1321" i="19"/>
  <c r="H1322" i="19"/>
  <c r="H1323" i="19"/>
  <c r="H1324" i="19"/>
  <c r="H1325" i="19"/>
  <c r="H1326" i="19"/>
  <c r="H1327" i="19"/>
  <c r="H1328" i="19"/>
  <c r="H1329" i="19"/>
  <c r="H1330" i="19"/>
  <c r="H1331" i="19"/>
  <c r="H1332" i="19"/>
  <c r="H1333" i="19"/>
  <c r="H1334" i="19"/>
  <c r="H1335" i="19"/>
  <c r="H1336" i="19"/>
  <c r="H1337" i="19"/>
  <c r="H1338" i="19"/>
  <c r="H1339" i="19"/>
  <c r="H1340" i="19"/>
  <c r="H1341" i="19"/>
  <c r="H1342" i="19"/>
  <c r="H1343" i="19"/>
  <c r="H1344" i="19"/>
  <c r="H1345" i="19"/>
  <c r="H1112" i="19"/>
  <c r="D1113" i="19"/>
  <c r="D1114" i="19"/>
  <c r="D1115" i="19"/>
  <c r="D1116" i="19"/>
  <c r="D1117" i="19"/>
  <c r="D1118" i="19"/>
  <c r="D1119" i="19"/>
  <c r="D1120" i="19"/>
  <c r="D1121" i="19"/>
  <c r="D1122" i="19"/>
  <c r="D1123" i="19"/>
  <c r="D1124" i="19"/>
  <c r="D1125" i="19"/>
  <c r="D1126" i="19"/>
  <c r="D1127" i="19"/>
  <c r="D1128" i="19"/>
  <c r="D1129" i="19"/>
  <c r="D1130" i="19"/>
  <c r="D1131" i="19"/>
  <c r="D1132" i="19"/>
  <c r="D1133" i="19"/>
  <c r="D1134" i="19"/>
  <c r="D1135" i="19"/>
  <c r="D1136" i="19"/>
  <c r="D1137" i="19"/>
  <c r="D1138" i="19"/>
  <c r="D1139" i="19"/>
  <c r="D1140" i="19"/>
  <c r="D1141" i="19"/>
  <c r="D1142" i="19"/>
  <c r="D1143" i="19"/>
  <c r="D1144" i="19"/>
  <c r="D1145" i="19"/>
  <c r="D1146" i="19"/>
  <c r="D1147" i="19"/>
  <c r="D1148" i="19"/>
  <c r="D1149" i="19"/>
  <c r="D1150" i="19"/>
  <c r="D1151" i="19"/>
  <c r="D1152" i="19"/>
  <c r="D1153" i="19"/>
  <c r="D1154" i="19"/>
  <c r="D1155" i="19"/>
  <c r="D1156" i="19"/>
  <c r="D1157" i="19"/>
  <c r="D1158" i="19"/>
  <c r="D1159" i="19"/>
  <c r="D1160" i="19"/>
  <c r="D1161" i="19"/>
  <c r="D1162" i="19"/>
  <c r="D1163" i="19"/>
  <c r="D1164" i="19"/>
  <c r="D1165" i="19"/>
  <c r="D1166" i="19"/>
  <c r="D1167" i="19"/>
  <c r="D1168" i="19"/>
  <c r="D1169" i="19"/>
  <c r="D1170" i="19"/>
  <c r="D1171" i="19"/>
  <c r="D1172" i="19"/>
  <c r="D1173" i="19"/>
  <c r="D1174" i="19"/>
  <c r="D1175" i="19"/>
  <c r="D1176" i="19"/>
  <c r="D1177" i="19"/>
  <c r="D1178" i="19"/>
  <c r="D1179" i="19"/>
  <c r="D1180" i="19"/>
  <c r="D1181" i="19"/>
  <c r="D1182" i="19"/>
  <c r="D1183" i="19"/>
  <c r="D1184" i="19"/>
  <c r="D1185" i="19"/>
  <c r="D1186" i="19"/>
  <c r="D1187" i="19"/>
  <c r="D1188" i="19"/>
  <c r="D1189" i="19"/>
  <c r="D1190" i="19"/>
  <c r="D1191" i="19"/>
  <c r="D1192" i="19"/>
  <c r="D1193" i="19"/>
  <c r="D1194" i="19"/>
  <c r="D1195" i="19"/>
  <c r="D1196" i="19"/>
  <c r="D1197" i="19"/>
  <c r="D1198" i="19"/>
  <c r="D1199" i="19"/>
  <c r="D1200" i="19"/>
  <c r="D1201" i="19"/>
  <c r="D1202" i="19"/>
  <c r="D1203" i="19"/>
  <c r="D1204" i="19"/>
  <c r="D1205" i="19"/>
  <c r="D1206" i="19"/>
  <c r="D1207" i="19"/>
  <c r="D1208" i="19"/>
  <c r="D1209" i="19"/>
  <c r="D1210" i="19"/>
  <c r="D1211" i="19"/>
  <c r="D1212" i="19"/>
  <c r="D1213" i="19"/>
  <c r="D1214" i="19"/>
  <c r="D1215" i="19"/>
  <c r="D1216" i="19"/>
  <c r="D1217" i="19"/>
  <c r="D1218" i="19"/>
  <c r="D1219" i="19"/>
  <c r="D1220" i="19"/>
  <c r="D1221" i="19"/>
  <c r="D1222" i="19"/>
  <c r="D1223" i="19"/>
  <c r="D1224" i="19"/>
  <c r="D1225" i="19"/>
  <c r="D1226" i="19"/>
  <c r="D1227" i="19"/>
  <c r="D1228" i="19"/>
  <c r="D1229" i="19"/>
  <c r="D1230" i="19"/>
  <c r="D1231" i="19"/>
  <c r="D1232" i="19"/>
  <c r="D1233" i="19"/>
  <c r="D1234" i="19"/>
  <c r="D1235" i="19"/>
  <c r="D1236" i="19"/>
  <c r="D1237" i="19"/>
  <c r="D1238" i="19"/>
  <c r="D1239" i="19"/>
  <c r="D1240" i="19"/>
  <c r="D1241" i="19"/>
  <c r="D1242" i="19"/>
  <c r="D1243" i="19"/>
  <c r="D1244" i="19"/>
  <c r="D1245" i="19"/>
  <c r="D1246" i="19"/>
  <c r="D1247" i="19"/>
  <c r="D1248" i="19"/>
  <c r="D1249" i="19"/>
  <c r="D1250" i="19"/>
  <c r="D1251" i="19"/>
  <c r="D1252" i="19"/>
  <c r="D1253" i="19"/>
  <c r="D1254" i="19"/>
  <c r="D1255" i="19"/>
  <c r="D1256" i="19"/>
  <c r="D1257" i="19"/>
  <c r="D1258" i="19"/>
  <c r="D1259" i="19"/>
  <c r="D1260" i="19"/>
  <c r="D1261" i="19"/>
  <c r="D1262" i="19"/>
  <c r="D1263" i="19"/>
  <c r="D1264" i="19"/>
  <c r="D1265" i="19"/>
  <c r="D1266" i="19"/>
  <c r="D1267" i="19"/>
  <c r="D1268" i="19"/>
  <c r="D1269" i="19"/>
  <c r="D1270" i="19"/>
  <c r="D1271" i="19"/>
  <c r="D1272" i="19"/>
  <c r="D1273" i="19"/>
  <c r="D1274" i="19"/>
  <c r="D1275" i="19"/>
  <c r="D1276" i="19"/>
  <c r="D1277" i="19"/>
  <c r="D1278" i="19"/>
  <c r="D1279" i="19"/>
  <c r="D1280" i="19"/>
  <c r="D1281" i="19"/>
  <c r="D1282" i="19"/>
  <c r="D1283" i="19"/>
  <c r="D1284" i="19"/>
  <c r="D1285" i="19"/>
  <c r="D1286" i="19"/>
  <c r="D1287" i="19"/>
  <c r="D1288" i="19"/>
  <c r="D1289" i="19"/>
  <c r="D1290" i="19"/>
  <c r="D1291" i="19"/>
  <c r="D1292" i="19"/>
  <c r="D1293" i="19"/>
  <c r="D1294" i="19"/>
  <c r="D1295" i="19"/>
  <c r="D1296" i="19"/>
  <c r="D1297" i="19"/>
  <c r="D1298" i="19"/>
  <c r="D1299" i="19"/>
  <c r="D1300" i="19"/>
  <c r="D1301" i="19"/>
  <c r="D1302" i="19"/>
  <c r="D1303" i="19"/>
  <c r="D1304" i="19"/>
  <c r="D1305" i="19"/>
  <c r="D1306" i="19"/>
  <c r="D1307" i="19"/>
  <c r="D1308" i="19"/>
  <c r="D1309" i="19"/>
  <c r="D1310" i="19"/>
  <c r="D1311" i="19"/>
  <c r="D1312" i="19"/>
  <c r="D1313" i="19"/>
  <c r="D1314" i="19"/>
  <c r="D1315" i="19"/>
  <c r="D1316" i="19"/>
  <c r="D1317" i="19"/>
  <c r="D1318" i="19"/>
  <c r="D1319" i="19"/>
  <c r="D1320" i="19"/>
  <c r="D1321" i="19"/>
  <c r="D1322" i="19"/>
  <c r="D1323" i="19"/>
  <c r="D1324" i="19"/>
  <c r="D1325" i="19"/>
  <c r="D1326" i="19"/>
  <c r="D1327" i="19"/>
  <c r="D1328" i="19"/>
  <c r="D1329" i="19"/>
  <c r="D1330" i="19"/>
  <c r="D1331" i="19"/>
  <c r="D1332" i="19"/>
  <c r="D1333" i="19"/>
  <c r="D1334" i="19"/>
  <c r="D1335" i="19"/>
  <c r="D1336" i="19"/>
  <c r="D1337" i="19"/>
  <c r="D1338" i="19"/>
  <c r="D1339" i="19"/>
  <c r="D1340" i="19"/>
  <c r="D1341" i="19"/>
  <c r="D1342" i="19"/>
  <c r="D1343" i="19"/>
  <c r="D1344" i="19"/>
  <c r="D1345" i="19"/>
  <c r="D1112" i="19"/>
  <c r="D1111" i="19" l="1"/>
  <c r="G1111" i="19"/>
  <c r="F1113" i="19"/>
  <c r="F1114" i="19"/>
  <c r="F1115" i="19"/>
  <c r="F1116" i="19"/>
  <c r="F1117" i="19"/>
  <c r="F1118" i="19"/>
  <c r="F1119" i="19"/>
  <c r="F1120" i="19"/>
  <c r="F1121" i="19"/>
  <c r="F1122" i="19"/>
  <c r="F1123" i="19"/>
  <c r="F1124" i="19"/>
  <c r="F1125" i="19"/>
  <c r="F1126" i="19"/>
  <c r="F1127" i="19"/>
  <c r="F1128" i="19"/>
  <c r="F1129" i="19"/>
  <c r="F1130" i="19"/>
  <c r="F1131" i="19"/>
  <c r="F1132" i="19"/>
  <c r="F1133" i="19"/>
  <c r="F1134" i="19"/>
  <c r="F1135" i="19"/>
  <c r="F1136" i="19"/>
  <c r="F1137" i="19"/>
  <c r="F1138" i="19"/>
  <c r="F1139" i="19"/>
  <c r="F1140" i="19"/>
  <c r="F1141" i="19"/>
  <c r="F1142" i="19"/>
  <c r="F1143" i="19"/>
  <c r="F1144" i="19"/>
  <c r="F1145" i="19"/>
  <c r="F1146" i="19"/>
  <c r="F1147" i="19"/>
  <c r="F1148" i="19"/>
  <c r="F1149" i="19"/>
  <c r="F1150" i="19"/>
  <c r="F1151" i="19"/>
  <c r="F1152" i="19"/>
  <c r="F1153" i="19"/>
  <c r="F1154" i="19"/>
  <c r="F1155" i="19"/>
  <c r="F1156" i="19"/>
  <c r="F1157" i="19"/>
  <c r="F1158" i="19"/>
  <c r="F1159" i="19"/>
  <c r="F1160" i="19"/>
  <c r="F1161" i="19"/>
  <c r="F1162" i="19"/>
  <c r="F1163" i="19"/>
  <c r="F1164" i="19"/>
  <c r="F1165" i="19"/>
  <c r="F1166" i="19"/>
  <c r="F1167" i="19"/>
  <c r="F1168" i="19"/>
  <c r="F1169" i="19"/>
  <c r="F1170" i="19"/>
  <c r="F1171" i="19"/>
  <c r="F1172" i="19"/>
  <c r="F1173" i="19"/>
  <c r="F1174" i="19"/>
  <c r="F1175" i="19"/>
  <c r="F1176" i="19"/>
  <c r="F1177" i="19"/>
  <c r="F1178" i="19"/>
  <c r="F1179" i="19"/>
  <c r="F1180" i="19"/>
  <c r="F1181" i="19"/>
  <c r="F1182" i="19"/>
  <c r="F1183" i="19"/>
  <c r="F1184" i="19"/>
  <c r="F1185" i="19"/>
  <c r="F1186" i="19"/>
  <c r="F1187" i="19"/>
  <c r="F1188" i="19"/>
  <c r="F1189" i="19"/>
  <c r="F1190" i="19"/>
  <c r="F1191" i="19"/>
  <c r="F1192" i="19"/>
  <c r="F1193" i="19"/>
  <c r="F1194" i="19"/>
  <c r="F1195" i="19"/>
  <c r="F1196" i="19"/>
  <c r="F1197" i="19"/>
  <c r="F1198" i="19"/>
  <c r="F1199" i="19"/>
  <c r="F1200" i="19"/>
  <c r="F1201" i="19"/>
  <c r="F1202" i="19"/>
  <c r="F1203" i="19"/>
  <c r="F1204" i="19"/>
  <c r="F1205" i="19"/>
  <c r="F1206" i="19"/>
  <c r="F1207" i="19"/>
  <c r="F1208" i="19"/>
  <c r="F1209" i="19"/>
  <c r="F1210" i="19"/>
  <c r="F1211" i="19"/>
  <c r="F1212" i="19"/>
  <c r="F1213" i="19"/>
  <c r="F1214" i="19"/>
  <c r="F1215" i="19"/>
  <c r="F1216" i="19"/>
  <c r="F1217" i="19"/>
  <c r="F1218" i="19"/>
  <c r="F1219" i="19"/>
  <c r="F1220" i="19"/>
  <c r="F1221" i="19"/>
  <c r="F1222" i="19"/>
  <c r="F1223" i="19"/>
  <c r="F1224" i="19"/>
  <c r="F1225" i="19"/>
  <c r="F1226" i="19"/>
  <c r="F1227" i="19"/>
  <c r="F1228" i="19"/>
  <c r="F1229" i="19"/>
  <c r="F1230" i="19"/>
  <c r="F1231" i="19"/>
  <c r="F1232" i="19"/>
  <c r="F1233" i="19"/>
  <c r="F1234" i="19"/>
  <c r="F1235" i="19"/>
  <c r="F1236" i="19"/>
  <c r="F1237" i="19"/>
  <c r="F1238" i="19"/>
  <c r="F1239" i="19"/>
  <c r="F1240" i="19"/>
  <c r="F1241" i="19"/>
  <c r="F1242" i="19"/>
  <c r="F1243" i="19"/>
  <c r="F1244" i="19"/>
  <c r="F1245" i="19"/>
  <c r="F1246" i="19"/>
  <c r="F1247" i="19"/>
  <c r="F1248" i="19"/>
  <c r="F1249" i="19"/>
  <c r="F1250" i="19"/>
  <c r="F1251" i="19"/>
  <c r="F1252" i="19"/>
  <c r="F1253" i="19"/>
  <c r="F1254" i="19"/>
  <c r="F1255" i="19"/>
  <c r="F1256" i="19"/>
  <c r="F1257" i="19"/>
  <c r="F1258" i="19"/>
  <c r="F1259" i="19"/>
  <c r="F1260" i="19"/>
  <c r="F1261" i="19"/>
  <c r="F1262" i="19"/>
  <c r="F1263" i="19"/>
  <c r="F1264" i="19"/>
  <c r="F1265" i="19"/>
  <c r="F1266" i="19"/>
  <c r="F1267" i="19"/>
  <c r="F1268" i="19"/>
  <c r="F1269" i="19"/>
  <c r="F1270" i="19"/>
  <c r="F1271" i="19"/>
  <c r="F1272" i="19"/>
  <c r="F1273" i="19"/>
  <c r="F1274" i="19"/>
  <c r="F1275" i="19"/>
  <c r="F1276" i="19"/>
  <c r="F1277" i="19"/>
  <c r="F1278" i="19"/>
  <c r="F1279" i="19"/>
  <c r="F1280" i="19"/>
  <c r="F1281" i="19"/>
  <c r="F1282" i="19"/>
  <c r="F1283" i="19"/>
  <c r="F1284" i="19"/>
  <c r="F1285" i="19"/>
  <c r="F1286" i="19"/>
  <c r="F1287" i="19"/>
  <c r="F1288" i="19"/>
  <c r="F1289" i="19"/>
  <c r="F1290" i="19"/>
  <c r="F1291" i="19"/>
  <c r="F1292" i="19"/>
  <c r="F1293" i="19"/>
  <c r="F1294" i="19"/>
  <c r="F1295" i="19"/>
  <c r="F1296" i="19"/>
  <c r="F1297" i="19"/>
  <c r="F1298" i="19"/>
  <c r="F1299" i="19"/>
  <c r="F1300" i="19"/>
  <c r="F1301" i="19"/>
  <c r="F1302" i="19"/>
  <c r="F1303" i="19"/>
  <c r="F1304" i="19"/>
  <c r="F1305" i="19"/>
  <c r="F1306" i="19"/>
  <c r="F1307" i="19"/>
  <c r="F1308" i="19"/>
  <c r="F1309" i="19"/>
  <c r="F1310" i="19"/>
  <c r="F1311" i="19"/>
  <c r="F1312" i="19"/>
  <c r="F1313" i="19"/>
  <c r="F1314" i="19"/>
  <c r="F1315" i="19"/>
  <c r="F1316" i="19"/>
  <c r="F1317" i="19"/>
  <c r="F1318" i="19"/>
  <c r="F1319" i="19"/>
  <c r="F1320" i="19"/>
  <c r="F1321" i="19"/>
  <c r="F1322" i="19"/>
  <c r="F1323" i="19"/>
  <c r="F1324" i="19"/>
  <c r="F1325" i="19"/>
  <c r="F1326" i="19"/>
  <c r="F1327" i="19"/>
  <c r="F1328" i="19"/>
  <c r="F1329" i="19"/>
  <c r="F1330" i="19"/>
  <c r="F1331" i="19"/>
  <c r="F1332" i="19"/>
  <c r="F1333" i="19"/>
  <c r="F1334" i="19"/>
  <c r="F1335" i="19"/>
  <c r="F1336" i="19"/>
  <c r="F1337" i="19"/>
  <c r="F1338" i="19"/>
  <c r="F1339" i="19"/>
  <c r="F1340" i="19"/>
  <c r="F1341" i="19"/>
  <c r="F1342" i="19"/>
  <c r="F1343" i="19"/>
  <c r="F1344" i="19"/>
  <c r="F1345" i="19"/>
  <c r="F1112" i="19"/>
  <c r="E1113" i="19"/>
  <c r="E1114" i="19"/>
  <c r="E1115" i="19"/>
  <c r="E1116" i="19"/>
  <c r="E1117" i="19"/>
  <c r="E1118" i="19"/>
  <c r="E1119" i="19"/>
  <c r="E1120" i="19"/>
  <c r="E1121" i="19"/>
  <c r="E1122" i="19"/>
  <c r="E1123" i="19"/>
  <c r="E1124" i="19"/>
  <c r="E1125" i="19"/>
  <c r="E1126" i="19"/>
  <c r="E1127" i="19"/>
  <c r="E1128" i="19"/>
  <c r="E1129" i="19"/>
  <c r="E1130" i="19"/>
  <c r="E1131" i="19"/>
  <c r="E1132" i="19"/>
  <c r="E1133" i="19"/>
  <c r="E1134" i="19"/>
  <c r="E1135" i="19"/>
  <c r="E1136" i="19"/>
  <c r="E1137" i="19"/>
  <c r="E1138" i="19"/>
  <c r="E1139" i="19"/>
  <c r="E1140" i="19"/>
  <c r="E1141" i="19"/>
  <c r="E1142" i="19"/>
  <c r="E1143" i="19"/>
  <c r="E1144" i="19"/>
  <c r="E1145" i="19"/>
  <c r="E1146" i="19"/>
  <c r="E1147" i="19"/>
  <c r="E1148" i="19"/>
  <c r="E1149" i="19"/>
  <c r="E1150" i="19"/>
  <c r="E1151" i="19"/>
  <c r="E1152" i="19"/>
  <c r="E1153" i="19"/>
  <c r="E1154" i="19"/>
  <c r="E1155" i="19"/>
  <c r="E1156" i="19"/>
  <c r="E1157" i="19"/>
  <c r="E1158" i="19"/>
  <c r="E1159" i="19"/>
  <c r="E1160" i="19"/>
  <c r="E1161" i="19"/>
  <c r="E1162" i="19"/>
  <c r="E1163" i="19"/>
  <c r="E1164" i="19"/>
  <c r="E1165" i="19"/>
  <c r="E1166" i="19"/>
  <c r="E1167" i="19"/>
  <c r="E1168" i="19"/>
  <c r="E1169" i="19"/>
  <c r="E1170" i="19"/>
  <c r="E1171" i="19"/>
  <c r="E1172" i="19"/>
  <c r="E1173" i="19"/>
  <c r="E1174" i="19"/>
  <c r="E1175" i="19"/>
  <c r="E1176" i="19"/>
  <c r="E1177" i="19"/>
  <c r="E1178" i="19"/>
  <c r="E1179" i="19"/>
  <c r="E1180" i="19"/>
  <c r="E1181" i="19"/>
  <c r="E1182" i="19"/>
  <c r="E1183" i="19"/>
  <c r="E1184" i="19"/>
  <c r="E1185" i="19"/>
  <c r="E1186" i="19"/>
  <c r="E1187" i="19"/>
  <c r="E1188" i="19"/>
  <c r="E1189" i="19"/>
  <c r="E1190" i="19"/>
  <c r="E1191" i="19"/>
  <c r="E1192" i="19"/>
  <c r="E1193" i="19"/>
  <c r="E1194" i="19"/>
  <c r="E1195" i="19"/>
  <c r="E1196" i="19"/>
  <c r="E1197" i="19"/>
  <c r="E1198" i="19"/>
  <c r="E1199" i="19"/>
  <c r="E1200" i="19"/>
  <c r="E1201" i="19"/>
  <c r="E1202" i="19"/>
  <c r="E1203" i="19"/>
  <c r="E1204" i="19"/>
  <c r="E1205" i="19"/>
  <c r="E1206" i="19"/>
  <c r="E1207" i="19"/>
  <c r="E1208" i="19"/>
  <c r="E1209" i="19"/>
  <c r="E1210" i="19"/>
  <c r="E1211" i="19"/>
  <c r="E1212" i="19"/>
  <c r="E1213" i="19"/>
  <c r="E1214" i="19"/>
  <c r="E1215" i="19"/>
  <c r="E1216" i="19"/>
  <c r="E1217" i="19"/>
  <c r="E1218" i="19"/>
  <c r="E1219" i="19"/>
  <c r="E1220" i="19"/>
  <c r="E1221" i="19"/>
  <c r="E1222" i="19"/>
  <c r="E1223" i="19"/>
  <c r="E1224" i="19"/>
  <c r="E1225" i="19"/>
  <c r="E1226" i="19"/>
  <c r="E1227" i="19"/>
  <c r="E1228" i="19"/>
  <c r="E1229" i="19"/>
  <c r="E1230" i="19"/>
  <c r="E1231" i="19"/>
  <c r="E1232" i="19"/>
  <c r="E1233" i="19"/>
  <c r="E1234" i="19"/>
  <c r="E1235" i="19"/>
  <c r="E1236" i="19"/>
  <c r="E1237" i="19"/>
  <c r="E1238" i="19"/>
  <c r="E1239" i="19"/>
  <c r="E1240" i="19"/>
  <c r="E1241" i="19"/>
  <c r="E1242" i="19"/>
  <c r="E1243" i="19"/>
  <c r="E1244" i="19"/>
  <c r="E1245" i="19"/>
  <c r="E1246" i="19"/>
  <c r="E1247" i="19"/>
  <c r="E1248" i="19"/>
  <c r="E1249" i="19"/>
  <c r="E1250" i="19"/>
  <c r="E1251" i="19"/>
  <c r="E1252" i="19"/>
  <c r="E1253" i="19"/>
  <c r="E1254" i="19"/>
  <c r="E1255" i="19"/>
  <c r="E1256" i="19"/>
  <c r="E1257" i="19"/>
  <c r="E1258" i="19"/>
  <c r="E1259" i="19"/>
  <c r="E1260" i="19"/>
  <c r="E1261" i="19"/>
  <c r="E1262" i="19"/>
  <c r="E1263" i="19"/>
  <c r="E1264" i="19"/>
  <c r="E1265" i="19"/>
  <c r="E1266" i="19"/>
  <c r="E1267" i="19"/>
  <c r="E1268" i="19"/>
  <c r="E1269" i="19"/>
  <c r="E1270" i="19"/>
  <c r="E1271" i="19"/>
  <c r="E1272" i="19"/>
  <c r="E1273" i="19"/>
  <c r="E1274" i="19"/>
  <c r="E1275" i="19"/>
  <c r="E1276" i="19"/>
  <c r="E1277" i="19"/>
  <c r="E1278" i="19"/>
  <c r="E1279" i="19"/>
  <c r="E1280" i="19"/>
  <c r="E1281" i="19"/>
  <c r="E1282" i="19"/>
  <c r="E1283" i="19"/>
  <c r="E1284" i="19"/>
  <c r="E1285" i="19"/>
  <c r="E1286" i="19"/>
  <c r="E1287" i="19"/>
  <c r="E1288" i="19"/>
  <c r="E1289" i="19"/>
  <c r="E1290" i="19"/>
  <c r="E1291" i="19"/>
  <c r="E1292" i="19"/>
  <c r="E1293" i="19"/>
  <c r="E1294" i="19"/>
  <c r="E1295" i="19"/>
  <c r="E1296" i="19"/>
  <c r="E1297" i="19"/>
  <c r="E1298" i="19"/>
  <c r="E1299" i="19"/>
  <c r="E1300" i="19"/>
  <c r="E1301" i="19"/>
  <c r="E1302" i="19"/>
  <c r="E1303" i="19"/>
  <c r="E1304" i="19"/>
  <c r="E1305" i="19"/>
  <c r="E1306" i="19"/>
  <c r="E1307" i="19"/>
  <c r="E1308" i="19"/>
  <c r="E1309" i="19"/>
  <c r="E1310" i="19"/>
  <c r="E1311" i="19"/>
  <c r="E1312" i="19"/>
  <c r="E1313" i="19"/>
  <c r="E1314" i="19"/>
  <c r="E1315" i="19"/>
  <c r="E1316" i="19"/>
  <c r="E1317" i="19"/>
  <c r="E1318" i="19"/>
  <c r="E1319" i="19"/>
  <c r="E1320" i="19"/>
  <c r="E1321" i="19"/>
  <c r="E1322" i="19"/>
  <c r="E1323" i="19"/>
  <c r="E1324" i="19"/>
  <c r="E1325" i="19"/>
  <c r="E1326" i="19"/>
  <c r="E1327" i="19"/>
  <c r="E1328" i="19"/>
  <c r="E1329" i="19"/>
  <c r="E1330" i="19"/>
  <c r="E1331" i="19"/>
  <c r="E1332" i="19"/>
  <c r="E1333" i="19"/>
  <c r="E1334" i="19"/>
  <c r="E1335" i="19"/>
  <c r="E1336" i="19"/>
  <c r="E1337" i="19"/>
  <c r="E1338" i="19"/>
  <c r="E1339" i="19"/>
  <c r="E1340" i="19"/>
  <c r="E1341" i="19"/>
  <c r="E1342" i="19"/>
  <c r="E1343" i="19"/>
  <c r="E1344" i="19"/>
  <c r="E1345" i="19"/>
  <c r="E1112" i="19"/>
  <c r="E177" i="19"/>
  <c r="F177" i="19"/>
  <c r="G177" i="19"/>
  <c r="H177" i="19"/>
  <c r="C177" i="19"/>
  <c r="D177" i="19"/>
  <c r="B177" i="19"/>
  <c r="I179" i="19"/>
  <c r="I180" i="19"/>
  <c r="I181" i="19"/>
  <c r="I182" i="19"/>
  <c r="I183" i="19"/>
  <c r="I184" i="19"/>
  <c r="I185" i="19"/>
  <c r="I186" i="19"/>
  <c r="I187" i="19"/>
  <c r="I188" i="19"/>
  <c r="I189" i="19"/>
  <c r="I190" i="19"/>
  <c r="I191" i="19"/>
  <c r="I192" i="19"/>
  <c r="I193" i="19"/>
  <c r="I194" i="19"/>
  <c r="I195" i="19"/>
  <c r="I196" i="19"/>
  <c r="I197" i="19"/>
  <c r="I198" i="19"/>
  <c r="I199" i="19"/>
  <c r="I200" i="19"/>
  <c r="I201" i="19"/>
  <c r="B412" i="19"/>
  <c r="D412" i="19"/>
  <c r="E412" i="19"/>
  <c r="B1873" i="55"/>
  <c r="B1874" i="55"/>
  <c r="B1875" i="55"/>
  <c r="B1872" i="55"/>
  <c r="E1872" i="55"/>
  <c r="D1872" i="55"/>
  <c r="D1874" i="55"/>
  <c r="D1875" i="55"/>
  <c r="D1873" i="55"/>
  <c r="I1143" i="19" l="1"/>
  <c r="I1129" i="19"/>
  <c r="I1144" i="19"/>
  <c r="I1121" i="19"/>
  <c r="I1135" i="19"/>
  <c r="I1131" i="19"/>
  <c r="I1115" i="19"/>
  <c r="I1130" i="19"/>
  <c r="I1119" i="19"/>
  <c r="I1116" i="19"/>
  <c r="I177" i="19"/>
  <c r="I1133" i="19"/>
  <c r="I1117" i="19"/>
  <c r="I1127" i="19"/>
  <c r="I1140" i="19"/>
  <c r="I1126" i="19"/>
  <c r="I1112" i="19"/>
  <c r="I1128" i="19"/>
  <c r="I1139" i="19"/>
  <c r="I1125" i="19"/>
  <c r="I1142" i="19"/>
  <c r="I1141" i="19"/>
  <c r="I1138" i="19"/>
  <c r="I1145" i="19"/>
  <c r="I1137" i="19"/>
  <c r="I1123" i="19"/>
  <c r="I1114" i="19"/>
  <c r="I1113" i="19"/>
  <c r="I1124" i="19"/>
  <c r="I1136" i="19"/>
  <c r="I1122" i="19"/>
  <c r="I1134" i="19"/>
  <c r="I1120" i="19"/>
  <c r="I1132" i="19"/>
  <c r="I1118" i="19"/>
  <c r="G1872" i="55"/>
  <c r="E1111" i="19"/>
  <c r="F1111" i="19"/>
  <c r="D3622" i="21"/>
  <c r="D3623" i="21"/>
  <c r="D3624" i="21"/>
  <c r="D3621" i="21"/>
  <c r="L316" i="47"/>
  <c r="L317" i="47"/>
  <c r="L318" i="47"/>
  <c r="L319" i="47"/>
  <c r="L320" i="47"/>
  <c r="L321" i="47"/>
  <c r="L322" i="47"/>
  <c r="L323" i="47"/>
  <c r="L324" i="47"/>
  <c r="L325" i="47"/>
  <c r="L326" i="47"/>
  <c r="L327" i="47"/>
  <c r="L328" i="47"/>
  <c r="L329" i="47"/>
  <c r="L330" i="47"/>
  <c r="L331" i="47"/>
  <c r="L332" i="47"/>
  <c r="L333" i="47"/>
  <c r="L334" i="47"/>
  <c r="L335" i="47"/>
  <c r="L336" i="47"/>
  <c r="L337" i="47"/>
  <c r="L338" i="47"/>
  <c r="L339" i="47"/>
  <c r="L340" i="47"/>
  <c r="L341" i="47"/>
  <c r="L342" i="47"/>
  <c r="L343" i="47"/>
  <c r="L344" i="47"/>
  <c r="L345" i="47"/>
  <c r="L346" i="47"/>
  <c r="L347" i="47"/>
  <c r="L348" i="47"/>
  <c r="L349" i="47"/>
  <c r="L350" i="47"/>
  <c r="L351" i="47"/>
  <c r="L352" i="47"/>
  <c r="L353" i="47"/>
  <c r="L354" i="47"/>
  <c r="L355" i="47"/>
  <c r="L356" i="47"/>
  <c r="L357" i="47"/>
  <c r="L358" i="47"/>
  <c r="L359" i="47"/>
  <c r="L360" i="47"/>
  <c r="L361" i="47"/>
  <c r="L362" i="47"/>
  <c r="L363" i="47"/>
  <c r="L364" i="47"/>
  <c r="L365" i="47"/>
  <c r="L366" i="47"/>
  <c r="L367" i="47"/>
  <c r="L368" i="47"/>
  <c r="L369" i="47"/>
  <c r="L370" i="47"/>
  <c r="L371" i="47"/>
  <c r="L372" i="47"/>
  <c r="L373" i="47"/>
  <c r="L374" i="47"/>
  <c r="L375" i="47"/>
  <c r="L376" i="47"/>
  <c r="L377" i="47"/>
  <c r="L378" i="47"/>
  <c r="L379" i="47"/>
  <c r="L380" i="47"/>
  <c r="L381" i="47"/>
  <c r="L382" i="47"/>
  <c r="L383" i="47"/>
  <c r="L384" i="47"/>
  <c r="L385" i="47"/>
  <c r="L386" i="47"/>
  <c r="L387" i="47"/>
  <c r="L388" i="47"/>
  <c r="L389" i="47"/>
  <c r="L390" i="47"/>
  <c r="L391" i="47"/>
  <c r="L392" i="47"/>
  <c r="L393" i="47"/>
  <c r="L394" i="47"/>
  <c r="L395" i="47"/>
  <c r="L396" i="47"/>
  <c r="L397" i="47"/>
  <c r="L398" i="47"/>
  <c r="L399" i="47"/>
  <c r="L400" i="47"/>
  <c r="L401" i="47"/>
  <c r="L402" i="47"/>
  <c r="L403" i="47"/>
  <c r="L404" i="47"/>
  <c r="L405" i="47"/>
  <c r="L406" i="47"/>
  <c r="L407" i="47"/>
  <c r="L408" i="47"/>
  <c r="L409" i="47"/>
  <c r="L410" i="47"/>
  <c r="L411" i="47"/>
  <c r="L412" i="47"/>
  <c r="L413" i="47"/>
  <c r="L414" i="47"/>
  <c r="L415" i="47"/>
  <c r="L416" i="47"/>
  <c r="L417" i="47"/>
  <c r="L418" i="47"/>
  <c r="L419" i="47"/>
  <c r="L420" i="47"/>
  <c r="L421" i="47"/>
  <c r="L422" i="47"/>
  <c r="L423" i="47"/>
  <c r="L424" i="47"/>
  <c r="L425" i="47"/>
  <c r="L426" i="47"/>
  <c r="L427" i="47"/>
  <c r="L428" i="47"/>
  <c r="L429" i="47"/>
  <c r="L430" i="47"/>
  <c r="L431" i="47"/>
  <c r="L432" i="47"/>
  <c r="L433" i="47"/>
  <c r="L434" i="47"/>
  <c r="L435" i="47"/>
  <c r="L436" i="47"/>
  <c r="L437" i="47"/>
  <c r="L438" i="47"/>
  <c r="L439" i="47"/>
  <c r="L440" i="47"/>
  <c r="L441" i="47"/>
  <c r="L442" i="47"/>
  <c r="L443" i="47"/>
  <c r="L444" i="47"/>
  <c r="L445" i="47"/>
  <c r="L446" i="47"/>
  <c r="L447" i="47"/>
  <c r="L448" i="47"/>
  <c r="L449" i="47"/>
  <c r="L450" i="47"/>
  <c r="L451" i="47"/>
  <c r="L452" i="47"/>
  <c r="L453" i="47"/>
  <c r="L454" i="47"/>
  <c r="L455" i="47"/>
  <c r="L456" i="47"/>
  <c r="L457" i="47"/>
  <c r="L458" i="47"/>
  <c r="L459" i="47"/>
  <c r="L460" i="47"/>
  <c r="L461" i="47"/>
  <c r="L462" i="47"/>
  <c r="L463" i="47"/>
  <c r="L464" i="47"/>
  <c r="L465" i="47"/>
  <c r="L466" i="47"/>
  <c r="L467" i="47"/>
  <c r="L468" i="47"/>
  <c r="L469" i="47"/>
  <c r="L470" i="47"/>
  <c r="L471" i="47"/>
  <c r="L472" i="47"/>
  <c r="L473" i="47"/>
  <c r="L474" i="47"/>
  <c r="L475" i="47"/>
  <c r="L476" i="47"/>
  <c r="L477" i="47"/>
  <c r="L478" i="47"/>
  <c r="O457" i="47"/>
  <c r="O458" i="47"/>
  <c r="O459" i="47"/>
  <c r="O460" i="47"/>
  <c r="O461" i="47"/>
  <c r="O462" i="47"/>
  <c r="O463" i="47"/>
  <c r="O464" i="47"/>
  <c r="O465" i="47"/>
  <c r="O466" i="47"/>
  <c r="O467" i="47"/>
  <c r="O468" i="47"/>
  <c r="O469" i="47"/>
  <c r="G2820" i="19"/>
  <c r="F2820" i="19"/>
  <c r="E2820" i="19"/>
  <c r="D2820" i="19"/>
  <c r="C2820" i="19"/>
  <c r="B2820" i="19"/>
  <c r="G18" i="58" l="1"/>
  <c r="D3625" i="21"/>
  <c r="I2068" i="19"/>
  <c r="I2072" i="19"/>
  <c r="I2076" i="19"/>
  <c r="I2080" i="19"/>
  <c r="I2083" i="19"/>
  <c r="I2067" i="19"/>
  <c r="H1111" i="19"/>
  <c r="I1111" i="19" s="1"/>
  <c r="I1146" i="19"/>
  <c r="I1147" i="19"/>
  <c r="I1148" i="19"/>
  <c r="I1149" i="19"/>
  <c r="I1150" i="19"/>
  <c r="I1151" i="19"/>
  <c r="I1152" i="19"/>
  <c r="I1153" i="19"/>
  <c r="I1154" i="19"/>
  <c r="I1155" i="19"/>
  <c r="I1156" i="19"/>
  <c r="I1157" i="19"/>
  <c r="I1158" i="19"/>
  <c r="I1159" i="19"/>
  <c r="I1160" i="19"/>
  <c r="I1161" i="19"/>
  <c r="I1162" i="19"/>
  <c r="I1163" i="19"/>
  <c r="I1164" i="19"/>
  <c r="I1165" i="19"/>
  <c r="I1166" i="19"/>
  <c r="I1167" i="19"/>
  <c r="I1168" i="19"/>
  <c r="I1169" i="19"/>
  <c r="I1170" i="19"/>
  <c r="I1171" i="19"/>
  <c r="I1172" i="19"/>
  <c r="I1173" i="19"/>
  <c r="I1174" i="19"/>
  <c r="I1175" i="19"/>
  <c r="I1176" i="19"/>
  <c r="I1177" i="19"/>
  <c r="I1178" i="19"/>
  <c r="I1179" i="19"/>
  <c r="I1180" i="19"/>
  <c r="I1181" i="19"/>
  <c r="I1182" i="19"/>
  <c r="I1183" i="19"/>
  <c r="I1184" i="19"/>
  <c r="I1185" i="19"/>
  <c r="I1186" i="19"/>
  <c r="I1187" i="19"/>
  <c r="I1188" i="19"/>
  <c r="I1189" i="19"/>
  <c r="I1190" i="19"/>
  <c r="I1191" i="19"/>
  <c r="I1192" i="19"/>
  <c r="I1193" i="19"/>
  <c r="I1194" i="19"/>
  <c r="I1195" i="19"/>
  <c r="I1196" i="19"/>
  <c r="I1197" i="19"/>
  <c r="I1198" i="19"/>
  <c r="I1199" i="19"/>
  <c r="I1200" i="19"/>
  <c r="I1201" i="19"/>
  <c r="I1202" i="19"/>
  <c r="I1203" i="19"/>
  <c r="I1204" i="19"/>
  <c r="I1205" i="19"/>
  <c r="I1206" i="19"/>
  <c r="I1207" i="19"/>
  <c r="I1208" i="19"/>
  <c r="I1209" i="19"/>
  <c r="I1210" i="19"/>
  <c r="I1211" i="19"/>
  <c r="I1212" i="19"/>
  <c r="I1213" i="19"/>
  <c r="I1214" i="19"/>
  <c r="I1215" i="19"/>
  <c r="I1216" i="19"/>
  <c r="I1217" i="19"/>
  <c r="I1218" i="19"/>
  <c r="I1219" i="19"/>
  <c r="I1220" i="19"/>
  <c r="I1221" i="19"/>
  <c r="I1222" i="19"/>
  <c r="I1223" i="19"/>
  <c r="I1224" i="19"/>
  <c r="I1225" i="19"/>
  <c r="I1226" i="19"/>
  <c r="I1227" i="19"/>
  <c r="I1228" i="19"/>
  <c r="I1229" i="19"/>
  <c r="I1230" i="19"/>
  <c r="I1231" i="19"/>
  <c r="I1232" i="19"/>
  <c r="I1233" i="19"/>
  <c r="I1234" i="19"/>
  <c r="I1235" i="19"/>
  <c r="I1236" i="19"/>
  <c r="I1237" i="19"/>
  <c r="I1238" i="19"/>
  <c r="I1239" i="19"/>
  <c r="I1240" i="19"/>
  <c r="I1241" i="19"/>
  <c r="I1242" i="19"/>
  <c r="I1243" i="19"/>
  <c r="I1244" i="19"/>
  <c r="I1245" i="19"/>
  <c r="I1246" i="19"/>
  <c r="I1247" i="19"/>
  <c r="I1248" i="19"/>
  <c r="I1249" i="19"/>
  <c r="I1250" i="19"/>
  <c r="I1251" i="19"/>
  <c r="I1252" i="19"/>
  <c r="I1253" i="19"/>
  <c r="I1254" i="19"/>
  <c r="I1255" i="19"/>
  <c r="I1256" i="19"/>
  <c r="I1257" i="19"/>
  <c r="I1258" i="19"/>
  <c r="I1259" i="19"/>
  <c r="I1260" i="19"/>
  <c r="I1261" i="19"/>
  <c r="I1262" i="19"/>
  <c r="I1263" i="19"/>
  <c r="I1264" i="19"/>
  <c r="I1265" i="19"/>
  <c r="I1266" i="19"/>
  <c r="I1267" i="19"/>
  <c r="I1268" i="19"/>
  <c r="I1269" i="19"/>
  <c r="I1270" i="19"/>
  <c r="I1271" i="19"/>
  <c r="I1272" i="19"/>
  <c r="I1273" i="19"/>
  <c r="I1274" i="19"/>
  <c r="I1275" i="19"/>
  <c r="I1276" i="19"/>
  <c r="I1277" i="19"/>
  <c r="I1278" i="19"/>
  <c r="I1279" i="19"/>
  <c r="I1280" i="19"/>
  <c r="I1281" i="19"/>
  <c r="I1282" i="19"/>
  <c r="I1283" i="19"/>
  <c r="I1284" i="19"/>
  <c r="I1285" i="19"/>
  <c r="I1286" i="19"/>
  <c r="I1287" i="19"/>
  <c r="I1288" i="19"/>
  <c r="I1289" i="19"/>
  <c r="I1290" i="19"/>
  <c r="I1291" i="19"/>
  <c r="I1292" i="19"/>
  <c r="I1293" i="19"/>
  <c r="I1294" i="19"/>
  <c r="I1295" i="19"/>
  <c r="I1296" i="19"/>
  <c r="I1297" i="19"/>
  <c r="I1298" i="19"/>
  <c r="I1299" i="19"/>
  <c r="I1300" i="19"/>
  <c r="I1301" i="19"/>
  <c r="I1302" i="19"/>
  <c r="I1303" i="19"/>
  <c r="I1304" i="19"/>
  <c r="I1305" i="19"/>
  <c r="I1306" i="19"/>
  <c r="I1307" i="19"/>
  <c r="I1308" i="19"/>
  <c r="I1309" i="19"/>
  <c r="I1310" i="19"/>
  <c r="I1311" i="19"/>
  <c r="I1312" i="19"/>
  <c r="I1313" i="19"/>
  <c r="I1314" i="19"/>
  <c r="I1315" i="19"/>
  <c r="E2129" i="21" s="1"/>
  <c r="G2129" i="21" s="1"/>
  <c r="I1316" i="19"/>
  <c r="E2130" i="21" s="1"/>
  <c r="G2130" i="21" s="1"/>
  <c r="I1317" i="19"/>
  <c r="E2131" i="21" s="1"/>
  <c r="G2131" i="21" s="1"/>
  <c r="I1318" i="19"/>
  <c r="E2132" i="21" s="1"/>
  <c r="G2132" i="21" s="1"/>
  <c r="I1319" i="19"/>
  <c r="E2133" i="21" s="1"/>
  <c r="G2133" i="21" s="1"/>
  <c r="I1320" i="19"/>
  <c r="E2134" i="21" s="1"/>
  <c r="G2134" i="21" s="1"/>
  <c r="I1321" i="19"/>
  <c r="E2135" i="21" s="1"/>
  <c r="G2135" i="21" s="1"/>
  <c r="I1322" i="19"/>
  <c r="E2136" i="21" s="1"/>
  <c r="G2136" i="21" s="1"/>
  <c r="I1323" i="19"/>
  <c r="E2137" i="21" s="1"/>
  <c r="G2137" i="21" s="1"/>
  <c r="I1324" i="19"/>
  <c r="E2138" i="21" s="1"/>
  <c r="G2138" i="21" s="1"/>
  <c r="I1325" i="19"/>
  <c r="E2139" i="21" s="1"/>
  <c r="G2139" i="21" s="1"/>
  <c r="I1326" i="19"/>
  <c r="E2140" i="21" s="1"/>
  <c r="G2140" i="21" s="1"/>
  <c r="I1327" i="19"/>
  <c r="E2141" i="21" s="1"/>
  <c r="G2141" i="21" s="1"/>
  <c r="I1328" i="19"/>
  <c r="E2142" i="21" s="1"/>
  <c r="G2142" i="21" s="1"/>
  <c r="I1329" i="19"/>
  <c r="E2143" i="21" s="1"/>
  <c r="G2143" i="21" s="1"/>
  <c r="I1330" i="19"/>
  <c r="E2144" i="21" s="1"/>
  <c r="G2144" i="21" s="1"/>
  <c r="I1331" i="19"/>
  <c r="E2145" i="21" s="1"/>
  <c r="G2145" i="21" s="1"/>
  <c r="I1332" i="19"/>
  <c r="E2146" i="21" s="1"/>
  <c r="G2146" i="21" s="1"/>
  <c r="I1333" i="19"/>
  <c r="E2147" i="21" s="1"/>
  <c r="G2147" i="21" s="1"/>
  <c r="I1334" i="19"/>
  <c r="E2148" i="21" s="1"/>
  <c r="G2148" i="21" s="1"/>
  <c r="I1335" i="19"/>
  <c r="E2149" i="21" s="1"/>
  <c r="G2149" i="21" s="1"/>
  <c r="I1336" i="19"/>
  <c r="E2150" i="21" s="1"/>
  <c r="G2150" i="21" s="1"/>
  <c r="I1337" i="19"/>
  <c r="E2151" i="21" s="1"/>
  <c r="G2151" i="21" s="1"/>
  <c r="I1338" i="19"/>
  <c r="E2152" i="21" s="1"/>
  <c r="G2152" i="21" s="1"/>
  <c r="I1339" i="19"/>
  <c r="E2153" i="21" s="1"/>
  <c r="G2153" i="21" s="1"/>
  <c r="I1340" i="19"/>
  <c r="E2154" i="21" s="1"/>
  <c r="G2154" i="21" s="1"/>
  <c r="I1341" i="19"/>
  <c r="E2155" i="21" s="1"/>
  <c r="G2155" i="21" s="1"/>
  <c r="I1342" i="19"/>
  <c r="E2156" i="21" s="1"/>
  <c r="G2156" i="21" s="1"/>
  <c r="I1343" i="19"/>
  <c r="E2157" i="21" s="1"/>
  <c r="G2157" i="21" s="1"/>
  <c r="I1344" i="19"/>
  <c r="E2158" i="21" s="1"/>
  <c r="G2158" i="21" s="1"/>
  <c r="I1345" i="19"/>
  <c r="I2075" i="19" l="1"/>
  <c r="I2275" i="19"/>
  <c r="I2272" i="19"/>
  <c r="I2267" i="19"/>
  <c r="I2264" i="19"/>
  <c r="I2256" i="19"/>
  <c r="I2251" i="19"/>
  <c r="I2248" i="19"/>
  <c r="I2243" i="19"/>
  <c r="I2240" i="19"/>
  <c r="I2235" i="19"/>
  <c r="I2232" i="19"/>
  <c r="I2224" i="19"/>
  <c r="I2219" i="19"/>
  <c r="I2216" i="19"/>
  <c r="I2211" i="19"/>
  <c r="I2208" i="19"/>
  <c r="I2203" i="19"/>
  <c r="I2200" i="19"/>
  <c r="I2195" i="19"/>
  <c r="I2192" i="19"/>
  <c r="I2187" i="19"/>
  <c r="I2184" i="19"/>
  <c r="I2179" i="19"/>
  <c r="I2176" i="19"/>
  <c r="I2171" i="19"/>
  <c r="I2168" i="19"/>
  <c r="I2163" i="19"/>
  <c r="I2160" i="19"/>
  <c r="I2155" i="19"/>
  <c r="I2152" i="19"/>
  <c r="I2144" i="19"/>
  <c r="I2139" i="19"/>
  <c r="I2136" i="19"/>
  <c r="I2131" i="19"/>
  <c r="I2128" i="19"/>
  <c r="I2123" i="19"/>
  <c r="I2120" i="19"/>
  <c r="I2115" i="19"/>
  <c r="I2112" i="19"/>
  <c r="I2104" i="19"/>
  <c r="I2099" i="19"/>
  <c r="I2096" i="19"/>
  <c r="I2091" i="19"/>
  <c r="I2088" i="19"/>
  <c r="I2259" i="19"/>
  <c r="I2227" i="19"/>
  <c r="I2147" i="19"/>
  <c r="I2107" i="19"/>
  <c r="I2276" i="19"/>
  <c r="I2268" i="19"/>
  <c r="I2260" i="19"/>
  <c r="I2252" i="19"/>
  <c r="I2244" i="19"/>
  <c r="I2236" i="19"/>
  <c r="I2228" i="19"/>
  <c r="I2220" i="19"/>
  <c r="I2212" i="19"/>
  <c r="I2204" i="19"/>
  <c r="I2196" i="19"/>
  <c r="I2188" i="19"/>
  <c r="I2180" i="19"/>
  <c r="I2172" i="19"/>
  <c r="I2164" i="19"/>
  <c r="I2156" i="19"/>
  <c r="I2148" i="19"/>
  <c r="I2140" i="19"/>
  <c r="I2132" i="19"/>
  <c r="I2124" i="19"/>
  <c r="I2116" i="19"/>
  <c r="I2108" i="19"/>
  <c r="I2100" i="19"/>
  <c r="I2092" i="19"/>
  <c r="I2084" i="19"/>
  <c r="I2277" i="19"/>
  <c r="I2269" i="19"/>
  <c r="I2261" i="19"/>
  <c r="I2253" i="19"/>
  <c r="I2245" i="19"/>
  <c r="I2237" i="19"/>
  <c r="I2229" i="19"/>
  <c r="I2221" i="19"/>
  <c r="I2213" i="19"/>
  <c r="I2205" i="19"/>
  <c r="I2197" i="19"/>
  <c r="I2189" i="19"/>
  <c r="I2181" i="19"/>
  <c r="I2173" i="19"/>
  <c r="I2165" i="19"/>
  <c r="I2157" i="19"/>
  <c r="I2149" i="19"/>
  <c r="I2141" i="19"/>
  <c r="I2133" i="19"/>
  <c r="I2125" i="19"/>
  <c r="I2117" i="19"/>
  <c r="I2109" i="19"/>
  <c r="I2101" i="19"/>
  <c r="I2093" i="19"/>
  <c r="I2085" i="19"/>
  <c r="I2077" i="19"/>
  <c r="I2069" i="19"/>
  <c r="I2279" i="19"/>
  <c r="I2278" i="19"/>
  <c r="I2271" i="19"/>
  <c r="I2270" i="19"/>
  <c r="I2263" i="19"/>
  <c r="I2262" i="19"/>
  <c r="I2255" i="19"/>
  <c r="I2254" i="19"/>
  <c r="I2247" i="19"/>
  <c r="I2246" i="19"/>
  <c r="I2239" i="19"/>
  <c r="I2238" i="19"/>
  <c r="I2231" i="19"/>
  <c r="I2230" i="19"/>
  <c r="I2223" i="19"/>
  <c r="I2222" i="19"/>
  <c r="I2215" i="19"/>
  <c r="I2214" i="19"/>
  <c r="I2207" i="19"/>
  <c r="I2206" i="19"/>
  <c r="I2199" i="19"/>
  <c r="I2198" i="19"/>
  <c r="I2191" i="19"/>
  <c r="I2190" i="19"/>
  <c r="I2183" i="19"/>
  <c r="I2182" i="19"/>
  <c r="I2175" i="19"/>
  <c r="I2174" i="19"/>
  <c r="I2167" i="19"/>
  <c r="I2166" i="19"/>
  <c r="I2159" i="19"/>
  <c r="I2158" i="19"/>
  <c r="I2151" i="19"/>
  <c r="I2150" i="19"/>
  <c r="I2143" i="19"/>
  <c r="I2142" i="19"/>
  <c r="I2135" i="19"/>
  <c r="I2134" i="19"/>
  <c r="I2127" i="19"/>
  <c r="I2126" i="19"/>
  <c r="I2119" i="19"/>
  <c r="I2118" i="19"/>
  <c r="I2111" i="19"/>
  <c r="I2110" i="19"/>
  <c r="I2103" i="19"/>
  <c r="I2102" i="19"/>
  <c r="I2095" i="19"/>
  <c r="I2094" i="19"/>
  <c r="I2087" i="19"/>
  <c r="I2086" i="19"/>
  <c r="I2079" i="19"/>
  <c r="I2078" i="19"/>
  <c r="I2071" i="19"/>
  <c r="I2070" i="19"/>
  <c r="I2273" i="19"/>
  <c r="I2265" i="19"/>
  <c r="I2257" i="19"/>
  <c r="I2249" i="19"/>
  <c r="I2241" i="19"/>
  <c r="I2233" i="19"/>
  <c r="I2225" i="19"/>
  <c r="I2217" i="19"/>
  <c r="I2209" i="19"/>
  <c r="I2201" i="19"/>
  <c r="I2193" i="19"/>
  <c r="I2185" i="19"/>
  <c r="I2177" i="19"/>
  <c r="I2169" i="19"/>
  <c r="I2161" i="19"/>
  <c r="I2153" i="19"/>
  <c r="I2145" i="19"/>
  <c r="I2137" i="19"/>
  <c r="I2129" i="19"/>
  <c r="I2121" i="19"/>
  <c r="I2113" i="19"/>
  <c r="I2105" i="19"/>
  <c r="I2097" i="19"/>
  <c r="I2089" i="19"/>
  <c r="I2081" i="19"/>
  <c r="I2073" i="19"/>
  <c r="I2274" i="19"/>
  <c r="I2266" i="19"/>
  <c r="I2258" i="19"/>
  <c r="I2250" i="19"/>
  <c r="I2242" i="19"/>
  <c r="I2234" i="19"/>
  <c r="I2226" i="19"/>
  <c r="I2218" i="19"/>
  <c r="I2210" i="19"/>
  <c r="I2202" i="19"/>
  <c r="I2194" i="19"/>
  <c r="I2186" i="19"/>
  <c r="I2178" i="19"/>
  <c r="I2170" i="19"/>
  <c r="I2162" i="19"/>
  <c r="I2154" i="19"/>
  <c r="I2146" i="19"/>
  <c r="I2138" i="19"/>
  <c r="I2130" i="19"/>
  <c r="I2122" i="19"/>
  <c r="I2114" i="19"/>
  <c r="I2106" i="19"/>
  <c r="I2098" i="19"/>
  <c r="I2090" i="19"/>
  <c r="I2082" i="19"/>
  <c r="I2074" i="19"/>
  <c r="E392" i="55" l="1"/>
  <c r="E391" i="55"/>
  <c r="E393" i="55"/>
  <c r="E397" i="55"/>
  <c r="E395" i="55"/>
  <c r="E396" i="55"/>
  <c r="E366" i="55"/>
  <c r="E362" i="55"/>
  <c r="E377" i="55"/>
  <c r="E386" i="55"/>
  <c r="E358" i="55"/>
  <c r="E369" i="55"/>
  <c r="E361" i="55"/>
  <c r="E378" i="55"/>
  <c r="E390" i="55"/>
  <c r="E370" i="55"/>
  <c r="E388" i="55"/>
  <c r="E359" i="55"/>
  <c r="E382" i="55"/>
  <c r="E387" i="55"/>
  <c r="E398" i="55"/>
  <c r="E373" i="55"/>
  <c r="E381" i="55"/>
  <c r="E356" i="55"/>
  <c r="E385" i="55"/>
  <c r="E389" i="55"/>
  <c r="E364" i="55"/>
  <c r="E360" i="55"/>
  <c r="E372" i="55"/>
  <c r="E371" i="55"/>
  <c r="E363" i="55"/>
  <c r="E380" i="55"/>
  <c r="E368" i="55"/>
  <c r="E367" i="55"/>
  <c r="E399" i="55"/>
  <c r="E376" i="55"/>
  <c r="E394" i="55"/>
  <c r="E374" i="55"/>
  <c r="E357" i="55"/>
  <c r="E379" i="55"/>
  <c r="E375" i="55"/>
  <c r="E365" i="55"/>
  <c r="E384" i="55"/>
  <c r="I35" i="52"/>
  <c r="C405" i="46"/>
  <c r="B735" i="46"/>
  <c r="D1231" i="35"/>
  <c r="E1873" i="55" s="1"/>
  <c r="G1873" i="55" s="1"/>
  <c r="C3622" i="21"/>
  <c r="C1037" i="21" l="1"/>
  <c r="C1038" i="21"/>
  <c r="D1038" i="21" s="1"/>
  <c r="C1039" i="21"/>
  <c r="C1040" i="21"/>
  <c r="D1040" i="21" s="1"/>
  <c r="C1041" i="21"/>
  <c r="D1041" i="21" s="1"/>
  <c r="C1042" i="21"/>
  <c r="D1042" i="21" s="1"/>
  <c r="C1043" i="21"/>
  <c r="D1043" i="21" s="1"/>
  <c r="C1044" i="21"/>
  <c r="D1044" i="21" s="1"/>
  <c r="C1045" i="21"/>
  <c r="D1045" i="21" s="1"/>
  <c r="C1046" i="21"/>
  <c r="D1046" i="21" s="1"/>
  <c r="C1047" i="21"/>
  <c r="D1047" i="21" s="1"/>
  <c r="C1048" i="21"/>
  <c r="D1048" i="21" s="1"/>
  <c r="C1049" i="21"/>
  <c r="D1049" i="21" s="1"/>
  <c r="C1050" i="21"/>
  <c r="D1050" i="21" s="1"/>
  <c r="C1051" i="21"/>
  <c r="D1051" i="21" s="1"/>
  <c r="C1052" i="21"/>
  <c r="D1052" i="21" s="1"/>
  <c r="C1053" i="21"/>
  <c r="C1054" i="21"/>
  <c r="D1054" i="21" s="1"/>
  <c r="C1055" i="21"/>
  <c r="D1055" i="21" s="1"/>
  <c r="C1056" i="21"/>
  <c r="D1056" i="21" s="1"/>
  <c r="C1057" i="21"/>
  <c r="D1057" i="21" s="1"/>
  <c r="C1058" i="21"/>
  <c r="D1058" i="21" s="1"/>
  <c r="C1059" i="21"/>
  <c r="D1059" i="21" s="1"/>
  <c r="C1060" i="21"/>
  <c r="D1060" i="21" s="1"/>
  <c r="C1061" i="21"/>
  <c r="D1061" i="21" s="1"/>
  <c r="C1062" i="21"/>
  <c r="D1062" i="21" s="1"/>
  <c r="C1063" i="21"/>
  <c r="D1063" i="21" s="1"/>
  <c r="C1064" i="21"/>
  <c r="D1064" i="21" s="1"/>
  <c r="C1065" i="21"/>
  <c r="D1065" i="21" s="1"/>
  <c r="C1066" i="21"/>
  <c r="D1066" i="21" s="1"/>
  <c r="C1067" i="21"/>
  <c r="D1067" i="21" s="1"/>
  <c r="C1068" i="21"/>
  <c r="D1068" i="21" s="1"/>
  <c r="C1069" i="21"/>
  <c r="D1069" i="21" s="1"/>
  <c r="C1070" i="21"/>
  <c r="D1070" i="21" s="1"/>
  <c r="C1071" i="21"/>
  <c r="D1071" i="21" s="1"/>
  <c r="C1072" i="21"/>
  <c r="D1072" i="21" s="1"/>
  <c r="C1073" i="21"/>
  <c r="D1073" i="21" s="1"/>
  <c r="C1074" i="21"/>
  <c r="D1074" i="21" s="1"/>
  <c r="C1075" i="21"/>
  <c r="D1075" i="21" s="1"/>
  <c r="C1076" i="21"/>
  <c r="D1076" i="21" s="1"/>
  <c r="C1077" i="21"/>
  <c r="D1077" i="21" s="1"/>
  <c r="C1078" i="21"/>
  <c r="D1078" i="21" s="1"/>
  <c r="C1079" i="21"/>
  <c r="D1079" i="21" s="1"/>
  <c r="C1080" i="21"/>
  <c r="D1080" i="21" s="1"/>
  <c r="C1081" i="21"/>
  <c r="D1081" i="21" s="1"/>
  <c r="C1082" i="21"/>
  <c r="D1082" i="21" s="1"/>
  <c r="C1083" i="21"/>
  <c r="D1083" i="21" s="1"/>
  <c r="C1084" i="21"/>
  <c r="D1084" i="21" s="1"/>
  <c r="C1085" i="21"/>
  <c r="D1085" i="21" s="1"/>
  <c r="C1086" i="21"/>
  <c r="D1086" i="21" s="1"/>
  <c r="C1087" i="21"/>
  <c r="D1087" i="21" s="1"/>
  <c r="C1088" i="21"/>
  <c r="D1088" i="21" s="1"/>
  <c r="C1089" i="21"/>
  <c r="D1089" i="21" s="1"/>
  <c r="C1090" i="21"/>
  <c r="D1090" i="21" s="1"/>
  <c r="C1091" i="21"/>
  <c r="D1091" i="21" s="1"/>
  <c r="C1092" i="21"/>
  <c r="D1092" i="21" s="1"/>
  <c r="C1093" i="21"/>
  <c r="D1093" i="21" s="1"/>
  <c r="C1094" i="21"/>
  <c r="D1094" i="21" s="1"/>
  <c r="C1095" i="21"/>
  <c r="D1095" i="21" s="1"/>
  <c r="C1096" i="21"/>
  <c r="D1096" i="21" s="1"/>
  <c r="C1097" i="21"/>
  <c r="D1097" i="21" s="1"/>
  <c r="C1098" i="21"/>
  <c r="D1098" i="21" s="1"/>
  <c r="C1099" i="21"/>
  <c r="D1099" i="21" s="1"/>
  <c r="C1100" i="21"/>
  <c r="D1100" i="21" s="1"/>
  <c r="C1101" i="21"/>
  <c r="D1101" i="21" s="1"/>
  <c r="C1102" i="21"/>
  <c r="D1102" i="21" s="1"/>
  <c r="C1103" i="21"/>
  <c r="D1103" i="21" s="1"/>
  <c r="C1104" i="21"/>
  <c r="D1104" i="21" s="1"/>
  <c r="C1105" i="21"/>
  <c r="D1105" i="21" s="1"/>
  <c r="C1106" i="21"/>
  <c r="D1106" i="21" s="1"/>
  <c r="C1107" i="21"/>
  <c r="D1107" i="21" s="1"/>
  <c r="C1108" i="21"/>
  <c r="D1108" i="21" s="1"/>
  <c r="C1109" i="21"/>
  <c r="D1109" i="21" s="1"/>
  <c r="C1110" i="21"/>
  <c r="D1110" i="21" s="1"/>
  <c r="C1111" i="21"/>
  <c r="D1111" i="21" s="1"/>
  <c r="C1112" i="21"/>
  <c r="D1112" i="21" s="1"/>
  <c r="C1113" i="21"/>
  <c r="D1113" i="21" s="1"/>
  <c r="C1114" i="21"/>
  <c r="D1114" i="21" s="1"/>
  <c r="C1115" i="21"/>
  <c r="D1115" i="21" s="1"/>
  <c r="C1116" i="21"/>
  <c r="D1116" i="21" s="1"/>
  <c r="C1117" i="21"/>
  <c r="D1117" i="21" s="1"/>
  <c r="C1118" i="21"/>
  <c r="D1118" i="21" s="1"/>
  <c r="C1119" i="21"/>
  <c r="D1119" i="21" s="1"/>
  <c r="C1120" i="21"/>
  <c r="D1120" i="21" s="1"/>
  <c r="C1121" i="21"/>
  <c r="D1121" i="21" s="1"/>
  <c r="C1122" i="21"/>
  <c r="D1122" i="21" s="1"/>
  <c r="C1123" i="21"/>
  <c r="D1123" i="21" s="1"/>
  <c r="C1124" i="21"/>
  <c r="D1124" i="21" s="1"/>
  <c r="C1125" i="21"/>
  <c r="D1125" i="21" s="1"/>
  <c r="C1126" i="21"/>
  <c r="D1126" i="21" s="1"/>
  <c r="C1127" i="21"/>
  <c r="D1127" i="21" s="1"/>
  <c r="C1128" i="21"/>
  <c r="D1128" i="21" s="1"/>
  <c r="C1129" i="21"/>
  <c r="D1129" i="21" s="1"/>
  <c r="C1130" i="21"/>
  <c r="D1130" i="21" s="1"/>
  <c r="C1131" i="21"/>
  <c r="D1131" i="21" s="1"/>
  <c r="C1132" i="21"/>
  <c r="D1132" i="21" s="1"/>
  <c r="C1133" i="21"/>
  <c r="D1133" i="21" s="1"/>
  <c r="C1134" i="21"/>
  <c r="D1134" i="21" s="1"/>
  <c r="C1135" i="21"/>
  <c r="D1135" i="21" s="1"/>
  <c r="C1136" i="21"/>
  <c r="D1136" i="21" s="1"/>
  <c r="C1137" i="21"/>
  <c r="D1137" i="21" s="1"/>
  <c r="C1138" i="21"/>
  <c r="D1138" i="21" s="1"/>
  <c r="C1139" i="21"/>
  <c r="D1139" i="21" s="1"/>
  <c r="C1140" i="21"/>
  <c r="D1140" i="21" s="1"/>
  <c r="C1141" i="21"/>
  <c r="D1141" i="21" s="1"/>
  <c r="C1142" i="21"/>
  <c r="D1142" i="21" s="1"/>
  <c r="C1143" i="21"/>
  <c r="D1143" i="21" s="1"/>
  <c r="C1144" i="21"/>
  <c r="D1144" i="21" s="1"/>
  <c r="C1145" i="21"/>
  <c r="D1145" i="21" s="1"/>
  <c r="C1146" i="21"/>
  <c r="D1146" i="21" s="1"/>
  <c r="C1147" i="21"/>
  <c r="D1147" i="21" s="1"/>
  <c r="C1148" i="21"/>
  <c r="D1148" i="21" s="1"/>
  <c r="C1149" i="21"/>
  <c r="D1149" i="21" s="1"/>
  <c r="C1150" i="21"/>
  <c r="D1150" i="21" s="1"/>
  <c r="C1151" i="21"/>
  <c r="D1151" i="21" s="1"/>
  <c r="C1152" i="21"/>
  <c r="D1152" i="21" s="1"/>
  <c r="C1153" i="21"/>
  <c r="D1153" i="21" s="1"/>
  <c r="C1154" i="21"/>
  <c r="D1154" i="21" s="1"/>
  <c r="C1155" i="21"/>
  <c r="D1155" i="21" s="1"/>
  <c r="C1156" i="21"/>
  <c r="D1156" i="21" s="1"/>
  <c r="C1157" i="21"/>
  <c r="D1157" i="21" s="1"/>
  <c r="C1158" i="21"/>
  <c r="D1158" i="21" s="1"/>
  <c r="C1159" i="21"/>
  <c r="D1159" i="21" s="1"/>
  <c r="C1160" i="21"/>
  <c r="D1160" i="21" s="1"/>
  <c r="C1161" i="21"/>
  <c r="D1161" i="21" s="1"/>
  <c r="C1162" i="21"/>
  <c r="D1162" i="21" s="1"/>
  <c r="C1163" i="21"/>
  <c r="D1163" i="21" s="1"/>
  <c r="C1164" i="21"/>
  <c r="D1164" i="21" s="1"/>
  <c r="C1165" i="21"/>
  <c r="D1165" i="21" s="1"/>
  <c r="C1166" i="21"/>
  <c r="D1166" i="21" s="1"/>
  <c r="C1167" i="21"/>
  <c r="D1167" i="21" s="1"/>
  <c r="C1168" i="21"/>
  <c r="D1168" i="21" s="1"/>
  <c r="C1169" i="21"/>
  <c r="D1169" i="21" s="1"/>
  <c r="C1170" i="21"/>
  <c r="D1170" i="21" s="1"/>
  <c r="C1171" i="21"/>
  <c r="D1171" i="21" s="1"/>
  <c r="C1172" i="21"/>
  <c r="D1172" i="21" s="1"/>
  <c r="C1173" i="21"/>
  <c r="D1173" i="21" s="1"/>
  <c r="C1174" i="21"/>
  <c r="D1174" i="21" s="1"/>
  <c r="C1175" i="21"/>
  <c r="D1175" i="21" s="1"/>
  <c r="C1176" i="21"/>
  <c r="D1176" i="21" s="1"/>
  <c r="C1177" i="21"/>
  <c r="D1177" i="21" s="1"/>
  <c r="C1178" i="21"/>
  <c r="D1178" i="21" s="1"/>
  <c r="C1179" i="21"/>
  <c r="D1179" i="21" s="1"/>
  <c r="C1180" i="21"/>
  <c r="D1180" i="21" s="1"/>
  <c r="C1181" i="21"/>
  <c r="D1181" i="21" s="1"/>
  <c r="C1182" i="21"/>
  <c r="D1182" i="21" s="1"/>
  <c r="C1183" i="21"/>
  <c r="D1183" i="21" s="1"/>
  <c r="C1184" i="21"/>
  <c r="D1184" i="21" s="1"/>
  <c r="C1185" i="21"/>
  <c r="D1185" i="21" s="1"/>
  <c r="C1186" i="21"/>
  <c r="D1186" i="21" s="1"/>
  <c r="C1187" i="21"/>
  <c r="D1187" i="21" s="1"/>
  <c r="C1188" i="21"/>
  <c r="D1188" i="21" s="1"/>
  <c r="C1189" i="21"/>
  <c r="D1189" i="21" s="1"/>
  <c r="C1190" i="21"/>
  <c r="D1190" i="21" s="1"/>
  <c r="C1191" i="21"/>
  <c r="D1191" i="21" s="1"/>
  <c r="C1192" i="21"/>
  <c r="D1192" i="21" s="1"/>
  <c r="C1193" i="21"/>
  <c r="D1193" i="21" s="1"/>
  <c r="C1194" i="21"/>
  <c r="D1194" i="21" s="1"/>
  <c r="C1195" i="21"/>
  <c r="D1195" i="21" s="1"/>
  <c r="C1196" i="21"/>
  <c r="D1196" i="21" s="1"/>
  <c r="C1197" i="21"/>
  <c r="D1197" i="21" s="1"/>
  <c r="C1198" i="21"/>
  <c r="D1198" i="21" s="1"/>
  <c r="C1199" i="21"/>
  <c r="D1199" i="21" s="1"/>
  <c r="C1200" i="21"/>
  <c r="D1200" i="21" s="1"/>
  <c r="C1201" i="21"/>
  <c r="D1201" i="21" s="1"/>
  <c r="C1202" i="21"/>
  <c r="D1202" i="21" s="1"/>
  <c r="C1203" i="21"/>
  <c r="D1203" i="21" s="1"/>
  <c r="C1204" i="21"/>
  <c r="D1204" i="21" s="1"/>
  <c r="C1205" i="21"/>
  <c r="D1205" i="21" s="1"/>
  <c r="C1206" i="21"/>
  <c r="D1206" i="21" s="1"/>
  <c r="C1207" i="21"/>
  <c r="D1207" i="21" s="1"/>
  <c r="C1208" i="21"/>
  <c r="D1208" i="21" s="1"/>
  <c r="C1209" i="21"/>
  <c r="D1209" i="21" s="1"/>
  <c r="C1210" i="21"/>
  <c r="D1210" i="21" s="1"/>
  <c r="C1211" i="21"/>
  <c r="D1211" i="21" s="1"/>
  <c r="C1212" i="21"/>
  <c r="D1212" i="21" s="1"/>
  <c r="C1213" i="21"/>
  <c r="D1213" i="21" s="1"/>
  <c r="C1214" i="21"/>
  <c r="D1214" i="21" s="1"/>
  <c r="C1215" i="21"/>
  <c r="D1215" i="21" s="1"/>
  <c r="C1216" i="21"/>
  <c r="D1216" i="21" s="1"/>
  <c r="C1217" i="21"/>
  <c r="D1217" i="21" s="1"/>
  <c r="C1218" i="21"/>
  <c r="D1218" i="21" s="1"/>
  <c r="C1219" i="21"/>
  <c r="D1219" i="21" s="1"/>
  <c r="C1220" i="21"/>
  <c r="D1220" i="21" s="1"/>
  <c r="C1221" i="21"/>
  <c r="D1221" i="21" s="1"/>
  <c r="C1222" i="21"/>
  <c r="D1222" i="21" s="1"/>
  <c r="C1223" i="21"/>
  <c r="D1223" i="21" s="1"/>
  <c r="C1224" i="21"/>
  <c r="D1224" i="21" s="1"/>
  <c r="C1225" i="21"/>
  <c r="D1225" i="21" s="1"/>
  <c r="C1226" i="21"/>
  <c r="D1226" i="21" s="1"/>
  <c r="C1227" i="21"/>
  <c r="D1227" i="21" s="1"/>
  <c r="C1228" i="21"/>
  <c r="D1228" i="21" s="1"/>
  <c r="C1229" i="21"/>
  <c r="D1229" i="21" s="1"/>
  <c r="C1230" i="21"/>
  <c r="D1230" i="21" s="1"/>
  <c r="C1231" i="21"/>
  <c r="D1231" i="21" s="1"/>
  <c r="C1232" i="21"/>
  <c r="D1232" i="21" s="1"/>
  <c r="C1233" i="21"/>
  <c r="D1233" i="21" s="1"/>
  <c r="C1234" i="21"/>
  <c r="D1234" i="21" s="1"/>
  <c r="C1235" i="21"/>
  <c r="D1235" i="21" s="1"/>
  <c r="C1236" i="21"/>
  <c r="D1236" i="21" s="1"/>
  <c r="C1237" i="21"/>
  <c r="D1237" i="21" s="1"/>
  <c r="C1238" i="21"/>
  <c r="D1238" i="21" s="1"/>
  <c r="C1239" i="21"/>
  <c r="D1239" i="21" s="1"/>
  <c r="C1240" i="21"/>
  <c r="D1240" i="21" s="1"/>
  <c r="C1241" i="21"/>
  <c r="D1241" i="21" s="1"/>
  <c r="C1242" i="21"/>
  <c r="D1242" i="21" s="1"/>
  <c r="C1243" i="21"/>
  <c r="D1243" i="21" s="1"/>
  <c r="C1244" i="21"/>
  <c r="D1244" i="21" s="1"/>
  <c r="C1245" i="21"/>
  <c r="D1245" i="21" s="1"/>
  <c r="C1246" i="21"/>
  <c r="D1246" i="21" s="1"/>
  <c r="C1247" i="21"/>
  <c r="D1247" i="21" s="1"/>
  <c r="C1248" i="21"/>
  <c r="D1248" i="21" s="1"/>
  <c r="C1249" i="21"/>
  <c r="D1249" i="21" s="1"/>
  <c r="C1250" i="21"/>
  <c r="D1250" i="21" s="1"/>
  <c r="C1251" i="21"/>
  <c r="D1251" i="21" s="1"/>
  <c r="C1252" i="21"/>
  <c r="D1252" i="21" s="1"/>
  <c r="C1253" i="21"/>
  <c r="D1253" i="21" s="1"/>
  <c r="C1254" i="21"/>
  <c r="D1254" i="21" s="1"/>
  <c r="C1255" i="21"/>
  <c r="D1255" i="21" s="1"/>
  <c r="C1256" i="21"/>
  <c r="D1256" i="21" s="1"/>
  <c r="C1257" i="21"/>
  <c r="D1257" i="21" s="1"/>
  <c r="C1258" i="21"/>
  <c r="D1258" i="21" s="1"/>
  <c r="C1259" i="21"/>
  <c r="D1259" i="21" s="1"/>
  <c r="C1260" i="21"/>
  <c r="D1260" i="21" s="1"/>
  <c r="C1261" i="21"/>
  <c r="D1261" i="21" s="1"/>
  <c r="C1262" i="21"/>
  <c r="D1262" i="21" s="1"/>
  <c r="C1263" i="21"/>
  <c r="D1263" i="21" s="1"/>
  <c r="C1264" i="21"/>
  <c r="D1264" i="21" s="1"/>
  <c r="C1265" i="21"/>
  <c r="D1265" i="21" s="1"/>
  <c r="C1266" i="21"/>
  <c r="D1266" i="21" s="1"/>
  <c r="C1267" i="21"/>
  <c r="D1267" i="21" s="1"/>
  <c r="C1268" i="21"/>
  <c r="D1268" i="21" s="1"/>
  <c r="C1269" i="21"/>
  <c r="D1269" i="21" s="1"/>
  <c r="C1270" i="21"/>
  <c r="D1270" i="21" s="1"/>
  <c r="C1271" i="21"/>
  <c r="D1271" i="21" s="1"/>
  <c r="C1036" i="21"/>
  <c r="D1037" i="21"/>
  <c r="D1039" i="21"/>
  <c r="D1053" i="21"/>
  <c r="H169" i="21"/>
  <c r="H170" i="21"/>
  <c r="H171" i="21"/>
  <c r="H172" i="21"/>
  <c r="H173" i="21"/>
  <c r="H174" i="21"/>
  <c r="H175" i="21"/>
  <c r="H176" i="21"/>
  <c r="H177" i="21"/>
  <c r="H178" i="21"/>
  <c r="H179" i="21"/>
  <c r="H180" i="21"/>
  <c r="H181" i="21"/>
  <c r="H182" i="21"/>
  <c r="H183" i="21"/>
  <c r="H184" i="21"/>
  <c r="H185" i="21"/>
  <c r="H186" i="21"/>
  <c r="H187" i="21"/>
  <c r="H188" i="21"/>
  <c r="H189" i="21"/>
  <c r="H190" i="21"/>
  <c r="H191" i="21"/>
  <c r="H192" i="21"/>
  <c r="H193" i="21"/>
  <c r="H194" i="21"/>
  <c r="H195" i="21"/>
  <c r="H196" i="21"/>
  <c r="H197" i="21"/>
  <c r="H198" i="21"/>
  <c r="H199" i="21"/>
  <c r="H200" i="21"/>
  <c r="H201" i="21"/>
  <c r="H202" i="21"/>
  <c r="H203" i="21"/>
  <c r="H204" i="21"/>
  <c r="H205" i="21"/>
  <c r="H206" i="21"/>
  <c r="H207" i="21"/>
  <c r="H208" i="21"/>
  <c r="H209" i="21"/>
  <c r="H210" i="21"/>
  <c r="H211" i="21"/>
  <c r="H212" i="21"/>
  <c r="H213" i="21"/>
  <c r="H214" i="21"/>
  <c r="H215" i="21"/>
  <c r="H216" i="21"/>
  <c r="H217" i="21"/>
  <c r="H218" i="21"/>
  <c r="H219" i="21"/>
  <c r="H220" i="21"/>
  <c r="H221" i="21"/>
  <c r="H222" i="21"/>
  <c r="H223" i="21"/>
  <c r="H224" i="21"/>
  <c r="H225" i="21"/>
  <c r="H226" i="21"/>
  <c r="H227" i="21"/>
  <c r="H228" i="21"/>
  <c r="H229" i="21"/>
  <c r="H230" i="21"/>
  <c r="H231" i="21"/>
  <c r="H232" i="21"/>
  <c r="H233" i="21"/>
  <c r="H234" i="21"/>
  <c r="H235" i="21"/>
  <c r="H236" i="21"/>
  <c r="H237" i="21"/>
  <c r="H238" i="21"/>
  <c r="H239" i="21"/>
  <c r="H240" i="21"/>
  <c r="H241" i="21"/>
  <c r="H242" i="21"/>
  <c r="H243" i="21"/>
  <c r="H244" i="21"/>
  <c r="H245" i="21"/>
  <c r="H246" i="21"/>
  <c r="H247" i="21"/>
  <c r="H248" i="21"/>
  <c r="H249" i="21"/>
  <c r="H250" i="21"/>
  <c r="H251" i="21"/>
  <c r="H252" i="21"/>
  <c r="H253" i="21"/>
  <c r="H254" i="21"/>
  <c r="H255" i="21"/>
  <c r="H256" i="21"/>
  <c r="H257" i="21"/>
  <c r="H258" i="21"/>
  <c r="H259" i="21"/>
  <c r="H260" i="21"/>
  <c r="H261" i="21"/>
  <c r="H262" i="21"/>
  <c r="H263" i="21"/>
  <c r="H264" i="21"/>
  <c r="H265" i="21"/>
  <c r="H266" i="21"/>
  <c r="H267" i="21"/>
  <c r="H268" i="21"/>
  <c r="H269" i="21"/>
  <c r="H270" i="21"/>
  <c r="H271" i="21"/>
  <c r="H272" i="21"/>
  <c r="H273" i="21"/>
  <c r="H274" i="21"/>
  <c r="H275" i="21"/>
  <c r="H276" i="21"/>
  <c r="H277" i="21"/>
  <c r="H278" i="21"/>
  <c r="H279" i="21"/>
  <c r="H280" i="21"/>
  <c r="H281" i="21"/>
  <c r="H282" i="21"/>
  <c r="H283" i="21"/>
  <c r="H284" i="21"/>
  <c r="H285" i="21"/>
  <c r="H286" i="21"/>
  <c r="H287" i="21"/>
  <c r="H288" i="21"/>
  <c r="H289" i="21"/>
  <c r="H290" i="21"/>
  <c r="H291" i="21"/>
  <c r="H292" i="21"/>
  <c r="H293" i="21"/>
  <c r="H294" i="21"/>
  <c r="H295" i="21"/>
  <c r="H296" i="21"/>
  <c r="H297" i="21"/>
  <c r="H298" i="21"/>
  <c r="H299" i="21"/>
  <c r="H300" i="21"/>
  <c r="H301" i="21"/>
  <c r="H302" i="21"/>
  <c r="H303" i="21"/>
  <c r="H304" i="21"/>
  <c r="H305" i="21"/>
  <c r="H306" i="21"/>
  <c r="H307" i="21"/>
  <c r="H308" i="21"/>
  <c r="H309" i="21"/>
  <c r="H310" i="21"/>
  <c r="H311" i="21"/>
  <c r="H312" i="21"/>
  <c r="H313" i="21"/>
  <c r="H314" i="21"/>
  <c r="H315" i="21"/>
  <c r="H316" i="21"/>
  <c r="H317" i="21"/>
  <c r="H318" i="21"/>
  <c r="H319" i="21"/>
  <c r="H320" i="21"/>
  <c r="H321" i="21"/>
  <c r="H322" i="21"/>
  <c r="H323" i="21"/>
  <c r="H324" i="21"/>
  <c r="H325" i="21"/>
  <c r="H326" i="21"/>
  <c r="H327" i="21"/>
  <c r="H328" i="21"/>
  <c r="H329" i="21"/>
  <c r="H330" i="21"/>
  <c r="H331" i="21"/>
  <c r="H332" i="21"/>
  <c r="H333" i="21"/>
  <c r="H334" i="21"/>
  <c r="H335" i="21"/>
  <c r="H336" i="21"/>
  <c r="H337" i="21"/>
  <c r="H338" i="21"/>
  <c r="H339" i="21"/>
  <c r="H340" i="21"/>
  <c r="H341" i="21"/>
  <c r="H342" i="21"/>
  <c r="H343" i="21"/>
  <c r="H344" i="21"/>
  <c r="H345" i="21"/>
  <c r="H346" i="21"/>
  <c r="H347" i="21"/>
  <c r="H348" i="21"/>
  <c r="H349" i="21"/>
  <c r="H350" i="21"/>
  <c r="H351" i="21"/>
  <c r="H352" i="21"/>
  <c r="H353" i="21"/>
  <c r="H354" i="21"/>
  <c r="H355" i="21"/>
  <c r="H356" i="21"/>
  <c r="H357" i="21"/>
  <c r="H358" i="21"/>
  <c r="H359" i="21"/>
  <c r="H360" i="21"/>
  <c r="H361" i="21"/>
  <c r="H362" i="21"/>
  <c r="H363" i="21"/>
  <c r="H364" i="21"/>
  <c r="H365" i="21"/>
  <c r="H366" i="21"/>
  <c r="H367" i="21"/>
  <c r="H368" i="21"/>
  <c r="H369" i="21"/>
  <c r="H370" i="21"/>
  <c r="H371" i="21"/>
  <c r="H372" i="21"/>
  <c r="H373" i="21"/>
  <c r="H374" i="21"/>
  <c r="H375" i="21"/>
  <c r="H376" i="21"/>
  <c r="H377" i="21"/>
  <c r="H378" i="21"/>
  <c r="H379" i="21"/>
  <c r="H380" i="21"/>
  <c r="H381" i="21"/>
  <c r="H382" i="21"/>
  <c r="H383" i="21"/>
  <c r="H384" i="21"/>
  <c r="H385" i="21"/>
  <c r="H386" i="21"/>
  <c r="H387" i="21"/>
  <c r="H388" i="21"/>
  <c r="H389" i="21"/>
  <c r="H390" i="21"/>
  <c r="H391" i="21"/>
  <c r="H392" i="21"/>
  <c r="H393" i="21"/>
  <c r="H394" i="21"/>
  <c r="H395" i="21"/>
  <c r="H396" i="21"/>
  <c r="H397" i="21"/>
  <c r="H398" i="21"/>
  <c r="H399" i="21"/>
  <c r="H400" i="21"/>
  <c r="H401" i="21"/>
  <c r="H402" i="21"/>
  <c r="H403" i="21"/>
  <c r="D168" i="21"/>
  <c r="G210" i="21"/>
  <c r="G212" i="21"/>
  <c r="G215" i="21"/>
  <c r="G216" i="21"/>
  <c r="G217" i="21"/>
  <c r="G219" i="21"/>
  <c r="G222" i="21"/>
  <c r="G223" i="21"/>
  <c r="G225" i="21"/>
  <c r="G228" i="21"/>
  <c r="G230" i="21"/>
  <c r="G232" i="21"/>
  <c r="G234" i="21"/>
  <c r="G236" i="21"/>
  <c r="G239" i="21"/>
  <c r="G240" i="21"/>
  <c r="G241" i="21"/>
  <c r="G242" i="21"/>
  <c r="G245" i="21"/>
  <c r="G246" i="21"/>
  <c r="G247" i="21"/>
  <c r="G248" i="21"/>
  <c r="G250" i="21"/>
  <c r="G252" i="21"/>
  <c r="G253" i="21"/>
  <c r="G255" i="21"/>
  <c r="G256" i="21"/>
  <c r="G258" i="21"/>
  <c r="G260" i="21"/>
  <c r="G261" i="21"/>
  <c r="G262" i="21"/>
  <c r="G265" i="21"/>
  <c r="G266" i="21"/>
  <c r="G267" i="21"/>
  <c r="G268" i="21"/>
  <c r="G269" i="21"/>
  <c r="G270" i="21"/>
  <c r="G271" i="21"/>
  <c r="G272" i="21"/>
  <c r="G275" i="21"/>
  <c r="G276" i="21"/>
  <c r="G278" i="21"/>
  <c r="G280" i="21"/>
  <c r="G281" i="21"/>
  <c r="G284" i="21"/>
  <c r="G285" i="21"/>
  <c r="G286" i="21"/>
  <c r="G287" i="21"/>
  <c r="G290" i="21"/>
  <c r="G291" i="21"/>
  <c r="G292" i="21"/>
  <c r="G293" i="21"/>
  <c r="G295" i="21"/>
  <c r="G296" i="21"/>
  <c r="G297" i="21"/>
  <c r="G302" i="21"/>
  <c r="G303" i="21"/>
  <c r="G304" i="21"/>
  <c r="G305" i="21"/>
  <c r="G306" i="21"/>
  <c r="G309" i="21"/>
  <c r="G310" i="21"/>
  <c r="G311" i="21"/>
  <c r="G312" i="21"/>
  <c r="G313" i="21"/>
  <c r="G314" i="21"/>
  <c r="G315" i="21"/>
  <c r="G316" i="21"/>
  <c r="G319" i="21"/>
  <c r="G320" i="21"/>
  <c r="G321" i="21"/>
  <c r="G322" i="21"/>
  <c r="G326" i="21"/>
  <c r="G328" i="21"/>
  <c r="G329" i="21"/>
  <c r="G330" i="21"/>
  <c r="G333" i="21"/>
  <c r="G335" i="21"/>
  <c r="G337" i="21"/>
  <c r="G338" i="21"/>
  <c r="G339" i="21"/>
  <c r="G340" i="21"/>
  <c r="G342" i="21"/>
  <c r="G343" i="21"/>
  <c r="G344" i="21"/>
  <c r="G345" i="21"/>
  <c r="G346" i="21"/>
  <c r="G347" i="21"/>
  <c r="G348" i="21"/>
  <c r="G350" i="21"/>
  <c r="G351" i="21"/>
  <c r="G353" i="21"/>
  <c r="G354" i="21"/>
  <c r="G355" i="21"/>
  <c r="G357" i="21"/>
  <c r="G360" i="21"/>
  <c r="G362" i="21"/>
  <c r="G363" i="21"/>
  <c r="G366" i="21"/>
  <c r="G368" i="21"/>
  <c r="G369" i="21"/>
  <c r="G370" i="21"/>
  <c r="G371" i="21"/>
  <c r="G372" i="21"/>
  <c r="G373" i="21"/>
  <c r="G375" i="21"/>
  <c r="G376" i="21"/>
  <c r="G379" i="21"/>
  <c r="G380" i="21"/>
  <c r="G381" i="21"/>
  <c r="G382" i="21"/>
  <c r="G383" i="21"/>
  <c r="G384" i="21"/>
  <c r="G385" i="21"/>
  <c r="G386" i="21"/>
  <c r="G387" i="21"/>
  <c r="G388" i="21"/>
  <c r="G389" i="21"/>
  <c r="G390" i="21"/>
  <c r="G392" i="21"/>
  <c r="G393" i="21"/>
  <c r="G394" i="21"/>
  <c r="G395" i="21"/>
  <c r="G397" i="21"/>
  <c r="G398" i="21"/>
  <c r="G399" i="21"/>
  <c r="G400" i="21"/>
  <c r="G401" i="21"/>
  <c r="G402" i="21"/>
  <c r="G197" i="21"/>
  <c r="G199" i="21"/>
  <c r="G200" i="21"/>
  <c r="G202" i="21"/>
  <c r="G203" i="21"/>
  <c r="G204" i="21"/>
  <c r="G206" i="21"/>
  <c r="G207" i="21"/>
  <c r="G180" i="21"/>
  <c r="G181" i="21"/>
  <c r="G182" i="21"/>
  <c r="G186" i="21"/>
  <c r="G188" i="21"/>
  <c r="G189" i="21"/>
  <c r="G190" i="21"/>
  <c r="G192" i="21"/>
  <c r="G195" i="21"/>
  <c r="G169" i="21"/>
  <c r="G171" i="21"/>
  <c r="G177" i="21"/>
  <c r="C189" i="21"/>
  <c r="C190" i="21"/>
  <c r="C191" i="21"/>
  <c r="C192" i="21"/>
  <c r="C193" i="21"/>
  <c r="C194" i="21"/>
  <c r="C195" i="21"/>
  <c r="C196" i="21"/>
  <c r="C197" i="21"/>
  <c r="C198" i="21"/>
  <c r="C199" i="21"/>
  <c r="C200" i="21"/>
  <c r="C201" i="21"/>
  <c r="C202" i="21"/>
  <c r="C203" i="21"/>
  <c r="C204" i="21"/>
  <c r="C205" i="21"/>
  <c r="C206" i="21"/>
  <c r="C207" i="21"/>
  <c r="C208" i="21"/>
  <c r="C209" i="21"/>
  <c r="C210" i="21"/>
  <c r="C211" i="21"/>
  <c r="C212" i="21"/>
  <c r="C213" i="21"/>
  <c r="C214" i="21"/>
  <c r="C215" i="21"/>
  <c r="C216" i="21"/>
  <c r="C217" i="21"/>
  <c r="C218" i="21"/>
  <c r="C219" i="21"/>
  <c r="C220" i="21"/>
  <c r="C221" i="21"/>
  <c r="C222" i="21"/>
  <c r="C223" i="21"/>
  <c r="C224" i="21"/>
  <c r="C225" i="21"/>
  <c r="C226" i="21"/>
  <c r="C227" i="21"/>
  <c r="C228" i="21"/>
  <c r="C229" i="21"/>
  <c r="C230" i="21"/>
  <c r="C231" i="21"/>
  <c r="C232" i="21"/>
  <c r="C233" i="21"/>
  <c r="C234" i="21"/>
  <c r="C235" i="21"/>
  <c r="C236" i="21"/>
  <c r="C237" i="21"/>
  <c r="C238" i="21"/>
  <c r="C239" i="21"/>
  <c r="C240" i="21"/>
  <c r="C241" i="21"/>
  <c r="C242" i="21"/>
  <c r="C243" i="21"/>
  <c r="C244" i="21"/>
  <c r="C245" i="21"/>
  <c r="C246" i="21"/>
  <c r="C247" i="21"/>
  <c r="C248" i="21"/>
  <c r="C249" i="21"/>
  <c r="C250" i="21"/>
  <c r="C251" i="21"/>
  <c r="C252" i="21"/>
  <c r="C253" i="21"/>
  <c r="C254" i="21"/>
  <c r="C255" i="21"/>
  <c r="C256" i="21"/>
  <c r="C257" i="21"/>
  <c r="C258" i="21"/>
  <c r="C259" i="21"/>
  <c r="C260" i="21"/>
  <c r="C261" i="21"/>
  <c r="C262" i="21"/>
  <c r="C263" i="21"/>
  <c r="C264" i="21"/>
  <c r="C265" i="21"/>
  <c r="C266" i="21"/>
  <c r="C267" i="21"/>
  <c r="C268" i="21"/>
  <c r="C269" i="21"/>
  <c r="C270" i="21"/>
  <c r="C271" i="21"/>
  <c r="C272" i="21"/>
  <c r="C273" i="21"/>
  <c r="C274" i="21"/>
  <c r="C275" i="21"/>
  <c r="C276" i="21"/>
  <c r="C277" i="21"/>
  <c r="C278" i="21"/>
  <c r="C279" i="21"/>
  <c r="C280" i="21"/>
  <c r="C281" i="21"/>
  <c r="C282" i="21"/>
  <c r="C283" i="21"/>
  <c r="C284" i="21"/>
  <c r="C285" i="21"/>
  <c r="C286" i="21"/>
  <c r="C287" i="21"/>
  <c r="C288" i="21"/>
  <c r="C289" i="21"/>
  <c r="C290" i="21"/>
  <c r="C291" i="21"/>
  <c r="C292" i="21"/>
  <c r="C293" i="21"/>
  <c r="C294" i="21"/>
  <c r="C295" i="21"/>
  <c r="C296" i="21"/>
  <c r="C297" i="21"/>
  <c r="C298" i="21"/>
  <c r="C299" i="21"/>
  <c r="C300" i="21"/>
  <c r="C301" i="21"/>
  <c r="C302" i="21"/>
  <c r="C303" i="21"/>
  <c r="C304" i="21"/>
  <c r="C305" i="21"/>
  <c r="C306" i="21"/>
  <c r="C307" i="21"/>
  <c r="C308" i="21"/>
  <c r="C309" i="21"/>
  <c r="C310" i="21"/>
  <c r="C311" i="21"/>
  <c r="C312" i="21"/>
  <c r="C313" i="21"/>
  <c r="C314" i="21"/>
  <c r="C315" i="21"/>
  <c r="C316" i="21"/>
  <c r="C317" i="21"/>
  <c r="C318" i="21"/>
  <c r="C319" i="21"/>
  <c r="C320" i="21"/>
  <c r="C321" i="21"/>
  <c r="C322" i="21"/>
  <c r="C323" i="21"/>
  <c r="C324" i="21"/>
  <c r="C325" i="21"/>
  <c r="C326" i="21"/>
  <c r="C327" i="21"/>
  <c r="C328" i="21"/>
  <c r="C329" i="21"/>
  <c r="C330" i="21"/>
  <c r="C331" i="21"/>
  <c r="C332" i="21"/>
  <c r="C333" i="21"/>
  <c r="C334" i="21"/>
  <c r="C335" i="21"/>
  <c r="C336" i="21"/>
  <c r="C337" i="21"/>
  <c r="C338" i="21"/>
  <c r="C339" i="21"/>
  <c r="C340" i="21"/>
  <c r="C341" i="21"/>
  <c r="C342" i="21"/>
  <c r="C343" i="21"/>
  <c r="C344" i="21"/>
  <c r="C345" i="21"/>
  <c r="C346" i="21"/>
  <c r="C347" i="21"/>
  <c r="C348" i="21"/>
  <c r="C349" i="21"/>
  <c r="C350" i="21"/>
  <c r="C351" i="21"/>
  <c r="C352" i="21"/>
  <c r="C353" i="21"/>
  <c r="C354" i="21"/>
  <c r="C355" i="21"/>
  <c r="C356" i="21"/>
  <c r="C357" i="21"/>
  <c r="C358" i="21"/>
  <c r="C359" i="21"/>
  <c r="C360" i="21"/>
  <c r="C361" i="21"/>
  <c r="C362" i="21"/>
  <c r="C363" i="21"/>
  <c r="C364" i="21"/>
  <c r="C365" i="21"/>
  <c r="C366" i="21"/>
  <c r="C367" i="21"/>
  <c r="C368" i="21"/>
  <c r="C369" i="21"/>
  <c r="C370" i="21"/>
  <c r="C371" i="21"/>
  <c r="C372" i="21"/>
  <c r="C373" i="21"/>
  <c r="C374" i="21"/>
  <c r="C375" i="21"/>
  <c r="C376" i="21"/>
  <c r="C377" i="21"/>
  <c r="C378" i="21"/>
  <c r="C379" i="21"/>
  <c r="C380" i="21"/>
  <c r="C381" i="21"/>
  <c r="C382" i="21"/>
  <c r="C383" i="21"/>
  <c r="C384" i="21"/>
  <c r="C385" i="21"/>
  <c r="C386" i="21"/>
  <c r="C387" i="21"/>
  <c r="C388" i="21"/>
  <c r="C389" i="21"/>
  <c r="C390" i="21"/>
  <c r="C391" i="21"/>
  <c r="C392" i="21"/>
  <c r="C393" i="21"/>
  <c r="C394" i="21"/>
  <c r="C395" i="21"/>
  <c r="C396" i="21"/>
  <c r="C397" i="21"/>
  <c r="C398" i="21"/>
  <c r="C399" i="21"/>
  <c r="C400" i="21"/>
  <c r="C401" i="21"/>
  <c r="C402" i="21"/>
  <c r="C403" i="21"/>
  <c r="C169" i="21"/>
  <c r="C170" i="21"/>
  <c r="C171" i="21"/>
  <c r="C172" i="21"/>
  <c r="C173" i="21"/>
  <c r="C174" i="21"/>
  <c r="C175" i="21"/>
  <c r="C176" i="21"/>
  <c r="C177" i="21"/>
  <c r="C178" i="21"/>
  <c r="C179" i="21"/>
  <c r="C180" i="21"/>
  <c r="C181" i="21"/>
  <c r="C182" i="21"/>
  <c r="C183" i="21"/>
  <c r="C184" i="21"/>
  <c r="C185" i="21"/>
  <c r="C186" i="21"/>
  <c r="C187" i="21"/>
  <c r="C188" i="21"/>
  <c r="C168" i="21"/>
  <c r="D301" i="21"/>
  <c r="D302" i="21"/>
  <c r="D303" i="21"/>
  <c r="D304" i="21"/>
  <c r="D305" i="21"/>
  <c r="D306" i="21"/>
  <c r="D307" i="21"/>
  <c r="D308" i="21"/>
  <c r="D309" i="21"/>
  <c r="D310" i="21"/>
  <c r="D311" i="21"/>
  <c r="D312" i="21"/>
  <c r="D313" i="21"/>
  <c r="D314" i="21"/>
  <c r="D315" i="21"/>
  <c r="D316" i="21"/>
  <c r="D317" i="21"/>
  <c r="D318" i="21"/>
  <c r="D319" i="21"/>
  <c r="D320" i="21"/>
  <c r="D321" i="21"/>
  <c r="D322" i="21"/>
  <c r="D323" i="21"/>
  <c r="D324" i="21"/>
  <c r="D325" i="21"/>
  <c r="D326" i="21"/>
  <c r="D327" i="21"/>
  <c r="D328" i="21"/>
  <c r="D329" i="21"/>
  <c r="D330" i="21"/>
  <c r="D331" i="21"/>
  <c r="D332" i="21"/>
  <c r="D333" i="21"/>
  <c r="D334" i="21"/>
  <c r="D335" i="21"/>
  <c r="D336" i="21"/>
  <c r="D337" i="21"/>
  <c r="D338" i="21"/>
  <c r="D339" i="21"/>
  <c r="D340" i="21"/>
  <c r="D341" i="21"/>
  <c r="D342" i="21"/>
  <c r="D343" i="21"/>
  <c r="D344" i="21"/>
  <c r="D345" i="21"/>
  <c r="D346" i="21"/>
  <c r="D347" i="21"/>
  <c r="D34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D243" i="2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D270" i="21"/>
  <c r="D271" i="21"/>
  <c r="D272" i="21"/>
  <c r="D273" i="21"/>
  <c r="D274" i="21"/>
  <c r="D275" i="21"/>
  <c r="D276" i="21"/>
  <c r="D277" i="21"/>
  <c r="D278" i="21"/>
  <c r="D279" i="21"/>
  <c r="D280" i="2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D296" i="21"/>
  <c r="D297" i="21"/>
  <c r="D298" i="21"/>
  <c r="D299" i="21"/>
  <c r="D300" i="21"/>
  <c r="D349" i="21"/>
  <c r="D350" i="21"/>
  <c r="D351" i="21"/>
  <c r="D352" i="21"/>
  <c r="D353" i="21"/>
  <c r="D354" i="21"/>
  <c r="D355" i="21"/>
  <c r="D356" i="21"/>
  <c r="D357" i="21"/>
  <c r="D358" i="21"/>
  <c r="D359" i="21"/>
  <c r="D360" i="21"/>
  <c r="D361" i="21"/>
  <c r="D362" i="21"/>
  <c r="D363" i="21"/>
  <c r="D364" i="21"/>
  <c r="D365" i="21"/>
  <c r="D366" i="21"/>
  <c r="D367" i="21"/>
  <c r="D368" i="21"/>
  <c r="D369" i="21"/>
  <c r="D370" i="21"/>
  <c r="D371" i="21"/>
  <c r="D372" i="21"/>
  <c r="D373" i="21"/>
  <c r="D374" i="21"/>
  <c r="D375" i="21"/>
  <c r="D376" i="21"/>
  <c r="D377" i="21"/>
  <c r="D378" i="21"/>
  <c r="D379" i="21"/>
  <c r="D380" i="21"/>
  <c r="D381" i="21"/>
  <c r="D382" i="21"/>
  <c r="D383" i="21"/>
  <c r="D384" i="21"/>
  <c r="D385" i="21"/>
  <c r="D386" i="21"/>
  <c r="D387" i="21"/>
  <c r="D388" i="21"/>
  <c r="D389" i="21"/>
  <c r="D390" i="21"/>
  <c r="D391" i="21"/>
  <c r="D392" i="21"/>
  <c r="D393" i="21"/>
  <c r="D394" i="21"/>
  <c r="D395" i="21"/>
  <c r="D396" i="21"/>
  <c r="D397" i="21"/>
  <c r="D398" i="21"/>
  <c r="D399" i="21"/>
  <c r="D400" i="21"/>
  <c r="D401" i="21"/>
  <c r="D402" i="21"/>
  <c r="D403" i="21"/>
  <c r="L148" i="47"/>
  <c r="I338" i="21" l="1"/>
  <c r="I322" i="21"/>
  <c r="I330" i="21"/>
  <c r="I315" i="21"/>
  <c r="I314" i="21"/>
  <c r="I329" i="21"/>
  <c r="I347" i="21"/>
  <c r="I306" i="21"/>
  <c r="I346" i="21"/>
  <c r="I305" i="21"/>
  <c r="I302" i="21"/>
  <c r="I342" i="21"/>
  <c r="I326" i="21"/>
  <c r="I339" i="21"/>
  <c r="I337" i="21"/>
  <c r="I321" i="21"/>
  <c r="I345" i="21"/>
  <c r="I310" i="21"/>
  <c r="I313" i="21"/>
  <c r="C1035" i="21"/>
  <c r="I316" i="21"/>
  <c r="I340" i="21"/>
  <c r="I348" i="21"/>
  <c r="I333" i="21"/>
  <c r="I309" i="21"/>
  <c r="H167" i="21"/>
  <c r="I320" i="21"/>
  <c r="I344" i="21"/>
  <c r="I328" i="21"/>
  <c r="I312" i="21"/>
  <c r="I304" i="21"/>
  <c r="I343" i="21"/>
  <c r="I335" i="21"/>
  <c r="I319" i="21"/>
  <c r="I311" i="21"/>
  <c r="I303" i="21"/>
  <c r="C167" i="21"/>
  <c r="F223" i="21"/>
  <c r="F360" i="21"/>
  <c r="F357" i="21"/>
  <c r="F401" i="21"/>
  <c r="F169" i="21"/>
  <c r="D167" i="21"/>
  <c r="L147" i="47" l="1"/>
  <c r="L149" i="47"/>
  <c r="L150" i="47"/>
  <c r="L151" i="47"/>
  <c r="L152" i="47"/>
  <c r="L153" i="47"/>
  <c r="L154" i="47"/>
  <c r="L155" i="47"/>
  <c r="L156" i="47"/>
  <c r="L157" i="47"/>
  <c r="L158" i="47"/>
  <c r="L159" i="47"/>
  <c r="L160" i="47"/>
  <c r="L161" i="47"/>
  <c r="L162" i="47"/>
  <c r="L163" i="47"/>
  <c r="L164" i="47"/>
  <c r="L165" i="47"/>
  <c r="L166" i="47"/>
  <c r="L167" i="47"/>
  <c r="L168" i="47"/>
  <c r="L169" i="47"/>
  <c r="L170" i="47"/>
  <c r="L171" i="47"/>
  <c r="L172" i="47"/>
  <c r="L173" i="47"/>
  <c r="G226" i="21" s="1"/>
  <c r="L174" i="47"/>
  <c r="L175" i="47"/>
  <c r="L176" i="47"/>
  <c r="L177" i="47"/>
  <c r="L178" i="47"/>
  <c r="L179" i="47"/>
  <c r="L180" i="47"/>
  <c r="L181" i="47"/>
  <c r="L182" i="47"/>
  <c r="L183" i="47"/>
  <c r="L184" i="47"/>
  <c r="L185" i="47"/>
  <c r="L186" i="47"/>
  <c r="L187" i="47"/>
  <c r="L188" i="47"/>
  <c r="G277" i="21" s="1"/>
  <c r="L189" i="47"/>
  <c r="L190" i="47"/>
  <c r="L191" i="47"/>
  <c r="L192" i="47"/>
  <c r="L193" i="47"/>
  <c r="L194" i="47"/>
  <c r="L195" i="47"/>
  <c r="L196" i="47"/>
  <c r="L197" i="47"/>
  <c r="L198" i="47"/>
  <c r="L199" i="47"/>
  <c r="L200" i="47"/>
  <c r="L201" i="47"/>
  <c r="L202" i="47"/>
  <c r="L203" i="47"/>
  <c r="L204" i="47"/>
  <c r="L205" i="47"/>
  <c r="L206" i="47"/>
  <c r="L207" i="47"/>
  <c r="L208" i="47"/>
  <c r="L209" i="47"/>
  <c r="L210" i="47"/>
  <c r="L211" i="47"/>
  <c r="L212" i="47"/>
  <c r="L213" i="47"/>
  <c r="L214" i="47"/>
  <c r="L215" i="47"/>
  <c r="L216" i="47"/>
  <c r="L217" i="47"/>
  <c r="L218" i="47"/>
  <c r="L219" i="47"/>
  <c r="L220" i="47"/>
  <c r="L221" i="47"/>
  <c r="L222" i="47"/>
  <c r="L223" i="47"/>
  <c r="L224" i="47"/>
  <c r="L225" i="47"/>
  <c r="L226" i="47"/>
  <c r="L227" i="47"/>
  <c r="L228" i="47"/>
  <c r="L229" i="47"/>
  <c r="L230" i="47"/>
  <c r="L231" i="47"/>
  <c r="G174" i="21" s="1"/>
  <c r="L232" i="47"/>
  <c r="L233" i="47"/>
  <c r="G178" i="21" s="1"/>
  <c r="L234" i="47"/>
  <c r="L235" i="47"/>
  <c r="L236" i="47"/>
  <c r="G184" i="21" s="1"/>
  <c r="L237" i="47"/>
  <c r="L238" i="47"/>
  <c r="L239" i="47"/>
  <c r="L240" i="47"/>
  <c r="G193" i="21" s="1"/>
  <c r="L241" i="47"/>
  <c r="G194" i="21" s="1"/>
  <c r="L242" i="47"/>
  <c r="L243" i="47"/>
  <c r="L244" i="47"/>
  <c r="L245" i="47"/>
  <c r="L246" i="47"/>
  <c r="L247" i="47"/>
  <c r="L248" i="47"/>
  <c r="G209" i="21" s="1"/>
  <c r="L249" i="47"/>
  <c r="L250" i="47"/>
  <c r="L251" i="47"/>
  <c r="L252" i="47"/>
  <c r="L253" i="47"/>
  <c r="G220" i="21" s="1"/>
  <c r="L254" i="47"/>
  <c r="G221" i="21" s="1"/>
  <c r="L255" i="47"/>
  <c r="L256" i="47"/>
  <c r="L257" i="47"/>
  <c r="L258" i="47"/>
  <c r="G235" i="21" s="1"/>
  <c r="L259" i="47"/>
  <c r="L260" i="47"/>
  <c r="L261" i="47"/>
  <c r="L262" i="47"/>
  <c r="G243" i="21" s="1"/>
  <c r="L263" i="47"/>
  <c r="G244" i="21" s="1"/>
  <c r="L264" i="47"/>
  <c r="G249" i="21" s="1"/>
  <c r="L265" i="47"/>
  <c r="L266" i="47"/>
  <c r="L267" i="47"/>
  <c r="L268" i="47"/>
  <c r="L269" i="47"/>
  <c r="L270" i="47"/>
  <c r="L271" i="47"/>
  <c r="L272" i="47"/>
  <c r="L273" i="47"/>
  <c r="L274" i="47"/>
  <c r="L275" i="47"/>
  <c r="L276" i="47"/>
  <c r="L277" i="47"/>
  <c r="L278" i="47"/>
  <c r="L279" i="47"/>
  <c r="L280" i="47"/>
  <c r="G298" i="21" s="1"/>
  <c r="L281" i="47"/>
  <c r="L282" i="47"/>
  <c r="L283" i="47"/>
  <c r="L284" i="47"/>
  <c r="L285" i="47"/>
  <c r="L286" i="47"/>
  <c r="G318" i="21" s="1"/>
  <c r="I318" i="21" s="1"/>
  <c r="L287" i="47"/>
  <c r="L288" i="47"/>
  <c r="L289" i="47"/>
  <c r="L290" i="47"/>
  <c r="L291" i="47"/>
  <c r="L292" i="47"/>
  <c r="L293" i="47"/>
  <c r="L294" i="47"/>
  <c r="L295" i="47"/>
  <c r="L296" i="47"/>
  <c r="L297" i="47"/>
  <c r="G341" i="21" s="1"/>
  <c r="I341" i="21" s="1"/>
  <c r="L298" i="47"/>
  <c r="L299" i="47"/>
  <c r="L300" i="47"/>
  <c r="L301" i="47"/>
  <c r="L302" i="47"/>
  <c r="L303" i="47"/>
  <c r="L304" i="47"/>
  <c r="L305" i="47"/>
  <c r="L306" i="47"/>
  <c r="L307" i="47"/>
  <c r="G365" i="21" s="1"/>
  <c r="L308" i="47"/>
  <c r="G367" i="21" s="1"/>
  <c r="L309" i="47"/>
  <c r="L310" i="47"/>
  <c r="L311" i="47"/>
  <c r="L312" i="47"/>
  <c r="L313" i="47"/>
  <c r="G396" i="21" s="1"/>
  <c r="L314" i="47"/>
  <c r="D315" i="47"/>
  <c r="E315" i="47"/>
  <c r="F315" i="47"/>
  <c r="G315" i="47"/>
  <c r="H315" i="47"/>
  <c r="I315" i="47"/>
  <c r="J315" i="47"/>
  <c r="K315" i="47"/>
  <c r="L98" i="47"/>
  <c r="L99" i="47"/>
  <c r="L100" i="47"/>
  <c r="L101" i="47"/>
  <c r="L102" i="47"/>
  <c r="L103" i="47"/>
  <c r="L104" i="47"/>
  <c r="L105" i="47"/>
  <c r="L106" i="47"/>
  <c r="L107" i="47"/>
  <c r="G208" i="21" s="1"/>
  <c r="L108" i="47"/>
  <c r="L109" i="47"/>
  <c r="L110" i="47"/>
  <c r="L111" i="47"/>
  <c r="L112" i="47"/>
  <c r="L113" i="47"/>
  <c r="L114" i="47"/>
  <c r="L115" i="47"/>
  <c r="L116" i="47"/>
  <c r="L117" i="47"/>
  <c r="L118" i="47"/>
  <c r="L119" i="47"/>
  <c r="L120" i="47"/>
  <c r="L121" i="47"/>
  <c r="L122" i="47"/>
  <c r="L123" i="47"/>
  <c r="L124" i="47"/>
  <c r="L125" i="47"/>
  <c r="L126" i="47"/>
  <c r="L127" i="47"/>
  <c r="L128" i="47"/>
  <c r="L129" i="47"/>
  <c r="L130" i="47"/>
  <c r="L131" i="47"/>
  <c r="L132" i="47"/>
  <c r="L133" i="47"/>
  <c r="L134" i="47"/>
  <c r="L135" i="47"/>
  <c r="L136" i="47"/>
  <c r="L137" i="47"/>
  <c r="L138" i="47"/>
  <c r="L139" i="47"/>
  <c r="G336" i="21" s="1"/>
  <c r="I336" i="21" s="1"/>
  <c r="L140" i="47"/>
  <c r="L141" i="47"/>
  <c r="L142" i="47"/>
  <c r="L143" i="47"/>
  <c r="L144" i="47"/>
  <c r="L145" i="47"/>
  <c r="L146" i="47"/>
  <c r="L81" i="47"/>
  <c r="L82" i="47"/>
  <c r="L83" i="47"/>
  <c r="L84" i="47"/>
  <c r="L85" i="47"/>
  <c r="G300" i="21" s="1"/>
  <c r="L86" i="47"/>
  <c r="L87" i="47"/>
  <c r="L88" i="47"/>
  <c r="L89" i="47"/>
  <c r="L90" i="47"/>
  <c r="L91" i="47"/>
  <c r="L92" i="47"/>
  <c r="L93" i="47"/>
  <c r="L94" i="47"/>
  <c r="L95" i="47"/>
  <c r="L96" i="47"/>
  <c r="L97" i="47"/>
  <c r="L80" i="47"/>
  <c r="G168" i="21" l="1"/>
  <c r="G187" i="21"/>
  <c r="L315" i="47"/>
  <c r="G288" i="21"/>
  <c r="G231" i="21"/>
  <c r="G237" i="21"/>
  <c r="G233" i="21"/>
  <c r="G364" i="21"/>
  <c r="G183" i="21"/>
  <c r="G185" i="21"/>
  <c r="G307" i="21"/>
  <c r="I307" i="21" s="1"/>
  <c r="G325" i="21"/>
  <c r="I325" i="21" s="1"/>
  <c r="G229" i="21"/>
  <c r="G263" i="21"/>
  <c r="G176" i="21"/>
  <c r="G279" i="21"/>
  <c r="G352" i="21"/>
  <c r="G259" i="21"/>
  <c r="G218" i="21"/>
  <c r="G331" i="21"/>
  <c r="I331" i="21" s="1"/>
  <c r="G356" i="21"/>
  <c r="G251" i="21"/>
  <c r="G274" i="21"/>
  <c r="G358" i="21"/>
  <c r="G323" i="21"/>
  <c r="I323" i="21" s="1"/>
  <c r="G317" i="21"/>
  <c r="I317" i="21" s="1"/>
  <c r="G308" i="21"/>
  <c r="I308" i="21" s="1"/>
  <c r="G213" i="21"/>
  <c r="G179" i="21"/>
  <c r="G359" i="21"/>
  <c r="G391" i="21"/>
  <c r="G327" i="21"/>
  <c r="I327" i="21" s="1"/>
  <c r="G211" i="21"/>
  <c r="G172" i="21"/>
  <c r="G377" i="21"/>
  <c r="G238" i="21"/>
  <c r="G301" i="21"/>
  <c r="I301" i="21" s="1"/>
  <c r="G254" i="21"/>
  <c r="G299" i="21"/>
  <c r="G170" i="21"/>
  <c r="G294" i="21"/>
  <c r="G374" i="21"/>
  <c r="G349" i="21"/>
  <c r="G378" i="21"/>
  <c r="G332" i="21"/>
  <c r="I332" i="21" s="1"/>
  <c r="G214" i="21"/>
  <c r="G334" i="21"/>
  <c r="I334" i="21" s="1"/>
  <c r="G289" i="21"/>
  <c r="G324" i="21"/>
  <c r="I324" i="21" s="1"/>
  <c r="G273" i="21"/>
  <c r="G191" i="21"/>
  <c r="G201" i="21"/>
  <c r="G227" i="21"/>
  <c r="G205" i="21"/>
  <c r="G361" i="21"/>
  <c r="G198" i="21"/>
  <c r="G264" i="21"/>
  <c r="G257" i="21"/>
  <c r="G282" i="21"/>
  <c r="G196" i="21"/>
  <c r="G175" i="21"/>
  <c r="G224" i="21"/>
  <c r="G403" i="21"/>
  <c r="G283" i="21"/>
  <c r="G173" i="21"/>
  <c r="E1184" i="46"/>
  <c r="E1185" i="46"/>
  <c r="E1186" i="46"/>
  <c r="E1187" i="46"/>
  <c r="E1188" i="46"/>
  <c r="E1189" i="46"/>
  <c r="E1190" i="46"/>
  <c r="E1191" i="46"/>
  <c r="E1192" i="46"/>
  <c r="E1193" i="46"/>
  <c r="E1194" i="46"/>
  <c r="E1195" i="46"/>
  <c r="E1196" i="46"/>
  <c r="E1197" i="46"/>
  <c r="E1198" i="46"/>
  <c r="E1199" i="46"/>
  <c r="E1200" i="46"/>
  <c r="E1201" i="46"/>
  <c r="E1202" i="46"/>
  <c r="E1203" i="46"/>
  <c r="E1204" i="46"/>
  <c r="E1205" i="46"/>
  <c r="E1206" i="46"/>
  <c r="E1207" i="46"/>
  <c r="E1208" i="46"/>
  <c r="E1209" i="46"/>
  <c r="E1210" i="46"/>
  <c r="E1211" i="46"/>
  <c r="E1212" i="46"/>
  <c r="E1213" i="46"/>
  <c r="E1214" i="46"/>
  <c r="E1215" i="46"/>
  <c r="E1216" i="46"/>
  <c r="E1217" i="46"/>
  <c r="E1218" i="46"/>
  <c r="E1219" i="46"/>
  <c r="E1220" i="46"/>
  <c r="E1221" i="46"/>
  <c r="E1222" i="46"/>
  <c r="E1223" i="46"/>
  <c r="E1224" i="46"/>
  <c r="E1225" i="46"/>
  <c r="E170" i="46"/>
  <c r="E171" i="46"/>
  <c r="E172" i="46"/>
  <c r="E173" i="46"/>
  <c r="E174" i="46"/>
  <c r="E175" i="46"/>
  <c r="E176" i="46"/>
  <c r="E177" i="46"/>
  <c r="E178" i="46"/>
  <c r="E179" i="46"/>
  <c r="E180" i="46"/>
  <c r="E181" i="46"/>
  <c r="E182" i="46"/>
  <c r="E183" i="46"/>
  <c r="E184" i="46"/>
  <c r="E185" i="46"/>
  <c r="E186" i="46"/>
  <c r="E187" i="46"/>
  <c r="E188" i="46"/>
  <c r="E189" i="46"/>
  <c r="E190" i="46"/>
  <c r="E191" i="46"/>
  <c r="E192" i="46"/>
  <c r="E193" i="46"/>
  <c r="E194" i="46"/>
  <c r="E195" i="46"/>
  <c r="E196" i="46"/>
  <c r="E197" i="46"/>
  <c r="E198" i="46"/>
  <c r="E199" i="46"/>
  <c r="E200" i="46"/>
  <c r="E201" i="46"/>
  <c r="E202" i="46"/>
  <c r="E203" i="46"/>
  <c r="E204" i="46"/>
  <c r="E205" i="46"/>
  <c r="E206" i="46"/>
  <c r="E207" i="46"/>
  <c r="E208" i="46"/>
  <c r="E209" i="46"/>
  <c r="E210" i="46"/>
  <c r="E211" i="46"/>
  <c r="E212" i="46"/>
  <c r="E213" i="46"/>
  <c r="E214" i="46"/>
  <c r="E215" i="46"/>
  <c r="E216" i="46"/>
  <c r="E217" i="46"/>
  <c r="E218" i="46"/>
  <c r="E219" i="46"/>
  <c r="E220" i="46"/>
  <c r="E221" i="46"/>
  <c r="E222" i="46"/>
  <c r="E223" i="46"/>
  <c r="E224" i="46"/>
  <c r="E225" i="46"/>
  <c r="E226" i="46"/>
  <c r="E227" i="46"/>
  <c r="E228" i="46"/>
  <c r="E229" i="46"/>
  <c r="E230" i="46"/>
  <c r="E231" i="46"/>
  <c r="E232" i="46"/>
  <c r="E233" i="46"/>
  <c r="E234" i="46"/>
  <c r="E235" i="46"/>
  <c r="E236" i="46"/>
  <c r="E237" i="46"/>
  <c r="E238" i="46"/>
  <c r="E239" i="46"/>
  <c r="E240" i="46"/>
  <c r="E241" i="46"/>
  <c r="E242" i="46"/>
  <c r="E243" i="46"/>
  <c r="E244" i="46"/>
  <c r="E245" i="46"/>
  <c r="E246" i="46"/>
  <c r="E247" i="46"/>
  <c r="E248" i="46"/>
  <c r="E249" i="46"/>
  <c r="E250" i="46"/>
  <c r="E251" i="46"/>
  <c r="E252" i="46"/>
  <c r="E253" i="46"/>
  <c r="E254" i="46"/>
  <c r="E255" i="46"/>
  <c r="E256" i="46"/>
  <c r="E257" i="46"/>
  <c r="E258" i="46"/>
  <c r="E259" i="46"/>
  <c r="E260" i="46"/>
  <c r="E261" i="46"/>
  <c r="E262" i="46"/>
  <c r="E263" i="46"/>
  <c r="E264" i="46"/>
  <c r="E265" i="46"/>
  <c r="E266" i="46"/>
  <c r="E267" i="46"/>
  <c r="E268" i="46"/>
  <c r="E269" i="46"/>
  <c r="E270" i="46"/>
  <c r="E271" i="46"/>
  <c r="E272" i="46"/>
  <c r="E273" i="46"/>
  <c r="E274" i="46"/>
  <c r="E275" i="46"/>
  <c r="E276" i="46"/>
  <c r="E277" i="46"/>
  <c r="E278" i="46"/>
  <c r="E279" i="46"/>
  <c r="E280" i="46"/>
  <c r="E281" i="46"/>
  <c r="E282" i="46"/>
  <c r="E283" i="46"/>
  <c r="E284" i="46"/>
  <c r="E285" i="46"/>
  <c r="E286" i="46"/>
  <c r="E287" i="46"/>
  <c r="E288" i="46"/>
  <c r="E289" i="46"/>
  <c r="E290" i="46"/>
  <c r="E291" i="46"/>
  <c r="E292" i="46"/>
  <c r="E293" i="46"/>
  <c r="E294" i="46"/>
  <c r="E295" i="46"/>
  <c r="E296" i="46"/>
  <c r="E297" i="46"/>
  <c r="E298" i="46"/>
  <c r="E299" i="46"/>
  <c r="E300" i="46"/>
  <c r="E301" i="46"/>
  <c r="E302" i="46"/>
  <c r="E303" i="46"/>
  <c r="E304" i="46"/>
  <c r="E305" i="46"/>
  <c r="E306" i="46"/>
  <c r="E307" i="46"/>
  <c r="E308" i="46"/>
  <c r="E309" i="46"/>
  <c r="E310" i="46"/>
  <c r="E311" i="46"/>
  <c r="E312" i="46"/>
  <c r="E313" i="46"/>
  <c r="E314" i="46"/>
  <c r="E315" i="46"/>
  <c r="E316" i="46"/>
  <c r="E317" i="46"/>
  <c r="E318" i="46"/>
  <c r="E319" i="46"/>
  <c r="E320" i="46"/>
  <c r="E321" i="46"/>
  <c r="E322" i="46"/>
  <c r="E323" i="46"/>
  <c r="E324" i="46"/>
  <c r="E325" i="46"/>
  <c r="E326" i="46"/>
  <c r="E327" i="46"/>
  <c r="E328" i="46"/>
  <c r="E329" i="46"/>
  <c r="E330" i="46"/>
  <c r="E331" i="46"/>
  <c r="E332" i="46"/>
  <c r="E333" i="46"/>
  <c r="E334" i="46"/>
  <c r="E335" i="46"/>
  <c r="E336" i="46"/>
  <c r="E337" i="46"/>
  <c r="E338" i="46"/>
  <c r="E339" i="46"/>
  <c r="E340" i="46"/>
  <c r="E341" i="46"/>
  <c r="E342" i="46"/>
  <c r="E343" i="46"/>
  <c r="E344" i="46"/>
  <c r="E345" i="46"/>
  <c r="E346" i="46"/>
  <c r="E347" i="46"/>
  <c r="E348" i="46"/>
  <c r="E349" i="46"/>
  <c r="E350" i="46"/>
  <c r="E351" i="46"/>
  <c r="E352" i="46"/>
  <c r="E353" i="46"/>
  <c r="E354" i="46"/>
  <c r="E355" i="46"/>
  <c r="E356" i="46"/>
  <c r="E357" i="46"/>
  <c r="E358" i="46"/>
  <c r="E359" i="46"/>
  <c r="E360" i="46"/>
  <c r="E361" i="46"/>
  <c r="E362" i="46"/>
  <c r="E363" i="46"/>
  <c r="E364" i="46"/>
  <c r="E365" i="46"/>
  <c r="E366" i="46"/>
  <c r="E367" i="46"/>
  <c r="E368" i="46"/>
  <c r="E369" i="46"/>
  <c r="E370" i="46"/>
  <c r="E371" i="46"/>
  <c r="E372" i="46"/>
  <c r="E373" i="46"/>
  <c r="E374" i="46"/>
  <c r="E375" i="46"/>
  <c r="E376" i="46"/>
  <c r="E377" i="46"/>
  <c r="E378" i="46"/>
  <c r="E379" i="46"/>
  <c r="E380" i="46"/>
  <c r="E381" i="46"/>
  <c r="E382" i="46"/>
  <c r="E383" i="46"/>
  <c r="E384" i="46"/>
  <c r="E385" i="46"/>
  <c r="E386" i="46"/>
  <c r="E387" i="46"/>
  <c r="E388" i="46"/>
  <c r="E389" i="46"/>
  <c r="E390" i="46"/>
  <c r="E391" i="46"/>
  <c r="E392" i="46"/>
  <c r="E393" i="46"/>
  <c r="E394" i="46"/>
  <c r="E395" i="46"/>
  <c r="E396" i="46"/>
  <c r="E397" i="46"/>
  <c r="E398" i="46"/>
  <c r="E399" i="46"/>
  <c r="E400" i="46"/>
  <c r="E401" i="46"/>
  <c r="E402" i="46"/>
  <c r="E403" i="46"/>
  <c r="E404" i="46"/>
  <c r="B405" i="46"/>
  <c r="D405" i="46"/>
  <c r="E1030" i="46"/>
  <c r="E1031" i="46"/>
  <c r="E1032" i="46"/>
  <c r="E1033" i="46"/>
  <c r="E1034" i="46"/>
  <c r="E1035" i="46"/>
  <c r="E1036" i="46"/>
  <c r="E1037" i="46"/>
  <c r="E1038" i="46"/>
  <c r="E1039" i="46"/>
  <c r="E1040" i="46"/>
  <c r="E1041" i="46"/>
  <c r="E1042" i="46"/>
  <c r="E1043" i="46"/>
  <c r="E1044" i="46"/>
  <c r="E1045" i="46"/>
  <c r="E1046" i="46"/>
  <c r="E1047" i="46"/>
  <c r="E1048" i="46"/>
  <c r="E1049" i="46"/>
  <c r="E1050" i="46"/>
  <c r="E1051" i="46"/>
  <c r="E1052" i="46"/>
  <c r="E1053" i="46"/>
  <c r="E1054" i="46"/>
  <c r="E1055" i="46"/>
  <c r="E1056" i="46"/>
  <c r="E1057" i="46"/>
  <c r="E1058" i="46"/>
  <c r="E1059" i="46"/>
  <c r="E1060" i="46"/>
  <c r="E1061" i="46"/>
  <c r="E1062" i="46"/>
  <c r="E1063" i="46"/>
  <c r="E1064" i="46"/>
  <c r="E1065" i="46"/>
  <c r="E1066" i="46"/>
  <c r="E1067" i="46"/>
  <c r="E1068" i="46"/>
  <c r="E1069" i="46"/>
  <c r="E1070" i="46"/>
  <c r="E1071" i="46"/>
  <c r="E1072" i="46"/>
  <c r="E1073" i="46"/>
  <c r="E1074" i="46"/>
  <c r="E1075" i="46"/>
  <c r="E1076" i="46"/>
  <c r="E1077" i="46"/>
  <c r="E1078" i="46"/>
  <c r="E1079" i="46"/>
  <c r="E1080" i="46"/>
  <c r="E1081" i="46"/>
  <c r="E1082" i="46"/>
  <c r="E1083" i="46"/>
  <c r="E1084" i="46"/>
  <c r="E1085" i="46"/>
  <c r="E1086" i="46"/>
  <c r="E1087" i="46"/>
  <c r="E1088" i="46"/>
  <c r="E1089" i="46"/>
  <c r="E1090" i="46"/>
  <c r="E1091" i="46"/>
  <c r="E1092" i="46"/>
  <c r="E1093" i="46"/>
  <c r="E1094" i="46"/>
  <c r="E1095" i="46"/>
  <c r="E1096" i="46"/>
  <c r="E1097" i="46"/>
  <c r="E1098" i="46"/>
  <c r="E1099" i="46"/>
  <c r="E1100" i="46"/>
  <c r="E1101" i="46"/>
  <c r="E1102" i="46"/>
  <c r="E1103" i="46"/>
  <c r="E1104" i="46"/>
  <c r="E1105" i="46"/>
  <c r="E1106" i="46"/>
  <c r="E1107" i="46"/>
  <c r="E1108" i="46"/>
  <c r="E1109" i="46"/>
  <c r="E1110" i="46"/>
  <c r="E1111" i="46"/>
  <c r="E1112" i="46"/>
  <c r="E1113" i="46"/>
  <c r="E1114" i="46"/>
  <c r="E1115" i="46"/>
  <c r="E1116" i="46"/>
  <c r="E1117" i="46"/>
  <c r="E1118" i="46"/>
  <c r="E1119" i="46"/>
  <c r="E1120" i="46"/>
  <c r="E1121" i="46"/>
  <c r="E1122" i="46"/>
  <c r="E1123" i="46"/>
  <c r="E1124" i="46"/>
  <c r="E1125" i="46"/>
  <c r="E1126" i="46"/>
  <c r="E1127" i="46"/>
  <c r="E1128" i="46"/>
  <c r="E1129" i="46"/>
  <c r="E1130" i="46"/>
  <c r="E1131" i="46"/>
  <c r="E1132" i="46"/>
  <c r="E1133" i="46"/>
  <c r="E1134" i="46"/>
  <c r="E1135" i="46"/>
  <c r="E1136" i="46"/>
  <c r="E1137" i="46"/>
  <c r="E1138" i="46"/>
  <c r="E1139" i="46"/>
  <c r="E1140" i="46"/>
  <c r="E1141" i="46"/>
  <c r="E1142" i="46"/>
  <c r="E1143" i="46"/>
  <c r="E1144" i="46"/>
  <c r="E1145" i="46"/>
  <c r="E1146" i="46"/>
  <c r="E1147" i="46"/>
  <c r="E1148" i="46"/>
  <c r="E1149" i="46"/>
  <c r="E1150" i="46"/>
  <c r="E1151" i="46"/>
  <c r="E1152" i="46"/>
  <c r="E1153" i="46"/>
  <c r="E1154" i="46"/>
  <c r="E1155" i="46"/>
  <c r="E1156" i="46"/>
  <c r="E1157" i="46"/>
  <c r="E1158" i="46"/>
  <c r="E1159" i="46"/>
  <c r="E1160" i="46"/>
  <c r="E1161" i="46"/>
  <c r="E1162" i="46"/>
  <c r="E1163" i="46"/>
  <c r="E1164" i="46"/>
  <c r="E1165" i="46"/>
  <c r="E1166" i="46"/>
  <c r="E1167" i="46"/>
  <c r="E1168" i="46"/>
  <c r="E1169" i="46"/>
  <c r="E1170" i="46"/>
  <c r="E1171" i="46"/>
  <c r="E1172" i="46"/>
  <c r="E1173" i="46"/>
  <c r="E1174" i="46"/>
  <c r="E1175" i="46"/>
  <c r="E1176" i="46"/>
  <c r="E1177" i="46"/>
  <c r="E1178" i="46"/>
  <c r="E1179" i="46"/>
  <c r="E1180" i="46"/>
  <c r="E1181" i="46"/>
  <c r="E1182" i="46"/>
  <c r="E1183" i="46"/>
  <c r="E1226" i="46"/>
  <c r="E1227" i="46"/>
  <c r="E1228" i="46"/>
  <c r="E1229" i="46"/>
  <c r="E1230" i="46"/>
  <c r="E1231" i="46"/>
  <c r="E1232" i="46"/>
  <c r="E1233" i="46"/>
  <c r="E1234" i="46"/>
  <c r="E1235" i="46"/>
  <c r="E1236" i="46"/>
  <c r="E1237" i="46"/>
  <c r="E1238" i="46"/>
  <c r="E1239" i="46"/>
  <c r="E1240" i="46"/>
  <c r="E1241" i="46"/>
  <c r="E1242" i="46"/>
  <c r="E1243" i="46"/>
  <c r="E1244" i="46"/>
  <c r="E1245" i="46"/>
  <c r="E1246" i="46"/>
  <c r="E1247" i="46"/>
  <c r="E1248" i="46"/>
  <c r="E1249" i="46"/>
  <c r="E1250" i="46"/>
  <c r="E1251" i="46"/>
  <c r="E1252" i="46"/>
  <c r="E1253" i="46"/>
  <c r="E1254" i="46"/>
  <c r="E1255" i="46"/>
  <c r="E1256" i="46"/>
  <c r="E1257" i="46"/>
  <c r="E1258" i="46"/>
  <c r="E1259" i="46"/>
  <c r="E1260" i="46"/>
  <c r="E1261" i="46"/>
  <c r="E1262" i="46"/>
  <c r="E1263" i="46"/>
  <c r="E1264" i="46"/>
  <c r="E1029" i="46"/>
  <c r="A12" i="59"/>
  <c r="A13" i="59" s="1"/>
  <c r="A14" i="59" s="1"/>
  <c r="H1229" i="35"/>
  <c r="H1230" i="35" s="1"/>
  <c r="E1360" i="35"/>
  <c r="F1360" i="35"/>
  <c r="D1360" i="35"/>
  <c r="D3634" i="21" s="1"/>
  <c r="D3633" i="21"/>
  <c r="E1309" i="35"/>
  <c r="D1309" i="35"/>
  <c r="D3632" i="21" s="1"/>
  <c r="E1271" i="35"/>
  <c r="F1271" i="35"/>
  <c r="D1271" i="35"/>
  <c r="D3631" i="21" s="1"/>
  <c r="H9" i="35"/>
  <c r="A1254" i="35"/>
  <c r="A1282" i="35" s="1"/>
  <c r="A1283" i="35" s="1"/>
  <c r="A1284" i="35" s="1"/>
  <c r="A1285" i="35" s="1"/>
  <c r="A1286" i="35" s="1"/>
  <c r="A1287" i="35" s="1"/>
  <c r="A1288" i="35" s="1"/>
  <c r="A1228" i="35"/>
  <c r="A1232" i="35" s="1"/>
  <c r="A1243" i="35" s="1"/>
  <c r="H1344" i="35"/>
  <c r="H1345" i="35" s="1"/>
  <c r="H1346" i="35" s="1"/>
  <c r="H1347" i="35" s="1"/>
  <c r="H1348" i="35" s="1"/>
  <c r="H1349" i="35" s="1"/>
  <c r="H1350" i="35" s="1"/>
  <c r="H1351" i="35" s="1"/>
  <c r="H1352" i="35" s="1"/>
  <c r="H1353" i="35" s="1"/>
  <c r="H1354" i="35" s="1"/>
  <c r="H1355" i="35" s="1"/>
  <c r="H1356" i="35" s="1"/>
  <c r="H1357" i="35" s="1"/>
  <c r="H1358" i="35" s="1"/>
  <c r="H1359" i="35" s="1"/>
  <c r="H1316" i="35"/>
  <c r="H1317" i="35" s="1"/>
  <c r="H1318" i="35" s="1"/>
  <c r="H1319" i="35" s="1"/>
  <c r="H1320" i="35" s="1"/>
  <c r="H1321" i="35" s="1"/>
  <c r="H1322" i="35" s="1"/>
  <c r="H1323" i="35" s="1"/>
  <c r="H1324" i="35" s="1"/>
  <c r="H1325" i="35" s="1"/>
  <c r="H1326" i="35" s="1"/>
  <c r="H1327" i="35" s="1"/>
  <c r="H1328" i="35" s="1"/>
  <c r="H1329" i="35" s="1"/>
  <c r="H1330" i="35" s="1"/>
  <c r="H1331" i="35" s="1"/>
  <c r="H1332" i="35" s="1"/>
  <c r="H1333" i="35" s="1"/>
  <c r="H1334" i="35" s="1"/>
  <c r="H1335" i="35" s="1"/>
  <c r="H1336" i="35" s="1"/>
  <c r="H1255" i="35"/>
  <c r="H1256" i="35" s="1"/>
  <c r="H1257" i="35" s="1"/>
  <c r="H1258" i="35" s="1"/>
  <c r="H1259" i="35" s="1"/>
  <c r="H1260" i="35" s="1"/>
  <c r="H1261" i="35" s="1"/>
  <c r="H1283" i="35"/>
  <c r="H1284" i="35" s="1"/>
  <c r="H1243" i="35"/>
  <c r="H1244" i="35" s="1"/>
  <c r="H1245" i="35" s="1"/>
  <c r="H1238" i="35"/>
  <c r="H1239" i="35" s="1"/>
  <c r="H1240" i="35" s="1"/>
  <c r="H1241" i="35" s="1"/>
  <c r="H1232" i="35"/>
  <c r="H1235" i="35" s="1"/>
  <c r="H1236" i="35" s="1"/>
  <c r="H237" i="35"/>
  <c r="D11" i="47"/>
  <c r="B94" i="36"/>
  <c r="B9" i="36"/>
  <c r="D32" i="52"/>
  <c r="D33" i="52"/>
  <c r="D34" i="52"/>
  <c r="D18" i="52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17" i="52"/>
  <c r="D13" i="52"/>
  <c r="D14" i="52"/>
  <c r="D15" i="52"/>
  <c r="D16" i="52"/>
  <c r="D12" i="52"/>
  <c r="D40" i="52"/>
  <c r="C24" i="52"/>
  <c r="C25" i="52"/>
  <c r="C26" i="52"/>
  <c r="C27" i="52"/>
  <c r="C28" i="52"/>
  <c r="C23" i="52"/>
  <c r="C17" i="52"/>
  <c r="C18" i="52"/>
  <c r="C19" i="52"/>
  <c r="C20" i="52"/>
  <c r="C21" i="52"/>
  <c r="C13" i="52"/>
  <c r="C14" i="52"/>
  <c r="C15" i="52"/>
  <c r="C16" i="52"/>
  <c r="C12" i="52"/>
  <c r="L46" i="52"/>
  <c r="L39" i="52"/>
  <c r="L38" i="52"/>
  <c r="L37" i="52"/>
  <c r="K37" i="52"/>
  <c r="L36" i="52"/>
  <c r="K36" i="52"/>
  <c r="L35" i="52"/>
  <c r="K35" i="52"/>
  <c r="H45" i="52"/>
  <c r="H44" i="52"/>
  <c r="H42" i="52"/>
  <c r="H39" i="52"/>
  <c r="H38" i="52"/>
  <c r="H37" i="52"/>
  <c r="G37" i="52"/>
  <c r="H36" i="52"/>
  <c r="G36" i="52"/>
  <c r="H35" i="52"/>
  <c r="G35" i="52"/>
  <c r="F45" i="52"/>
  <c r="F44" i="52"/>
  <c r="F42" i="52"/>
  <c r="F39" i="52"/>
  <c r="F38" i="52"/>
  <c r="F37" i="52"/>
  <c r="E37" i="52"/>
  <c r="F36" i="52"/>
  <c r="E36" i="52"/>
  <c r="F35" i="52"/>
  <c r="E35" i="52"/>
  <c r="A1347" i="55"/>
  <c r="A1348" i="55"/>
  <c r="A1349" i="55"/>
  <c r="A1350" i="55"/>
  <c r="A1351" i="55"/>
  <c r="A1352" i="55"/>
  <c r="A1353" i="55"/>
  <c r="A1354" i="55"/>
  <c r="A1355" i="55"/>
  <c r="A1356" i="55"/>
  <c r="A1357" i="55"/>
  <c r="A1358" i="55"/>
  <c r="A1359" i="55"/>
  <c r="A1360" i="55"/>
  <c r="A1361" i="55"/>
  <c r="A1362" i="55"/>
  <c r="A1363" i="55"/>
  <c r="A1364" i="55"/>
  <c r="A1365" i="55"/>
  <c r="A1366" i="55"/>
  <c r="A1367" i="55"/>
  <c r="A1368" i="55"/>
  <c r="A1369" i="55"/>
  <c r="A1370" i="55"/>
  <c r="A1371" i="55"/>
  <c r="A1372" i="55"/>
  <c r="A1373" i="55"/>
  <c r="A1374" i="55"/>
  <c r="A1375" i="55"/>
  <c r="A1376" i="55"/>
  <c r="A1377" i="55"/>
  <c r="A1378" i="55"/>
  <c r="A1379" i="55"/>
  <c r="A1380" i="55"/>
  <c r="A1381" i="55"/>
  <c r="A1382" i="55"/>
  <c r="A1383" i="55"/>
  <c r="A1384" i="55"/>
  <c r="A1385" i="55"/>
  <c r="A1386" i="55"/>
  <c r="A1387" i="55"/>
  <c r="A1388" i="55"/>
  <c r="A1389" i="55"/>
  <c r="A1390" i="55"/>
  <c r="A1391" i="55"/>
  <c r="A1392" i="55"/>
  <c r="A1393" i="55"/>
  <c r="A1394" i="55"/>
  <c r="A1395" i="55"/>
  <c r="A1396" i="55"/>
  <c r="A1397" i="55"/>
  <c r="A1398" i="55"/>
  <c r="A1399" i="55"/>
  <c r="A1400" i="55"/>
  <c r="A1401" i="55"/>
  <c r="A1402" i="55"/>
  <c r="A1403" i="55"/>
  <c r="A1404" i="55"/>
  <c r="A1405" i="55"/>
  <c r="A1406" i="55"/>
  <c r="A1407" i="55"/>
  <c r="A1408" i="55"/>
  <c r="A1409" i="55"/>
  <c r="A1410" i="55"/>
  <c r="A1411" i="55"/>
  <c r="A1412" i="55"/>
  <c r="A1413" i="55"/>
  <c r="A1414" i="55"/>
  <c r="A1415" i="55"/>
  <c r="A1416" i="55"/>
  <c r="A1417" i="55"/>
  <c r="A1418" i="55"/>
  <c r="A1419" i="55"/>
  <c r="A1420" i="55"/>
  <c r="A1421" i="55"/>
  <c r="A1422" i="55"/>
  <c r="A1423" i="55"/>
  <c r="A1424" i="55"/>
  <c r="A1425" i="55"/>
  <c r="A1426" i="55"/>
  <c r="A1427" i="55"/>
  <c r="A1428" i="55"/>
  <c r="A1429" i="55"/>
  <c r="A1430" i="55"/>
  <c r="A1431" i="55"/>
  <c r="A1432" i="55"/>
  <c r="A1433" i="55"/>
  <c r="A1434" i="55"/>
  <c r="A1435" i="55"/>
  <c r="A1436" i="55"/>
  <c r="A1437" i="55"/>
  <c r="A1438" i="55"/>
  <c r="A1439" i="55"/>
  <c r="A1440" i="55"/>
  <c r="A1441" i="55"/>
  <c r="A1442" i="55"/>
  <c r="A1443" i="55"/>
  <c r="A1444" i="55"/>
  <c r="A1445" i="55"/>
  <c r="A1446" i="55"/>
  <c r="A1447" i="55"/>
  <c r="A1448" i="55"/>
  <c r="A1449" i="55"/>
  <c r="A1450" i="55"/>
  <c r="A1451" i="55"/>
  <c r="A1452" i="55"/>
  <c r="A1453" i="55"/>
  <c r="A1454" i="55"/>
  <c r="A1455" i="55"/>
  <c r="A1456" i="55"/>
  <c r="A1457" i="55"/>
  <c r="A1458" i="55"/>
  <c r="A1459" i="55"/>
  <c r="A1460" i="55"/>
  <c r="A1461" i="55"/>
  <c r="A1462" i="55"/>
  <c r="A1463" i="55"/>
  <c r="A1464" i="55"/>
  <c r="A1465" i="55"/>
  <c r="A1466" i="55"/>
  <c r="A1467" i="55"/>
  <c r="A1468" i="55"/>
  <c r="A1469" i="55"/>
  <c r="A1470" i="55"/>
  <c r="A1471" i="55"/>
  <c r="A1472" i="55"/>
  <c r="A1473" i="55"/>
  <c r="A1474" i="55"/>
  <c r="A1475" i="55"/>
  <c r="A1476" i="55"/>
  <c r="A1477" i="55"/>
  <c r="A1478" i="55"/>
  <c r="A1479" i="55"/>
  <c r="A1480" i="55"/>
  <c r="A1481" i="55"/>
  <c r="A1482" i="55"/>
  <c r="A1483" i="55"/>
  <c r="A1484" i="55"/>
  <c r="A1485" i="55"/>
  <c r="A1486" i="55"/>
  <c r="A1487" i="55"/>
  <c r="A1488" i="55"/>
  <c r="A1489" i="55"/>
  <c r="A1490" i="55"/>
  <c r="A1491" i="55"/>
  <c r="A1492" i="55"/>
  <c r="A1493" i="55"/>
  <c r="A1494" i="55"/>
  <c r="A1495" i="55"/>
  <c r="A1496" i="55"/>
  <c r="A1497" i="55"/>
  <c r="A1498" i="55"/>
  <c r="A1499" i="55"/>
  <c r="A1500" i="55"/>
  <c r="A1501" i="55"/>
  <c r="A1502" i="55"/>
  <c r="A1503" i="55"/>
  <c r="A1504" i="55"/>
  <c r="A1505" i="55"/>
  <c r="A1506" i="55"/>
  <c r="A1507" i="55"/>
  <c r="A1508" i="55"/>
  <c r="A1509" i="55"/>
  <c r="A1510" i="55"/>
  <c r="A1511" i="55"/>
  <c r="A1512" i="55"/>
  <c r="A1513" i="55"/>
  <c r="A1514" i="55"/>
  <c r="A1515" i="55"/>
  <c r="A1516" i="55"/>
  <c r="A1517" i="55"/>
  <c r="A1518" i="55"/>
  <c r="A1519" i="55"/>
  <c r="A1520" i="55"/>
  <c r="A1521" i="55"/>
  <c r="A1522" i="55"/>
  <c r="A1523" i="55"/>
  <c r="A1524" i="55"/>
  <c r="A1525" i="55"/>
  <c r="A1526" i="55"/>
  <c r="A1527" i="55"/>
  <c r="A1528" i="55"/>
  <c r="A1529" i="55"/>
  <c r="A1530" i="55"/>
  <c r="A1531" i="55"/>
  <c r="A1532" i="55"/>
  <c r="A1533" i="55"/>
  <c r="A1534" i="55"/>
  <c r="A1535" i="55"/>
  <c r="A1536" i="55"/>
  <c r="A1537" i="55"/>
  <c r="A1538" i="55"/>
  <c r="A1539" i="55"/>
  <c r="A1540" i="55"/>
  <c r="A1541" i="55"/>
  <c r="A1542" i="55"/>
  <c r="A1543" i="55"/>
  <c r="A1544" i="55"/>
  <c r="A1545" i="55"/>
  <c r="A1546" i="55"/>
  <c r="A1547" i="55"/>
  <c r="A1548" i="55"/>
  <c r="A1549" i="55"/>
  <c r="A1550" i="55"/>
  <c r="A1551" i="55"/>
  <c r="A1552" i="55"/>
  <c r="A1553" i="55"/>
  <c r="A1554" i="55"/>
  <c r="A1555" i="55"/>
  <c r="A1556" i="55"/>
  <c r="A1557" i="55"/>
  <c r="A1558" i="55"/>
  <c r="A1559" i="55"/>
  <c r="A1560" i="55"/>
  <c r="A1561" i="55"/>
  <c r="A1562" i="55"/>
  <c r="A1563" i="55"/>
  <c r="A1564" i="55"/>
  <c r="A1565" i="55"/>
  <c r="A1566" i="55"/>
  <c r="A1567" i="55"/>
  <c r="A1568" i="55"/>
  <c r="A1569" i="55"/>
  <c r="A1570" i="55"/>
  <c r="A1571" i="55"/>
  <c r="A1572" i="55"/>
  <c r="A1573" i="55"/>
  <c r="A1574" i="55"/>
  <c r="A1575" i="55"/>
  <c r="A1576" i="55"/>
  <c r="A1577" i="55"/>
  <c r="A1578" i="55"/>
  <c r="A1579" i="55"/>
  <c r="A1580" i="55"/>
  <c r="A1581" i="55"/>
  <c r="A1582" i="55"/>
  <c r="A1583" i="55"/>
  <c r="A1584" i="55"/>
  <c r="A1585" i="55"/>
  <c r="A1586" i="55"/>
  <c r="A1587" i="55"/>
  <c r="A1588" i="55"/>
  <c r="A1589" i="55"/>
  <c r="A1590" i="55"/>
  <c r="A1591" i="55"/>
  <c r="A1592" i="55"/>
  <c r="A1593" i="55"/>
  <c r="A1594" i="55"/>
  <c r="A1595" i="55"/>
  <c r="A1596" i="55"/>
  <c r="A1597" i="55"/>
  <c r="A1598" i="55"/>
  <c r="A1599" i="55"/>
  <c r="A1600" i="55"/>
  <c r="A1601" i="55"/>
  <c r="A1602" i="55"/>
  <c r="A1603" i="55"/>
  <c r="A1604" i="55"/>
  <c r="A1605" i="55"/>
  <c r="A1606" i="55"/>
  <c r="A1607" i="55"/>
  <c r="A1608" i="55"/>
  <c r="A1609" i="55"/>
  <c r="A1610" i="55"/>
  <c r="A1611" i="55"/>
  <c r="A1612" i="55"/>
  <c r="A1613" i="55"/>
  <c r="A1614" i="55"/>
  <c r="A1615" i="55"/>
  <c r="A1616" i="55"/>
  <c r="A1617" i="55"/>
  <c r="A1618" i="55"/>
  <c r="A1619" i="55"/>
  <c r="A1620" i="55"/>
  <c r="A1621" i="55"/>
  <c r="A1622" i="55"/>
  <c r="A1623" i="55"/>
  <c r="A1624" i="55"/>
  <c r="A1625" i="55"/>
  <c r="A1626" i="55"/>
  <c r="A1627" i="55"/>
  <c r="A1628" i="55"/>
  <c r="A1629" i="55"/>
  <c r="A1630" i="55"/>
  <c r="A1631" i="55"/>
  <c r="A1632" i="55"/>
  <c r="A1633" i="55"/>
  <c r="A1634" i="55"/>
  <c r="A1635" i="55"/>
  <c r="A1636" i="55"/>
  <c r="A1637" i="55"/>
  <c r="A1638" i="55"/>
  <c r="A1639" i="55"/>
  <c r="A1640" i="55"/>
  <c r="A1641" i="55"/>
  <c r="A1642" i="55"/>
  <c r="A1643" i="55"/>
  <c r="A1644" i="55"/>
  <c r="A1645" i="55"/>
  <c r="A1646" i="55"/>
  <c r="A1647" i="55"/>
  <c r="A1648" i="55"/>
  <c r="A1649" i="55"/>
  <c r="A1650" i="55"/>
  <c r="A1651" i="55"/>
  <c r="A1652" i="55"/>
  <c r="A1653" i="55"/>
  <c r="A1654" i="55"/>
  <c r="A1655" i="55"/>
  <c r="A1656" i="55"/>
  <c r="A1657" i="55"/>
  <c r="A1658" i="55"/>
  <c r="A1659" i="55"/>
  <c r="A1660" i="55"/>
  <c r="A1661" i="55"/>
  <c r="A1662" i="55"/>
  <c r="A1663" i="55"/>
  <c r="A1664" i="55"/>
  <c r="A1665" i="55"/>
  <c r="A1666" i="55"/>
  <c r="A1667" i="55"/>
  <c r="A1668" i="55"/>
  <c r="A1669" i="55"/>
  <c r="A1670" i="55"/>
  <c r="A1671" i="55"/>
  <c r="A1672" i="55"/>
  <c r="A1673" i="55"/>
  <c r="A1674" i="55"/>
  <c r="A1675" i="55"/>
  <c r="A1676" i="55"/>
  <c r="A1677" i="55"/>
  <c r="A1678" i="55"/>
  <c r="A1679" i="55"/>
  <c r="A1680" i="55"/>
  <c r="A1681" i="55"/>
  <c r="A1682" i="55"/>
  <c r="A1683" i="55"/>
  <c r="A1684" i="55"/>
  <c r="A1685" i="55"/>
  <c r="A1686" i="55"/>
  <c r="A1687" i="55"/>
  <c r="A1688" i="55"/>
  <c r="A1689" i="55"/>
  <c r="A1690" i="55"/>
  <c r="A1691" i="55"/>
  <c r="A1692" i="55"/>
  <c r="A1693" i="55"/>
  <c r="A1694" i="55"/>
  <c r="A1695" i="55"/>
  <c r="A1696" i="55"/>
  <c r="A1697" i="55"/>
  <c r="A1698" i="55"/>
  <c r="A1699" i="55"/>
  <c r="A1700" i="55"/>
  <c r="A1701" i="55"/>
  <c r="A1702" i="55"/>
  <c r="A1703" i="55"/>
  <c r="A1704" i="55"/>
  <c r="A1705" i="55"/>
  <c r="A1706" i="55"/>
  <c r="A1707" i="55"/>
  <c r="A1708" i="55"/>
  <c r="A1709" i="55"/>
  <c r="A1710" i="55"/>
  <c r="A1711" i="55"/>
  <c r="A1712" i="55"/>
  <c r="A1713" i="55"/>
  <c r="A1714" i="55"/>
  <c r="A1715" i="55"/>
  <c r="A1716" i="55"/>
  <c r="A1717" i="55"/>
  <c r="A1718" i="55"/>
  <c r="A1719" i="55"/>
  <c r="A1720" i="55"/>
  <c r="A1721" i="55"/>
  <c r="A1722" i="55"/>
  <c r="A1723" i="55"/>
  <c r="A1724" i="55"/>
  <c r="A1725" i="55"/>
  <c r="A1346" i="55"/>
  <c r="A1345" i="55"/>
  <c r="I414" i="19"/>
  <c r="B1346" i="55" s="1"/>
  <c r="I415" i="19"/>
  <c r="B1347" i="55" s="1"/>
  <c r="I416" i="19"/>
  <c r="B1348" i="55" s="1"/>
  <c r="I417" i="19"/>
  <c r="B1349" i="55" s="1"/>
  <c r="I418" i="19"/>
  <c r="B1350" i="55" s="1"/>
  <c r="I419" i="19"/>
  <c r="B1351" i="55" s="1"/>
  <c r="I420" i="19"/>
  <c r="B1352" i="55" s="1"/>
  <c r="I421" i="19"/>
  <c r="B1353" i="55" s="1"/>
  <c r="I422" i="19"/>
  <c r="B1354" i="55" s="1"/>
  <c r="I423" i="19"/>
  <c r="B1355" i="55" s="1"/>
  <c r="I424" i="19"/>
  <c r="B1356" i="55" s="1"/>
  <c r="I425" i="19"/>
  <c r="B1357" i="55" s="1"/>
  <c r="I426" i="19"/>
  <c r="B1358" i="55" s="1"/>
  <c r="I427" i="19"/>
  <c r="B1359" i="55" s="1"/>
  <c r="I428" i="19"/>
  <c r="B1360" i="55" s="1"/>
  <c r="I429" i="19"/>
  <c r="B1361" i="55" s="1"/>
  <c r="I430" i="19"/>
  <c r="B1362" i="55" s="1"/>
  <c r="I431" i="19"/>
  <c r="B1363" i="55" s="1"/>
  <c r="I432" i="19"/>
  <c r="B1364" i="55" s="1"/>
  <c r="I433" i="19"/>
  <c r="B1365" i="55" s="1"/>
  <c r="I434" i="19"/>
  <c r="B1366" i="55" s="1"/>
  <c r="I435" i="19"/>
  <c r="B1367" i="55" s="1"/>
  <c r="I436" i="19"/>
  <c r="B1368" i="55" s="1"/>
  <c r="I437" i="19"/>
  <c r="B1369" i="55" s="1"/>
  <c r="I438" i="19"/>
  <c r="B1370" i="55" s="1"/>
  <c r="I439" i="19"/>
  <c r="B1371" i="55" s="1"/>
  <c r="I440" i="19"/>
  <c r="B1372" i="55" s="1"/>
  <c r="I441" i="19"/>
  <c r="B1373" i="55" s="1"/>
  <c r="I442" i="19"/>
  <c r="B1374" i="55" s="1"/>
  <c r="I443" i="19"/>
  <c r="B1375" i="55" s="1"/>
  <c r="I444" i="19"/>
  <c r="B1376" i="55" s="1"/>
  <c r="I445" i="19"/>
  <c r="B1377" i="55" s="1"/>
  <c r="I446" i="19"/>
  <c r="B1378" i="55" s="1"/>
  <c r="I447" i="19"/>
  <c r="B1379" i="55" s="1"/>
  <c r="I448" i="19"/>
  <c r="B1380" i="55" s="1"/>
  <c r="I449" i="19"/>
  <c r="B1381" i="55" s="1"/>
  <c r="I450" i="19"/>
  <c r="B1382" i="55" s="1"/>
  <c r="I451" i="19"/>
  <c r="B1383" i="55" s="1"/>
  <c r="I452" i="19"/>
  <c r="B1384" i="55" s="1"/>
  <c r="I453" i="19"/>
  <c r="B1385" i="55" s="1"/>
  <c r="I454" i="19"/>
  <c r="B1386" i="55" s="1"/>
  <c r="I455" i="19"/>
  <c r="B1387" i="55" s="1"/>
  <c r="I456" i="19"/>
  <c r="B1388" i="55" s="1"/>
  <c r="I457" i="19"/>
  <c r="B1389" i="55" s="1"/>
  <c r="I458" i="19"/>
  <c r="B1390" i="55" s="1"/>
  <c r="I459" i="19"/>
  <c r="B1391" i="55" s="1"/>
  <c r="I460" i="19"/>
  <c r="B1392" i="55" s="1"/>
  <c r="I461" i="19"/>
  <c r="B1393" i="55" s="1"/>
  <c r="I462" i="19"/>
  <c r="B1394" i="55" s="1"/>
  <c r="I463" i="19"/>
  <c r="B1395" i="55" s="1"/>
  <c r="I464" i="19"/>
  <c r="B1396" i="55" s="1"/>
  <c r="I465" i="19"/>
  <c r="B1397" i="55" s="1"/>
  <c r="I466" i="19"/>
  <c r="B1398" i="55" s="1"/>
  <c r="I467" i="19"/>
  <c r="B1399" i="55" s="1"/>
  <c r="I468" i="19"/>
  <c r="B1400" i="55" s="1"/>
  <c r="I469" i="19"/>
  <c r="B1401" i="55" s="1"/>
  <c r="I470" i="19"/>
  <c r="B1402" i="55" s="1"/>
  <c r="I471" i="19"/>
  <c r="B1403" i="55" s="1"/>
  <c r="I472" i="19"/>
  <c r="B1404" i="55" s="1"/>
  <c r="I473" i="19"/>
  <c r="B1405" i="55" s="1"/>
  <c r="I474" i="19"/>
  <c r="B1406" i="55" s="1"/>
  <c r="I475" i="19"/>
  <c r="B1407" i="55" s="1"/>
  <c r="I476" i="19"/>
  <c r="B1408" i="55" s="1"/>
  <c r="I477" i="19"/>
  <c r="B1409" i="55" s="1"/>
  <c r="I478" i="19"/>
  <c r="B1410" i="55" s="1"/>
  <c r="I479" i="19"/>
  <c r="B1411" i="55" s="1"/>
  <c r="I480" i="19"/>
  <c r="B1412" i="55" s="1"/>
  <c r="I481" i="19"/>
  <c r="B1413" i="55" s="1"/>
  <c r="I482" i="19"/>
  <c r="B1414" i="55" s="1"/>
  <c r="I483" i="19"/>
  <c r="B1415" i="55" s="1"/>
  <c r="I484" i="19"/>
  <c r="B1416" i="55" s="1"/>
  <c r="I485" i="19"/>
  <c r="B1417" i="55" s="1"/>
  <c r="I486" i="19"/>
  <c r="B1418" i="55" s="1"/>
  <c r="I487" i="19"/>
  <c r="B1419" i="55" s="1"/>
  <c r="I488" i="19"/>
  <c r="B1420" i="55" s="1"/>
  <c r="I489" i="19"/>
  <c r="B1421" i="55" s="1"/>
  <c r="I490" i="19"/>
  <c r="B1422" i="55" s="1"/>
  <c r="I491" i="19"/>
  <c r="B1423" i="55" s="1"/>
  <c r="I492" i="19"/>
  <c r="B1424" i="55" s="1"/>
  <c r="I493" i="19"/>
  <c r="B1425" i="55" s="1"/>
  <c r="I494" i="19"/>
  <c r="B1426" i="55" s="1"/>
  <c r="I495" i="19"/>
  <c r="B1427" i="55" s="1"/>
  <c r="I496" i="19"/>
  <c r="B1428" i="55" s="1"/>
  <c r="I497" i="19"/>
  <c r="B1429" i="55" s="1"/>
  <c r="I498" i="19"/>
  <c r="B1430" i="55" s="1"/>
  <c r="I499" i="19"/>
  <c r="B1431" i="55" s="1"/>
  <c r="I500" i="19"/>
  <c r="B1432" i="55" s="1"/>
  <c r="I501" i="19"/>
  <c r="B1433" i="55" s="1"/>
  <c r="I502" i="19"/>
  <c r="B1434" i="55" s="1"/>
  <c r="I503" i="19"/>
  <c r="B1435" i="55" s="1"/>
  <c r="I504" i="19"/>
  <c r="B1436" i="55" s="1"/>
  <c r="I505" i="19"/>
  <c r="B1437" i="55" s="1"/>
  <c r="I506" i="19"/>
  <c r="B1438" i="55" s="1"/>
  <c r="I507" i="19"/>
  <c r="B1439" i="55" s="1"/>
  <c r="I508" i="19"/>
  <c r="B1440" i="55" s="1"/>
  <c r="I509" i="19"/>
  <c r="B1441" i="55" s="1"/>
  <c r="I510" i="19"/>
  <c r="B1442" i="55" s="1"/>
  <c r="I511" i="19"/>
  <c r="B1443" i="55" s="1"/>
  <c r="I512" i="19"/>
  <c r="B1444" i="55" s="1"/>
  <c r="I513" i="19"/>
  <c r="B1445" i="55" s="1"/>
  <c r="I514" i="19"/>
  <c r="B1446" i="55" s="1"/>
  <c r="I515" i="19"/>
  <c r="B1447" i="55" s="1"/>
  <c r="I516" i="19"/>
  <c r="B1448" i="55" s="1"/>
  <c r="I517" i="19"/>
  <c r="B1449" i="55" s="1"/>
  <c r="I518" i="19"/>
  <c r="B1450" i="55" s="1"/>
  <c r="I519" i="19"/>
  <c r="B1451" i="55" s="1"/>
  <c r="I520" i="19"/>
  <c r="B1452" i="55" s="1"/>
  <c r="I521" i="19"/>
  <c r="B1453" i="55" s="1"/>
  <c r="I522" i="19"/>
  <c r="B1454" i="55" s="1"/>
  <c r="I523" i="19"/>
  <c r="B1455" i="55" s="1"/>
  <c r="I524" i="19"/>
  <c r="B1456" i="55" s="1"/>
  <c r="I525" i="19"/>
  <c r="B1457" i="55" s="1"/>
  <c r="I526" i="19"/>
  <c r="B1458" i="55" s="1"/>
  <c r="I527" i="19"/>
  <c r="B1459" i="55" s="1"/>
  <c r="I528" i="19"/>
  <c r="B1460" i="55" s="1"/>
  <c r="I529" i="19"/>
  <c r="B1461" i="55" s="1"/>
  <c r="I530" i="19"/>
  <c r="B1462" i="55" s="1"/>
  <c r="I531" i="19"/>
  <c r="B1463" i="55" s="1"/>
  <c r="I532" i="19"/>
  <c r="B1464" i="55" s="1"/>
  <c r="I533" i="19"/>
  <c r="B1465" i="55" s="1"/>
  <c r="I534" i="19"/>
  <c r="B1466" i="55" s="1"/>
  <c r="I535" i="19"/>
  <c r="B1467" i="55" s="1"/>
  <c r="I536" i="19"/>
  <c r="B1468" i="55" s="1"/>
  <c r="I537" i="19"/>
  <c r="B1469" i="55" s="1"/>
  <c r="I538" i="19"/>
  <c r="B1470" i="55" s="1"/>
  <c r="I539" i="19"/>
  <c r="B1471" i="55" s="1"/>
  <c r="I540" i="19"/>
  <c r="B1472" i="55" s="1"/>
  <c r="I541" i="19"/>
  <c r="B1473" i="55" s="1"/>
  <c r="I542" i="19"/>
  <c r="B1474" i="55" s="1"/>
  <c r="I543" i="19"/>
  <c r="B1475" i="55" s="1"/>
  <c r="I544" i="19"/>
  <c r="B1476" i="55" s="1"/>
  <c r="I545" i="19"/>
  <c r="B1477" i="55" s="1"/>
  <c r="I546" i="19"/>
  <c r="B1478" i="55" s="1"/>
  <c r="I547" i="19"/>
  <c r="B1479" i="55" s="1"/>
  <c r="I548" i="19"/>
  <c r="B1480" i="55" s="1"/>
  <c r="I549" i="19"/>
  <c r="B1481" i="55" s="1"/>
  <c r="I550" i="19"/>
  <c r="B1482" i="55" s="1"/>
  <c r="I551" i="19"/>
  <c r="B1483" i="55" s="1"/>
  <c r="I552" i="19"/>
  <c r="B1484" i="55" s="1"/>
  <c r="I553" i="19"/>
  <c r="B1485" i="55" s="1"/>
  <c r="I554" i="19"/>
  <c r="B1486" i="55" s="1"/>
  <c r="I555" i="19"/>
  <c r="B1487" i="55" s="1"/>
  <c r="I556" i="19"/>
  <c r="B1488" i="55" s="1"/>
  <c r="I557" i="19"/>
  <c r="B1489" i="55" s="1"/>
  <c r="I558" i="19"/>
  <c r="B1490" i="55" s="1"/>
  <c r="I559" i="19"/>
  <c r="B1491" i="55" s="1"/>
  <c r="I560" i="19"/>
  <c r="B1492" i="55" s="1"/>
  <c r="I561" i="19"/>
  <c r="B1493" i="55" s="1"/>
  <c r="I562" i="19"/>
  <c r="B1494" i="55" s="1"/>
  <c r="I563" i="19"/>
  <c r="B1495" i="55" s="1"/>
  <c r="I564" i="19"/>
  <c r="B1496" i="55" s="1"/>
  <c r="I565" i="19"/>
  <c r="B1497" i="55" s="1"/>
  <c r="I566" i="19"/>
  <c r="B1498" i="55" s="1"/>
  <c r="I567" i="19"/>
  <c r="B1499" i="55" s="1"/>
  <c r="I568" i="19"/>
  <c r="B1500" i="55" s="1"/>
  <c r="I569" i="19"/>
  <c r="B1501" i="55" s="1"/>
  <c r="I570" i="19"/>
  <c r="B1502" i="55" s="1"/>
  <c r="I571" i="19"/>
  <c r="B1503" i="55" s="1"/>
  <c r="I572" i="19"/>
  <c r="B1504" i="55" s="1"/>
  <c r="I573" i="19"/>
  <c r="B1505" i="55" s="1"/>
  <c r="I574" i="19"/>
  <c r="B1506" i="55" s="1"/>
  <c r="I575" i="19"/>
  <c r="B1507" i="55" s="1"/>
  <c r="I576" i="19"/>
  <c r="B1508" i="55" s="1"/>
  <c r="I577" i="19"/>
  <c r="B1509" i="55" s="1"/>
  <c r="I578" i="19"/>
  <c r="B1510" i="55" s="1"/>
  <c r="I579" i="19"/>
  <c r="B1511" i="55" s="1"/>
  <c r="I580" i="19"/>
  <c r="B1512" i="55" s="1"/>
  <c r="I581" i="19"/>
  <c r="B1513" i="55" s="1"/>
  <c r="I582" i="19"/>
  <c r="B1514" i="55" s="1"/>
  <c r="I583" i="19"/>
  <c r="B1515" i="55" s="1"/>
  <c r="I584" i="19"/>
  <c r="B1516" i="55" s="1"/>
  <c r="I585" i="19"/>
  <c r="B1517" i="55" s="1"/>
  <c r="I586" i="19"/>
  <c r="B1518" i="55" s="1"/>
  <c r="I587" i="19"/>
  <c r="B1519" i="55" s="1"/>
  <c r="I588" i="19"/>
  <c r="B1520" i="55" s="1"/>
  <c r="I589" i="19"/>
  <c r="B1521" i="55" s="1"/>
  <c r="I590" i="19"/>
  <c r="B1522" i="55" s="1"/>
  <c r="I591" i="19"/>
  <c r="B1523" i="55" s="1"/>
  <c r="I592" i="19"/>
  <c r="B1524" i="55" s="1"/>
  <c r="I593" i="19"/>
  <c r="B1525" i="55" s="1"/>
  <c r="I594" i="19"/>
  <c r="B1526" i="55" s="1"/>
  <c r="I595" i="19"/>
  <c r="B1527" i="55" s="1"/>
  <c r="I596" i="19"/>
  <c r="B1528" i="55" s="1"/>
  <c r="I597" i="19"/>
  <c r="B1529" i="55" s="1"/>
  <c r="I598" i="19"/>
  <c r="B1530" i="55" s="1"/>
  <c r="I599" i="19"/>
  <c r="B1531" i="55" s="1"/>
  <c r="I600" i="19"/>
  <c r="B1532" i="55" s="1"/>
  <c r="I601" i="19"/>
  <c r="B1533" i="55" s="1"/>
  <c r="I602" i="19"/>
  <c r="B1534" i="55" s="1"/>
  <c r="I603" i="19"/>
  <c r="B1535" i="55" s="1"/>
  <c r="I604" i="19"/>
  <c r="B1536" i="55" s="1"/>
  <c r="I605" i="19"/>
  <c r="B1537" i="55" s="1"/>
  <c r="I606" i="19"/>
  <c r="B1538" i="55" s="1"/>
  <c r="I607" i="19"/>
  <c r="B1539" i="55" s="1"/>
  <c r="I608" i="19"/>
  <c r="B1540" i="55" s="1"/>
  <c r="I609" i="19"/>
  <c r="B1541" i="55" s="1"/>
  <c r="I610" i="19"/>
  <c r="B1542" i="55" s="1"/>
  <c r="I611" i="19"/>
  <c r="B1543" i="55" s="1"/>
  <c r="I612" i="19"/>
  <c r="B1544" i="55" s="1"/>
  <c r="I613" i="19"/>
  <c r="B1545" i="55" s="1"/>
  <c r="I614" i="19"/>
  <c r="B1546" i="55" s="1"/>
  <c r="I615" i="19"/>
  <c r="B1547" i="55" s="1"/>
  <c r="I616" i="19"/>
  <c r="B1548" i="55" s="1"/>
  <c r="I617" i="19"/>
  <c r="B1549" i="55" s="1"/>
  <c r="I618" i="19"/>
  <c r="B1550" i="55" s="1"/>
  <c r="I619" i="19"/>
  <c r="B1551" i="55" s="1"/>
  <c r="I620" i="19"/>
  <c r="B1552" i="55" s="1"/>
  <c r="I621" i="19"/>
  <c r="B1553" i="55" s="1"/>
  <c r="I622" i="19"/>
  <c r="B1554" i="55" s="1"/>
  <c r="I623" i="19"/>
  <c r="B1555" i="55" s="1"/>
  <c r="I624" i="19"/>
  <c r="B1556" i="55" s="1"/>
  <c r="I625" i="19"/>
  <c r="B1557" i="55" s="1"/>
  <c r="I626" i="19"/>
  <c r="B1558" i="55" s="1"/>
  <c r="I627" i="19"/>
  <c r="B1559" i="55" s="1"/>
  <c r="I628" i="19"/>
  <c r="B1560" i="55" s="1"/>
  <c r="I629" i="19"/>
  <c r="B1561" i="55" s="1"/>
  <c r="I630" i="19"/>
  <c r="B1562" i="55" s="1"/>
  <c r="I631" i="19"/>
  <c r="B1563" i="55" s="1"/>
  <c r="I632" i="19"/>
  <c r="B1564" i="55" s="1"/>
  <c r="I633" i="19"/>
  <c r="B1565" i="55" s="1"/>
  <c r="I634" i="19"/>
  <c r="B1566" i="55" s="1"/>
  <c r="I635" i="19"/>
  <c r="B1567" i="55" s="1"/>
  <c r="I636" i="19"/>
  <c r="B1568" i="55" s="1"/>
  <c r="I637" i="19"/>
  <c r="B1569" i="55" s="1"/>
  <c r="I638" i="19"/>
  <c r="B1570" i="55" s="1"/>
  <c r="I639" i="19"/>
  <c r="B1571" i="55" s="1"/>
  <c r="I640" i="19"/>
  <c r="B1572" i="55" s="1"/>
  <c r="I641" i="19"/>
  <c r="B1573" i="55" s="1"/>
  <c r="I642" i="19"/>
  <c r="B1574" i="55" s="1"/>
  <c r="I643" i="19"/>
  <c r="B1575" i="55" s="1"/>
  <c r="I644" i="19"/>
  <c r="B1576" i="55" s="1"/>
  <c r="I645" i="19"/>
  <c r="B1577" i="55" s="1"/>
  <c r="I646" i="19"/>
  <c r="B1578" i="55" s="1"/>
  <c r="I647" i="19"/>
  <c r="B1579" i="55" s="1"/>
  <c r="I648" i="19"/>
  <c r="B1580" i="55" s="1"/>
  <c r="I649" i="19"/>
  <c r="B1581" i="55" s="1"/>
  <c r="I650" i="19"/>
  <c r="B1582" i="55" s="1"/>
  <c r="I651" i="19"/>
  <c r="B1583" i="55" s="1"/>
  <c r="I652" i="19"/>
  <c r="B1584" i="55" s="1"/>
  <c r="I653" i="19"/>
  <c r="B1585" i="55" s="1"/>
  <c r="I654" i="19"/>
  <c r="B1586" i="55" s="1"/>
  <c r="I655" i="19"/>
  <c r="B1587" i="55" s="1"/>
  <c r="I656" i="19"/>
  <c r="B1588" i="55" s="1"/>
  <c r="I657" i="19"/>
  <c r="B1589" i="55" s="1"/>
  <c r="I658" i="19"/>
  <c r="B1590" i="55" s="1"/>
  <c r="I659" i="19"/>
  <c r="B1591" i="55" s="1"/>
  <c r="I660" i="19"/>
  <c r="B1592" i="55" s="1"/>
  <c r="I661" i="19"/>
  <c r="B1593" i="55" s="1"/>
  <c r="I662" i="19"/>
  <c r="B1594" i="55" s="1"/>
  <c r="I663" i="19"/>
  <c r="B1595" i="55" s="1"/>
  <c r="I664" i="19"/>
  <c r="B1596" i="55" s="1"/>
  <c r="I665" i="19"/>
  <c r="B1597" i="55" s="1"/>
  <c r="I666" i="19"/>
  <c r="B1598" i="55" s="1"/>
  <c r="I667" i="19"/>
  <c r="B1599" i="55" s="1"/>
  <c r="I668" i="19"/>
  <c r="B1600" i="55" s="1"/>
  <c r="I669" i="19"/>
  <c r="B1601" i="55" s="1"/>
  <c r="I670" i="19"/>
  <c r="B1602" i="55" s="1"/>
  <c r="I671" i="19"/>
  <c r="B1603" i="55" s="1"/>
  <c r="I672" i="19"/>
  <c r="B1604" i="55" s="1"/>
  <c r="I673" i="19"/>
  <c r="B1605" i="55" s="1"/>
  <c r="I674" i="19"/>
  <c r="B1606" i="55" s="1"/>
  <c r="I675" i="19"/>
  <c r="B1607" i="55" s="1"/>
  <c r="I676" i="19"/>
  <c r="B1608" i="55" s="1"/>
  <c r="I677" i="19"/>
  <c r="B1609" i="55" s="1"/>
  <c r="I678" i="19"/>
  <c r="B1610" i="55" s="1"/>
  <c r="I679" i="19"/>
  <c r="B1611" i="55" s="1"/>
  <c r="I680" i="19"/>
  <c r="B1612" i="55" s="1"/>
  <c r="I681" i="19"/>
  <c r="B1613" i="55" s="1"/>
  <c r="I682" i="19"/>
  <c r="B1614" i="55" s="1"/>
  <c r="I683" i="19"/>
  <c r="B1615" i="55" s="1"/>
  <c r="I684" i="19"/>
  <c r="B1616" i="55" s="1"/>
  <c r="I685" i="19"/>
  <c r="B1617" i="55" s="1"/>
  <c r="I686" i="19"/>
  <c r="B1618" i="55" s="1"/>
  <c r="I687" i="19"/>
  <c r="B1619" i="55" s="1"/>
  <c r="I688" i="19"/>
  <c r="B1620" i="55" s="1"/>
  <c r="I689" i="19"/>
  <c r="B1621" i="55" s="1"/>
  <c r="I690" i="19"/>
  <c r="B1622" i="55" s="1"/>
  <c r="I691" i="19"/>
  <c r="B1623" i="55" s="1"/>
  <c r="I692" i="19"/>
  <c r="B1624" i="55" s="1"/>
  <c r="I693" i="19"/>
  <c r="B1625" i="55" s="1"/>
  <c r="I694" i="19"/>
  <c r="B1626" i="55" s="1"/>
  <c r="I695" i="19"/>
  <c r="B1627" i="55" s="1"/>
  <c r="I696" i="19"/>
  <c r="B1628" i="55" s="1"/>
  <c r="I697" i="19"/>
  <c r="B1629" i="55" s="1"/>
  <c r="I698" i="19"/>
  <c r="B1630" i="55" s="1"/>
  <c r="I699" i="19"/>
  <c r="B1631" i="55" s="1"/>
  <c r="I700" i="19"/>
  <c r="B1632" i="55" s="1"/>
  <c r="I701" i="19"/>
  <c r="B1633" i="55" s="1"/>
  <c r="I702" i="19"/>
  <c r="B1634" i="55" s="1"/>
  <c r="I703" i="19"/>
  <c r="B1635" i="55" s="1"/>
  <c r="I704" i="19"/>
  <c r="B1636" i="55" s="1"/>
  <c r="I705" i="19"/>
  <c r="B1637" i="55" s="1"/>
  <c r="I706" i="19"/>
  <c r="B1638" i="55" s="1"/>
  <c r="I707" i="19"/>
  <c r="B1639" i="55" s="1"/>
  <c r="I708" i="19"/>
  <c r="B1640" i="55" s="1"/>
  <c r="I709" i="19"/>
  <c r="B1641" i="55" s="1"/>
  <c r="I710" i="19"/>
  <c r="B1642" i="55" s="1"/>
  <c r="I711" i="19"/>
  <c r="B1643" i="55" s="1"/>
  <c r="I712" i="19"/>
  <c r="B1644" i="55" s="1"/>
  <c r="I713" i="19"/>
  <c r="B1645" i="55" s="1"/>
  <c r="I714" i="19"/>
  <c r="B1646" i="55" s="1"/>
  <c r="I715" i="19"/>
  <c r="B1647" i="55" s="1"/>
  <c r="I716" i="19"/>
  <c r="B1648" i="55" s="1"/>
  <c r="I717" i="19"/>
  <c r="B1649" i="55" s="1"/>
  <c r="I718" i="19"/>
  <c r="B1650" i="55" s="1"/>
  <c r="I719" i="19"/>
  <c r="B1651" i="55" s="1"/>
  <c r="I720" i="19"/>
  <c r="B1652" i="55" s="1"/>
  <c r="I721" i="19"/>
  <c r="B1653" i="55" s="1"/>
  <c r="I722" i="19"/>
  <c r="B1654" i="55" s="1"/>
  <c r="I723" i="19"/>
  <c r="B1655" i="55" s="1"/>
  <c r="I724" i="19"/>
  <c r="B1656" i="55" s="1"/>
  <c r="I725" i="19"/>
  <c r="B1657" i="55" s="1"/>
  <c r="I726" i="19"/>
  <c r="B1658" i="55" s="1"/>
  <c r="I727" i="19"/>
  <c r="B1659" i="55" s="1"/>
  <c r="I728" i="19"/>
  <c r="B1660" i="55" s="1"/>
  <c r="I729" i="19"/>
  <c r="B1661" i="55" s="1"/>
  <c r="I730" i="19"/>
  <c r="B1662" i="55" s="1"/>
  <c r="I731" i="19"/>
  <c r="B1663" i="55" s="1"/>
  <c r="I732" i="19"/>
  <c r="B1664" i="55" s="1"/>
  <c r="I733" i="19"/>
  <c r="B1665" i="55" s="1"/>
  <c r="I734" i="19"/>
  <c r="B1666" i="55" s="1"/>
  <c r="I735" i="19"/>
  <c r="B1667" i="55" s="1"/>
  <c r="I736" i="19"/>
  <c r="B1668" i="55" s="1"/>
  <c r="I737" i="19"/>
  <c r="B1669" i="55" s="1"/>
  <c r="I738" i="19"/>
  <c r="B1670" i="55" s="1"/>
  <c r="I739" i="19"/>
  <c r="B1671" i="55" s="1"/>
  <c r="I740" i="19"/>
  <c r="B1672" i="55" s="1"/>
  <c r="I741" i="19"/>
  <c r="B1673" i="55" s="1"/>
  <c r="I742" i="19"/>
  <c r="B1674" i="55" s="1"/>
  <c r="I743" i="19"/>
  <c r="B1675" i="55" s="1"/>
  <c r="I744" i="19"/>
  <c r="B1676" i="55" s="1"/>
  <c r="I745" i="19"/>
  <c r="B1677" i="55" s="1"/>
  <c r="I746" i="19"/>
  <c r="B1678" i="55" s="1"/>
  <c r="I747" i="19"/>
  <c r="B1679" i="55" s="1"/>
  <c r="I748" i="19"/>
  <c r="B1680" i="55" s="1"/>
  <c r="I749" i="19"/>
  <c r="B1681" i="55" s="1"/>
  <c r="I750" i="19"/>
  <c r="B1682" i="55" s="1"/>
  <c r="I751" i="19"/>
  <c r="B1683" i="55" s="1"/>
  <c r="I752" i="19"/>
  <c r="B1684" i="55" s="1"/>
  <c r="I753" i="19"/>
  <c r="B1685" i="55" s="1"/>
  <c r="I754" i="19"/>
  <c r="B1686" i="55" s="1"/>
  <c r="I755" i="19"/>
  <c r="B1687" i="55" s="1"/>
  <c r="I756" i="19"/>
  <c r="B1688" i="55" s="1"/>
  <c r="I757" i="19"/>
  <c r="B1689" i="55" s="1"/>
  <c r="I758" i="19"/>
  <c r="B1690" i="55" s="1"/>
  <c r="I759" i="19"/>
  <c r="B1691" i="55" s="1"/>
  <c r="I760" i="19"/>
  <c r="B1692" i="55" s="1"/>
  <c r="I761" i="19"/>
  <c r="B1693" i="55" s="1"/>
  <c r="I762" i="19"/>
  <c r="B1694" i="55" s="1"/>
  <c r="I763" i="19"/>
  <c r="B1695" i="55" s="1"/>
  <c r="I764" i="19"/>
  <c r="B1696" i="55" s="1"/>
  <c r="I765" i="19"/>
  <c r="B1697" i="55" s="1"/>
  <c r="I766" i="19"/>
  <c r="B1698" i="55" s="1"/>
  <c r="I767" i="19"/>
  <c r="B1699" i="55" s="1"/>
  <c r="I768" i="19"/>
  <c r="B1700" i="55" s="1"/>
  <c r="I769" i="19"/>
  <c r="B1701" i="55" s="1"/>
  <c r="I770" i="19"/>
  <c r="B1702" i="55" s="1"/>
  <c r="I771" i="19"/>
  <c r="B1703" i="55" s="1"/>
  <c r="I772" i="19"/>
  <c r="B1704" i="55" s="1"/>
  <c r="I773" i="19"/>
  <c r="B1705" i="55" s="1"/>
  <c r="I774" i="19"/>
  <c r="B1706" i="55" s="1"/>
  <c r="I775" i="19"/>
  <c r="B1707" i="55" s="1"/>
  <c r="I776" i="19"/>
  <c r="B1708" i="55" s="1"/>
  <c r="I777" i="19"/>
  <c r="B1709" i="55" s="1"/>
  <c r="I778" i="19"/>
  <c r="B1710" i="55" s="1"/>
  <c r="I779" i="19"/>
  <c r="B1711" i="55" s="1"/>
  <c r="I780" i="19"/>
  <c r="B1712" i="55" s="1"/>
  <c r="I781" i="19"/>
  <c r="B1713" i="55" s="1"/>
  <c r="I782" i="19"/>
  <c r="B1714" i="55" s="1"/>
  <c r="I783" i="19"/>
  <c r="B1715" i="55" s="1"/>
  <c r="I784" i="19"/>
  <c r="B1716" i="55" s="1"/>
  <c r="I785" i="19"/>
  <c r="B1717" i="55" s="1"/>
  <c r="I786" i="19"/>
  <c r="B1718" i="55" s="1"/>
  <c r="I787" i="19"/>
  <c r="B1719" i="55" s="1"/>
  <c r="I788" i="19"/>
  <c r="B1720" i="55" s="1"/>
  <c r="I789" i="19"/>
  <c r="B1721" i="55" s="1"/>
  <c r="I790" i="19"/>
  <c r="B1722" i="55" s="1"/>
  <c r="I791" i="19"/>
  <c r="B1723" i="55" s="1"/>
  <c r="I792" i="19"/>
  <c r="B1724" i="55" s="1"/>
  <c r="I793" i="19"/>
  <c r="B1725" i="55" s="1"/>
  <c r="I413" i="19"/>
  <c r="B1345" i="55" s="1"/>
  <c r="B1344" i="55" s="1"/>
  <c r="I178" i="19"/>
  <c r="I202" i="19"/>
  <c r="I203" i="19"/>
  <c r="I204" i="19"/>
  <c r="I205" i="19"/>
  <c r="I206" i="19"/>
  <c r="I207" i="19"/>
  <c r="I208" i="19"/>
  <c r="I209" i="19"/>
  <c r="I210" i="19"/>
  <c r="I211" i="19"/>
  <c r="I212" i="19"/>
  <c r="I213" i="19"/>
  <c r="I214" i="19"/>
  <c r="I215" i="19"/>
  <c r="I216" i="19"/>
  <c r="I217" i="19"/>
  <c r="I218" i="19"/>
  <c r="I219" i="19"/>
  <c r="I220" i="19"/>
  <c r="I221" i="19"/>
  <c r="I222" i="19"/>
  <c r="I223" i="19"/>
  <c r="I224" i="19"/>
  <c r="I225" i="19"/>
  <c r="I226" i="19"/>
  <c r="I227" i="19"/>
  <c r="I228" i="19"/>
  <c r="I229" i="19"/>
  <c r="I230" i="19"/>
  <c r="I231" i="19"/>
  <c r="I232" i="19"/>
  <c r="I233" i="19"/>
  <c r="I234" i="19"/>
  <c r="I235" i="19"/>
  <c r="I236" i="19"/>
  <c r="I237" i="19"/>
  <c r="I238" i="19"/>
  <c r="I239" i="19"/>
  <c r="I240" i="19"/>
  <c r="I241" i="19"/>
  <c r="I242" i="19"/>
  <c r="I243" i="19"/>
  <c r="I244" i="19"/>
  <c r="I245" i="19"/>
  <c r="I246" i="19"/>
  <c r="I247" i="19"/>
  <c r="I248" i="19"/>
  <c r="I249" i="19"/>
  <c r="I250" i="19"/>
  <c r="I251" i="19"/>
  <c r="I252" i="19"/>
  <c r="I253" i="19"/>
  <c r="I254" i="19"/>
  <c r="I255" i="19"/>
  <c r="I256" i="19"/>
  <c r="I257" i="19"/>
  <c r="I258" i="19"/>
  <c r="I259" i="19"/>
  <c r="I260" i="19"/>
  <c r="I261" i="19"/>
  <c r="I262" i="19"/>
  <c r="I263" i="19"/>
  <c r="I264" i="19"/>
  <c r="I265" i="19"/>
  <c r="I266" i="19"/>
  <c r="I267" i="19"/>
  <c r="I268" i="19"/>
  <c r="I269" i="19"/>
  <c r="I270" i="19"/>
  <c r="I271" i="19"/>
  <c r="I272" i="19"/>
  <c r="I273" i="19"/>
  <c r="I274" i="19"/>
  <c r="I275" i="19"/>
  <c r="I276" i="19"/>
  <c r="I277" i="19"/>
  <c r="I278" i="19"/>
  <c r="I279" i="19"/>
  <c r="I280" i="19"/>
  <c r="I281" i="19"/>
  <c r="I282" i="19"/>
  <c r="I283" i="19"/>
  <c r="I284" i="19"/>
  <c r="I285" i="19"/>
  <c r="I286" i="19"/>
  <c r="I287" i="19"/>
  <c r="I288" i="19"/>
  <c r="I289" i="19"/>
  <c r="I290" i="19"/>
  <c r="I291" i="19"/>
  <c r="I292" i="19"/>
  <c r="I293" i="19"/>
  <c r="I294" i="19"/>
  <c r="I295" i="19"/>
  <c r="I296" i="19"/>
  <c r="I297" i="19"/>
  <c r="I298" i="19"/>
  <c r="I299" i="19"/>
  <c r="I300" i="19"/>
  <c r="I301" i="19"/>
  <c r="I302" i="19"/>
  <c r="I303" i="19"/>
  <c r="I304" i="19"/>
  <c r="I305" i="19"/>
  <c r="I306" i="19"/>
  <c r="I307" i="19"/>
  <c r="I308" i="19"/>
  <c r="I309" i="19"/>
  <c r="I310" i="19"/>
  <c r="I311" i="19"/>
  <c r="I312" i="19"/>
  <c r="I313" i="19"/>
  <c r="I314" i="19"/>
  <c r="I315" i="19"/>
  <c r="I316" i="19"/>
  <c r="I317" i="19"/>
  <c r="I318" i="19"/>
  <c r="I319" i="19"/>
  <c r="I320" i="19"/>
  <c r="I321" i="19"/>
  <c r="I322" i="19"/>
  <c r="I323" i="19"/>
  <c r="I324" i="19"/>
  <c r="I325" i="19"/>
  <c r="I326" i="19"/>
  <c r="I327" i="19"/>
  <c r="I328" i="19"/>
  <c r="I329" i="19"/>
  <c r="I330" i="19"/>
  <c r="I331" i="19"/>
  <c r="I332" i="19"/>
  <c r="I333" i="19"/>
  <c r="I334" i="19"/>
  <c r="I335" i="19"/>
  <c r="I336" i="19"/>
  <c r="I337" i="19"/>
  <c r="I338" i="19"/>
  <c r="I339" i="19"/>
  <c r="I340" i="19"/>
  <c r="I341" i="19"/>
  <c r="I342" i="19"/>
  <c r="I343" i="19"/>
  <c r="I344" i="19"/>
  <c r="I345" i="19"/>
  <c r="I346" i="19"/>
  <c r="I347" i="19"/>
  <c r="I348" i="19"/>
  <c r="I349" i="19"/>
  <c r="I350" i="19"/>
  <c r="I351" i="19"/>
  <c r="I352" i="19"/>
  <c r="I353" i="19"/>
  <c r="I354" i="19"/>
  <c r="I355" i="19"/>
  <c r="I356" i="19"/>
  <c r="I357" i="19"/>
  <c r="I358" i="19"/>
  <c r="I359" i="19"/>
  <c r="I360" i="19"/>
  <c r="I361" i="19"/>
  <c r="I362" i="19"/>
  <c r="I363" i="19"/>
  <c r="I364" i="19"/>
  <c r="I365" i="19"/>
  <c r="I366" i="19"/>
  <c r="I367" i="19"/>
  <c r="I368" i="19"/>
  <c r="I369" i="19"/>
  <c r="I370" i="19"/>
  <c r="I371" i="19"/>
  <c r="I372" i="19"/>
  <c r="I373" i="19"/>
  <c r="I374" i="19"/>
  <c r="I375" i="19"/>
  <c r="I376" i="19"/>
  <c r="I377" i="19"/>
  <c r="I378" i="19"/>
  <c r="I379" i="19"/>
  <c r="I380" i="19"/>
  <c r="I381" i="19"/>
  <c r="I382" i="19"/>
  <c r="I383" i="19"/>
  <c r="I384" i="19"/>
  <c r="I385" i="19"/>
  <c r="I386" i="19"/>
  <c r="I387" i="19"/>
  <c r="I388" i="19"/>
  <c r="I389" i="19"/>
  <c r="I390" i="19"/>
  <c r="I391" i="19"/>
  <c r="I392" i="19"/>
  <c r="I393" i="19"/>
  <c r="I394" i="19"/>
  <c r="I395" i="19"/>
  <c r="I396" i="19"/>
  <c r="I397" i="19"/>
  <c r="I398" i="19"/>
  <c r="I399" i="19"/>
  <c r="I400" i="19"/>
  <c r="I401" i="19"/>
  <c r="I402" i="19"/>
  <c r="I403" i="19"/>
  <c r="I404" i="19"/>
  <c r="I405" i="19"/>
  <c r="I406" i="19"/>
  <c r="I407" i="19"/>
  <c r="I408" i="19"/>
  <c r="I409" i="19"/>
  <c r="I410" i="19"/>
  <c r="C939" i="55"/>
  <c r="I8" i="19"/>
  <c r="I9" i="19"/>
  <c r="D941" i="55" s="1"/>
  <c r="I10" i="19"/>
  <c r="D942" i="55" s="1"/>
  <c r="I11" i="19"/>
  <c r="D943" i="55" s="1"/>
  <c r="I12" i="19"/>
  <c r="D944" i="55" s="1"/>
  <c r="I13" i="19"/>
  <c r="D945" i="55" s="1"/>
  <c r="I14" i="19"/>
  <c r="D946" i="55" s="1"/>
  <c r="I15" i="19"/>
  <c r="D947" i="55" s="1"/>
  <c r="I16" i="19"/>
  <c r="D948" i="55" s="1"/>
  <c r="I17" i="19"/>
  <c r="D949" i="55" s="1"/>
  <c r="I18" i="19"/>
  <c r="D950" i="55" s="1"/>
  <c r="I19" i="19"/>
  <c r="D951" i="55" s="1"/>
  <c r="I20" i="19"/>
  <c r="D952" i="55" s="1"/>
  <c r="I21" i="19"/>
  <c r="D953" i="55" s="1"/>
  <c r="I22" i="19"/>
  <c r="D954" i="55" s="1"/>
  <c r="I23" i="19"/>
  <c r="D955" i="55" s="1"/>
  <c r="I24" i="19"/>
  <c r="D956" i="55" s="1"/>
  <c r="I25" i="19"/>
  <c r="D957" i="55" s="1"/>
  <c r="I26" i="19"/>
  <c r="D958" i="55" s="1"/>
  <c r="I27" i="19"/>
  <c r="D959" i="55" s="1"/>
  <c r="I28" i="19"/>
  <c r="D960" i="55" s="1"/>
  <c r="I29" i="19"/>
  <c r="D961" i="55" s="1"/>
  <c r="I30" i="19"/>
  <c r="D962" i="55" s="1"/>
  <c r="I31" i="19"/>
  <c r="D963" i="55" s="1"/>
  <c r="I32" i="19"/>
  <c r="D964" i="55" s="1"/>
  <c r="I33" i="19"/>
  <c r="D965" i="55" s="1"/>
  <c r="I34" i="19"/>
  <c r="D966" i="55" s="1"/>
  <c r="I35" i="19"/>
  <c r="D967" i="55" s="1"/>
  <c r="I36" i="19"/>
  <c r="D968" i="55" s="1"/>
  <c r="I37" i="19"/>
  <c r="D969" i="55" s="1"/>
  <c r="I38" i="19"/>
  <c r="D970" i="55" s="1"/>
  <c r="I39" i="19"/>
  <c r="D971" i="55" s="1"/>
  <c r="I40" i="19"/>
  <c r="D972" i="55" s="1"/>
  <c r="I41" i="19"/>
  <c r="D973" i="55" s="1"/>
  <c r="I42" i="19"/>
  <c r="D974" i="55" s="1"/>
  <c r="I43" i="19"/>
  <c r="D975" i="55" s="1"/>
  <c r="I44" i="19"/>
  <c r="D976" i="55" s="1"/>
  <c r="I45" i="19"/>
  <c r="D977" i="55" s="1"/>
  <c r="I46" i="19"/>
  <c r="D978" i="55" s="1"/>
  <c r="I47" i="19"/>
  <c r="D979" i="55" s="1"/>
  <c r="I48" i="19"/>
  <c r="D980" i="55" s="1"/>
  <c r="I49" i="19"/>
  <c r="D981" i="55" s="1"/>
  <c r="I50" i="19"/>
  <c r="D982" i="55" s="1"/>
  <c r="I51" i="19"/>
  <c r="D983" i="55" s="1"/>
  <c r="I52" i="19"/>
  <c r="D984" i="55" s="1"/>
  <c r="I53" i="19"/>
  <c r="D985" i="55" s="1"/>
  <c r="I54" i="19"/>
  <c r="D986" i="55" s="1"/>
  <c r="I55" i="19"/>
  <c r="D987" i="55" s="1"/>
  <c r="I56" i="19"/>
  <c r="D988" i="55" s="1"/>
  <c r="I57" i="19"/>
  <c r="D989" i="55" s="1"/>
  <c r="I58" i="19"/>
  <c r="D990" i="55" s="1"/>
  <c r="I59" i="19"/>
  <c r="D991" i="55" s="1"/>
  <c r="I60" i="19"/>
  <c r="D992" i="55" s="1"/>
  <c r="I61" i="19"/>
  <c r="D993" i="55" s="1"/>
  <c r="I62" i="19"/>
  <c r="D994" i="55" s="1"/>
  <c r="I63" i="19"/>
  <c r="D995" i="55" s="1"/>
  <c r="I64" i="19"/>
  <c r="D996" i="55" s="1"/>
  <c r="I65" i="19"/>
  <c r="D997" i="55" s="1"/>
  <c r="I66" i="19"/>
  <c r="D998" i="55" s="1"/>
  <c r="I67" i="19"/>
  <c r="D999" i="55" s="1"/>
  <c r="I68" i="19"/>
  <c r="D1000" i="55" s="1"/>
  <c r="I69" i="19"/>
  <c r="D1001" i="55" s="1"/>
  <c r="I70" i="19"/>
  <c r="D1002" i="55" s="1"/>
  <c r="I71" i="19"/>
  <c r="D1003" i="55" s="1"/>
  <c r="I72" i="19"/>
  <c r="D1004" i="55" s="1"/>
  <c r="I73" i="19"/>
  <c r="D1005" i="55" s="1"/>
  <c r="I74" i="19"/>
  <c r="D1006" i="55" s="1"/>
  <c r="I75" i="19"/>
  <c r="D1007" i="55" s="1"/>
  <c r="I76" i="19"/>
  <c r="D1008" i="55" s="1"/>
  <c r="I77" i="19"/>
  <c r="D1009" i="55" s="1"/>
  <c r="I78" i="19"/>
  <c r="D1010" i="55" s="1"/>
  <c r="I79" i="19"/>
  <c r="D1011" i="55" s="1"/>
  <c r="I80" i="19"/>
  <c r="D1012" i="55" s="1"/>
  <c r="I81" i="19"/>
  <c r="D1013" i="55" s="1"/>
  <c r="I82" i="19"/>
  <c r="D1014" i="55" s="1"/>
  <c r="I83" i="19"/>
  <c r="D1015" i="55" s="1"/>
  <c r="I84" i="19"/>
  <c r="D1016" i="55" s="1"/>
  <c r="I85" i="19"/>
  <c r="D1017" i="55" s="1"/>
  <c r="I86" i="19"/>
  <c r="D1018" i="55" s="1"/>
  <c r="I87" i="19"/>
  <c r="D1019" i="55" s="1"/>
  <c r="I88" i="19"/>
  <c r="D1020" i="55" s="1"/>
  <c r="I89" i="19"/>
  <c r="D1021" i="55" s="1"/>
  <c r="I90" i="19"/>
  <c r="D1022" i="55" s="1"/>
  <c r="I91" i="19"/>
  <c r="D1023" i="55" s="1"/>
  <c r="I92" i="19"/>
  <c r="D1024" i="55" s="1"/>
  <c r="I93" i="19"/>
  <c r="D1025" i="55" s="1"/>
  <c r="I94" i="19"/>
  <c r="D1026" i="55" s="1"/>
  <c r="I95" i="19"/>
  <c r="D1027" i="55" s="1"/>
  <c r="I96" i="19"/>
  <c r="D1028" i="55" s="1"/>
  <c r="I97" i="19"/>
  <c r="D1029" i="55" s="1"/>
  <c r="I98" i="19"/>
  <c r="D1030" i="55" s="1"/>
  <c r="I99" i="19"/>
  <c r="D1031" i="55" s="1"/>
  <c r="I100" i="19"/>
  <c r="D1032" i="55" s="1"/>
  <c r="I101" i="19"/>
  <c r="D1033" i="55" s="1"/>
  <c r="I102" i="19"/>
  <c r="D1034" i="55" s="1"/>
  <c r="I103" i="19"/>
  <c r="D1035" i="55" s="1"/>
  <c r="I104" i="19"/>
  <c r="D1036" i="55" s="1"/>
  <c r="I105" i="19"/>
  <c r="D1037" i="55" s="1"/>
  <c r="I106" i="19"/>
  <c r="D1038" i="55" s="1"/>
  <c r="I107" i="19"/>
  <c r="D1039" i="55" s="1"/>
  <c r="I108" i="19"/>
  <c r="D1040" i="55" s="1"/>
  <c r="I109" i="19"/>
  <c r="D1041" i="55" s="1"/>
  <c r="I110" i="19"/>
  <c r="D1042" i="55" s="1"/>
  <c r="I111" i="19"/>
  <c r="D1043" i="55" s="1"/>
  <c r="I112" i="19"/>
  <c r="D1044" i="55" s="1"/>
  <c r="I113" i="19"/>
  <c r="D1045" i="55" s="1"/>
  <c r="I114" i="19"/>
  <c r="D1046" i="55" s="1"/>
  <c r="I115" i="19"/>
  <c r="D1047" i="55" s="1"/>
  <c r="I116" i="19"/>
  <c r="D1048" i="55" s="1"/>
  <c r="I117" i="19"/>
  <c r="D1049" i="55" s="1"/>
  <c r="I118" i="19"/>
  <c r="D1050" i="55" s="1"/>
  <c r="I119" i="19"/>
  <c r="D1051" i="55" s="1"/>
  <c r="I120" i="19"/>
  <c r="D1052" i="55" s="1"/>
  <c r="I121" i="19"/>
  <c r="D1053" i="55" s="1"/>
  <c r="I122" i="19"/>
  <c r="D1054" i="55" s="1"/>
  <c r="I123" i="19"/>
  <c r="D1055" i="55" s="1"/>
  <c r="I124" i="19"/>
  <c r="D1056" i="55" s="1"/>
  <c r="I125" i="19"/>
  <c r="D1057" i="55" s="1"/>
  <c r="I126" i="19"/>
  <c r="D1058" i="55" s="1"/>
  <c r="I127" i="19"/>
  <c r="D1059" i="55" s="1"/>
  <c r="I128" i="19"/>
  <c r="D1060" i="55" s="1"/>
  <c r="I129" i="19"/>
  <c r="D1061" i="55" s="1"/>
  <c r="I130" i="19"/>
  <c r="D1062" i="55" s="1"/>
  <c r="I131" i="19"/>
  <c r="D1063" i="55" s="1"/>
  <c r="I132" i="19"/>
  <c r="D1064" i="55" s="1"/>
  <c r="I133" i="19"/>
  <c r="D1065" i="55" s="1"/>
  <c r="I134" i="19"/>
  <c r="D1066" i="55" s="1"/>
  <c r="I135" i="19"/>
  <c r="D1067" i="55" s="1"/>
  <c r="I136" i="19"/>
  <c r="D1068" i="55" s="1"/>
  <c r="I137" i="19"/>
  <c r="D1069" i="55" s="1"/>
  <c r="I138" i="19"/>
  <c r="D1070" i="55" s="1"/>
  <c r="I139" i="19"/>
  <c r="D1071" i="55" s="1"/>
  <c r="I140" i="19"/>
  <c r="D1072" i="55" s="1"/>
  <c r="I141" i="19"/>
  <c r="D1073" i="55" s="1"/>
  <c r="I142" i="19"/>
  <c r="D1074" i="55" s="1"/>
  <c r="I143" i="19"/>
  <c r="D1075" i="55" s="1"/>
  <c r="I144" i="19"/>
  <c r="D1076" i="55" s="1"/>
  <c r="I145" i="19"/>
  <c r="D1077" i="55" s="1"/>
  <c r="I146" i="19"/>
  <c r="D1078" i="55" s="1"/>
  <c r="I147" i="19"/>
  <c r="D1079" i="55" s="1"/>
  <c r="I148" i="19"/>
  <c r="D1080" i="55" s="1"/>
  <c r="I149" i="19"/>
  <c r="D1081" i="55" s="1"/>
  <c r="I150" i="19"/>
  <c r="D1082" i="55" s="1"/>
  <c r="I151" i="19"/>
  <c r="D1083" i="55" s="1"/>
  <c r="I152" i="19"/>
  <c r="D1084" i="55" s="1"/>
  <c r="I153" i="19"/>
  <c r="D1085" i="55" s="1"/>
  <c r="I154" i="19"/>
  <c r="D1086" i="55" s="1"/>
  <c r="I155" i="19"/>
  <c r="D1087" i="55" s="1"/>
  <c r="I156" i="19"/>
  <c r="D1088" i="55" s="1"/>
  <c r="I157" i="19"/>
  <c r="D1089" i="55" s="1"/>
  <c r="I158" i="19"/>
  <c r="D1090" i="55" s="1"/>
  <c r="I159" i="19"/>
  <c r="D1091" i="55" s="1"/>
  <c r="I160" i="19"/>
  <c r="D1092" i="55" s="1"/>
  <c r="I161" i="19"/>
  <c r="D1093" i="55" s="1"/>
  <c r="I162" i="19"/>
  <c r="D1094" i="55" s="1"/>
  <c r="I163" i="19"/>
  <c r="D1095" i="55" s="1"/>
  <c r="I164" i="19"/>
  <c r="D1096" i="55" s="1"/>
  <c r="I165" i="19"/>
  <c r="D1097" i="55" s="1"/>
  <c r="I166" i="19"/>
  <c r="D1098" i="55" s="1"/>
  <c r="I167" i="19"/>
  <c r="D1099" i="55" s="1"/>
  <c r="I168" i="19"/>
  <c r="D1100" i="55" s="1"/>
  <c r="I169" i="19"/>
  <c r="D1101" i="55" s="1"/>
  <c r="I170" i="19"/>
  <c r="D1102" i="55" s="1"/>
  <c r="I171" i="19"/>
  <c r="D1103" i="55" s="1"/>
  <c r="I172" i="19"/>
  <c r="D1104" i="55" s="1"/>
  <c r="I173" i="19"/>
  <c r="D1105" i="55" s="1"/>
  <c r="I174" i="19"/>
  <c r="D1106" i="55" s="1"/>
  <c r="I176" i="19"/>
  <c r="H46" i="52" l="1"/>
  <c r="H10" i="35"/>
  <c r="H11" i="35" s="1"/>
  <c r="H12" i="35" s="1"/>
  <c r="H13" i="35" s="1"/>
  <c r="H14" i="35" s="1"/>
  <c r="H15" i="35" s="1"/>
  <c r="H16" i="35" s="1"/>
  <c r="H17" i="35" s="1"/>
  <c r="H18" i="35" s="1"/>
  <c r="H19" i="35" s="1"/>
  <c r="H20" i="35" s="1"/>
  <c r="H21" i="35" s="1"/>
  <c r="H22" i="35" s="1"/>
  <c r="H23" i="35" s="1"/>
  <c r="H24" i="35" s="1"/>
  <c r="H25" i="35" s="1"/>
  <c r="H26" i="35" s="1"/>
  <c r="H27" i="35" s="1"/>
  <c r="H28" i="35" s="1"/>
  <c r="H29" i="35" s="1"/>
  <c r="H30" i="35" s="1"/>
  <c r="H31" i="35" s="1"/>
  <c r="H32" i="35" s="1"/>
  <c r="H33" i="35" s="1"/>
  <c r="H34" i="35" s="1"/>
  <c r="H35" i="35" s="1"/>
  <c r="H36" i="35" s="1"/>
  <c r="H37" i="35" s="1"/>
  <c r="H38" i="35" s="1"/>
  <c r="H39" i="35" s="1"/>
  <c r="H40" i="35" s="1"/>
  <c r="H41" i="35" s="1"/>
  <c r="H42" i="35" s="1"/>
  <c r="H43" i="35" s="1"/>
  <c r="H44" i="35" s="1"/>
  <c r="H45" i="35" s="1"/>
  <c r="H46" i="35" s="1"/>
  <c r="H47" i="35" s="1"/>
  <c r="H48" i="35" s="1"/>
  <c r="H49" i="35" s="1"/>
  <c r="H50" i="35" s="1"/>
  <c r="H51" i="35" s="1"/>
  <c r="H52" i="35" s="1"/>
  <c r="H53" i="35" s="1"/>
  <c r="H54" i="35" s="1"/>
  <c r="H55" i="35" s="1"/>
  <c r="H56" i="35" s="1"/>
  <c r="H57" i="35" s="1"/>
  <c r="H58" i="35" s="1"/>
  <c r="H59" i="35" s="1"/>
  <c r="H60" i="35" s="1"/>
  <c r="H61" i="35" s="1"/>
  <c r="H62" i="35" s="1"/>
  <c r="H63" i="35" s="1"/>
  <c r="H64" i="35" s="1"/>
  <c r="H65" i="35" s="1"/>
  <c r="H66" i="35" s="1"/>
  <c r="H67" i="35" s="1"/>
  <c r="H68" i="35" s="1"/>
  <c r="H69" i="35" s="1"/>
  <c r="H70" i="35" s="1"/>
  <c r="H71" i="35" s="1"/>
  <c r="H72" i="35" s="1"/>
  <c r="H73" i="35" s="1"/>
  <c r="H74" i="35" s="1"/>
  <c r="H75" i="35" s="1"/>
  <c r="H76" i="35" s="1"/>
  <c r="H77" i="35" s="1"/>
  <c r="H78" i="35" s="1"/>
  <c r="H79" i="35" s="1"/>
  <c r="H80" i="35" s="1"/>
  <c r="H81" i="35" s="1"/>
  <c r="H82" i="35" s="1"/>
  <c r="H83" i="35" s="1"/>
  <c r="H84" i="35" s="1"/>
  <c r="H85" i="35" s="1"/>
  <c r="H86" i="35" s="1"/>
  <c r="H87" i="35" s="1"/>
  <c r="H88" i="35" s="1"/>
  <c r="H89" i="35" s="1"/>
  <c r="H90" i="35" s="1"/>
  <c r="H91" i="35" s="1"/>
  <c r="H92" i="35" s="1"/>
  <c r="H93" i="35" s="1"/>
  <c r="H94" i="35" s="1"/>
  <c r="H95" i="35" s="1"/>
  <c r="H96" i="35" s="1"/>
  <c r="H97" i="35" s="1"/>
  <c r="H98" i="35" s="1"/>
  <c r="H99" i="35" s="1"/>
  <c r="H100" i="35" s="1"/>
  <c r="H101" i="35" s="1"/>
  <c r="H102" i="35" s="1"/>
  <c r="H103" i="35" s="1"/>
  <c r="H104" i="35" s="1"/>
  <c r="H105" i="35" s="1"/>
  <c r="H106" i="35" s="1"/>
  <c r="H107" i="35" s="1"/>
  <c r="H108" i="35" s="1"/>
  <c r="H109" i="35" s="1"/>
  <c r="H110" i="35" s="1"/>
  <c r="H111" i="35" s="1"/>
  <c r="H112" i="35" s="1"/>
  <c r="H113" i="35" s="1"/>
  <c r="H114" i="35" s="1"/>
  <c r="H115" i="35" s="1"/>
  <c r="H116" i="35" s="1"/>
  <c r="H117" i="35" s="1"/>
  <c r="H118" i="35" s="1"/>
  <c r="H119" i="35" s="1"/>
  <c r="H120" i="35" s="1"/>
  <c r="H121" i="35" s="1"/>
  <c r="H122" i="35" s="1"/>
  <c r="H123" i="35" s="1"/>
  <c r="H124" i="35" s="1"/>
  <c r="H125" i="35" s="1"/>
  <c r="H126" i="35" s="1"/>
  <c r="H127" i="35" s="1"/>
  <c r="H128" i="35" s="1"/>
  <c r="H129" i="35" s="1"/>
  <c r="H130" i="35" s="1"/>
  <c r="H131" i="35" s="1"/>
  <c r="H132" i="35" s="1"/>
  <c r="H133" i="35" s="1"/>
  <c r="H134" i="35" s="1"/>
  <c r="H135" i="35" s="1"/>
  <c r="H136" i="35" s="1"/>
  <c r="H137" i="35" s="1"/>
  <c r="H138" i="35" s="1"/>
  <c r="H139" i="35" s="1"/>
  <c r="H140" i="35" s="1"/>
  <c r="H141" i="35" s="1"/>
  <c r="H142" i="35" s="1"/>
  <c r="H143" i="35" s="1"/>
  <c r="H144" i="35" s="1"/>
  <c r="H145" i="35" s="1"/>
  <c r="H146" i="35" s="1"/>
  <c r="H147" i="35" s="1"/>
  <c r="H148" i="35" s="1"/>
  <c r="H149" i="35" s="1"/>
  <c r="H150" i="35" s="1"/>
  <c r="H151" i="35" s="1"/>
  <c r="H152" i="35" s="1"/>
  <c r="H153" i="35" s="1"/>
  <c r="H154" i="35" s="1"/>
  <c r="H155" i="35" s="1"/>
  <c r="H156" i="35" s="1"/>
  <c r="H157" i="35" s="1"/>
  <c r="H158" i="35" s="1"/>
  <c r="H159" i="35" s="1"/>
  <c r="H160" i="35" s="1"/>
  <c r="H161" i="35" s="1"/>
  <c r="H162" i="35" s="1"/>
  <c r="H163" i="35" s="1"/>
  <c r="H164" i="35" s="1"/>
  <c r="H165" i="35" s="1"/>
  <c r="H166" i="35" s="1"/>
  <c r="H167" i="35" s="1"/>
  <c r="H168" i="35" s="1"/>
  <c r="H169" i="35" s="1"/>
  <c r="H170" i="35" s="1"/>
  <c r="H171" i="35" s="1"/>
  <c r="H172" i="35" s="1"/>
  <c r="H173" i="35" s="1"/>
  <c r="H174" i="35" s="1"/>
  <c r="H175" i="35" s="1"/>
  <c r="H176" i="35" s="1"/>
  <c r="H177" i="35" s="1"/>
  <c r="H178" i="35" s="1"/>
  <c r="H179" i="35" s="1"/>
  <c r="H180" i="35" s="1"/>
  <c r="H181" i="35" s="1"/>
  <c r="H182" i="35" s="1"/>
  <c r="H183" i="35" s="1"/>
  <c r="H184" i="35" s="1"/>
  <c r="H185" i="35" s="1"/>
  <c r="H186" i="35" s="1"/>
  <c r="H187" i="35" s="1"/>
  <c r="H188" i="35" s="1"/>
  <c r="H189" i="35" s="1"/>
  <c r="H190" i="35" s="1"/>
  <c r="H191" i="35" s="1"/>
  <c r="H192" i="35" s="1"/>
  <c r="H193" i="35" s="1"/>
  <c r="H194" i="35" s="1"/>
  <c r="H195" i="35" s="1"/>
  <c r="H196" i="35" s="1"/>
  <c r="H197" i="35" s="1"/>
  <c r="H198" i="35" s="1"/>
  <c r="H199" i="35" s="1"/>
  <c r="H200" i="35" s="1"/>
  <c r="H201" i="35" s="1"/>
  <c r="H202" i="35" s="1"/>
  <c r="A15" i="59"/>
  <c r="A16" i="59" s="1"/>
  <c r="A17" i="59" s="1"/>
  <c r="A18" i="59" s="1"/>
  <c r="A19" i="59" s="1"/>
  <c r="A20" i="59" s="1"/>
  <c r="A21" i="59" s="1"/>
  <c r="A22" i="59" s="1"/>
  <c r="A23" i="59" s="1"/>
  <c r="D3635" i="21"/>
  <c r="D36" i="52"/>
  <c r="H238" i="35"/>
  <c r="C35" i="52"/>
  <c r="F391" i="21"/>
  <c r="F375" i="21"/>
  <c r="F317" i="21"/>
  <c r="F301" i="21"/>
  <c r="F285" i="21"/>
  <c r="F269" i="21"/>
  <c r="F253" i="21"/>
  <c r="F237" i="21"/>
  <c r="F221" i="21"/>
  <c r="F205" i="21"/>
  <c r="F189" i="21"/>
  <c r="F173" i="21"/>
  <c r="F359" i="21"/>
  <c r="F351" i="21"/>
  <c r="F343" i="21"/>
  <c r="F335" i="21"/>
  <c r="F398" i="21"/>
  <c r="F390" i="21"/>
  <c r="F384" i="21"/>
  <c r="F382" i="21"/>
  <c r="F374" i="21"/>
  <c r="F366" i="21"/>
  <c r="F316" i="21"/>
  <c r="F308" i="21"/>
  <c r="F300" i="21"/>
  <c r="F292" i="21"/>
  <c r="F284" i="21"/>
  <c r="F276" i="21"/>
  <c r="F268" i="21"/>
  <c r="F252" i="21"/>
  <c r="F244" i="21"/>
  <c r="F236" i="21"/>
  <c r="F228" i="21"/>
  <c r="F220" i="21"/>
  <c r="F212" i="21"/>
  <c r="F204" i="21"/>
  <c r="F196" i="21"/>
  <c r="F188" i="21"/>
  <c r="F180" i="21"/>
  <c r="F172" i="21"/>
  <c r="F358" i="21"/>
  <c r="F350" i="21"/>
  <c r="F342" i="21"/>
  <c r="F334" i="21"/>
  <c r="F326" i="21"/>
  <c r="F399" i="21"/>
  <c r="F367" i="21"/>
  <c r="F309" i="21"/>
  <c r="F293" i="21"/>
  <c r="F277" i="21"/>
  <c r="F245" i="21"/>
  <c r="F229" i="21"/>
  <c r="F213" i="21"/>
  <c r="F197" i="21"/>
  <c r="F181" i="21"/>
  <c r="F327" i="21"/>
  <c r="F397" i="21"/>
  <c r="F389" i="21"/>
  <c r="F381" i="21"/>
  <c r="F373" i="21"/>
  <c r="F365" i="21"/>
  <c r="F315" i="21"/>
  <c r="F307" i="21"/>
  <c r="F299" i="21"/>
  <c r="F291" i="21"/>
  <c r="F283" i="21"/>
  <c r="F275" i="21"/>
  <c r="F267" i="21"/>
  <c r="F259" i="21"/>
  <c r="F251" i="21"/>
  <c r="F243" i="21"/>
  <c r="F235" i="21"/>
  <c r="F227" i="21"/>
  <c r="F219" i="21"/>
  <c r="F211" i="21"/>
  <c r="F203" i="21"/>
  <c r="F195" i="21"/>
  <c r="F187" i="21"/>
  <c r="F179" i="21"/>
  <c r="F171" i="21"/>
  <c r="F349" i="21"/>
  <c r="F341" i="21"/>
  <c r="F333" i="21"/>
  <c r="F325" i="21"/>
  <c r="F388" i="21"/>
  <c r="F314" i="21"/>
  <c r="F282" i="21"/>
  <c r="F266" i="21"/>
  <c r="F234" i="21"/>
  <c r="F202" i="21"/>
  <c r="F178" i="21"/>
  <c r="F340" i="21"/>
  <c r="F403" i="21"/>
  <c r="F395" i="21"/>
  <c r="F387" i="21"/>
  <c r="F379" i="21"/>
  <c r="F371" i="21"/>
  <c r="F321" i="21"/>
  <c r="F313" i="21"/>
  <c r="F305" i="21"/>
  <c r="F297" i="21"/>
  <c r="F289" i="21"/>
  <c r="F281" i="21"/>
  <c r="F273" i="21"/>
  <c r="F265" i="21"/>
  <c r="F257" i="21"/>
  <c r="F249" i="21"/>
  <c r="F241" i="21"/>
  <c r="F233" i="21"/>
  <c r="F225" i="21"/>
  <c r="F217" i="21"/>
  <c r="F209" i="21"/>
  <c r="F201" i="21"/>
  <c r="F193" i="21"/>
  <c r="F185" i="21"/>
  <c r="F177" i="21"/>
  <c r="F363" i="21"/>
  <c r="F355" i="21"/>
  <c r="F347" i="21"/>
  <c r="F339" i="21"/>
  <c r="F331" i="21"/>
  <c r="F323" i="21"/>
  <c r="F396" i="21"/>
  <c r="F322" i="21"/>
  <c r="F290" i="21"/>
  <c r="F250" i="21"/>
  <c r="F218" i="21"/>
  <c r="F332" i="21"/>
  <c r="F402" i="21"/>
  <c r="F386" i="21"/>
  <c r="F378" i="21"/>
  <c r="F370" i="21"/>
  <c r="F320" i="21"/>
  <c r="F312" i="21"/>
  <c r="F304" i="21"/>
  <c r="F296" i="21"/>
  <c r="F288" i="21"/>
  <c r="F280" i="21"/>
  <c r="F272" i="21"/>
  <c r="F264" i="21"/>
  <c r="F256" i="21"/>
  <c r="F248" i="21"/>
  <c r="F240" i="21"/>
  <c r="F232" i="21"/>
  <c r="F224" i="21"/>
  <c r="F216" i="21"/>
  <c r="F208" i="21"/>
  <c r="F200" i="21"/>
  <c r="F192" i="21"/>
  <c r="F184" i="21"/>
  <c r="F176" i="21"/>
  <c r="F362" i="21"/>
  <c r="F354" i="21"/>
  <c r="F346" i="21"/>
  <c r="F338" i="21"/>
  <c r="F330" i="21"/>
  <c r="F168" i="21"/>
  <c r="F380" i="21"/>
  <c r="F306" i="21"/>
  <c r="F274" i="21"/>
  <c r="F242" i="21"/>
  <c r="F210" i="21"/>
  <c r="F186" i="21"/>
  <c r="F364" i="21"/>
  <c r="F356" i="21"/>
  <c r="F324" i="21"/>
  <c r="F385" i="21"/>
  <c r="F377" i="21"/>
  <c r="F369" i="21"/>
  <c r="F319" i="21"/>
  <c r="F311" i="21"/>
  <c r="F303" i="21"/>
  <c r="F295" i="21"/>
  <c r="F287" i="21"/>
  <c r="F279" i="21"/>
  <c r="F271" i="21"/>
  <c r="F263" i="21"/>
  <c r="F255" i="21"/>
  <c r="F247" i="21"/>
  <c r="F239" i="21"/>
  <c r="F231" i="21"/>
  <c r="F215" i="21"/>
  <c r="F207" i="21"/>
  <c r="F199" i="21"/>
  <c r="F191" i="21"/>
  <c r="F183" i="21"/>
  <c r="F175" i="21"/>
  <c r="F361" i="21"/>
  <c r="F353" i="21"/>
  <c r="F345" i="21"/>
  <c r="F337" i="21"/>
  <c r="F329" i="21"/>
  <c r="F372" i="21"/>
  <c r="F298" i="21"/>
  <c r="F258" i="21"/>
  <c r="F226" i="21"/>
  <c r="F194" i="21"/>
  <c r="F170" i="21"/>
  <c r="F348" i="21"/>
  <c r="F400" i="21"/>
  <c r="F392" i="21"/>
  <c r="F376" i="21"/>
  <c r="F368" i="21"/>
  <c r="F318" i="21"/>
  <c r="F310" i="21"/>
  <c r="F302" i="21"/>
  <c r="F294" i="21"/>
  <c r="F286" i="21"/>
  <c r="F278" i="21"/>
  <c r="F270" i="21"/>
  <c r="F262" i="21"/>
  <c r="F254" i="21"/>
  <c r="F246" i="21"/>
  <c r="F238" i="21"/>
  <c r="F230" i="21"/>
  <c r="F222" i="21"/>
  <c r="F214" i="21"/>
  <c r="F206" i="21"/>
  <c r="F198" i="21"/>
  <c r="F190" i="21"/>
  <c r="F182" i="21"/>
  <c r="F174" i="21"/>
  <c r="F352" i="21"/>
  <c r="F344" i="21"/>
  <c r="F336" i="21"/>
  <c r="F328" i="21"/>
  <c r="F394" i="21"/>
  <c r="F393" i="21"/>
  <c r="F383" i="21"/>
  <c r="F261" i="21"/>
  <c r="F260" i="21"/>
  <c r="C36" i="52"/>
  <c r="H1262" i="35"/>
  <c r="A1229" i="35"/>
  <c r="A1255" i="35"/>
  <c r="A1256" i="35" s="1"/>
  <c r="A1257" i="35" s="1"/>
  <c r="A1258" i="35" s="1"/>
  <c r="A1259" i="35" s="1"/>
  <c r="A1260" i="35" s="1"/>
  <c r="A1261" i="35"/>
  <c r="A1262" i="35" s="1"/>
  <c r="A1263" i="35" s="1"/>
  <c r="A1264" i="35" s="1"/>
  <c r="H1285" i="35"/>
  <c r="H1286" i="35" s="1"/>
  <c r="H1287" i="35" s="1"/>
  <c r="H1288" i="35" s="1"/>
  <c r="H1289" i="35" s="1"/>
  <c r="H1290" i="35" s="1"/>
  <c r="H1291" i="35" s="1"/>
  <c r="B939" i="55"/>
  <c r="D940" i="55"/>
  <c r="K47" i="52"/>
  <c r="D35" i="52"/>
  <c r="G47" i="52"/>
  <c r="E47" i="52"/>
  <c r="L47" i="52"/>
  <c r="H47" i="52"/>
  <c r="F46" i="52"/>
  <c r="F47" i="52"/>
  <c r="H1292" i="35" l="1"/>
  <c r="H1293" i="35" s="1"/>
  <c r="H239" i="35"/>
  <c r="H240" i="35" s="1"/>
  <c r="H241" i="35" s="1"/>
  <c r="H242" i="35" s="1"/>
  <c r="H243" i="35" s="1"/>
  <c r="H244" i="35" s="1"/>
  <c r="H245" i="35" s="1"/>
  <c r="H246" i="35" s="1"/>
  <c r="D939" i="55"/>
  <c r="F167" i="21"/>
  <c r="B167" i="21"/>
  <c r="A1230" i="35"/>
  <c r="H1263" i="35"/>
  <c r="A1267" i="35"/>
  <c r="A1268" i="35"/>
  <c r="A1266" i="35"/>
  <c r="A1289" i="35"/>
  <c r="A1290" i="35" s="1"/>
  <c r="A1343" i="35"/>
  <c r="A1265" i="35"/>
  <c r="A1269" i="35"/>
  <c r="E1883" i="55"/>
  <c r="E3632" i="21"/>
  <c r="E1884" i="55"/>
  <c r="E3633" i="21"/>
  <c r="E3634" i="21"/>
  <c r="E1885" i="55"/>
  <c r="E3631" i="21"/>
  <c r="E1882" i="55"/>
  <c r="F1242" i="35"/>
  <c r="F1875" i="55" s="1"/>
  <c r="E1242" i="35"/>
  <c r="F3624" i="21" s="1"/>
  <c r="D1242" i="35"/>
  <c r="E1875" i="55" s="1"/>
  <c r="G1875" i="55" s="1"/>
  <c r="F1237" i="35"/>
  <c r="F1874" i="55" s="1"/>
  <c r="E1237" i="35"/>
  <c r="F3623" i="21" s="1"/>
  <c r="D1237" i="35"/>
  <c r="E1874" i="55" s="1"/>
  <c r="F1231" i="35"/>
  <c r="F1873" i="55" s="1"/>
  <c r="E1231" i="35"/>
  <c r="F3622" i="21" s="1"/>
  <c r="H3622" i="21" s="1"/>
  <c r="F1227" i="35"/>
  <c r="F1872" i="55" s="1"/>
  <c r="E1227" i="35"/>
  <c r="F3621" i="21" s="1"/>
  <c r="H2913" i="19"/>
  <c r="G2913" i="19"/>
  <c r="F2913" i="19"/>
  <c r="E2913" i="19"/>
  <c r="D2913" i="19"/>
  <c r="C2913" i="19"/>
  <c r="B2913" i="19"/>
  <c r="I2912" i="19"/>
  <c r="C1885" i="55" s="1"/>
  <c r="I2911" i="19"/>
  <c r="C1884" i="55" s="1"/>
  <c r="I2910" i="19"/>
  <c r="C1883" i="55" s="1"/>
  <c r="I2909" i="19"/>
  <c r="C1882" i="55" s="1"/>
  <c r="I2901" i="19"/>
  <c r="C3634" i="21" s="1"/>
  <c r="I2900" i="19"/>
  <c r="C3633" i="21" s="1"/>
  <c r="I2899" i="19"/>
  <c r="C3632" i="21" s="1"/>
  <c r="I2898" i="19"/>
  <c r="C3631" i="21" s="1"/>
  <c r="I2888" i="19"/>
  <c r="I2889" i="19"/>
  <c r="I2890" i="19"/>
  <c r="I2887" i="19"/>
  <c r="H2891" i="19"/>
  <c r="G2891" i="19"/>
  <c r="F2891" i="19"/>
  <c r="E2891" i="19"/>
  <c r="D2891" i="19"/>
  <c r="C2891" i="19"/>
  <c r="H2801" i="19"/>
  <c r="G2801" i="19"/>
  <c r="I733" i="21"/>
  <c r="I732" i="21"/>
  <c r="I731" i="21"/>
  <c r="I730" i="21"/>
  <c r="I729" i="21"/>
  <c r="I728" i="21"/>
  <c r="I727" i="21"/>
  <c r="I726" i="21"/>
  <c r="I725" i="21"/>
  <c r="I724" i="21"/>
  <c r="I723" i="21"/>
  <c r="I722" i="21"/>
  <c r="I721" i="21"/>
  <c r="I720" i="21"/>
  <c r="I719" i="21"/>
  <c r="I718" i="21"/>
  <c r="I717" i="21"/>
  <c r="I716" i="21"/>
  <c r="I715" i="21"/>
  <c r="I714" i="21"/>
  <c r="I713" i="21"/>
  <c r="I712" i="21"/>
  <c r="I711" i="21"/>
  <c r="I710" i="21"/>
  <c r="I709" i="21"/>
  <c r="I708" i="21"/>
  <c r="I707" i="21"/>
  <c r="I706" i="21"/>
  <c r="I705" i="21"/>
  <c r="I704" i="21"/>
  <c r="I703" i="21"/>
  <c r="I702" i="21"/>
  <c r="I701" i="21"/>
  <c r="I700" i="21"/>
  <c r="I699" i="21"/>
  <c r="I698" i="21"/>
  <c r="I697" i="21"/>
  <c r="I696" i="21"/>
  <c r="I695" i="21"/>
  <c r="I694" i="21"/>
  <c r="I693" i="21"/>
  <c r="I692" i="21"/>
  <c r="I691" i="21"/>
  <c r="I690" i="21"/>
  <c r="I689" i="21"/>
  <c r="I688" i="21"/>
  <c r="I687" i="21"/>
  <c r="I686" i="21"/>
  <c r="I685" i="21"/>
  <c r="I684" i="21"/>
  <c r="I683" i="21"/>
  <c r="I682" i="21"/>
  <c r="I681" i="21"/>
  <c r="I680" i="21"/>
  <c r="I679" i="21"/>
  <c r="I678" i="21"/>
  <c r="I677" i="21"/>
  <c r="I676" i="21"/>
  <c r="I675" i="21"/>
  <c r="I674" i="21"/>
  <c r="I673" i="21"/>
  <c r="I672" i="21"/>
  <c r="I671" i="21"/>
  <c r="I670" i="21"/>
  <c r="I669" i="21"/>
  <c r="I668" i="21"/>
  <c r="I667" i="21"/>
  <c r="I666" i="21"/>
  <c r="I665" i="21"/>
  <c r="I664" i="21"/>
  <c r="I663" i="21"/>
  <c r="I662" i="21"/>
  <c r="I661" i="21"/>
  <c r="I660" i="21"/>
  <c r="I659" i="21"/>
  <c r="I658" i="21"/>
  <c r="I657" i="21"/>
  <c r="I656" i="21"/>
  <c r="I655" i="21"/>
  <c r="I654" i="21"/>
  <c r="I653" i="21"/>
  <c r="I652" i="21"/>
  <c r="I651" i="21"/>
  <c r="I650" i="21"/>
  <c r="I649" i="21"/>
  <c r="I648" i="21"/>
  <c r="I647" i="21"/>
  <c r="I646" i="21"/>
  <c r="I645" i="21"/>
  <c r="I644" i="21"/>
  <c r="I643" i="21"/>
  <c r="I642" i="21"/>
  <c r="I641" i="21"/>
  <c r="I640" i="21"/>
  <c r="I639" i="21"/>
  <c r="I638" i="21"/>
  <c r="I637" i="21"/>
  <c r="I636" i="21"/>
  <c r="I635" i="21"/>
  <c r="I634" i="21"/>
  <c r="I633" i="21"/>
  <c r="I632" i="21"/>
  <c r="I631" i="21"/>
  <c r="I630" i="21"/>
  <c r="I629" i="21"/>
  <c r="I628" i="21"/>
  <c r="I627" i="21"/>
  <c r="I626" i="21"/>
  <c r="I625" i="21"/>
  <c r="I624" i="21"/>
  <c r="I623" i="21"/>
  <c r="I622" i="21"/>
  <c r="I621" i="21"/>
  <c r="I620" i="21"/>
  <c r="I619" i="21"/>
  <c r="I618" i="21"/>
  <c r="I617" i="21"/>
  <c r="I616" i="21"/>
  <c r="I615" i="21"/>
  <c r="I614" i="21"/>
  <c r="I613" i="21"/>
  <c r="I612" i="21"/>
  <c r="I611" i="21"/>
  <c r="I610" i="21"/>
  <c r="I609" i="21"/>
  <c r="I608" i="21"/>
  <c r="I607" i="21"/>
  <c r="I606" i="21"/>
  <c r="I605" i="21"/>
  <c r="I604" i="21"/>
  <c r="I603" i="21"/>
  <c r="I602" i="21"/>
  <c r="I601" i="21"/>
  <c r="I600" i="21"/>
  <c r="I599" i="21"/>
  <c r="I598" i="21"/>
  <c r="I597" i="21"/>
  <c r="I596" i="21"/>
  <c r="I595" i="21"/>
  <c r="I594" i="21"/>
  <c r="I593" i="21"/>
  <c r="I592" i="21"/>
  <c r="I591" i="21"/>
  <c r="I590" i="21"/>
  <c r="I589" i="21"/>
  <c r="I588" i="21"/>
  <c r="I587" i="21"/>
  <c r="I586" i="21"/>
  <c r="I585" i="21"/>
  <c r="I584" i="21"/>
  <c r="I583" i="21"/>
  <c r="I582" i="21"/>
  <c r="I581" i="21"/>
  <c r="I580" i="21"/>
  <c r="I579" i="21"/>
  <c r="I578" i="21"/>
  <c r="I577" i="21"/>
  <c r="I576" i="21"/>
  <c r="I575" i="21"/>
  <c r="I574" i="21"/>
  <c r="I573" i="21"/>
  <c r="I572" i="21"/>
  <c r="I571" i="21"/>
  <c r="I570" i="21"/>
  <c r="I569" i="21"/>
  <c r="I568" i="21"/>
  <c r="I567" i="21"/>
  <c r="I566" i="21"/>
  <c r="I565" i="21"/>
  <c r="I564" i="21"/>
  <c r="I563" i="21"/>
  <c r="I562" i="21"/>
  <c r="I561" i="21"/>
  <c r="I560" i="21"/>
  <c r="I559" i="21"/>
  <c r="I558" i="21"/>
  <c r="I557" i="21"/>
  <c r="I556" i="21"/>
  <c r="I555" i="21"/>
  <c r="I554" i="21"/>
  <c r="I553" i="21"/>
  <c r="I552" i="21"/>
  <c r="I551" i="21"/>
  <c r="I550" i="21"/>
  <c r="I549" i="21"/>
  <c r="I548" i="21"/>
  <c r="I547" i="21"/>
  <c r="I546" i="21"/>
  <c r="I545" i="21"/>
  <c r="I544" i="21"/>
  <c r="I543" i="21"/>
  <c r="I542" i="21"/>
  <c r="I541" i="21"/>
  <c r="I540" i="21"/>
  <c r="I539" i="21"/>
  <c r="I538" i="21"/>
  <c r="I537" i="21"/>
  <c r="I536" i="21"/>
  <c r="I535" i="21"/>
  <c r="I534" i="21"/>
  <c r="I533" i="21"/>
  <c r="I532" i="21"/>
  <c r="I531" i="21"/>
  <c r="I530" i="21"/>
  <c r="I529" i="21"/>
  <c r="I528" i="21"/>
  <c r="I527" i="21"/>
  <c r="I526" i="21"/>
  <c r="I525" i="21"/>
  <c r="I524" i="21"/>
  <c r="I523" i="21"/>
  <c r="I522" i="21"/>
  <c r="I521" i="21"/>
  <c r="I520" i="21"/>
  <c r="I519" i="21"/>
  <c r="I518" i="21"/>
  <c r="I517" i="21"/>
  <c r="I516" i="21"/>
  <c r="I515" i="21"/>
  <c r="I514" i="21"/>
  <c r="I513" i="21"/>
  <c r="I512" i="21"/>
  <c r="I511" i="21"/>
  <c r="I510" i="21"/>
  <c r="I509" i="21"/>
  <c r="I508" i="21"/>
  <c r="I507" i="21"/>
  <c r="I506" i="21"/>
  <c r="I505" i="21"/>
  <c r="I504" i="21"/>
  <c r="I503" i="21"/>
  <c r="I502" i="21"/>
  <c r="I501" i="21"/>
  <c r="I500" i="21"/>
  <c r="I499" i="21"/>
  <c r="I498" i="21"/>
  <c r="I497" i="21"/>
  <c r="I496" i="21"/>
  <c r="I495" i="21"/>
  <c r="I494" i="21"/>
  <c r="I493" i="21"/>
  <c r="I492" i="21"/>
  <c r="I491" i="21"/>
  <c r="I490" i="21"/>
  <c r="I489" i="21"/>
  <c r="I488" i="21"/>
  <c r="I487" i="21"/>
  <c r="I486" i="21"/>
  <c r="I485" i="21"/>
  <c r="I484" i="21"/>
  <c r="I483" i="21"/>
  <c r="I482" i="21"/>
  <c r="I481" i="21"/>
  <c r="I480" i="21"/>
  <c r="I479" i="21"/>
  <c r="I478" i="21"/>
  <c r="I477" i="21"/>
  <c r="I476" i="21"/>
  <c r="I475" i="21"/>
  <c r="I474" i="21"/>
  <c r="I473" i="21"/>
  <c r="I472" i="21"/>
  <c r="I471" i="21"/>
  <c r="I470" i="21"/>
  <c r="I469" i="21"/>
  <c r="I468" i="21"/>
  <c r="I467" i="21"/>
  <c r="I466" i="21"/>
  <c r="I465" i="21"/>
  <c r="I464" i="21"/>
  <c r="I463" i="21"/>
  <c r="I462" i="21"/>
  <c r="I461" i="21"/>
  <c r="I460" i="21"/>
  <c r="I459" i="21"/>
  <c r="I458" i="21"/>
  <c r="I457" i="21"/>
  <c r="I456" i="21"/>
  <c r="I455" i="21"/>
  <c r="I454" i="21"/>
  <c r="I453" i="21"/>
  <c r="I452" i="21"/>
  <c r="I451" i="21"/>
  <c r="I450" i="21"/>
  <c r="I449" i="21"/>
  <c r="I448" i="21"/>
  <c r="I447" i="21"/>
  <c r="I446" i="21"/>
  <c r="I445" i="21"/>
  <c r="I444" i="21"/>
  <c r="I443" i="21"/>
  <c r="I442" i="21"/>
  <c r="I441" i="21"/>
  <c r="I440" i="21"/>
  <c r="I439" i="21"/>
  <c r="I438" i="21"/>
  <c r="I437" i="21"/>
  <c r="I436" i="21"/>
  <c r="I435" i="21"/>
  <c r="I434" i="21"/>
  <c r="I433" i="21"/>
  <c r="I432" i="21"/>
  <c r="I431" i="21"/>
  <c r="I430" i="21"/>
  <c r="I429" i="21"/>
  <c r="I428" i="21"/>
  <c r="I427" i="21"/>
  <c r="I426" i="21"/>
  <c r="I425" i="21"/>
  <c r="I424" i="21"/>
  <c r="I423" i="21"/>
  <c r="I422" i="21"/>
  <c r="I421" i="21"/>
  <c r="I420" i="21"/>
  <c r="I419" i="21"/>
  <c r="I418" i="21"/>
  <c r="I417" i="21"/>
  <c r="I416" i="21"/>
  <c r="I415" i="21"/>
  <c r="I414" i="21"/>
  <c r="I413" i="21"/>
  <c r="I412" i="21"/>
  <c r="I411" i="21"/>
  <c r="I410" i="21"/>
  <c r="I409" i="21"/>
  <c r="I408" i="21"/>
  <c r="I407" i="21"/>
  <c r="I406" i="21"/>
  <c r="I403" i="21"/>
  <c r="I402" i="21"/>
  <c r="I401" i="21"/>
  <c r="I400" i="21"/>
  <c r="I399" i="21"/>
  <c r="I398" i="21"/>
  <c r="I397" i="21"/>
  <c r="I396" i="21"/>
  <c r="I395" i="21"/>
  <c r="I394" i="21"/>
  <c r="I393" i="21"/>
  <c r="I392" i="21"/>
  <c r="I391" i="21"/>
  <c r="I390" i="21"/>
  <c r="I389" i="21"/>
  <c r="I388" i="21"/>
  <c r="I387" i="21"/>
  <c r="I386" i="21"/>
  <c r="I385" i="21"/>
  <c r="I384" i="21"/>
  <c r="I383" i="21"/>
  <c r="I382" i="21"/>
  <c r="I381" i="21"/>
  <c r="I380" i="21"/>
  <c r="I379" i="21"/>
  <c r="I378" i="21"/>
  <c r="I377" i="21"/>
  <c r="I376" i="21"/>
  <c r="I375" i="21"/>
  <c r="I374" i="21"/>
  <c r="I373" i="21"/>
  <c r="I372" i="21"/>
  <c r="I371" i="21"/>
  <c r="I370" i="21"/>
  <c r="I369" i="21"/>
  <c r="I368" i="21"/>
  <c r="I367" i="21"/>
  <c r="I366" i="21"/>
  <c r="I365" i="21"/>
  <c r="I364" i="21"/>
  <c r="I363" i="21"/>
  <c r="I362" i="21"/>
  <c r="I361" i="21"/>
  <c r="I360" i="21"/>
  <c r="I359" i="21"/>
  <c r="I358" i="21"/>
  <c r="I357" i="21"/>
  <c r="I356" i="21"/>
  <c r="I355" i="21"/>
  <c r="I354" i="21"/>
  <c r="I353" i="21"/>
  <c r="I352" i="21"/>
  <c r="I351" i="21"/>
  <c r="I350" i="21"/>
  <c r="I349" i="21"/>
  <c r="I300" i="21"/>
  <c r="I299" i="21"/>
  <c r="I298" i="21"/>
  <c r="I297" i="21"/>
  <c r="I296" i="21"/>
  <c r="I295" i="21"/>
  <c r="I294" i="21"/>
  <c r="I293" i="21"/>
  <c r="I292" i="21"/>
  <c r="I291" i="21"/>
  <c r="I290" i="21"/>
  <c r="I289" i="21"/>
  <c r="I288" i="21"/>
  <c r="I287" i="21"/>
  <c r="I286" i="21"/>
  <c r="I285" i="21"/>
  <c r="I284" i="21"/>
  <c r="I283" i="21"/>
  <c r="I282" i="21"/>
  <c r="I281" i="21"/>
  <c r="I280" i="21"/>
  <c r="I279" i="21"/>
  <c r="I278" i="21"/>
  <c r="I277" i="21"/>
  <c r="I276" i="21"/>
  <c r="I275" i="21"/>
  <c r="I274" i="21"/>
  <c r="I273" i="21"/>
  <c r="I272" i="21"/>
  <c r="I271" i="21"/>
  <c r="I270" i="21"/>
  <c r="I269" i="21"/>
  <c r="I268" i="21"/>
  <c r="I267" i="21"/>
  <c r="I266" i="21"/>
  <c r="I265" i="21"/>
  <c r="I264" i="21"/>
  <c r="I263" i="21"/>
  <c r="I262" i="21"/>
  <c r="I261" i="21"/>
  <c r="I260" i="21"/>
  <c r="I259" i="21"/>
  <c r="I258" i="21"/>
  <c r="I257" i="21"/>
  <c r="I256" i="21"/>
  <c r="I255" i="21"/>
  <c r="I254" i="21"/>
  <c r="I253" i="21"/>
  <c r="I252" i="21"/>
  <c r="I251" i="21"/>
  <c r="I250" i="21"/>
  <c r="I249" i="21"/>
  <c r="I248" i="21"/>
  <c r="I247" i="21"/>
  <c r="I246" i="21"/>
  <c r="I245" i="21"/>
  <c r="I244" i="21"/>
  <c r="I243" i="21"/>
  <c r="I242" i="21"/>
  <c r="I241" i="21"/>
  <c r="I240" i="21"/>
  <c r="I239" i="21"/>
  <c r="I238" i="21"/>
  <c r="I237" i="21"/>
  <c r="I236" i="21"/>
  <c r="I235" i="21"/>
  <c r="I234" i="21"/>
  <c r="I233" i="21"/>
  <c r="I232" i="21"/>
  <c r="I231" i="21"/>
  <c r="I230" i="21"/>
  <c r="I229" i="21"/>
  <c r="I228" i="21"/>
  <c r="I227" i="21"/>
  <c r="I226" i="21"/>
  <c r="I225" i="21"/>
  <c r="I224" i="21"/>
  <c r="I223" i="21"/>
  <c r="I222" i="21"/>
  <c r="I221" i="21"/>
  <c r="I220" i="21"/>
  <c r="I219" i="21"/>
  <c r="I218" i="21"/>
  <c r="I217" i="21"/>
  <c r="I216" i="21"/>
  <c r="I215" i="21"/>
  <c r="I214" i="21"/>
  <c r="I213" i="21"/>
  <c r="I212" i="21"/>
  <c r="I211" i="21"/>
  <c r="I210" i="21"/>
  <c r="I209" i="21"/>
  <c r="I208" i="21"/>
  <c r="I207" i="21"/>
  <c r="I206" i="21"/>
  <c r="I205" i="21"/>
  <c r="I204" i="21"/>
  <c r="I203" i="21"/>
  <c r="I202" i="21"/>
  <c r="I201" i="21"/>
  <c r="I200" i="21"/>
  <c r="I199" i="21"/>
  <c r="I198" i="21"/>
  <c r="I197" i="21"/>
  <c r="I196" i="21"/>
  <c r="I195" i="21"/>
  <c r="I194" i="21"/>
  <c r="I193" i="21"/>
  <c r="I192" i="21"/>
  <c r="I191" i="21"/>
  <c r="I190" i="21"/>
  <c r="I189" i="21"/>
  <c r="I188" i="21"/>
  <c r="I187" i="21"/>
  <c r="I186" i="21"/>
  <c r="I185" i="21"/>
  <c r="I184" i="21"/>
  <c r="I183" i="21"/>
  <c r="I182" i="21"/>
  <c r="I181" i="21"/>
  <c r="I180" i="21"/>
  <c r="I179" i="21"/>
  <c r="I178" i="21"/>
  <c r="I177" i="21"/>
  <c r="I176" i="21"/>
  <c r="I175" i="21"/>
  <c r="I174" i="21"/>
  <c r="I173" i="21"/>
  <c r="I172" i="21"/>
  <c r="I171" i="21"/>
  <c r="I170" i="21"/>
  <c r="I169" i="21"/>
  <c r="I168" i="21"/>
  <c r="A1" i="19"/>
  <c r="O610" i="47"/>
  <c r="A18" i="58"/>
  <c r="A17" i="58"/>
  <c r="A16" i="58"/>
  <c r="A15" i="58"/>
  <c r="A14" i="58"/>
  <c r="A13" i="58"/>
  <c r="O683" i="47"/>
  <c r="O682" i="47"/>
  <c r="O679" i="47"/>
  <c r="O680" i="47"/>
  <c r="O678" i="47"/>
  <c r="O676" i="47"/>
  <c r="O675" i="47"/>
  <c r="O674" i="47"/>
  <c r="O673" i="47"/>
  <c r="O672" i="47"/>
  <c r="O671" i="47"/>
  <c r="O666" i="47"/>
  <c r="O665" i="47"/>
  <c r="O664" i="47"/>
  <c r="O663" i="47"/>
  <c r="O662" i="47"/>
  <c r="O661" i="47"/>
  <c r="O660" i="47"/>
  <c r="O659" i="47"/>
  <c r="O658" i="47"/>
  <c r="O657" i="47"/>
  <c r="O656" i="47"/>
  <c r="O655" i="47"/>
  <c r="O654" i="47"/>
  <c r="O653" i="47"/>
  <c r="O652" i="47"/>
  <c r="O651" i="47"/>
  <c r="O650" i="47"/>
  <c r="O649" i="47"/>
  <c r="O648" i="47"/>
  <c r="O647" i="47"/>
  <c r="O646" i="47"/>
  <c r="O645" i="47"/>
  <c r="O644" i="47"/>
  <c r="O643" i="47"/>
  <c r="O642" i="47"/>
  <c r="O641" i="47"/>
  <c r="O640" i="47"/>
  <c r="O639" i="47"/>
  <c r="O638" i="47"/>
  <c r="O637" i="47"/>
  <c r="O636" i="47"/>
  <c r="O635" i="47"/>
  <c r="O634" i="47"/>
  <c r="O633" i="47"/>
  <c r="O632" i="47"/>
  <c r="O631" i="47"/>
  <c r="O630" i="47"/>
  <c r="O629" i="47"/>
  <c r="O628" i="47"/>
  <c r="O627" i="47"/>
  <c r="O626" i="47"/>
  <c r="O625" i="47"/>
  <c r="O624" i="47"/>
  <c r="O623" i="47"/>
  <c r="O622" i="47"/>
  <c r="O621" i="47"/>
  <c r="O620" i="47"/>
  <c r="O619" i="47"/>
  <c r="O618" i="47"/>
  <c r="O617" i="47"/>
  <c r="O616" i="47"/>
  <c r="O615" i="47"/>
  <c r="O614" i="47"/>
  <c r="O613" i="47"/>
  <c r="O612" i="47"/>
  <c r="O611" i="47"/>
  <c r="A97" i="58"/>
  <c r="A98" i="58" s="1"/>
  <c r="A99" i="58" s="1"/>
  <c r="A100" i="58" s="1"/>
  <c r="A101" i="58" s="1"/>
  <c r="A102" i="58" s="1"/>
  <c r="A63" i="58"/>
  <c r="A64" i="58"/>
  <c r="A65" i="58"/>
  <c r="A66" i="58"/>
  <c r="A67" i="58"/>
  <c r="A62" i="58"/>
  <c r="A56" i="58"/>
  <c r="A57" i="58"/>
  <c r="A58" i="58"/>
  <c r="A59" i="58"/>
  <c r="A60" i="58"/>
  <c r="A55" i="58"/>
  <c r="A49" i="58"/>
  <c r="A50" i="58"/>
  <c r="A51" i="58"/>
  <c r="A52" i="58"/>
  <c r="A53" i="58"/>
  <c r="A48" i="58"/>
  <c r="A42" i="58"/>
  <c r="A43" i="58"/>
  <c r="A44" i="58"/>
  <c r="A45" i="58"/>
  <c r="A46" i="58"/>
  <c r="A41" i="58"/>
  <c r="A35" i="58"/>
  <c r="A36" i="58"/>
  <c r="A37" i="58"/>
  <c r="A38" i="58"/>
  <c r="A39" i="58"/>
  <c r="A34" i="58"/>
  <c r="O317" i="47"/>
  <c r="O318" i="47"/>
  <c r="O319" i="47"/>
  <c r="O320" i="47"/>
  <c r="O321" i="47"/>
  <c r="O322" i="47"/>
  <c r="O323" i="47"/>
  <c r="O324" i="47"/>
  <c r="O325" i="47"/>
  <c r="O326" i="47"/>
  <c r="O327" i="47"/>
  <c r="O328" i="47"/>
  <c r="O329" i="47"/>
  <c r="O330" i="47"/>
  <c r="O331" i="47"/>
  <c r="O332" i="47"/>
  <c r="O333" i="47"/>
  <c r="O334" i="47"/>
  <c r="O335" i="47"/>
  <c r="O336" i="47"/>
  <c r="O337" i="47"/>
  <c r="O338" i="47"/>
  <c r="O339" i="47"/>
  <c r="O340" i="47"/>
  <c r="O341" i="47"/>
  <c r="O342" i="47"/>
  <c r="O343" i="47"/>
  <c r="O344" i="47"/>
  <c r="O345" i="47"/>
  <c r="O346" i="47"/>
  <c r="O347" i="47"/>
  <c r="O348" i="47"/>
  <c r="O349" i="47"/>
  <c r="O350" i="47"/>
  <c r="O351" i="47"/>
  <c r="O352" i="47"/>
  <c r="O353" i="47"/>
  <c r="O354" i="47"/>
  <c r="O355" i="47"/>
  <c r="O356" i="47"/>
  <c r="O357" i="47"/>
  <c r="O358" i="47"/>
  <c r="O359" i="47"/>
  <c r="O360" i="47"/>
  <c r="O361" i="47"/>
  <c r="O362" i="47"/>
  <c r="O363" i="47"/>
  <c r="O364" i="47"/>
  <c r="O365" i="47"/>
  <c r="O366" i="47"/>
  <c r="O367" i="47"/>
  <c r="O368" i="47"/>
  <c r="O369" i="47"/>
  <c r="O370" i="47"/>
  <c r="O371" i="47"/>
  <c r="O372" i="47"/>
  <c r="O373" i="47"/>
  <c r="O374" i="47"/>
  <c r="O375" i="47"/>
  <c r="O376" i="47"/>
  <c r="O377" i="47"/>
  <c r="O378" i="47"/>
  <c r="O379" i="47"/>
  <c r="O380" i="47"/>
  <c r="O381" i="47"/>
  <c r="O382" i="47"/>
  <c r="O383" i="47"/>
  <c r="O384" i="47"/>
  <c r="O385" i="47"/>
  <c r="O386" i="47"/>
  <c r="O387" i="47"/>
  <c r="O388" i="47"/>
  <c r="O389" i="47"/>
  <c r="O390" i="47"/>
  <c r="O391" i="47"/>
  <c r="O392" i="47"/>
  <c r="O393" i="47"/>
  <c r="O394" i="47"/>
  <c r="O395" i="47"/>
  <c r="O396" i="47"/>
  <c r="O397" i="47"/>
  <c r="O398" i="47"/>
  <c r="O399" i="47"/>
  <c r="O400" i="47"/>
  <c r="O401" i="47"/>
  <c r="O402" i="47"/>
  <c r="O403" i="47"/>
  <c r="O404" i="47"/>
  <c r="O405" i="47"/>
  <c r="O406" i="47"/>
  <c r="O407" i="47"/>
  <c r="O408" i="47"/>
  <c r="O409" i="47"/>
  <c r="O410" i="47"/>
  <c r="O411" i="47"/>
  <c r="O412" i="47"/>
  <c r="O413" i="47"/>
  <c r="O414" i="47"/>
  <c r="O415" i="47"/>
  <c r="O416" i="47"/>
  <c r="O417" i="47"/>
  <c r="O418" i="47"/>
  <c r="O419" i="47"/>
  <c r="O420" i="47"/>
  <c r="O421" i="47"/>
  <c r="O422" i="47"/>
  <c r="O423" i="47"/>
  <c r="O424" i="47"/>
  <c r="O425" i="47"/>
  <c r="O426" i="47"/>
  <c r="O427" i="47"/>
  <c r="O428" i="47"/>
  <c r="O429" i="47"/>
  <c r="O430" i="47"/>
  <c r="O431" i="47"/>
  <c r="O432" i="47"/>
  <c r="O433" i="47"/>
  <c r="O434" i="47"/>
  <c r="O435" i="47"/>
  <c r="O436" i="47"/>
  <c r="O437" i="47"/>
  <c r="O438" i="47"/>
  <c r="O439" i="47"/>
  <c r="O440" i="47"/>
  <c r="O441" i="47"/>
  <c r="O442" i="47"/>
  <c r="O443" i="47"/>
  <c r="O444" i="47"/>
  <c r="O445" i="47"/>
  <c r="O446" i="47"/>
  <c r="O447" i="47"/>
  <c r="O448" i="47"/>
  <c r="O449" i="47"/>
  <c r="O450" i="47"/>
  <c r="O451" i="47"/>
  <c r="O452" i="47"/>
  <c r="O453" i="47"/>
  <c r="O454" i="47"/>
  <c r="O455" i="47"/>
  <c r="O456" i="47"/>
  <c r="O470" i="47"/>
  <c r="O471" i="47"/>
  <c r="O472" i="47"/>
  <c r="O473" i="47"/>
  <c r="O474" i="47"/>
  <c r="O475" i="47"/>
  <c r="O476" i="47"/>
  <c r="O477" i="47"/>
  <c r="O478" i="47"/>
  <c r="O81" i="47"/>
  <c r="O82" i="47"/>
  <c r="O83" i="47"/>
  <c r="O84" i="47"/>
  <c r="O85" i="47"/>
  <c r="O86" i="47"/>
  <c r="O87" i="47"/>
  <c r="O88" i="47"/>
  <c r="O89" i="47"/>
  <c r="O90" i="47"/>
  <c r="O91" i="47"/>
  <c r="O92" i="47"/>
  <c r="O93" i="47"/>
  <c r="O94" i="47"/>
  <c r="O95" i="47"/>
  <c r="O96" i="47"/>
  <c r="O97" i="47"/>
  <c r="O98" i="47"/>
  <c r="O99" i="47"/>
  <c r="O100" i="47"/>
  <c r="O101" i="47"/>
  <c r="O102" i="47"/>
  <c r="O103" i="47"/>
  <c r="O104" i="47"/>
  <c r="O105" i="47"/>
  <c r="O106" i="47"/>
  <c r="O107" i="47"/>
  <c r="O108" i="47"/>
  <c r="O109" i="47"/>
  <c r="O110" i="47"/>
  <c r="O111" i="47"/>
  <c r="O112" i="47"/>
  <c r="O113" i="47"/>
  <c r="O114" i="47"/>
  <c r="O115" i="47"/>
  <c r="O116" i="47"/>
  <c r="O117" i="47"/>
  <c r="O118" i="47"/>
  <c r="O119" i="47"/>
  <c r="O120" i="47"/>
  <c r="O121" i="47"/>
  <c r="O122" i="47"/>
  <c r="O123" i="47"/>
  <c r="O124" i="47"/>
  <c r="O125" i="47"/>
  <c r="O126" i="47"/>
  <c r="O127" i="47"/>
  <c r="O128" i="47"/>
  <c r="O129" i="47"/>
  <c r="O130" i="47"/>
  <c r="O131" i="47"/>
  <c r="O132" i="47"/>
  <c r="O133" i="47"/>
  <c r="O134" i="47"/>
  <c r="O135" i="47"/>
  <c r="O136" i="47"/>
  <c r="O137" i="47"/>
  <c r="O138" i="47"/>
  <c r="O139" i="47"/>
  <c r="O140" i="47"/>
  <c r="O141" i="47"/>
  <c r="O142" i="47"/>
  <c r="O143" i="47"/>
  <c r="O144" i="47"/>
  <c r="O145" i="47"/>
  <c r="O146" i="47"/>
  <c r="O267" i="47"/>
  <c r="O268" i="47"/>
  <c r="O269" i="47"/>
  <c r="O270" i="47"/>
  <c r="O271" i="47"/>
  <c r="O272" i="47"/>
  <c r="O273" i="47"/>
  <c r="O274" i="47"/>
  <c r="O275" i="47"/>
  <c r="O276" i="47"/>
  <c r="O277" i="47"/>
  <c r="O278" i="47"/>
  <c r="O279" i="47"/>
  <c r="O280" i="47"/>
  <c r="O281" i="47"/>
  <c r="O282" i="47"/>
  <c r="O283" i="47"/>
  <c r="O284" i="47"/>
  <c r="O285" i="47"/>
  <c r="O286" i="47"/>
  <c r="O287" i="47"/>
  <c r="O288" i="47"/>
  <c r="O289" i="47"/>
  <c r="O290" i="47"/>
  <c r="O291" i="47"/>
  <c r="O292" i="47"/>
  <c r="O293" i="47"/>
  <c r="O294" i="47"/>
  <c r="O295" i="47"/>
  <c r="O296" i="47"/>
  <c r="O297" i="47"/>
  <c r="O298" i="47"/>
  <c r="O299" i="47"/>
  <c r="O300" i="47"/>
  <c r="O301" i="47"/>
  <c r="O302" i="47"/>
  <c r="O303" i="47"/>
  <c r="O304" i="47"/>
  <c r="O305" i="47"/>
  <c r="O306" i="47"/>
  <c r="O307" i="47"/>
  <c r="O308" i="47"/>
  <c r="O309" i="47"/>
  <c r="O310" i="47"/>
  <c r="O311" i="47"/>
  <c r="O312" i="47"/>
  <c r="O313" i="47"/>
  <c r="O314" i="47"/>
  <c r="O80" i="47"/>
  <c r="O13" i="47"/>
  <c r="O14" i="47"/>
  <c r="O15" i="47"/>
  <c r="O19" i="47"/>
  <c r="O20" i="47"/>
  <c r="O21" i="47"/>
  <c r="O22" i="47"/>
  <c r="O23" i="47"/>
  <c r="O24" i="47"/>
  <c r="O25" i="47"/>
  <c r="O26" i="47"/>
  <c r="O27" i="47"/>
  <c r="O28" i="47"/>
  <c r="O29" i="47"/>
  <c r="O30" i="47"/>
  <c r="O31" i="47"/>
  <c r="O32" i="47"/>
  <c r="O33" i="47"/>
  <c r="O34" i="47"/>
  <c r="O35" i="47"/>
  <c r="O36" i="47"/>
  <c r="O37" i="47"/>
  <c r="O38" i="47"/>
  <c r="O39" i="47"/>
  <c r="O40" i="47"/>
  <c r="O41" i="47"/>
  <c r="O42" i="47"/>
  <c r="O43" i="47"/>
  <c r="O44" i="47"/>
  <c r="O45" i="47"/>
  <c r="O46" i="47"/>
  <c r="O47" i="47"/>
  <c r="O48" i="47"/>
  <c r="O49" i="47"/>
  <c r="O50" i="47"/>
  <c r="O51" i="47"/>
  <c r="O52" i="47"/>
  <c r="O53" i="47"/>
  <c r="O54" i="47"/>
  <c r="O55" i="47"/>
  <c r="O56" i="47"/>
  <c r="O57" i="47"/>
  <c r="O58" i="47"/>
  <c r="O59" i="47"/>
  <c r="O60" i="47"/>
  <c r="O61" i="47"/>
  <c r="O62" i="47"/>
  <c r="O63" i="47"/>
  <c r="O64" i="47"/>
  <c r="O65" i="47"/>
  <c r="O66" i="47"/>
  <c r="O67" i="47"/>
  <c r="O68" i="47"/>
  <c r="O69" i="47"/>
  <c r="O71" i="47"/>
  <c r="O72" i="47"/>
  <c r="O73" i="47"/>
  <c r="O74" i="47"/>
  <c r="O75" i="47"/>
  <c r="O76" i="47"/>
  <c r="O77" i="47"/>
  <c r="O78" i="47"/>
  <c r="O12" i="47"/>
  <c r="A71" i="58"/>
  <c r="A70" i="58"/>
  <c r="A72" i="58"/>
  <c r="A73" i="58"/>
  <c r="A29" i="58"/>
  <c r="A28" i="58"/>
  <c r="A22" i="58"/>
  <c r="A21" i="58"/>
  <c r="A23" i="58"/>
  <c r="A74" i="58"/>
  <c r="A69" i="58"/>
  <c r="A30" i="58"/>
  <c r="A31" i="58"/>
  <c r="A32" i="58"/>
  <c r="A27" i="58"/>
  <c r="A24" i="58"/>
  <c r="A25" i="58"/>
  <c r="A20" i="58"/>
  <c r="A2" i="58"/>
  <c r="A2" i="47"/>
  <c r="J39" i="52"/>
  <c r="J38" i="52"/>
  <c r="G167" i="21"/>
  <c r="A39" i="54"/>
  <c r="A27" i="54"/>
  <c r="A15" i="54"/>
  <c r="A3" i="54"/>
  <c r="A3" i="50"/>
  <c r="D681" i="47"/>
  <c r="D684" i="47"/>
  <c r="D677" i="47"/>
  <c r="D609" i="47"/>
  <c r="H247" i="35" l="1"/>
  <c r="H248" i="35"/>
  <c r="H250" i="35" s="1"/>
  <c r="H252" i="35" s="1"/>
  <c r="H254" i="35" s="1"/>
  <c r="H256" i="35" s="1"/>
  <c r="H258" i="35" s="1"/>
  <c r="H260" i="35" s="1"/>
  <c r="H262" i="35" s="1"/>
  <c r="H1294" i="35"/>
  <c r="H1295" i="35" s="1"/>
  <c r="H1296" i="35" s="1"/>
  <c r="H1297" i="35" s="1"/>
  <c r="H1298" i="35" s="1"/>
  <c r="H1299" i="35" s="1"/>
  <c r="H1300" i="35" s="1"/>
  <c r="H1301" i="35" s="1"/>
  <c r="H1302" i="35" s="1"/>
  <c r="H1303" i="35" s="1"/>
  <c r="H1304" i="35"/>
  <c r="H1305" i="35" s="1"/>
  <c r="H1306" i="35" s="1"/>
  <c r="H1307" i="35" s="1"/>
  <c r="H1308" i="35" s="1"/>
  <c r="I14" i="58"/>
  <c r="I16" i="58"/>
  <c r="I15" i="58"/>
  <c r="I17" i="58"/>
  <c r="G13" i="58"/>
  <c r="G1874" i="55"/>
  <c r="G1876" i="55" s="1"/>
  <c r="E1876" i="55"/>
  <c r="E17" i="58"/>
  <c r="E31" i="58"/>
  <c r="E24" i="58"/>
  <c r="E20" i="58"/>
  <c r="E25" i="58"/>
  <c r="E30" i="58"/>
  <c r="E29" i="58"/>
  <c r="E28" i="58"/>
  <c r="E27" i="58"/>
  <c r="E16" i="58"/>
  <c r="E15" i="58"/>
  <c r="E14" i="58"/>
  <c r="E23" i="58"/>
  <c r="E22" i="58"/>
  <c r="E21" i="58"/>
  <c r="E32" i="58"/>
  <c r="E13" i="58"/>
  <c r="E18" i="58"/>
  <c r="G16" i="58"/>
  <c r="G15" i="58"/>
  <c r="G14" i="58"/>
  <c r="G17" i="58"/>
  <c r="F1876" i="55"/>
  <c r="I167" i="21"/>
  <c r="I73" i="58"/>
  <c r="A1245" i="35"/>
  <c r="A1350" i="35"/>
  <c r="A1351" i="35" s="1"/>
  <c r="A1352" i="35" s="1"/>
  <c r="A1353" i="35" s="1"/>
  <c r="A1354" i="35" s="1"/>
  <c r="H1264" i="35"/>
  <c r="A1270" i="35"/>
  <c r="A1305" i="35"/>
  <c r="A1306" i="35" s="1"/>
  <c r="A1307" i="35" s="1"/>
  <c r="A1308" i="35" s="1"/>
  <c r="A1291" i="35"/>
  <c r="A1344" i="35"/>
  <c r="E3623" i="21"/>
  <c r="E3621" i="21"/>
  <c r="E3624" i="21"/>
  <c r="D1884" i="55"/>
  <c r="E3622" i="21"/>
  <c r="D1882" i="55"/>
  <c r="D1883" i="55"/>
  <c r="D1885" i="55"/>
  <c r="B3631" i="21"/>
  <c r="B1882" i="55"/>
  <c r="B3634" i="21"/>
  <c r="B1885" i="55"/>
  <c r="B3633" i="21"/>
  <c r="B1884" i="55"/>
  <c r="B3632" i="21"/>
  <c r="B1883" i="55"/>
  <c r="E56" i="58"/>
  <c r="C102" i="58"/>
  <c r="E97" i="58"/>
  <c r="F97" i="58"/>
  <c r="I2913" i="19"/>
  <c r="I2891" i="19"/>
  <c r="G1867" i="19"/>
  <c r="G933" i="19"/>
  <c r="C42" i="58"/>
  <c r="C58" i="58"/>
  <c r="C66" i="58"/>
  <c r="G70" i="58"/>
  <c r="F98" i="58"/>
  <c r="I21" i="58"/>
  <c r="I29" i="58"/>
  <c r="I37" i="58"/>
  <c r="E42" i="58"/>
  <c r="I45" i="58"/>
  <c r="E50" i="58"/>
  <c r="I53" i="58"/>
  <c r="E58" i="58"/>
  <c r="I62" i="58"/>
  <c r="I70" i="58"/>
  <c r="E74" i="58"/>
  <c r="D97" i="58"/>
  <c r="F99" i="58"/>
  <c r="C50" i="58"/>
  <c r="G62" i="58"/>
  <c r="C98" i="58"/>
  <c r="C16" i="58"/>
  <c r="C22" i="58"/>
  <c r="C30" i="58"/>
  <c r="G42" i="58"/>
  <c r="G50" i="58"/>
  <c r="C55" i="58"/>
  <c r="G58" i="58"/>
  <c r="C63" i="58"/>
  <c r="G66" i="58"/>
  <c r="C71" i="58"/>
  <c r="G74" i="58"/>
  <c r="D98" i="58"/>
  <c r="F100" i="58"/>
  <c r="G21" i="58"/>
  <c r="G29" i="58"/>
  <c r="G37" i="58"/>
  <c r="G53" i="58"/>
  <c r="C74" i="58"/>
  <c r="I42" i="58"/>
  <c r="I50" i="58"/>
  <c r="E55" i="58"/>
  <c r="I58" i="58"/>
  <c r="E63" i="58"/>
  <c r="I66" i="58"/>
  <c r="E71" i="58"/>
  <c r="I74" i="58"/>
  <c r="D99" i="58"/>
  <c r="F101" i="58"/>
  <c r="G30" i="58"/>
  <c r="C43" i="58"/>
  <c r="C59" i="58"/>
  <c r="C67" i="58"/>
  <c r="G71" i="58"/>
  <c r="I22" i="58"/>
  <c r="I30" i="58"/>
  <c r="E35" i="58"/>
  <c r="E43" i="58"/>
  <c r="E51" i="58"/>
  <c r="I55" i="58"/>
  <c r="I63" i="58"/>
  <c r="E67" i="58"/>
  <c r="I71" i="58"/>
  <c r="D101" i="58"/>
  <c r="G22" i="58"/>
  <c r="C35" i="58"/>
  <c r="C51" i="58"/>
  <c r="G55" i="58"/>
  <c r="G63" i="58"/>
  <c r="D100" i="58"/>
  <c r="C23" i="58"/>
  <c r="G35" i="58"/>
  <c r="G43" i="58"/>
  <c r="C48" i="58"/>
  <c r="G51" i="58"/>
  <c r="C56" i="58"/>
  <c r="C64" i="58"/>
  <c r="G67" i="58"/>
  <c r="C72" i="58"/>
  <c r="D102" i="58"/>
  <c r="I35" i="58"/>
  <c r="I43" i="58"/>
  <c r="I67" i="58"/>
  <c r="G23" i="58"/>
  <c r="C28" i="58"/>
  <c r="C36" i="58"/>
  <c r="C44" i="58"/>
  <c r="G48" i="58"/>
  <c r="C52" i="58"/>
  <c r="G56" i="58"/>
  <c r="C60" i="58"/>
  <c r="G64" i="58"/>
  <c r="C69" i="58"/>
  <c r="G72" i="58"/>
  <c r="E98" i="58"/>
  <c r="I51" i="58"/>
  <c r="E72" i="58"/>
  <c r="I23" i="58"/>
  <c r="E36" i="58"/>
  <c r="E44" i="58"/>
  <c r="I48" i="58"/>
  <c r="I56" i="58"/>
  <c r="E60" i="58"/>
  <c r="I64" i="58"/>
  <c r="E69" i="58"/>
  <c r="I72" i="58"/>
  <c r="C97" i="58"/>
  <c r="E99" i="58"/>
  <c r="E48" i="58"/>
  <c r="G28" i="58"/>
  <c r="G36" i="58"/>
  <c r="G44" i="58"/>
  <c r="C49" i="58"/>
  <c r="C57" i="58"/>
  <c r="G60" i="58"/>
  <c r="C65" i="58"/>
  <c r="G69" i="58"/>
  <c r="C73" i="58"/>
  <c r="E100" i="58"/>
  <c r="E64" i="58"/>
  <c r="I28" i="58"/>
  <c r="I36" i="58"/>
  <c r="I44" i="58"/>
  <c r="E49" i="58"/>
  <c r="I52" i="58"/>
  <c r="E57" i="58"/>
  <c r="I60" i="58"/>
  <c r="E65" i="58"/>
  <c r="I69" i="58"/>
  <c r="C101" i="58"/>
  <c r="E101" i="58"/>
  <c r="I59" i="58"/>
  <c r="C15" i="58"/>
  <c r="C21" i="58"/>
  <c r="C29" i="58"/>
  <c r="C37" i="58"/>
  <c r="G49" i="58"/>
  <c r="G57" i="58"/>
  <c r="C62" i="58"/>
  <c r="G65" i="58"/>
  <c r="C70" i="58"/>
  <c r="G73" i="58"/>
  <c r="C100" i="58"/>
  <c r="E102" i="58"/>
  <c r="E37" i="58"/>
  <c r="I41" i="58"/>
  <c r="I49" i="58"/>
  <c r="I57" i="58"/>
  <c r="E62" i="58"/>
  <c r="I65" i="58"/>
  <c r="E70" i="58"/>
  <c r="C99" i="58"/>
  <c r="C14" i="58"/>
  <c r="C17" i="58"/>
  <c r="D687" i="47"/>
  <c r="H264" i="35" l="1"/>
  <c r="H265" i="35" s="1"/>
  <c r="H266" i="35" s="1"/>
  <c r="H267" i="35" s="1"/>
  <c r="H268" i="35" s="1"/>
  <c r="H269" i="35" s="1"/>
  <c r="H270" i="35" s="1"/>
  <c r="H271" i="35" s="1"/>
  <c r="H272" i="35" s="1"/>
  <c r="H273" i="35" s="1"/>
  <c r="H274" i="35" s="1"/>
  <c r="H275" i="35" s="1"/>
  <c r="H276" i="35" s="1"/>
  <c r="H277" i="35" s="1"/>
  <c r="H278" i="35" s="1"/>
  <c r="H279" i="35" s="1"/>
  <c r="H280" i="35" s="1"/>
  <c r="H281" i="35" s="1"/>
  <c r="H282" i="35" s="1"/>
  <c r="H283" i="35" s="1"/>
  <c r="H284" i="35" s="1"/>
  <c r="H285" i="35" s="1"/>
  <c r="H286" i="35" s="1"/>
  <c r="H287" i="35" s="1"/>
  <c r="H288" i="35" s="1"/>
  <c r="H289" i="35" s="1"/>
  <c r="H290" i="35" s="1"/>
  <c r="H291" i="35" s="1"/>
  <c r="H292" i="35" s="1"/>
  <c r="H293" i="35" s="1"/>
  <c r="H294" i="35" s="1"/>
  <c r="H295" i="35" s="1"/>
  <c r="H296" i="35" s="1"/>
  <c r="H297" i="35" s="1"/>
  <c r="H298" i="35" s="1"/>
  <c r="H299" i="35" s="1"/>
  <c r="H300" i="35" s="1"/>
  <c r="H301" i="35" s="1"/>
  <c r="H302" i="35" s="1"/>
  <c r="H303" i="35" s="1"/>
  <c r="H304" i="35" s="1"/>
  <c r="H305" i="35" s="1"/>
  <c r="H306" i="35" s="1"/>
  <c r="H307" i="35" s="1"/>
  <c r="H308" i="35" s="1"/>
  <c r="H309" i="35" s="1"/>
  <c r="H310" i="35" s="1"/>
  <c r="H311" i="35" s="1"/>
  <c r="H312" i="35" s="1"/>
  <c r="H313" i="35" s="1"/>
  <c r="H314" i="35" s="1"/>
  <c r="H315" i="35" s="1"/>
  <c r="H316" i="35" s="1"/>
  <c r="H317" i="35" s="1"/>
  <c r="H318" i="35" s="1"/>
  <c r="H319" i="35" s="1"/>
  <c r="H320" i="35" s="1"/>
  <c r="H321" i="35" s="1"/>
  <c r="H322" i="35" s="1"/>
  <c r="H323" i="35" s="1"/>
  <c r="H324" i="35" s="1"/>
  <c r="H325" i="35" s="1"/>
  <c r="H326" i="35" s="1"/>
  <c r="H327" i="35" s="1"/>
  <c r="H328" i="35" s="1"/>
  <c r="H329" i="35" s="1"/>
  <c r="H330" i="35" s="1"/>
  <c r="H331" i="35" s="1"/>
  <c r="H332" i="35" s="1"/>
  <c r="H333" i="35" s="1"/>
  <c r="H334" i="35" s="1"/>
  <c r="H335" i="35" s="1"/>
  <c r="H336" i="35" s="1"/>
  <c r="H337" i="35" s="1"/>
  <c r="H338" i="35" s="1"/>
  <c r="H339" i="35" s="1"/>
  <c r="H340" i="35" s="1"/>
  <c r="H341" i="35" s="1"/>
  <c r="H342" i="35" s="1"/>
  <c r="H343" i="35" s="1"/>
  <c r="H344" i="35" s="1"/>
  <c r="H345" i="35" s="1"/>
  <c r="H346" i="35" s="1"/>
  <c r="H347" i="35" s="1"/>
  <c r="H348" i="35" s="1"/>
  <c r="H349" i="35" s="1"/>
  <c r="H350" i="35" s="1"/>
  <c r="H351" i="35" s="1"/>
  <c r="H352" i="35" s="1"/>
  <c r="H353" i="35" s="1"/>
  <c r="H354" i="35" s="1"/>
  <c r="H355" i="35" s="1"/>
  <c r="H356" i="35" s="1"/>
  <c r="H357" i="35" s="1"/>
  <c r="H358" i="35" s="1"/>
  <c r="H359" i="35" s="1"/>
  <c r="H360" i="35" s="1"/>
  <c r="H361" i="35" s="1"/>
  <c r="H362" i="35" s="1"/>
  <c r="H363" i="35" s="1"/>
  <c r="H364" i="35" s="1"/>
  <c r="H365" i="35" s="1"/>
  <c r="H366" i="35" s="1"/>
  <c r="H367" i="35" s="1"/>
  <c r="H368" i="35" s="1"/>
  <c r="H369" i="35" s="1"/>
  <c r="H370" i="35" s="1"/>
  <c r="H371" i="35" s="1"/>
  <c r="H249" i="35"/>
  <c r="H251" i="35" s="1"/>
  <c r="H253" i="35" s="1"/>
  <c r="H255" i="35" s="1"/>
  <c r="H257" i="35" s="1"/>
  <c r="H259" i="35" s="1"/>
  <c r="H261" i="35" s="1"/>
  <c r="H263" i="35" s="1"/>
  <c r="G97" i="58"/>
  <c r="H1265" i="35"/>
  <c r="A1244" i="35"/>
  <c r="A1355" i="35"/>
  <c r="A1356" i="35" s="1"/>
  <c r="A1357" i="35" s="1"/>
  <c r="A1358" i="35" s="1"/>
  <c r="A1359" i="35" s="1"/>
  <c r="A1345" i="35"/>
  <c r="A1292" i="35"/>
  <c r="F1882" i="55"/>
  <c r="G100" i="58"/>
  <c r="E96" i="58"/>
  <c r="E103" i="58" s="1"/>
  <c r="G102" i="58"/>
  <c r="H1867" i="19"/>
  <c r="H933" i="19"/>
  <c r="G101" i="58"/>
  <c r="D96" i="58"/>
  <c r="D103" i="58" s="1"/>
  <c r="G98" i="58"/>
  <c r="G99" i="58"/>
  <c r="C96" i="58"/>
  <c r="F96" i="58"/>
  <c r="F103" i="58" s="1"/>
  <c r="I47" i="58"/>
  <c r="K51" i="58"/>
  <c r="K50" i="58"/>
  <c r="K64" i="58"/>
  <c r="G61" i="58"/>
  <c r="K63" i="58"/>
  <c r="C61" i="58"/>
  <c r="I61" i="58"/>
  <c r="K67" i="58"/>
  <c r="K65" i="58"/>
  <c r="K62" i="58"/>
  <c r="K60" i="58"/>
  <c r="K56" i="58"/>
  <c r="I54" i="58"/>
  <c r="K48" i="58"/>
  <c r="K57" i="58"/>
  <c r="K58" i="58"/>
  <c r="K49" i="58"/>
  <c r="K55" i="58"/>
  <c r="C54" i="58"/>
  <c r="K72" i="58"/>
  <c r="K70" i="58"/>
  <c r="K23" i="58"/>
  <c r="K14" i="58"/>
  <c r="K44" i="58"/>
  <c r="K37" i="58"/>
  <c r="K22" i="58"/>
  <c r="K43" i="58"/>
  <c r="K42" i="58"/>
  <c r="I68" i="58"/>
  <c r="K16" i="58"/>
  <c r="K28" i="58"/>
  <c r="K21" i="58"/>
  <c r="I12" i="58"/>
  <c r="K29" i="58"/>
  <c r="K35" i="58"/>
  <c r="K71" i="58"/>
  <c r="K36" i="58"/>
  <c r="E12" i="58"/>
  <c r="K15" i="58"/>
  <c r="G12" i="58"/>
  <c r="K17" i="58"/>
  <c r="K30" i="58"/>
  <c r="A3" i="52"/>
  <c r="A1" i="46"/>
  <c r="E1757" i="21"/>
  <c r="G1757" i="21" s="1"/>
  <c r="E1758" i="21"/>
  <c r="G1758" i="21" s="1"/>
  <c r="E1759" i="21"/>
  <c r="G1759" i="21" s="1"/>
  <c r="E1760" i="21"/>
  <c r="G1760" i="21" s="1"/>
  <c r="E1761" i="21"/>
  <c r="G1761" i="21" s="1"/>
  <c r="E1762" i="21"/>
  <c r="G1762" i="21" s="1"/>
  <c r="E1763" i="21"/>
  <c r="G1763" i="21" s="1"/>
  <c r="E1764" i="21"/>
  <c r="G1764" i="21" s="1"/>
  <c r="E1765" i="21"/>
  <c r="G1765" i="21" s="1"/>
  <c r="E1766" i="21"/>
  <c r="G1766" i="21" s="1"/>
  <c r="E1767" i="21"/>
  <c r="G1767" i="21" s="1"/>
  <c r="E1768" i="21"/>
  <c r="G1768" i="21" s="1"/>
  <c r="E1769" i="21"/>
  <c r="G1769" i="21" s="1"/>
  <c r="E1770" i="21"/>
  <c r="G1770" i="21" s="1"/>
  <c r="E1771" i="21"/>
  <c r="G1771" i="21" s="1"/>
  <c r="E1772" i="21"/>
  <c r="G1772" i="21" s="1"/>
  <c r="E1773" i="21"/>
  <c r="G1773" i="21" s="1"/>
  <c r="E1774" i="21"/>
  <c r="G1774" i="21" s="1"/>
  <c r="E1775" i="21"/>
  <c r="G1775" i="21" s="1"/>
  <c r="E1776" i="21"/>
  <c r="G1776" i="21" s="1"/>
  <c r="E1777" i="21"/>
  <c r="G1777" i="21" s="1"/>
  <c r="E1778" i="21"/>
  <c r="G1778" i="21" s="1"/>
  <c r="E1779" i="21"/>
  <c r="G1779" i="21" s="1"/>
  <c r="E1780" i="21"/>
  <c r="G1780" i="21" s="1"/>
  <c r="E1781" i="21"/>
  <c r="G1781" i="21" s="1"/>
  <c r="E1782" i="21"/>
  <c r="G1782" i="21" s="1"/>
  <c r="E1783" i="21"/>
  <c r="G1783" i="21" s="1"/>
  <c r="E1784" i="21"/>
  <c r="G1784" i="21" s="1"/>
  <c r="E1785" i="21"/>
  <c r="G1785" i="21" s="1"/>
  <c r="E1786" i="21"/>
  <c r="G1786" i="21" s="1"/>
  <c r="E1787" i="21"/>
  <c r="G1787" i="21" s="1"/>
  <c r="E1788" i="21"/>
  <c r="G1788" i="21" s="1"/>
  <c r="E1789" i="21"/>
  <c r="G1789" i="21" s="1"/>
  <c r="E1790" i="21"/>
  <c r="G1790" i="21" s="1"/>
  <c r="E1791" i="21"/>
  <c r="G1791" i="21" s="1"/>
  <c r="E1792" i="21"/>
  <c r="G1792" i="21" s="1"/>
  <c r="E1793" i="21"/>
  <c r="G1793" i="21" s="1"/>
  <c r="E1794" i="21"/>
  <c r="G1794" i="21" s="1"/>
  <c r="E1795" i="21"/>
  <c r="G1795" i="21" s="1"/>
  <c r="E1796" i="21"/>
  <c r="G1796" i="21" s="1"/>
  <c r="E1797" i="21"/>
  <c r="G1797" i="21" s="1"/>
  <c r="E1798" i="21"/>
  <c r="G1798" i="21" s="1"/>
  <c r="E1799" i="21"/>
  <c r="G1799" i="21" s="1"/>
  <c r="E1800" i="21"/>
  <c r="G1800" i="21" s="1"/>
  <c r="E1801" i="21"/>
  <c r="G1801" i="21" s="1"/>
  <c r="E1802" i="21"/>
  <c r="G1802" i="21" s="1"/>
  <c r="E1803" i="21"/>
  <c r="G1803" i="21" s="1"/>
  <c r="E1804" i="21"/>
  <c r="G1804" i="21" s="1"/>
  <c r="E1805" i="21"/>
  <c r="G1805" i="21" s="1"/>
  <c r="E1806" i="21"/>
  <c r="G1806" i="21" s="1"/>
  <c r="E1807" i="21"/>
  <c r="G1807" i="21" s="1"/>
  <c r="E1808" i="21"/>
  <c r="G1808" i="21" s="1"/>
  <c r="E1809" i="21"/>
  <c r="G1809" i="21" s="1"/>
  <c r="E1810" i="21"/>
  <c r="G1810" i="21" s="1"/>
  <c r="E1811" i="21"/>
  <c r="G1811" i="21" s="1"/>
  <c r="E1812" i="21"/>
  <c r="G1812" i="21" s="1"/>
  <c r="E1813" i="21"/>
  <c r="G1813" i="21" s="1"/>
  <c r="E1814" i="21"/>
  <c r="G1814" i="21" s="1"/>
  <c r="E1815" i="21"/>
  <c r="G1815" i="21" s="1"/>
  <c r="E1816" i="21"/>
  <c r="G1816" i="21" s="1"/>
  <c r="E1817" i="21"/>
  <c r="G1817" i="21" s="1"/>
  <c r="E1818" i="21"/>
  <c r="G1818" i="21" s="1"/>
  <c r="E1819" i="21"/>
  <c r="G1819" i="21" s="1"/>
  <c r="E1820" i="21"/>
  <c r="G1820" i="21" s="1"/>
  <c r="E1821" i="21"/>
  <c r="G1821" i="21" s="1"/>
  <c r="E1822" i="21"/>
  <c r="G1822" i="21" s="1"/>
  <c r="E1823" i="21"/>
  <c r="G1823" i="21" s="1"/>
  <c r="E1824" i="21"/>
  <c r="G1824" i="21" s="1"/>
  <c r="E1825" i="21"/>
  <c r="G1825" i="21" s="1"/>
  <c r="E1826" i="21"/>
  <c r="G1826" i="21" s="1"/>
  <c r="E1827" i="21"/>
  <c r="G1827" i="21" s="1"/>
  <c r="E1828" i="21"/>
  <c r="G1828" i="21" s="1"/>
  <c r="E1829" i="21"/>
  <c r="G1829" i="21" s="1"/>
  <c r="E1830" i="21"/>
  <c r="G1830" i="21" s="1"/>
  <c r="E1831" i="21"/>
  <c r="G1831" i="21" s="1"/>
  <c r="E1832" i="21"/>
  <c r="G1832" i="21" s="1"/>
  <c r="E1833" i="21"/>
  <c r="G1833" i="21" s="1"/>
  <c r="E1834" i="21"/>
  <c r="G1834" i="21" s="1"/>
  <c r="E1835" i="21"/>
  <c r="G1835" i="21" s="1"/>
  <c r="E1836" i="21"/>
  <c r="G1836" i="21" s="1"/>
  <c r="E1837" i="21"/>
  <c r="G1837" i="21" s="1"/>
  <c r="E1838" i="21"/>
  <c r="G1838" i="21" s="1"/>
  <c r="E1839" i="21"/>
  <c r="G1839" i="21" s="1"/>
  <c r="E1840" i="21"/>
  <c r="G1840" i="21" s="1"/>
  <c r="E1841" i="21"/>
  <c r="G1841" i="21" s="1"/>
  <c r="E1842" i="21"/>
  <c r="G1842" i="21" s="1"/>
  <c r="E1843" i="21"/>
  <c r="G1843" i="21" s="1"/>
  <c r="E1844" i="21"/>
  <c r="G1844" i="21" s="1"/>
  <c r="E1845" i="21"/>
  <c r="G1845" i="21" s="1"/>
  <c r="E1846" i="21"/>
  <c r="G1846" i="21" s="1"/>
  <c r="E1847" i="21"/>
  <c r="G1847" i="21" s="1"/>
  <c r="E1848" i="21"/>
  <c r="G1848" i="21" s="1"/>
  <c r="E1849" i="21"/>
  <c r="G1849" i="21" s="1"/>
  <c r="E1850" i="21"/>
  <c r="G1850" i="21" s="1"/>
  <c r="E1851" i="21"/>
  <c r="G1851" i="21" s="1"/>
  <c r="E1852" i="21"/>
  <c r="G1852" i="21" s="1"/>
  <c r="E1853" i="21"/>
  <c r="G1853" i="21" s="1"/>
  <c r="E1854" i="21"/>
  <c r="G1854" i="21" s="1"/>
  <c r="E1855" i="21"/>
  <c r="G1855" i="21" s="1"/>
  <c r="E1856" i="21"/>
  <c r="G1856" i="21" s="1"/>
  <c r="E1857" i="21"/>
  <c r="G1857" i="21" s="1"/>
  <c r="E1858" i="21"/>
  <c r="G1858" i="21" s="1"/>
  <c r="E1859" i="21"/>
  <c r="G1859" i="21" s="1"/>
  <c r="E1860" i="21"/>
  <c r="G1860" i="21" s="1"/>
  <c r="E1861" i="21"/>
  <c r="G1861" i="21" s="1"/>
  <c r="E1862" i="21"/>
  <c r="G1862" i="21" s="1"/>
  <c r="E1863" i="21"/>
  <c r="G1863" i="21" s="1"/>
  <c r="E1864" i="21"/>
  <c r="G1864" i="21" s="1"/>
  <c r="E1865" i="21"/>
  <c r="G1865" i="21" s="1"/>
  <c r="E1866" i="21"/>
  <c r="G1866" i="21" s="1"/>
  <c r="E1867" i="21"/>
  <c r="G1867" i="21" s="1"/>
  <c r="E1868" i="21"/>
  <c r="G1868" i="21" s="1"/>
  <c r="E1869" i="21"/>
  <c r="G1869" i="21" s="1"/>
  <c r="E1870" i="21"/>
  <c r="G1870" i="21" s="1"/>
  <c r="E1871" i="21"/>
  <c r="G1871" i="21" s="1"/>
  <c r="E1872" i="21"/>
  <c r="G1872" i="21" s="1"/>
  <c r="E1873" i="21"/>
  <c r="G1873" i="21" s="1"/>
  <c r="E1874" i="21"/>
  <c r="G1874" i="21" s="1"/>
  <c r="E1875" i="21"/>
  <c r="G1875" i="21" s="1"/>
  <c r="E1876" i="21"/>
  <c r="G1876" i="21" s="1"/>
  <c r="E1877" i="21"/>
  <c r="G1877" i="21" s="1"/>
  <c r="E1878" i="21"/>
  <c r="G1878" i="21" s="1"/>
  <c r="E1879" i="21"/>
  <c r="G1879" i="21" s="1"/>
  <c r="E1880" i="21"/>
  <c r="G1880" i="21" s="1"/>
  <c r="E1881" i="21"/>
  <c r="G1881" i="21" s="1"/>
  <c r="E1882" i="21"/>
  <c r="G1882" i="21" s="1"/>
  <c r="E1883" i="21"/>
  <c r="G1883" i="21" s="1"/>
  <c r="E1884" i="21"/>
  <c r="G1884" i="21" s="1"/>
  <c r="E1885" i="21"/>
  <c r="G1885" i="21" s="1"/>
  <c r="E1886" i="21"/>
  <c r="G1886" i="21" s="1"/>
  <c r="E1887" i="21"/>
  <c r="G1887" i="21" s="1"/>
  <c r="E1888" i="21"/>
  <c r="G1888" i="21" s="1"/>
  <c r="E1889" i="21"/>
  <c r="G1889" i="21" s="1"/>
  <c r="E1890" i="21"/>
  <c r="G1890" i="21" s="1"/>
  <c r="E1891" i="21"/>
  <c r="G1891" i="21" s="1"/>
  <c r="E1892" i="21"/>
  <c r="G1892" i="21" s="1"/>
  <c r="E1893" i="21"/>
  <c r="G1893" i="21" s="1"/>
  <c r="E1894" i="21"/>
  <c r="G1894" i="21" s="1"/>
  <c r="E1895" i="21"/>
  <c r="G1895" i="21" s="1"/>
  <c r="E1896" i="21"/>
  <c r="G1896" i="21" s="1"/>
  <c r="E1897" i="21"/>
  <c r="G1897" i="21" s="1"/>
  <c r="E1898" i="21"/>
  <c r="G1898" i="21" s="1"/>
  <c r="E1899" i="21"/>
  <c r="G1899" i="21" s="1"/>
  <c r="E1900" i="21"/>
  <c r="G1900" i="21" s="1"/>
  <c r="E1901" i="21"/>
  <c r="G1901" i="21" s="1"/>
  <c r="E1902" i="21"/>
  <c r="G1902" i="21" s="1"/>
  <c r="E1903" i="21"/>
  <c r="G1903" i="21" s="1"/>
  <c r="E1904" i="21"/>
  <c r="G1904" i="21" s="1"/>
  <c r="E1905" i="21"/>
  <c r="G1905" i="21" s="1"/>
  <c r="E1906" i="21"/>
  <c r="G1906" i="21" s="1"/>
  <c r="E1907" i="21"/>
  <c r="G1907" i="21" s="1"/>
  <c r="E1908" i="21"/>
  <c r="G1908" i="21" s="1"/>
  <c r="E1909" i="21"/>
  <c r="G1909" i="21" s="1"/>
  <c r="E1910" i="21"/>
  <c r="G1910" i="21" s="1"/>
  <c r="E1911" i="21"/>
  <c r="G1911" i="21" s="1"/>
  <c r="E1912" i="21"/>
  <c r="G1912" i="21" s="1"/>
  <c r="E1913" i="21"/>
  <c r="G1913" i="21" s="1"/>
  <c r="E1914" i="21"/>
  <c r="G1914" i="21" s="1"/>
  <c r="E1915" i="21"/>
  <c r="G1915" i="21" s="1"/>
  <c r="E1916" i="21"/>
  <c r="G1916" i="21" s="1"/>
  <c r="E1917" i="21"/>
  <c r="G1917" i="21" s="1"/>
  <c r="E1918" i="21"/>
  <c r="G1918" i="21" s="1"/>
  <c r="E1919" i="21"/>
  <c r="G1919" i="21" s="1"/>
  <c r="E1920" i="21"/>
  <c r="G1920" i="21" s="1"/>
  <c r="E1921" i="21"/>
  <c r="G1921" i="21" s="1"/>
  <c r="E1922" i="21"/>
  <c r="G1922" i="21" s="1"/>
  <c r="E2161" i="21"/>
  <c r="G2161" i="21" s="1"/>
  <c r="E2162" i="21"/>
  <c r="G2162" i="21" s="1"/>
  <c r="E2163" i="21"/>
  <c r="G2163" i="21" s="1"/>
  <c r="E2164" i="21"/>
  <c r="G2164" i="21" s="1"/>
  <c r="E2165" i="21"/>
  <c r="G2165" i="21" s="1"/>
  <c r="E2166" i="21"/>
  <c r="G2166" i="21" s="1"/>
  <c r="E2167" i="21"/>
  <c r="G2167" i="21" s="1"/>
  <c r="E2168" i="21"/>
  <c r="G2168" i="21" s="1"/>
  <c r="E2169" i="21"/>
  <c r="G2169" i="21" s="1"/>
  <c r="E2170" i="21"/>
  <c r="G2170" i="21" s="1"/>
  <c r="E2171" i="21"/>
  <c r="G2171" i="21" s="1"/>
  <c r="E2172" i="21"/>
  <c r="G2172" i="21" s="1"/>
  <c r="E2173" i="21"/>
  <c r="G2173" i="21" s="1"/>
  <c r="E2174" i="21"/>
  <c r="G2174" i="21" s="1"/>
  <c r="E2175" i="21"/>
  <c r="G2175" i="21" s="1"/>
  <c r="E2176" i="21"/>
  <c r="G2176" i="21" s="1"/>
  <c r="E2177" i="21"/>
  <c r="G2177" i="21" s="1"/>
  <c r="E2178" i="21"/>
  <c r="G2178" i="21" s="1"/>
  <c r="E2179" i="21"/>
  <c r="G2179" i="21" s="1"/>
  <c r="E2180" i="21"/>
  <c r="G2180" i="21" s="1"/>
  <c r="E2181" i="21"/>
  <c r="G2181" i="21" s="1"/>
  <c r="E2182" i="21"/>
  <c r="G2182" i="21" s="1"/>
  <c r="E2183" i="21"/>
  <c r="G2183" i="21" s="1"/>
  <c r="E2184" i="21"/>
  <c r="G2184" i="21" s="1"/>
  <c r="E2185" i="21"/>
  <c r="G2185" i="21" s="1"/>
  <c r="E2186" i="21"/>
  <c r="G2186" i="21" s="1"/>
  <c r="E2187" i="21"/>
  <c r="G2187" i="21" s="1"/>
  <c r="E2188" i="21"/>
  <c r="G2188" i="21" s="1"/>
  <c r="E2189" i="21"/>
  <c r="G2189" i="21" s="1"/>
  <c r="E2190" i="21"/>
  <c r="G2190" i="21" s="1"/>
  <c r="E2191" i="21"/>
  <c r="G2191" i="21" s="1"/>
  <c r="E2192" i="21"/>
  <c r="G2192" i="21" s="1"/>
  <c r="E2193" i="21"/>
  <c r="G2193" i="21" s="1"/>
  <c r="E2194" i="21"/>
  <c r="G2194" i="21" s="1"/>
  <c r="E2195" i="21"/>
  <c r="G2195" i="21" s="1"/>
  <c r="E2196" i="21"/>
  <c r="G2196" i="21" s="1"/>
  <c r="E2197" i="21"/>
  <c r="G2197" i="21" s="1"/>
  <c r="E2198" i="21"/>
  <c r="G2198" i="21" s="1"/>
  <c r="E2199" i="21"/>
  <c r="G2199" i="21" s="1"/>
  <c r="E2200" i="21"/>
  <c r="G2200" i="21" s="1"/>
  <c r="E2201" i="21"/>
  <c r="G2201" i="21" s="1"/>
  <c r="E2202" i="21"/>
  <c r="G2202" i="21" s="1"/>
  <c r="E2203" i="21"/>
  <c r="G2203" i="21" s="1"/>
  <c r="E2204" i="21"/>
  <c r="G2204" i="21" s="1"/>
  <c r="E2205" i="21"/>
  <c r="G2205" i="21" s="1"/>
  <c r="E2206" i="21"/>
  <c r="G2206" i="21" s="1"/>
  <c r="E2207" i="21"/>
  <c r="G2207" i="21" s="1"/>
  <c r="E2208" i="21"/>
  <c r="G2208" i="21" s="1"/>
  <c r="E2209" i="21"/>
  <c r="G2209" i="21" s="1"/>
  <c r="E2210" i="21"/>
  <c r="G2210" i="21" s="1"/>
  <c r="E2211" i="21"/>
  <c r="G2211" i="21" s="1"/>
  <c r="E2212" i="21"/>
  <c r="G2212" i="21" s="1"/>
  <c r="E2213" i="21"/>
  <c r="G2213" i="21" s="1"/>
  <c r="E2214" i="21"/>
  <c r="G2214" i="21" s="1"/>
  <c r="E2215" i="21"/>
  <c r="G2215" i="21" s="1"/>
  <c r="E2216" i="21"/>
  <c r="G2216" i="21" s="1"/>
  <c r="E2217" i="21"/>
  <c r="G2217" i="21" s="1"/>
  <c r="E2218" i="21"/>
  <c r="G2218" i="21" s="1"/>
  <c r="E2219" i="21"/>
  <c r="G2219" i="21" s="1"/>
  <c r="E2220" i="21"/>
  <c r="G2220" i="21" s="1"/>
  <c r="E2221" i="21"/>
  <c r="G2221" i="21" s="1"/>
  <c r="E2222" i="21"/>
  <c r="G2222" i="21" s="1"/>
  <c r="E2223" i="21"/>
  <c r="G2223" i="21" s="1"/>
  <c r="E2224" i="21"/>
  <c r="G2224" i="21" s="1"/>
  <c r="E2225" i="21"/>
  <c r="G2225" i="21" s="1"/>
  <c r="E2226" i="21"/>
  <c r="G2226" i="21" s="1"/>
  <c r="E2227" i="21"/>
  <c r="G2227" i="21" s="1"/>
  <c r="E2228" i="21"/>
  <c r="G2228" i="21" s="1"/>
  <c r="E2229" i="21"/>
  <c r="G2229" i="21" s="1"/>
  <c r="E2230" i="21"/>
  <c r="G2230" i="21" s="1"/>
  <c r="E2231" i="21"/>
  <c r="G2231" i="21" s="1"/>
  <c r="E2232" i="21"/>
  <c r="G2232" i="21" s="1"/>
  <c r="E2233" i="21"/>
  <c r="G2233" i="21" s="1"/>
  <c r="E2234" i="21"/>
  <c r="G2234" i="21" s="1"/>
  <c r="E2235" i="21"/>
  <c r="G2235" i="21" s="1"/>
  <c r="E2236" i="21"/>
  <c r="G2236" i="21" s="1"/>
  <c r="E2237" i="21"/>
  <c r="G2237" i="21" s="1"/>
  <c r="E2238" i="21"/>
  <c r="G2238" i="21" s="1"/>
  <c r="E2239" i="21"/>
  <c r="G2239" i="21" s="1"/>
  <c r="E2240" i="21"/>
  <c r="G2240" i="21" s="1"/>
  <c r="E2241" i="21"/>
  <c r="G2241" i="21" s="1"/>
  <c r="E2242" i="21"/>
  <c r="G2242" i="21" s="1"/>
  <c r="E2243" i="21"/>
  <c r="G2243" i="21" s="1"/>
  <c r="E2244" i="21"/>
  <c r="G2244" i="21" s="1"/>
  <c r="E2245" i="21"/>
  <c r="G2245" i="21" s="1"/>
  <c r="E2246" i="21"/>
  <c r="G2246" i="21" s="1"/>
  <c r="E2247" i="21"/>
  <c r="G2247" i="21" s="1"/>
  <c r="E2248" i="21"/>
  <c r="G2248" i="21" s="1"/>
  <c r="E2249" i="21"/>
  <c r="G2249" i="21" s="1"/>
  <c r="E2250" i="21"/>
  <c r="G2250" i="21" s="1"/>
  <c r="E2251" i="21"/>
  <c r="G2251" i="21" s="1"/>
  <c r="E2252" i="21"/>
  <c r="G2252" i="21" s="1"/>
  <c r="E2253" i="21"/>
  <c r="G2253" i="21" s="1"/>
  <c r="E2254" i="21"/>
  <c r="G2254" i="21" s="1"/>
  <c r="E2255" i="21"/>
  <c r="G2255" i="21" s="1"/>
  <c r="E2256" i="21"/>
  <c r="G2256" i="21" s="1"/>
  <c r="E2257" i="21"/>
  <c r="G2257" i="21" s="1"/>
  <c r="E2258" i="21"/>
  <c r="G2258" i="21" s="1"/>
  <c r="E2259" i="21"/>
  <c r="G2259" i="21" s="1"/>
  <c r="E2260" i="21"/>
  <c r="G2260" i="21" s="1"/>
  <c r="E2261" i="21"/>
  <c r="G2261" i="21" s="1"/>
  <c r="E2262" i="21"/>
  <c r="G2262" i="21" s="1"/>
  <c r="E2263" i="21"/>
  <c r="G2263" i="21" s="1"/>
  <c r="E2264" i="21"/>
  <c r="G2264" i="21" s="1"/>
  <c r="E2265" i="21"/>
  <c r="G2265" i="21" s="1"/>
  <c r="E2266" i="21"/>
  <c r="G2266" i="21" s="1"/>
  <c r="E2267" i="21"/>
  <c r="G2267" i="21" s="1"/>
  <c r="E2268" i="21"/>
  <c r="G2268" i="21" s="1"/>
  <c r="E2269" i="21"/>
  <c r="G2269" i="21" s="1"/>
  <c r="E2270" i="21"/>
  <c r="G2270" i="21" s="1"/>
  <c r="E2271" i="21"/>
  <c r="G2271" i="21" s="1"/>
  <c r="E2272" i="21"/>
  <c r="G2272" i="21" s="1"/>
  <c r="E2273" i="21"/>
  <c r="G2273" i="21" s="1"/>
  <c r="E2274" i="21"/>
  <c r="G2274" i="21" s="1"/>
  <c r="E2275" i="21"/>
  <c r="G2275" i="21" s="1"/>
  <c r="E2276" i="21"/>
  <c r="G2276" i="21" s="1"/>
  <c r="E2277" i="21"/>
  <c r="G2277" i="21" s="1"/>
  <c r="E2278" i="21"/>
  <c r="G2278" i="21" s="1"/>
  <c r="E2279" i="21"/>
  <c r="G2279" i="21" s="1"/>
  <c r="E2280" i="21"/>
  <c r="G2280" i="21" s="1"/>
  <c r="E2281" i="21"/>
  <c r="G2281" i="21" s="1"/>
  <c r="E2282" i="21"/>
  <c r="G2282" i="21" s="1"/>
  <c r="E2283" i="21"/>
  <c r="G2283" i="21" s="1"/>
  <c r="E2284" i="21"/>
  <c r="G2284" i="21" s="1"/>
  <c r="E2285" i="21"/>
  <c r="G2285" i="21" s="1"/>
  <c r="E2286" i="21"/>
  <c r="G2286" i="21" s="1"/>
  <c r="E2287" i="21"/>
  <c r="G2287" i="21" s="1"/>
  <c r="E2288" i="21"/>
  <c r="G2288" i="21" s="1"/>
  <c r="E2289" i="21"/>
  <c r="G2289" i="21" s="1"/>
  <c r="E2290" i="21"/>
  <c r="G2290" i="21" s="1"/>
  <c r="E2291" i="21"/>
  <c r="G2291" i="21" s="1"/>
  <c r="E2292" i="21"/>
  <c r="G2292" i="21" s="1"/>
  <c r="E2293" i="21"/>
  <c r="G2293" i="21" s="1"/>
  <c r="E2294" i="21"/>
  <c r="G2294" i="21" s="1"/>
  <c r="E2295" i="21"/>
  <c r="G2295" i="21" s="1"/>
  <c r="E2296" i="21"/>
  <c r="G2296" i="21" s="1"/>
  <c r="E2297" i="21"/>
  <c r="G2297" i="21" s="1"/>
  <c r="E2298" i="21"/>
  <c r="G2298" i="21" s="1"/>
  <c r="E2299" i="21"/>
  <c r="G2299" i="21" s="1"/>
  <c r="E2300" i="21"/>
  <c r="G2300" i="21" s="1"/>
  <c r="E2301" i="21"/>
  <c r="G2301" i="21" s="1"/>
  <c r="E2302" i="21"/>
  <c r="G2302" i="21" s="1"/>
  <c r="E2303" i="21"/>
  <c r="G2303" i="21" s="1"/>
  <c r="E2304" i="21"/>
  <c r="G2304" i="21" s="1"/>
  <c r="E2305" i="21"/>
  <c r="G2305" i="21" s="1"/>
  <c r="E2306" i="21"/>
  <c r="G2306" i="21" s="1"/>
  <c r="E2307" i="21"/>
  <c r="G2307" i="21" s="1"/>
  <c r="E2308" i="21"/>
  <c r="G2308" i="21" s="1"/>
  <c r="E2309" i="21"/>
  <c r="G2309" i="21" s="1"/>
  <c r="E2310" i="21"/>
  <c r="G2310" i="21" s="1"/>
  <c r="E2311" i="21"/>
  <c r="G2311" i="21" s="1"/>
  <c r="E2312" i="21"/>
  <c r="G2312" i="21" s="1"/>
  <c r="E2313" i="21"/>
  <c r="G2313" i="21" s="1"/>
  <c r="E2314" i="21"/>
  <c r="G2314" i="21" s="1"/>
  <c r="E2315" i="21"/>
  <c r="G2315" i="21" s="1"/>
  <c r="E2316" i="21"/>
  <c r="G2316" i="21" s="1"/>
  <c r="E2317" i="21"/>
  <c r="G2317" i="21" s="1"/>
  <c r="E2318" i="21"/>
  <c r="G2318" i="21" s="1"/>
  <c r="E2319" i="21"/>
  <c r="G2319" i="21" s="1"/>
  <c r="E2320" i="21"/>
  <c r="G2320" i="21" s="1"/>
  <c r="E2321" i="21"/>
  <c r="G2321" i="21" s="1"/>
  <c r="E2322" i="21"/>
  <c r="G2322" i="21" s="1"/>
  <c r="E2323" i="21"/>
  <c r="G2323" i="21" s="1"/>
  <c r="E2324" i="21"/>
  <c r="G2324" i="21" s="1"/>
  <c r="E2325" i="21"/>
  <c r="G2325" i="21" s="1"/>
  <c r="E2326" i="21"/>
  <c r="G2326" i="21" s="1"/>
  <c r="E2327" i="21"/>
  <c r="G2327" i="21" s="1"/>
  <c r="E2328" i="21"/>
  <c r="G2328" i="21" s="1"/>
  <c r="E2329" i="21"/>
  <c r="G2329" i="21" s="1"/>
  <c r="E2330" i="21"/>
  <c r="G2330" i="21" s="1"/>
  <c r="E2331" i="21"/>
  <c r="G2331" i="21" s="1"/>
  <c r="E2332" i="21"/>
  <c r="G2332" i="21" s="1"/>
  <c r="E2333" i="21"/>
  <c r="G2333" i="21" s="1"/>
  <c r="E2334" i="21"/>
  <c r="G2334" i="21" s="1"/>
  <c r="E2335" i="21"/>
  <c r="G2335" i="21" s="1"/>
  <c r="E2336" i="21"/>
  <c r="G2336" i="21" s="1"/>
  <c r="E2337" i="21"/>
  <c r="G2337" i="21" s="1"/>
  <c r="E2338" i="21"/>
  <c r="G2338" i="21" s="1"/>
  <c r="E2339" i="21"/>
  <c r="G2339" i="21" s="1"/>
  <c r="E2340" i="21"/>
  <c r="G2340" i="21" s="1"/>
  <c r="E2341" i="21"/>
  <c r="G2341" i="21" s="1"/>
  <c r="E2342" i="21"/>
  <c r="G2342" i="21" s="1"/>
  <c r="E2343" i="21"/>
  <c r="G2343" i="21" s="1"/>
  <c r="E2344" i="21"/>
  <c r="G2344" i="21" s="1"/>
  <c r="E2345" i="21"/>
  <c r="G2345" i="21" s="1"/>
  <c r="E2346" i="21"/>
  <c r="G2346" i="21" s="1"/>
  <c r="E2347" i="21"/>
  <c r="G2347" i="21" s="1"/>
  <c r="E2348" i="21"/>
  <c r="G2348" i="21" s="1"/>
  <c r="E2349" i="21"/>
  <c r="G2349" i="21" s="1"/>
  <c r="E2350" i="21"/>
  <c r="G2350" i="21" s="1"/>
  <c r="E2351" i="21"/>
  <c r="G2351" i="21" s="1"/>
  <c r="E2352" i="21"/>
  <c r="G2352" i="21" s="1"/>
  <c r="E2353" i="21"/>
  <c r="G2353" i="21" s="1"/>
  <c r="E2354" i="21"/>
  <c r="G2354" i="21" s="1"/>
  <c r="E2355" i="21"/>
  <c r="G2355" i="21" s="1"/>
  <c r="E2356" i="21"/>
  <c r="G2356" i="21" s="1"/>
  <c r="E2357" i="21"/>
  <c r="G2357" i="21" s="1"/>
  <c r="E2358" i="21"/>
  <c r="G2358" i="21" s="1"/>
  <c r="E2359" i="21"/>
  <c r="G2359" i="21" s="1"/>
  <c r="E2360" i="21"/>
  <c r="G2360" i="21" s="1"/>
  <c r="E2361" i="21"/>
  <c r="G2361" i="21" s="1"/>
  <c r="E2362" i="21"/>
  <c r="G2362" i="21" s="1"/>
  <c r="E2363" i="21"/>
  <c r="G2363" i="21" s="1"/>
  <c r="E2364" i="21"/>
  <c r="G2364" i="21" s="1"/>
  <c r="E2365" i="21"/>
  <c r="G2365" i="21" s="1"/>
  <c r="E2366" i="21"/>
  <c r="G2366" i="21" s="1"/>
  <c r="E2367" i="21"/>
  <c r="G2367" i="21" s="1"/>
  <c r="E2368" i="21"/>
  <c r="G2368" i="21" s="1"/>
  <c r="E2369" i="21"/>
  <c r="G2369" i="21" s="1"/>
  <c r="E2370" i="21"/>
  <c r="G2370" i="21" s="1"/>
  <c r="E2371" i="21"/>
  <c r="G2371" i="21" s="1"/>
  <c r="E2372" i="21"/>
  <c r="G2372" i="21" s="1"/>
  <c r="E2373" i="21"/>
  <c r="G2373" i="21" s="1"/>
  <c r="E2374" i="21"/>
  <c r="G2374" i="21" s="1"/>
  <c r="E2375" i="21"/>
  <c r="G2375" i="21" s="1"/>
  <c r="E2376" i="21"/>
  <c r="G2376" i="21" s="1"/>
  <c r="E2377" i="21"/>
  <c r="G2377" i="21" s="1"/>
  <c r="E2378" i="21"/>
  <c r="G2378" i="21" s="1"/>
  <c r="E2379" i="21"/>
  <c r="G2379" i="21" s="1"/>
  <c r="E2380" i="21"/>
  <c r="G2380" i="21" s="1"/>
  <c r="E2381" i="21"/>
  <c r="G2381" i="21" s="1"/>
  <c r="E2382" i="21"/>
  <c r="G2382" i="21" s="1"/>
  <c r="E2383" i="21"/>
  <c r="G2383" i="21" s="1"/>
  <c r="E2384" i="21"/>
  <c r="G2384" i="21" s="1"/>
  <c r="E2385" i="21"/>
  <c r="G2385" i="21" s="1"/>
  <c r="E2386" i="21"/>
  <c r="G2386" i="21" s="1"/>
  <c r="E2387" i="21"/>
  <c r="G2387" i="21" s="1"/>
  <c r="E2388" i="21"/>
  <c r="G2388" i="21" s="1"/>
  <c r="E2389" i="21"/>
  <c r="G2389" i="21" s="1"/>
  <c r="E2390" i="21"/>
  <c r="G2390" i="21" s="1"/>
  <c r="E2391" i="21"/>
  <c r="G2391" i="21" s="1"/>
  <c r="E2392" i="21"/>
  <c r="G2392" i="21" s="1"/>
  <c r="E2393" i="21"/>
  <c r="G2393" i="21" s="1"/>
  <c r="E2394" i="21"/>
  <c r="G2394" i="21" s="1"/>
  <c r="E2395" i="21"/>
  <c r="G2395" i="21" s="1"/>
  <c r="E2396" i="21"/>
  <c r="G2396" i="21" s="1"/>
  <c r="E2397" i="21"/>
  <c r="G2397" i="21" s="1"/>
  <c r="E2398" i="21"/>
  <c r="G2398" i="21" s="1"/>
  <c r="E2399" i="21"/>
  <c r="G2399" i="21" s="1"/>
  <c r="E2400" i="21"/>
  <c r="G2400" i="21" s="1"/>
  <c r="E2401" i="21"/>
  <c r="G2401" i="21" s="1"/>
  <c r="E2402" i="21"/>
  <c r="G2402" i="21" s="1"/>
  <c r="E2403" i="21"/>
  <c r="G2403" i="21" s="1"/>
  <c r="E2404" i="21"/>
  <c r="G2404" i="21" s="1"/>
  <c r="E2405" i="21"/>
  <c r="G2405" i="21" s="1"/>
  <c r="E2406" i="21"/>
  <c r="G2406" i="21" s="1"/>
  <c r="E2407" i="21"/>
  <c r="G2407" i="21" s="1"/>
  <c r="E2408" i="21"/>
  <c r="G2408" i="21" s="1"/>
  <c r="E2409" i="21"/>
  <c r="G2409" i="21" s="1"/>
  <c r="E2410" i="21"/>
  <c r="G2410" i="21" s="1"/>
  <c r="E2411" i="21"/>
  <c r="G2411" i="21" s="1"/>
  <c r="E2412" i="21"/>
  <c r="G2412" i="21" s="1"/>
  <c r="E2413" i="21"/>
  <c r="G2413" i="21" s="1"/>
  <c r="E2414" i="21"/>
  <c r="G2414" i="21" s="1"/>
  <c r="E2415" i="21"/>
  <c r="G2415" i="21" s="1"/>
  <c r="E2416" i="21"/>
  <c r="G2416" i="21" s="1"/>
  <c r="E2417" i="21"/>
  <c r="G2417" i="21" s="1"/>
  <c r="E2418" i="21"/>
  <c r="G2418" i="21" s="1"/>
  <c r="E2419" i="21"/>
  <c r="G2419" i="21" s="1"/>
  <c r="E2420" i="21"/>
  <c r="G2420" i="21" s="1"/>
  <c r="E2421" i="21"/>
  <c r="G2421" i="21" s="1"/>
  <c r="E2422" i="21"/>
  <c r="G2422" i="21" s="1"/>
  <c r="E2423" i="21"/>
  <c r="G2423" i="21" s="1"/>
  <c r="E2424" i="21"/>
  <c r="G2424" i="21" s="1"/>
  <c r="E2425" i="21"/>
  <c r="G2425" i="21" s="1"/>
  <c r="E2426" i="21"/>
  <c r="G2426" i="21" s="1"/>
  <c r="E2427" i="21"/>
  <c r="G2427" i="21" s="1"/>
  <c r="E2428" i="21"/>
  <c r="G2428" i="21" s="1"/>
  <c r="E2429" i="21"/>
  <c r="G2429" i="21" s="1"/>
  <c r="E2430" i="21"/>
  <c r="G2430" i="21" s="1"/>
  <c r="E2431" i="21"/>
  <c r="G2431" i="21" s="1"/>
  <c r="E2432" i="21"/>
  <c r="G2432" i="21" s="1"/>
  <c r="E2433" i="21"/>
  <c r="G2433" i="21" s="1"/>
  <c r="E2434" i="21"/>
  <c r="G2434" i="21" s="1"/>
  <c r="E2435" i="21"/>
  <c r="G2435" i="21" s="1"/>
  <c r="E2436" i="21"/>
  <c r="G2436" i="21" s="1"/>
  <c r="E2437" i="21"/>
  <c r="G2437" i="21" s="1"/>
  <c r="E2438" i="21"/>
  <c r="G2438" i="21" s="1"/>
  <c r="E2439" i="21"/>
  <c r="G2439" i="21" s="1"/>
  <c r="E2440" i="21"/>
  <c r="G2440" i="21" s="1"/>
  <c r="E2441" i="21"/>
  <c r="G2441" i="21" s="1"/>
  <c r="E2442" i="21"/>
  <c r="G2442" i="21" s="1"/>
  <c r="E2443" i="21"/>
  <c r="G2443" i="21" s="1"/>
  <c r="E2444" i="21"/>
  <c r="G2444" i="21" s="1"/>
  <c r="E2445" i="21"/>
  <c r="G2445" i="21" s="1"/>
  <c r="E2446" i="21"/>
  <c r="G2446" i="21" s="1"/>
  <c r="E2447" i="21"/>
  <c r="G2447" i="21" s="1"/>
  <c r="E2448" i="21"/>
  <c r="G2448" i="21" s="1"/>
  <c r="E2449" i="21"/>
  <c r="G2449" i="21" s="1"/>
  <c r="E2450" i="21"/>
  <c r="G2450" i="21" s="1"/>
  <c r="E2451" i="21"/>
  <c r="G2451" i="21" s="1"/>
  <c r="E2452" i="21"/>
  <c r="G2452" i="21" s="1"/>
  <c r="E2453" i="21"/>
  <c r="G2453" i="21" s="1"/>
  <c r="E2454" i="21"/>
  <c r="G2454" i="21" s="1"/>
  <c r="E2455" i="21"/>
  <c r="G2455" i="21" s="1"/>
  <c r="E2456" i="21"/>
  <c r="G2456" i="21" s="1"/>
  <c r="E2457" i="21"/>
  <c r="G2457" i="21" s="1"/>
  <c r="E2458" i="21"/>
  <c r="G2458" i="21" s="1"/>
  <c r="E2459" i="21"/>
  <c r="G2459" i="21" s="1"/>
  <c r="E2460" i="21"/>
  <c r="G2460" i="21" s="1"/>
  <c r="E2461" i="21"/>
  <c r="G2461" i="21" s="1"/>
  <c r="E2462" i="21"/>
  <c r="G2462" i="21" s="1"/>
  <c r="E2463" i="21"/>
  <c r="G2463" i="21" s="1"/>
  <c r="E2464" i="21"/>
  <c r="G2464" i="21" s="1"/>
  <c r="E2465" i="21"/>
  <c r="G2465" i="21" s="1"/>
  <c r="E2466" i="21"/>
  <c r="G2466" i="21" s="1"/>
  <c r="E2467" i="21"/>
  <c r="G2467" i="21" s="1"/>
  <c r="E2468" i="21"/>
  <c r="G2468" i="21" s="1"/>
  <c r="E2469" i="21"/>
  <c r="G2469" i="21" s="1"/>
  <c r="E2470" i="21"/>
  <c r="G2470" i="21" s="1"/>
  <c r="E2471" i="21"/>
  <c r="G2471" i="21" s="1"/>
  <c r="E2472" i="21"/>
  <c r="G2472" i="21" s="1"/>
  <c r="E2473" i="21"/>
  <c r="G2473" i="21" s="1"/>
  <c r="E2474" i="21"/>
  <c r="G2474" i="21" s="1"/>
  <c r="E2475" i="21"/>
  <c r="G2475" i="21" s="1"/>
  <c r="E2476" i="21"/>
  <c r="G2476" i="21" s="1"/>
  <c r="E2477" i="21"/>
  <c r="G2477" i="21" s="1"/>
  <c r="E2478" i="21"/>
  <c r="G2478" i="21" s="1"/>
  <c r="E2479" i="21"/>
  <c r="G2479" i="21" s="1"/>
  <c r="E2480" i="21"/>
  <c r="G2480" i="21" s="1"/>
  <c r="E2481" i="21"/>
  <c r="G2481" i="21" s="1"/>
  <c r="E2482" i="21"/>
  <c r="G2482" i="21" s="1"/>
  <c r="E2483" i="21"/>
  <c r="G2483" i="21" s="1"/>
  <c r="E2484" i="21"/>
  <c r="G2484" i="21" s="1"/>
  <c r="E2485" i="21"/>
  <c r="G2485" i="21" s="1"/>
  <c r="E2486" i="21"/>
  <c r="G2486" i="21" s="1"/>
  <c r="E2487" i="21"/>
  <c r="G2487" i="21" s="1"/>
  <c r="E2488" i="21"/>
  <c r="G2488" i="21" s="1"/>
  <c r="E2489" i="21"/>
  <c r="G2489" i="21" s="1"/>
  <c r="E2490" i="21"/>
  <c r="G2490" i="21" s="1"/>
  <c r="E2491" i="21"/>
  <c r="G2491" i="21" s="1"/>
  <c r="E2492" i="21"/>
  <c r="G2492" i="21" s="1"/>
  <c r="E2493" i="21"/>
  <c r="G2493" i="21" s="1"/>
  <c r="E2494" i="21"/>
  <c r="G2494" i="21" s="1"/>
  <c r="E2495" i="21"/>
  <c r="G2495" i="21" s="1"/>
  <c r="E2496" i="21"/>
  <c r="G2496" i="21" s="1"/>
  <c r="E2497" i="21"/>
  <c r="G2497" i="21" s="1"/>
  <c r="E2498" i="21"/>
  <c r="G2498" i="21" s="1"/>
  <c r="E2499" i="21"/>
  <c r="G2499" i="21" s="1"/>
  <c r="E2500" i="21"/>
  <c r="G2500" i="21" s="1"/>
  <c r="E2501" i="21"/>
  <c r="G2501" i="21" s="1"/>
  <c r="E2502" i="21"/>
  <c r="G2502" i="21" s="1"/>
  <c r="E2503" i="21"/>
  <c r="G2503" i="21" s="1"/>
  <c r="E2504" i="21"/>
  <c r="G2504" i="21" s="1"/>
  <c r="E2505" i="21"/>
  <c r="G2505" i="21" s="1"/>
  <c r="E2506" i="21"/>
  <c r="G2506" i="21" s="1"/>
  <c r="E2507" i="21"/>
  <c r="G2507" i="21" s="1"/>
  <c r="E2508" i="21"/>
  <c r="G2508" i="21" s="1"/>
  <c r="E2509" i="21"/>
  <c r="G2509" i="21" s="1"/>
  <c r="E2510" i="21"/>
  <c r="G2510" i="21" s="1"/>
  <c r="E2511" i="21"/>
  <c r="G2511" i="21" s="1"/>
  <c r="E2512" i="21"/>
  <c r="G2512" i="21" s="1"/>
  <c r="E2513" i="21"/>
  <c r="G2513" i="21" s="1"/>
  <c r="E2514" i="21"/>
  <c r="G2514" i="21" s="1"/>
  <c r="E2515" i="21"/>
  <c r="G2515" i="21" s="1"/>
  <c r="E2516" i="21"/>
  <c r="G2516" i="21" s="1"/>
  <c r="E2517" i="21"/>
  <c r="G2517" i="21" s="1"/>
  <c r="E2518" i="21"/>
  <c r="G2518" i="21" s="1"/>
  <c r="E2519" i="21"/>
  <c r="G2519" i="21" s="1"/>
  <c r="E2520" i="21"/>
  <c r="G2520" i="21" s="1"/>
  <c r="E2521" i="21"/>
  <c r="G2521" i="21" s="1"/>
  <c r="E2522" i="21"/>
  <c r="G2522" i="21" s="1"/>
  <c r="E2523" i="21"/>
  <c r="G2523" i="21" s="1"/>
  <c r="E2524" i="21"/>
  <c r="G2524" i="21" s="1"/>
  <c r="E2525" i="21"/>
  <c r="G2525" i="21" s="1"/>
  <c r="E2526" i="21"/>
  <c r="G2526" i="21" s="1"/>
  <c r="E2527" i="21"/>
  <c r="G2527" i="21" s="1"/>
  <c r="E2528" i="21"/>
  <c r="G2528" i="21" s="1"/>
  <c r="E2529" i="21"/>
  <c r="G2529" i="21" s="1"/>
  <c r="E2530" i="21"/>
  <c r="G2530" i="21" s="1"/>
  <c r="E2531" i="21"/>
  <c r="G2531" i="21" s="1"/>
  <c r="E2532" i="21"/>
  <c r="G2532" i="21" s="1"/>
  <c r="E2533" i="21"/>
  <c r="G2533" i="21" s="1"/>
  <c r="E2534" i="21"/>
  <c r="G2534" i="21" s="1"/>
  <c r="E2535" i="21"/>
  <c r="G2535" i="21" s="1"/>
  <c r="E2536" i="21"/>
  <c r="G2536" i="21" s="1"/>
  <c r="E2537" i="21"/>
  <c r="G2537" i="21" s="1"/>
  <c r="E2538" i="21"/>
  <c r="G2538" i="21" s="1"/>
  <c r="E2539" i="21"/>
  <c r="G2539" i="21" s="1"/>
  <c r="E2540" i="21"/>
  <c r="G2540" i="21" s="1"/>
  <c r="E2541" i="21"/>
  <c r="G2541" i="21" s="1"/>
  <c r="F933" i="55"/>
  <c r="E9" i="55"/>
  <c r="E10" i="55"/>
  <c r="G10" i="55" s="1"/>
  <c r="E11" i="55"/>
  <c r="G11" i="55" s="1"/>
  <c r="E12" i="55"/>
  <c r="G12" i="55" s="1"/>
  <c r="E13" i="55"/>
  <c r="G13" i="55" s="1"/>
  <c r="E14" i="55"/>
  <c r="G14" i="55" s="1"/>
  <c r="E15" i="55"/>
  <c r="G15" i="55" s="1"/>
  <c r="E16" i="55"/>
  <c r="G16" i="55" s="1"/>
  <c r="E17" i="55"/>
  <c r="G17" i="55" s="1"/>
  <c r="E18" i="55"/>
  <c r="G18" i="55" s="1"/>
  <c r="E19" i="55"/>
  <c r="G19" i="55" s="1"/>
  <c r="E20" i="55"/>
  <c r="G20" i="55" s="1"/>
  <c r="E21" i="55"/>
  <c r="G21" i="55" s="1"/>
  <c r="E22" i="55"/>
  <c r="G22" i="55" s="1"/>
  <c r="E23" i="55"/>
  <c r="G23" i="55" s="1"/>
  <c r="E24" i="55"/>
  <c r="G24" i="55" s="1"/>
  <c r="E25" i="55"/>
  <c r="G25" i="55" s="1"/>
  <c r="E26" i="55"/>
  <c r="G26" i="55" s="1"/>
  <c r="E27" i="55"/>
  <c r="G27" i="55" s="1"/>
  <c r="E28" i="55"/>
  <c r="G28" i="55" s="1"/>
  <c r="E29" i="55"/>
  <c r="G29" i="55" s="1"/>
  <c r="E30" i="55"/>
  <c r="G30" i="55" s="1"/>
  <c r="E31" i="55"/>
  <c r="G31" i="55" s="1"/>
  <c r="E32" i="55"/>
  <c r="G32" i="55" s="1"/>
  <c r="E33" i="55"/>
  <c r="G33" i="55" s="1"/>
  <c r="E34" i="55"/>
  <c r="G34" i="55" s="1"/>
  <c r="E35" i="55"/>
  <c r="G35" i="55" s="1"/>
  <c r="E36" i="55"/>
  <c r="G36" i="55" s="1"/>
  <c r="E37" i="55"/>
  <c r="G37" i="55" s="1"/>
  <c r="E38" i="55"/>
  <c r="G38" i="55" s="1"/>
  <c r="E39" i="55"/>
  <c r="G39" i="55" s="1"/>
  <c r="E40" i="55"/>
  <c r="G40" i="55" s="1"/>
  <c r="E41" i="55"/>
  <c r="G41" i="55" s="1"/>
  <c r="E42" i="55"/>
  <c r="G42" i="55" s="1"/>
  <c r="E43" i="55"/>
  <c r="G43" i="55" s="1"/>
  <c r="E44" i="55"/>
  <c r="G44" i="55" s="1"/>
  <c r="E45" i="55"/>
  <c r="G45" i="55" s="1"/>
  <c r="E46" i="55"/>
  <c r="G46" i="55" s="1"/>
  <c r="E47" i="55"/>
  <c r="G47" i="55" s="1"/>
  <c r="E48" i="55"/>
  <c r="G48" i="55" s="1"/>
  <c r="E49" i="55"/>
  <c r="G49" i="55" s="1"/>
  <c r="E50" i="55"/>
  <c r="G50" i="55" s="1"/>
  <c r="E51" i="55"/>
  <c r="G51" i="55" s="1"/>
  <c r="E52" i="55"/>
  <c r="G52" i="55" s="1"/>
  <c r="E53" i="55"/>
  <c r="G53" i="55" s="1"/>
  <c r="E54" i="55"/>
  <c r="G54" i="55" s="1"/>
  <c r="E55" i="55"/>
  <c r="G55" i="55" s="1"/>
  <c r="E56" i="55"/>
  <c r="G56" i="55" s="1"/>
  <c r="E57" i="55"/>
  <c r="G57" i="55" s="1"/>
  <c r="E58" i="55"/>
  <c r="G58" i="55" s="1"/>
  <c r="E59" i="55"/>
  <c r="G59" i="55" s="1"/>
  <c r="E60" i="55"/>
  <c r="G60" i="55" s="1"/>
  <c r="E61" i="55"/>
  <c r="G61" i="55" s="1"/>
  <c r="E62" i="55"/>
  <c r="G62" i="55" s="1"/>
  <c r="E63" i="55"/>
  <c r="G63" i="55" s="1"/>
  <c r="E64" i="55"/>
  <c r="G64" i="55" s="1"/>
  <c r="E65" i="55"/>
  <c r="G65" i="55" s="1"/>
  <c r="E66" i="55"/>
  <c r="G66" i="55" s="1"/>
  <c r="E67" i="55"/>
  <c r="G67" i="55" s="1"/>
  <c r="E68" i="55"/>
  <c r="G68" i="55" s="1"/>
  <c r="E69" i="55"/>
  <c r="G69" i="55" s="1"/>
  <c r="E70" i="55"/>
  <c r="G70" i="55" s="1"/>
  <c r="E71" i="55"/>
  <c r="G71" i="55" s="1"/>
  <c r="E72" i="55"/>
  <c r="G72" i="55" s="1"/>
  <c r="E73" i="55"/>
  <c r="G73" i="55" s="1"/>
  <c r="E74" i="55"/>
  <c r="G74" i="55" s="1"/>
  <c r="E75" i="55"/>
  <c r="G75" i="55" s="1"/>
  <c r="E76" i="55"/>
  <c r="G76" i="55" s="1"/>
  <c r="E77" i="55"/>
  <c r="G77" i="55" s="1"/>
  <c r="E78" i="55"/>
  <c r="G78" i="55" s="1"/>
  <c r="E79" i="55"/>
  <c r="G79" i="55" s="1"/>
  <c r="E80" i="55"/>
  <c r="G80" i="55" s="1"/>
  <c r="E81" i="55"/>
  <c r="G81" i="55" s="1"/>
  <c r="E82" i="55"/>
  <c r="G82" i="55" s="1"/>
  <c r="E83" i="55"/>
  <c r="G83" i="55" s="1"/>
  <c r="E84" i="55"/>
  <c r="G84" i="55" s="1"/>
  <c r="E85" i="55"/>
  <c r="G85" i="55" s="1"/>
  <c r="E86" i="55"/>
  <c r="G86" i="55" s="1"/>
  <c r="E87" i="55"/>
  <c r="G87" i="55" s="1"/>
  <c r="E88" i="55"/>
  <c r="G88" i="55" s="1"/>
  <c r="E89" i="55"/>
  <c r="G89" i="55" s="1"/>
  <c r="E90" i="55"/>
  <c r="G90" i="55" s="1"/>
  <c r="E91" i="55"/>
  <c r="G91" i="55" s="1"/>
  <c r="E92" i="55"/>
  <c r="G92" i="55" s="1"/>
  <c r="E93" i="55"/>
  <c r="G93" i="55" s="1"/>
  <c r="E94" i="55"/>
  <c r="G94" i="55" s="1"/>
  <c r="E95" i="55"/>
  <c r="G95" i="55" s="1"/>
  <c r="E96" i="55"/>
  <c r="G96" i="55" s="1"/>
  <c r="E97" i="55"/>
  <c r="G97" i="55" s="1"/>
  <c r="E98" i="55"/>
  <c r="G98" i="55" s="1"/>
  <c r="E99" i="55"/>
  <c r="G99" i="55" s="1"/>
  <c r="E100" i="55"/>
  <c r="G100" i="55" s="1"/>
  <c r="E101" i="55"/>
  <c r="G101" i="55" s="1"/>
  <c r="E102" i="55"/>
  <c r="G102" i="55" s="1"/>
  <c r="E103" i="55"/>
  <c r="G103" i="55" s="1"/>
  <c r="E104" i="55"/>
  <c r="G104" i="55" s="1"/>
  <c r="E105" i="55"/>
  <c r="G105" i="55" s="1"/>
  <c r="E106" i="55"/>
  <c r="G106" i="55" s="1"/>
  <c r="E107" i="55"/>
  <c r="G107" i="55" s="1"/>
  <c r="E108" i="55"/>
  <c r="G108" i="55" s="1"/>
  <c r="E109" i="55"/>
  <c r="G109" i="55" s="1"/>
  <c r="E110" i="55"/>
  <c r="G110" i="55" s="1"/>
  <c r="E111" i="55"/>
  <c r="G111" i="55" s="1"/>
  <c r="E112" i="55"/>
  <c r="G112" i="55" s="1"/>
  <c r="E113" i="55"/>
  <c r="G113" i="55" s="1"/>
  <c r="E114" i="55"/>
  <c r="G114" i="55" s="1"/>
  <c r="E115" i="55"/>
  <c r="G115" i="55" s="1"/>
  <c r="E116" i="55"/>
  <c r="G116" i="55" s="1"/>
  <c r="E117" i="55"/>
  <c r="G117" i="55" s="1"/>
  <c r="E118" i="55"/>
  <c r="G118" i="55" s="1"/>
  <c r="E119" i="55"/>
  <c r="G119" i="55" s="1"/>
  <c r="E120" i="55"/>
  <c r="G120" i="55" s="1"/>
  <c r="E121" i="55"/>
  <c r="G121" i="55" s="1"/>
  <c r="E122" i="55"/>
  <c r="G122" i="55" s="1"/>
  <c r="E123" i="55"/>
  <c r="G123" i="55" s="1"/>
  <c r="E124" i="55"/>
  <c r="G124" i="55" s="1"/>
  <c r="E125" i="55"/>
  <c r="G125" i="55" s="1"/>
  <c r="E126" i="55"/>
  <c r="G126" i="55" s="1"/>
  <c r="E127" i="55"/>
  <c r="G127" i="55" s="1"/>
  <c r="E128" i="55"/>
  <c r="G128" i="55" s="1"/>
  <c r="E129" i="55"/>
  <c r="G129" i="55" s="1"/>
  <c r="E130" i="55"/>
  <c r="G130" i="55" s="1"/>
  <c r="E131" i="55"/>
  <c r="G131" i="55" s="1"/>
  <c r="E132" i="55"/>
  <c r="G132" i="55" s="1"/>
  <c r="E133" i="55"/>
  <c r="G133" i="55" s="1"/>
  <c r="E134" i="55"/>
  <c r="G134" i="55" s="1"/>
  <c r="E135" i="55"/>
  <c r="G135" i="55" s="1"/>
  <c r="E136" i="55"/>
  <c r="G136" i="55" s="1"/>
  <c r="E137" i="55"/>
  <c r="G137" i="55" s="1"/>
  <c r="E138" i="55"/>
  <c r="G138" i="55" s="1"/>
  <c r="E139" i="55"/>
  <c r="G139" i="55" s="1"/>
  <c r="E140" i="55"/>
  <c r="G140" i="55" s="1"/>
  <c r="E141" i="55"/>
  <c r="G141" i="55" s="1"/>
  <c r="E142" i="55"/>
  <c r="G142" i="55" s="1"/>
  <c r="E143" i="55"/>
  <c r="G143" i="55" s="1"/>
  <c r="E144" i="55"/>
  <c r="G144" i="55" s="1"/>
  <c r="E145" i="55"/>
  <c r="G145" i="55" s="1"/>
  <c r="E146" i="55"/>
  <c r="G146" i="55" s="1"/>
  <c r="E147" i="55"/>
  <c r="G147" i="55" s="1"/>
  <c r="E148" i="55"/>
  <c r="G148" i="55" s="1"/>
  <c r="E149" i="55"/>
  <c r="G149" i="55" s="1"/>
  <c r="E150" i="55"/>
  <c r="G150" i="55" s="1"/>
  <c r="E151" i="55"/>
  <c r="G151" i="55" s="1"/>
  <c r="E152" i="55"/>
  <c r="G152" i="55" s="1"/>
  <c r="E153" i="55"/>
  <c r="G153" i="55" s="1"/>
  <c r="E154" i="55"/>
  <c r="G154" i="55" s="1"/>
  <c r="E155" i="55"/>
  <c r="G155" i="55" s="1"/>
  <c r="E156" i="55"/>
  <c r="G156" i="55" s="1"/>
  <c r="E157" i="55"/>
  <c r="G157" i="55" s="1"/>
  <c r="E158" i="55"/>
  <c r="G158" i="55" s="1"/>
  <c r="E159" i="55"/>
  <c r="G159" i="55" s="1"/>
  <c r="E160" i="55"/>
  <c r="G160" i="55" s="1"/>
  <c r="E161" i="55"/>
  <c r="G161" i="55" s="1"/>
  <c r="E162" i="55"/>
  <c r="G162" i="55" s="1"/>
  <c r="E163" i="55"/>
  <c r="G163" i="55" s="1"/>
  <c r="E164" i="55"/>
  <c r="G164" i="55" s="1"/>
  <c r="E165" i="55"/>
  <c r="G165" i="55" s="1"/>
  <c r="E166" i="55"/>
  <c r="G166" i="55" s="1"/>
  <c r="E167" i="55"/>
  <c r="G167" i="55" s="1"/>
  <c r="E168" i="55"/>
  <c r="G168" i="55" s="1"/>
  <c r="E169" i="55"/>
  <c r="G169" i="55" s="1"/>
  <c r="E170" i="55"/>
  <c r="G170" i="55" s="1"/>
  <c r="E171" i="55"/>
  <c r="G171" i="55" s="1"/>
  <c r="E172" i="55"/>
  <c r="G172" i="55" s="1"/>
  <c r="E173" i="55"/>
  <c r="G173" i="55" s="1"/>
  <c r="E174" i="55"/>
  <c r="G174" i="55" s="1"/>
  <c r="E175" i="55"/>
  <c r="G175" i="55" s="1"/>
  <c r="G356" i="55"/>
  <c r="G357" i="55"/>
  <c r="G358" i="55"/>
  <c r="G359" i="55"/>
  <c r="G360" i="55"/>
  <c r="G361" i="55"/>
  <c r="G362" i="55"/>
  <c r="G363" i="55"/>
  <c r="G364" i="55"/>
  <c r="G365" i="55"/>
  <c r="G366" i="55"/>
  <c r="G367" i="55"/>
  <c r="G368" i="55"/>
  <c r="G369" i="55"/>
  <c r="G370" i="55"/>
  <c r="G371" i="55"/>
  <c r="G372" i="55"/>
  <c r="G373" i="55"/>
  <c r="G374" i="55"/>
  <c r="G375" i="55"/>
  <c r="G376" i="55"/>
  <c r="G377" i="55"/>
  <c r="G378" i="55"/>
  <c r="G379" i="55"/>
  <c r="G380" i="55"/>
  <c r="G381" i="55"/>
  <c r="G382" i="55"/>
  <c r="G384" i="55"/>
  <c r="G385" i="55"/>
  <c r="G386" i="55"/>
  <c r="G387" i="55"/>
  <c r="G388" i="55"/>
  <c r="G389" i="55"/>
  <c r="G390" i="55"/>
  <c r="G391" i="55"/>
  <c r="G392" i="55"/>
  <c r="G393" i="55"/>
  <c r="G394" i="55"/>
  <c r="G395" i="55"/>
  <c r="G396" i="55"/>
  <c r="G397" i="55"/>
  <c r="G398" i="55"/>
  <c r="G399" i="55"/>
  <c r="E413" i="55"/>
  <c r="G413" i="55" s="1"/>
  <c r="E414" i="55"/>
  <c r="G414" i="55" s="1"/>
  <c r="E415" i="55"/>
  <c r="G415" i="55" s="1"/>
  <c r="E416" i="55"/>
  <c r="G416" i="55" s="1"/>
  <c r="E417" i="55"/>
  <c r="G417" i="55" s="1"/>
  <c r="E418" i="55"/>
  <c r="G418" i="55" s="1"/>
  <c r="E419" i="55"/>
  <c r="G419" i="55" s="1"/>
  <c r="E420" i="55"/>
  <c r="G420" i="55" s="1"/>
  <c r="E421" i="55"/>
  <c r="G421" i="55" s="1"/>
  <c r="E422" i="55"/>
  <c r="G422" i="55" s="1"/>
  <c r="E423" i="55"/>
  <c r="G423" i="55" s="1"/>
  <c r="E424" i="55"/>
  <c r="G424" i="55" s="1"/>
  <c r="E425" i="55"/>
  <c r="G425" i="55" s="1"/>
  <c r="E426" i="55"/>
  <c r="G426" i="55" s="1"/>
  <c r="E427" i="55"/>
  <c r="G427" i="55" s="1"/>
  <c r="E428" i="55"/>
  <c r="G428" i="55" s="1"/>
  <c r="E429" i="55"/>
  <c r="G429" i="55" s="1"/>
  <c r="E430" i="55"/>
  <c r="G430" i="55" s="1"/>
  <c r="E431" i="55"/>
  <c r="G431" i="55" s="1"/>
  <c r="E432" i="55"/>
  <c r="G432" i="55" s="1"/>
  <c r="E433" i="55"/>
  <c r="G433" i="55" s="1"/>
  <c r="E434" i="55"/>
  <c r="G434" i="55" s="1"/>
  <c r="E435" i="55"/>
  <c r="G435" i="55" s="1"/>
  <c r="E436" i="55"/>
  <c r="G436" i="55" s="1"/>
  <c r="E437" i="55"/>
  <c r="G437" i="55" s="1"/>
  <c r="E438" i="55"/>
  <c r="G438" i="55" s="1"/>
  <c r="E439" i="55"/>
  <c r="G439" i="55" s="1"/>
  <c r="E440" i="55"/>
  <c r="G440" i="55" s="1"/>
  <c r="E441" i="55"/>
  <c r="G441" i="55" s="1"/>
  <c r="E442" i="55"/>
  <c r="G442" i="55" s="1"/>
  <c r="E443" i="55"/>
  <c r="G443" i="55" s="1"/>
  <c r="E444" i="55"/>
  <c r="G444" i="55" s="1"/>
  <c r="E445" i="55"/>
  <c r="G445" i="55" s="1"/>
  <c r="E446" i="55"/>
  <c r="G446" i="55" s="1"/>
  <c r="E447" i="55"/>
  <c r="G447" i="55" s="1"/>
  <c r="E448" i="55"/>
  <c r="G448" i="55" s="1"/>
  <c r="E449" i="55"/>
  <c r="G449" i="55" s="1"/>
  <c r="E450" i="55"/>
  <c r="G450" i="55" s="1"/>
  <c r="E451" i="55"/>
  <c r="G451" i="55" s="1"/>
  <c r="E452" i="55"/>
  <c r="G452" i="55" s="1"/>
  <c r="E453" i="55"/>
  <c r="G453" i="55" s="1"/>
  <c r="E454" i="55"/>
  <c r="G454" i="55" s="1"/>
  <c r="E455" i="55"/>
  <c r="G455" i="55" s="1"/>
  <c r="E456" i="55"/>
  <c r="G456" i="55" s="1"/>
  <c r="E457" i="55"/>
  <c r="G457" i="55" s="1"/>
  <c r="E458" i="55"/>
  <c r="G458" i="55" s="1"/>
  <c r="E459" i="55"/>
  <c r="G459" i="55" s="1"/>
  <c r="E460" i="55"/>
  <c r="G460" i="55" s="1"/>
  <c r="E461" i="55"/>
  <c r="G461" i="55" s="1"/>
  <c r="E462" i="55"/>
  <c r="G462" i="55" s="1"/>
  <c r="E463" i="55"/>
  <c r="G463" i="55" s="1"/>
  <c r="E464" i="55"/>
  <c r="G464" i="55" s="1"/>
  <c r="E465" i="55"/>
  <c r="G465" i="55" s="1"/>
  <c r="E466" i="55"/>
  <c r="G466" i="55" s="1"/>
  <c r="E467" i="55"/>
  <c r="G467" i="55" s="1"/>
  <c r="E468" i="55"/>
  <c r="G468" i="55" s="1"/>
  <c r="E469" i="55"/>
  <c r="G469" i="55" s="1"/>
  <c r="E470" i="55"/>
  <c r="G470" i="55" s="1"/>
  <c r="E471" i="55"/>
  <c r="G471" i="55" s="1"/>
  <c r="E472" i="55"/>
  <c r="G472" i="55" s="1"/>
  <c r="E473" i="55"/>
  <c r="G473" i="55" s="1"/>
  <c r="E474" i="55"/>
  <c r="G474" i="55" s="1"/>
  <c r="E475" i="55"/>
  <c r="G475" i="55" s="1"/>
  <c r="E476" i="55"/>
  <c r="G476" i="55" s="1"/>
  <c r="E477" i="55"/>
  <c r="G477" i="55" s="1"/>
  <c r="E478" i="55"/>
  <c r="G478" i="55" s="1"/>
  <c r="E479" i="55"/>
  <c r="G479" i="55" s="1"/>
  <c r="E480" i="55"/>
  <c r="G480" i="55" s="1"/>
  <c r="E481" i="55"/>
  <c r="G481" i="55" s="1"/>
  <c r="E482" i="55"/>
  <c r="G482" i="55" s="1"/>
  <c r="E483" i="55"/>
  <c r="G483" i="55" s="1"/>
  <c r="E484" i="55"/>
  <c r="G484" i="55" s="1"/>
  <c r="E485" i="55"/>
  <c r="G485" i="55" s="1"/>
  <c r="E486" i="55"/>
  <c r="G486" i="55" s="1"/>
  <c r="E487" i="55"/>
  <c r="G487" i="55" s="1"/>
  <c r="E488" i="55"/>
  <c r="G488" i="55" s="1"/>
  <c r="E489" i="55"/>
  <c r="G489" i="55" s="1"/>
  <c r="E490" i="55"/>
  <c r="G490" i="55" s="1"/>
  <c r="E491" i="55"/>
  <c r="G491" i="55" s="1"/>
  <c r="E492" i="55"/>
  <c r="G492" i="55" s="1"/>
  <c r="E493" i="55"/>
  <c r="G493" i="55" s="1"/>
  <c r="E494" i="55"/>
  <c r="G494" i="55" s="1"/>
  <c r="E495" i="55"/>
  <c r="G495" i="55" s="1"/>
  <c r="E496" i="55"/>
  <c r="G496" i="55" s="1"/>
  <c r="E497" i="55"/>
  <c r="G497" i="55" s="1"/>
  <c r="E498" i="55"/>
  <c r="G498" i="55" s="1"/>
  <c r="E499" i="55"/>
  <c r="G499" i="55" s="1"/>
  <c r="E500" i="55"/>
  <c r="G500" i="55" s="1"/>
  <c r="E501" i="55"/>
  <c r="G501" i="55" s="1"/>
  <c r="E502" i="55"/>
  <c r="G502" i="55" s="1"/>
  <c r="E503" i="55"/>
  <c r="G503" i="55" s="1"/>
  <c r="E504" i="55"/>
  <c r="G504" i="55" s="1"/>
  <c r="E505" i="55"/>
  <c r="G505" i="55" s="1"/>
  <c r="E506" i="55"/>
  <c r="G506" i="55" s="1"/>
  <c r="E507" i="55"/>
  <c r="G507" i="55" s="1"/>
  <c r="E508" i="55"/>
  <c r="G508" i="55" s="1"/>
  <c r="E509" i="55"/>
  <c r="G509" i="55" s="1"/>
  <c r="E510" i="55"/>
  <c r="G510" i="55" s="1"/>
  <c r="E511" i="55"/>
  <c r="G511" i="55" s="1"/>
  <c r="E512" i="55"/>
  <c r="G512" i="55" s="1"/>
  <c r="E513" i="55"/>
  <c r="G513" i="55" s="1"/>
  <c r="E514" i="55"/>
  <c r="G514" i="55" s="1"/>
  <c r="E515" i="55"/>
  <c r="G515" i="55" s="1"/>
  <c r="E516" i="55"/>
  <c r="G516" i="55" s="1"/>
  <c r="E517" i="55"/>
  <c r="G517" i="55" s="1"/>
  <c r="E518" i="55"/>
  <c r="G518" i="55" s="1"/>
  <c r="E519" i="55"/>
  <c r="G519" i="55" s="1"/>
  <c r="E520" i="55"/>
  <c r="G520" i="55" s="1"/>
  <c r="E521" i="55"/>
  <c r="G521" i="55" s="1"/>
  <c r="E522" i="55"/>
  <c r="G522" i="55" s="1"/>
  <c r="E523" i="55"/>
  <c r="G523" i="55" s="1"/>
  <c r="E524" i="55"/>
  <c r="G524" i="55" s="1"/>
  <c r="E525" i="55"/>
  <c r="G525" i="55" s="1"/>
  <c r="E526" i="55"/>
  <c r="G526" i="55" s="1"/>
  <c r="E527" i="55"/>
  <c r="G527" i="55" s="1"/>
  <c r="E528" i="55"/>
  <c r="G528" i="55" s="1"/>
  <c r="E529" i="55"/>
  <c r="G529" i="55" s="1"/>
  <c r="E530" i="55"/>
  <c r="G530" i="55" s="1"/>
  <c r="E531" i="55"/>
  <c r="G531" i="55" s="1"/>
  <c r="E532" i="55"/>
  <c r="G532" i="55" s="1"/>
  <c r="E533" i="55"/>
  <c r="G533" i="55" s="1"/>
  <c r="E534" i="55"/>
  <c r="G534" i="55" s="1"/>
  <c r="E535" i="55"/>
  <c r="G535" i="55" s="1"/>
  <c r="E536" i="55"/>
  <c r="G536" i="55" s="1"/>
  <c r="E537" i="55"/>
  <c r="G537" i="55" s="1"/>
  <c r="E538" i="55"/>
  <c r="G538" i="55" s="1"/>
  <c r="E539" i="55"/>
  <c r="G539" i="55" s="1"/>
  <c r="E540" i="55"/>
  <c r="G540" i="55" s="1"/>
  <c r="E541" i="55"/>
  <c r="G541" i="55" s="1"/>
  <c r="E542" i="55"/>
  <c r="G542" i="55" s="1"/>
  <c r="E543" i="55"/>
  <c r="G543" i="55" s="1"/>
  <c r="E544" i="55"/>
  <c r="G544" i="55" s="1"/>
  <c r="E545" i="55"/>
  <c r="G545" i="55" s="1"/>
  <c r="E546" i="55"/>
  <c r="G546" i="55" s="1"/>
  <c r="E547" i="55"/>
  <c r="G547" i="55" s="1"/>
  <c r="E548" i="55"/>
  <c r="G548" i="55" s="1"/>
  <c r="E549" i="55"/>
  <c r="G549" i="55" s="1"/>
  <c r="E550" i="55"/>
  <c r="G550" i="55" s="1"/>
  <c r="E551" i="55"/>
  <c r="G551" i="55" s="1"/>
  <c r="E552" i="55"/>
  <c r="G552" i="55" s="1"/>
  <c r="E553" i="55"/>
  <c r="G553" i="55" s="1"/>
  <c r="E554" i="55"/>
  <c r="G554" i="55" s="1"/>
  <c r="E555" i="55"/>
  <c r="G555" i="55" s="1"/>
  <c r="E556" i="55"/>
  <c r="G556" i="55" s="1"/>
  <c r="E557" i="55"/>
  <c r="G557" i="55" s="1"/>
  <c r="E558" i="55"/>
  <c r="G558" i="55" s="1"/>
  <c r="E559" i="55"/>
  <c r="G559" i="55" s="1"/>
  <c r="E560" i="55"/>
  <c r="G560" i="55" s="1"/>
  <c r="E561" i="55"/>
  <c r="G561" i="55" s="1"/>
  <c r="E562" i="55"/>
  <c r="G562" i="55" s="1"/>
  <c r="E563" i="55"/>
  <c r="G563" i="55" s="1"/>
  <c r="E564" i="55"/>
  <c r="G564" i="55" s="1"/>
  <c r="E565" i="55"/>
  <c r="G565" i="55" s="1"/>
  <c r="E566" i="55"/>
  <c r="G566" i="55" s="1"/>
  <c r="E567" i="55"/>
  <c r="G567" i="55" s="1"/>
  <c r="E568" i="55"/>
  <c r="G568" i="55" s="1"/>
  <c r="E569" i="55"/>
  <c r="G569" i="55" s="1"/>
  <c r="E570" i="55"/>
  <c r="G570" i="55" s="1"/>
  <c r="E571" i="55"/>
  <c r="G571" i="55" s="1"/>
  <c r="E572" i="55"/>
  <c r="G572" i="55" s="1"/>
  <c r="E573" i="55"/>
  <c r="G573" i="55" s="1"/>
  <c r="E574" i="55"/>
  <c r="G574" i="55" s="1"/>
  <c r="E575" i="55"/>
  <c r="G575" i="55" s="1"/>
  <c r="E576" i="55"/>
  <c r="G576" i="55" s="1"/>
  <c r="E577" i="55"/>
  <c r="G577" i="55" s="1"/>
  <c r="E578" i="55"/>
  <c r="G578" i="55" s="1"/>
  <c r="E579" i="55"/>
  <c r="G579" i="55" s="1"/>
  <c r="E580" i="55"/>
  <c r="G580" i="55" s="1"/>
  <c r="E581" i="55"/>
  <c r="G581" i="55" s="1"/>
  <c r="E582" i="55"/>
  <c r="G582" i="55" s="1"/>
  <c r="E583" i="55"/>
  <c r="G583" i="55" s="1"/>
  <c r="E584" i="55"/>
  <c r="G584" i="55" s="1"/>
  <c r="E585" i="55"/>
  <c r="G585" i="55" s="1"/>
  <c r="E586" i="55"/>
  <c r="G586" i="55" s="1"/>
  <c r="E587" i="55"/>
  <c r="G587" i="55" s="1"/>
  <c r="E588" i="55"/>
  <c r="G588" i="55" s="1"/>
  <c r="E589" i="55"/>
  <c r="G589" i="55" s="1"/>
  <c r="E590" i="55"/>
  <c r="G590" i="55" s="1"/>
  <c r="E591" i="55"/>
  <c r="G591" i="55" s="1"/>
  <c r="E592" i="55"/>
  <c r="G592" i="55" s="1"/>
  <c r="E593" i="55"/>
  <c r="G593" i="55" s="1"/>
  <c r="E594" i="55"/>
  <c r="G594" i="55" s="1"/>
  <c r="E595" i="55"/>
  <c r="G595" i="55" s="1"/>
  <c r="E596" i="55"/>
  <c r="G596" i="55" s="1"/>
  <c r="E597" i="55"/>
  <c r="G597" i="55" s="1"/>
  <c r="E598" i="55"/>
  <c r="G598" i="55" s="1"/>
  <c r="E599" i="55"/>
  <c r="G599" i="55" s="1"/>
  <c r="E600" i="55"/>
  <c r="G600" i="55" s="1"/>
  <c r="E601" i="55"/>
  <c r="G601" i="55" s="1"/>
  <c r="E602" i="55"/>
  <c r="G602" i="55" s="1"/>
  <c r="E603" i="55"/>
  <c r="G603" i="55" s="1"/>
  <c r="E604" i="55"/>
  <c r="G604" i="55" s="1"/>
  <c r="E605" i="55"/>
  <c r="G605" i="55" s="1"/>
  <c r="E606" i="55"/>
  <c r="G606" i="55" s="1"/>
  <c r="E607" i="55"/>
  <c r="G607" i="55" s="1"/>
  <c r="E608" i="55"/>
  <c r="G608" i="55" s="1"/>
  <c r="E609" i="55"/>
  <c r="G609" i="55" s="1"/>
  <c r="E610" i="55"/>
  <c r="G610" i="55" s="1"/>
  <c r="E611" i="55"/>
  <c r="G611" i="55" s="1"/>
  <c r="E612" i="55"/>
  <c r="G612" i="55" s="1"/>
  <c r="E613" i="55"/>
  <c r="G613" i="55" s="1"/>
  <c r="E614" i="55"/>
  <c r="G614" i="55" s="1"/>
  <c r="E615" i="55"/>
  <c r="G615" i="55" s="1"/>
  <c r="E616" i="55"/>
  <c r="G616" i="55" s="1"/>
  <c r="E617" i="55"/>
  <c r="G617" i="55" s="1"/>
  <c r="E618" i="55"/>
  <c r="G618" i="55" s="1"/>
  <c r="E619" i="55"/>
  <c r="G619" i="55" s="1"/>
  <c r="E620" i="55"/>
  <c r="G620" i="55" s="1"/>
  <c r="E621" i="55"/>
  <c r="G621" i="55" s="1"/>
  <c r="E622" i="55"/>
  <c r="G622" i="55" s="1"/>
  <c r="E623" i="55"/>
  <c r="G623" i="55" s="1"/>
  <c r="E624" i="55"/>
  <c r="G624" i="55" s="1"/>
  <c r="E625" i="55"/>
  <c r="G625" i="55" s="1"/>
  <c r="E626" i="55"/>
  <c r="G626" i="55" s="1"/>
  <c r="E627" i="55"/>
  <c r="G627" i="55" s="1"/>
  <c r="E628" i="55"/>
  <c r="G628" i="55" s="1"/>
  <c r="E629" i="55"/>
  <c r="G629" i="55" s="1"/>
  <c r="E630" i="55"/>
  <c r="G630" i="55" s="1"/>
  <c r="E631" i="55"/>
  <c r="G631" i="55" s="1"/>
  <c r="E632" i="55"/>
  <c r="G632" i="55" s="1"/>
  <c r="E633" i="55"/>
  <c r="G633" i="55" s="1"/>
  <c r="E634" i="55"/>
  <c r="G634" i="55" s="1"/>
  <c r="E635" i="55"/>
  <c r="G635" i="55" s="1"/>
  <c r="E636" i="55"/>
  <c r="G636" i="55" s="1"/>
  <c r="E637" i="55"/>
  <c r="G637" i="55" s="1"/>
  <c r="E638" i="55"/>
  <c r="G638" i="55" s="1"/>
  <c r="E639" i="55"/>
  <c r="G639" i="55" s="1"/>
  <c r="E640" i="55"/>
  <c r="G640" i="55" s="1"/>
  <c r="E641" i="55"/>
  <c r="G641" i="55" s="1"/>
  <c r="E642" i="55"/>
  <c r="G642" i="55" s="1"/>
  <c r="E643" i="55"/>
  <c r="G643" i="55" s="1"/>
  <c r="E644" i="55"/>
  <c r="G644" i="55" s="1"/>
  <c r="E645" i="55"/>
  <c r="G645" i="55" s="1"/>
  <c r="E646" i="55"/>
  <c r="G646" i="55" s="1"/>
  <c r="E647" i="55"/>
  <c r="G647" i="55" s="1"/>
  <c r="E648" i="55"/>
  <c r="G648" i="55" s="1"/>
  <c r="E649" i="55"/>
  <c r="G649" i="55" s="1"/>
  <c r="E650" i="55"/>
  <c r="G650" i="55" s="1"/>
  <c r="E651" i="55"/>
  <c r="G651" i="55" s="1"/>
  <c r="E652" i="55"/>
  <c r="G652" i="55" s="1"/>
  <c r="E653" i="55"/>
  <c r="G653" i="55" s="1"/>
  <c r="E654" i="55"/>
  <c r="G654" i="55" s="1"/>
  <c r="E655" i="55"/>
  <c r="G655" i="55" s="1"/>
  <c r="E656" i="55"/>
  <c r="G656" i="55" s="1"/>
  <c r="E657" i="55"/>
  <c r="G657" i="55" s="1"/>
  <c r="E658" i="55"/>
  <c r="G658" i="55" s="1"/>
  <c r="E659" i="55"/>
  <c r="G659" i="55" s="1"/>
  <c r="E660" i="55"/>
  <c r="G660" i="55" s="1"/>
  <c r="E661" i="55"/>
  <c r="G661" i="55" s="1"/>
  <c r="E662" i="55"/>
  <c r="G662" i="55" s="1"/>
  <c r="E663" i="55"/>
  <c r="G663" i="55" s="1"/>
  <c r="E664" i="55"/>
  <c r="G664" i="55" s="1"/>
  <c r="E665" i="55"/>
  <c r="G665" i="55" s="1"/>
  <c r="E666" i="55"/>
  <c r="G666" i="55" s="1"/>
  <c r="E667" i="55"/>
  <c r="G667" i="55" s="1"/>
  <c r="E668" i="55"/>
  <c r="G668" i="55" s="1"/>
  <c r="E669" i="55"/>
  <c r="G669" i="55" s="1"/>
  <c r="E670" i="55"/>
  <c r="G670" i="55" s="1"/>
  <c r="E671" i="55"/>
  <c r="G671" i="55" s="1"/>
  <c r="E672" i="55"/>
  <c r="G672" i="55" s="1"/>
  <c r="E673" i="55"/>
  <c r="G673" i="55" s="1"/>
  <c r="E674" i="55"/>
  <c r="G674" i="55" s="1"/>
  <c r="E675" i="55"/>
  <c r="G675" i="55" s="1"/>
  <c r="E676" i="55"/>
  <c r="G676" i="55" s="1"/>
  <c r="E677" i="55"/>
  <c r="G677" i="55" s="1"/>
  <c r="E678" i="55"/>
  <c r="G678" i="55" s="1"/>
  <c r="E679" i="55"/>
  <c r="G679" i="55" s="1"/>
  <c r="E680" i="55"/>
  <c r="G680" i="55" s="1"/>
  <c r="E681" i="55"/>
  <c r="G681" i="55" s="1"/>
  <c r="E682" i="55"/>
  <c r="G682" i="55" s="1"/>
  <c r="E683" i="55"/>
  <c r="G683" i="55" s="1"/>
  <c r="E684" i="55"/>
  <c r="G684" i="55" s="1"/>
  <c r="E685" i="55"/>
  <c r="G685" i="55" s="1"/>
  <c r="E686" i="55"/>
  <c r="G686" i="55" s="1"/>
  <c r="E687" i="55"/>
  <c r="G687" i="55" s="1"/>
  <c r="E688" i="55"/>
  <c r="G688" i="55" s="1"/>
  <c r="E689" i="55"/>
  <c r="G689" i="55" s="1"/>
  <c r="E690" i="55"/>
  <c r="G690" i="55" s="1"/>
  <c r="E691" i="55"/>
  <c r="G691" i="55" s="1"/>
  <c r="E692" i="55"/>
  <c r="G692" i="55" s="1"/>
  <c r="E693" i="55"/>
  <c r="G693" i="55" s="1"/>
  <c r="E694" i="55"/>
  <c r="G694" i="55" s="1"/>
  <c r="E695" i="55"/>
  <c r="G695" i="55" s="1"/>
  <c r="E696" i="55"/>
  <c r="G696" i="55" s="1"/>
  <c r="E697" i="55"/>
  <c r="G697" i="55" s="1"/>
  <c r="E698" i="55"/>
  <c r="G698" i="55" s="1"/>
  <c r="E699" i="55"/>
  <c r="G699" i="55" s="1"/>
  <c r="E700" i="55"/>
  <c r="G700" i="55" s="1"/>
  <c r="E701" i="55"/>
  <c r="G701" i="55" s="1"/>
  <c r="E702" i="55"/>
  <c r="G702" i="55" s="1"/>
  <c r="E703" i="55"/>
  <c r="G703" i="55" s="1"/>
  <c r="E704" i="55"/>
  <c r="G704" i="55" s="1"/>
  <c r="E705" i="55"/>
  <c r="G705" i="55" s="1"/>
  <c r="E706" i="55"/>
  <c r="G706" i="55" s="1"/>
  <c r="E707" i="55"/>
  <c r="G707" i="55" s="1"/>
  <c r="E708" i="55"/>
  <c r="G708" i="55" s="1"/>
  <c r="E709" i="55"/>
  <c r="G709" i="55" s="1"/>
  <c r="E710" i="55"/>
  <c r="G710" i="55" s="1"/>
  <c r="E711" i="55"/>
  <c r="G711" i="55" s="1"/>
  <c r="E712" i="55"/>
  <c r="G712" i="55" s="1"/>
  <c r="E713" i="55"/>
  <c r="G713" i="55" s="1"/>
  <c r="E714" i="55"/>
  <c r="G714" i="55" s="1"/>
  <c r="E715" i="55"/>
  <c r="G715" i="55" s="1"/>
  <c r="E716" i="55"/>
  <c r="G716" i="55" s="1"/>
  <c r="E717" i="55"/>
  <c r="G717" i="55" s="1"/>
  <c r="E718" i="55"/>
  <c r="G718" i="55" s="1"/>
  <c r="E719" i="55"/>
  <c r="G719" i="55" s="1"/>
  <c r="E720" i="55"/>
  <c r="G720" i="55" s="1"/>
  <c r="E721" i="55"/>
  <c r="G721" i="55" s="1"/>
  <c r="E722" i="55"/>
  <c r="G722" i="55" s="1"/>
  <c r="E723" i="55"/>
  <c r="G723" i="55" s="1"/>
  <c r="E724" i="55"/>
  <c r="G724" i="55" s="1"/>
  <c r="E725" i="55"/>
  <c r="G725" i="55" s="1"/>
  <c r="E726" i="55"/>
  <c r="G726" i="55" s="1"/>
  <c r="E727" i="55"/>
  <c r="G727" i="55" s="1"/>
  <c r="E728" i="55"/>
  <c r="G728" i="55" s="1"/>
  <c r="E729" i="55"/>
  <c r="G729" i="55" s="1"/>
  <c r="E730" i="55"/>
  <c r="G730" i="55" s="1"/>
  <c r="E731" i="55"/>
  <c r="G731" i="55" s="1"/>
  <c r="E732" i="55"/>
  <c r="G732" i="55" s="1"/>
  <c r="E733" i="55"/>
  <c r="G733" i="55" s="1"/>
  <c r="E734" i="55"/>
  <c r="G734" i="55" s="1"/>
  <c r="E735" i="55"/>
  <c r="G735" i="55" s="1"/>
  <c r="E736" i="55"/>
  <c r="G736" i="55" s="1"/>
  <c r="E737" i="55"/>
  <c r="G737" i="55" s="1"/>
  <c r="E738" i="55"/>
  <c r="G738" i="55" s="1"/>
  <c r="E739" i="55"/>
  <c r="G739" i="55" s="1"/>
  <c r="E740" i="55"/>
  <c r="G740" i="55" s="1"/>
  <c r="E741" i="55"/>
  <c r="G741" i="55" s="1"/>
  <c r="E742" i="55"/>
  <c r="G742" i="55" s="1"/>
  <c r="E743" i="55"/>
  <c r="G743" i="55" s="1"/>
  <c r="E744" i="55"/>
  <c r="G744" i="55" s="1"/>
  <c r="E745" i="55"/>
  <c r="G745" i="55" s="1"/>
  <c r="E746" i="55"/>
  <c r="G746" i="55" s="1"/>
  <c r="E747" i="55"/>
  <c r="G747" i="55" s="1"/>
  <c r="E748" i="55"/>
  <c r="G748" i="55" s="1"/>
  <c r="E749" i="55"/>
  <c r="G749" i="55" s="1"/>
  <c r="E750" i="55"/>
  <c r="G750" i="55" s="1"/>
  <c r="E751" i="55"/>
  <c r="G751" i="55" s="1"/>
  <c r="E752" i="55"/>
  <c r="G752" i="55" s="1"/>
  <c r="E753" i="55"/>
  <c r="G753" i="55" s="1"/>
  <c r="E754" i="55"/>
  <c r="G754" i="55" s="1"/>
  <c r="E755" i="55"/>
  <c r="G755" i="55" s="1"/>
  <c r="E756" i="55"/>
  <c r="G756" i="55" s="1"/>
  <c r="E757" i="55"/>
  <c r="G757" i="55" s="1"/>
  <c r="E758" i="55"/>
  <c r="G758" i="55" s="1"/>
  <c r="E759" i="55"/>
  <c r="G759" i="55" s="1"/>
  <c r="E760" i="55"/>
  <c r="G760" i="55" s="1"/>
  <c r="E761" i="55"/>
  <c r="G761" i="55" s="1"/>
  <c r="E762" i="55"/>
  <c r="G762" i="55" s="1"/>
  <c r="E763" i="55"/>
  <c r="G763" i="55" s="1"/>
  <c r="E764" i="55"/>
  <c r="G764" i="55" s="1"/>
  <c r="E765" i="55"/>
  <c r="G765" i="55" s="1"/>
  <c r="E766" i="55"/>
  <c r="G766" i="55" s="1"/>
  <c r="E767" i="55"/>
  <c r="G767" i="55" s="1"/>
  <c r="E768" i="55"/>
  <c r="G768" i="55" s="1"/>
  <c r="E769" i="55"/>
  <c r="G769" i="55" s="1"/>
  <c r="E770" i="55"/>
  <c r="G770" i="55" s="1"/>
  <c r="E771" i="55"/>
  <c r="G771" i="55" s="1"/>
  <c r="E772" i="55"/>
  <c r="G772" i="55" s="1"/>
  <c r="E773" i="55"/>
  <c r="G773" i="55" s="1"/>
  <c r="E774" i="55"/>
  <c r="G774" i="55" s="1"/>
  <c r="E775" i="55"/>
  <c r="G775" i="55" s="1"/>
  <c r="E776" i="55"/>
  <c r="G776" i="55" s="1"/>
  <c r="E777" i="55"/>
  <c r="G777" i="55" s="1"/>
  <c r="E778" i="55"/>
  <c r="G778" i="55" s="1"/>
  <c r="E779" i="55"/>
  <c r="G779" i="55" s="1"/>
  <c r="E780" i="55"/>
  <c r="G780" i="55" s="1"/>
  <c r="E781" i="55"/>
  <c r="G781" i="55" s="1"/>
  <c r="E782" i="55"/>
  <c r="G782" i="55" s="1"/>
  <c r="E783" i="55"/>
  <c r="G783" i="55" s="1"/>
  <c r="E784" i="55"/>
  <c r="G784" i="55" s="1"/>
  <c r="E785" i="55"/>
  <c r="G785" i="55" s="1"/>
  <c r="E786" i="55"/>
  <c r="G786" i="55" s="1"/>
  <c r="E787" i="55"/>
  <c r="G787" i="55" s="1"/>
  <c r="E788" i="55"/>
  <c r="G788" i="55" s="1"/>
  <c r="E789" i="55"/>
  <c r="G789" i="55" s="1"/>
  <c r="E790" i="55"/>
  <c r="G790" i="55" s="1"/>
  <c r="E791" i="55"/>
  <c r="G791" i="55" s="1"/>
  <c r="E792" i="55"/>
  <c r="G792" i="55" s="1"/>
  <c r="E793" i="55"/>
  <c r="G793" i="55" s="1"/>
  <c r="G794" i="55"/>
  <c r="C1873" i="55"/>
  <c r="H1873" i="55" s="1"/>
  <c r="C1874" i="55"/>
  <c r="H1874" i="55" s="1"/>
  <c r="C1875" i="55"/>
  <c r="H1875" i="55" s="1"/>
  <c r="C1872" i="55"/>
  <c r="H1872" i="55" s="1"/>
  <c r="C3623" i="21"/>
  <c r="H3623" i="21" s="1"/>
  <c r="C3624" i="21"/>
  <c r="H3624" i="21" s="1"/>
  <c r="C3621" i="21"/>
  <c r="H3621" i="21" s="1"/>
  <c r="B3622" i="21"/>
  <c r="B3623" i="21"/>
  <c r="B3624" i="21"/>
  <c r="B3621" i="21"/>
  <c r="I2902" i="19"/>
  <c r="H2902" i="19"/>
  <c r="G2902" i="19"/>
  <c r="F2902" i="19"/>
  <c r="E2902" i="19"/>
  <c r="B2902" i="19"/>
  <c r="E4" i="46"/>
  <c r="E1" i="46"/>
  <c r="H373" i="35" l="1"/>
  <c r="H374" i="35" s="1"/>
  <c r="H375" i="35" s="1"/>
  <c r="H376" i="35" s="1"/>
  <c r="H377" i="35" s="1"/>
  <c r="H378" i="35" s="1"/>
  <c r="H379" i="35" s="1"/>
  <c r="H380" i="35" s="1"/>
  <c r="H381" i="35" s="1"/>
  <c r="H382" i="35" s="1"/>
  <c r="H383" i="35" s="1"/>
  <c r="H384" i="35" s="1"/>
  <c r="H385" i="35" s="1"/>
  <c r="H386" i="35" s="1"/>
  <c r="H387" i="35" s="1"/>
  <c r="H388" i="35" s="1"/>
  <c r="H389" i="35" s="1"/>
  <c r="H390" i="35" s="1"/>
  <c r="H391" i="35" s="1"/>
  <c r="H392" i="35" s="1"/>
  <c r="H393" i="35" s="1"/>
  <c r="H394" i="35" s="1"/>
  <c r="H395" i="35" s="1"/>
  <c r="H396" i="35" s="1"/>
  <c r="H397" i="35" s="1"/>
  <c r="H398" i="35" s="1"/>
  <c r="H399" i="35" s="1"/>
  <c r="H400" i="35" s="1"/>
  <c r="H401" i="35" s="1"/>
  <c r="H402" i="35" s="1"/>
  <c r="H403" i="35" s="1"/>
  <c r="H404" i="35" s="1"/>
  <c r="H405" i="35" s="1"/>
  <c r="H406" i="35" s="1"/>
  <c r="H407" i="35" s="1"/>
  <c r="H408" i="35" s="1"/>
  <c r="H409" i="35" s="1"/>
  <c r="H410" i="35" s="1"/>
  <c r="H411" i="35" s="1"/>
  <c r="H412" i="35" s="1"/>
  <c r="H413" i="35" s="1"/>
  <c r="H414" i="35" s="1"/>
  <c r="H415" i="35" s="1"/>
  <c r="H416" i="35" s="1"/>
  <c r="H417" i="35" s="1"/>
  <c r="H418" i="35" s="1"/>
  <c r="H419" i="35" s="1"/>
  <c r="H420" i="35" s="1"/>
  <c r="H421" i="35" s="1"/>
  <c r="H422" i="35" s="1"/>
  <c r="H423" i="35" s="1"/>
  <c r="H424" i="35" s="1"/>
  <c r="H425" i="35" s="1"/>
  <c r="H426" i="35" s="1"/>
  <c r="H427" i="35" s="1"/>
  <c r="H428" i="35" s="1"/>
  <c r="H429" i="35" s="1"/>
  <c r="H430" i="35" s="1"/>
  <c r="H431" i="35" s="1"/>
  <c r="H432" i="35" s="1"/>
  <c r="H433" i="35" s="1"/>
  <c r="H434" i="35" s="1"/>
  <c r="H435" i="35" s="1"/>
  <c r="H436" i="35" s="1"/>
  <c r="H437" i="35" s="1"/>
  <c r="H438" i="35" s="1"/>
  <c r="H439" i="35" s="1"/>
  <c r="H440" i="35" s="1"/>
  <c r="H441" i="35" s="1"/>
  <c r="H442" i="35" s="1"/>
  <c r="H443" i="35" s="1"/>
  <c r="H444" i="35" s="1"/>
  <c r="H445" i="35" s="1"/>
  <c r="H446" i="35" s="1"/>
  <c r="H447" i="35" s="1"/>
  <c r="H448" i="35" s="1"/>
  <c r="H449" i="35" s="1"/>
  <c r="H450" i="35" s="1"/>
  <c r="H451" i="35" s="1"/>
  <c r="H452" i="35" s="1"/>
  <c r="H453" i="35" s="1"/>
  <c r="H454" i="35" s="1"/>
  <c r="H455" i="35" s="1"/>
  <c r="H456" i="35" s="1"/>
  <c r="H457" i="35" s="1"/>
  <c r="H458" i="35" s="1"/>
  <c r="H459" i="35" s="1"/>
  <c r="H460" i="35" s="1"/>
  <c r="H461" i="35" s="1"/>
  <c r="H462" i="35" s="1"/>
  <c r="H463" i="35" s="1"/>
  <c r="H464" i="35" s="1"/>
  <c r="H465" i="35" s="1"/>
  <c r="H466" i="35" s="1"/>
  <c r="H467" i="35" s="1"/>
  <c r="H468" i="35" s="1"/>
  <c r="H469" i="35" s="1"/>
  <c r="H470" i="35" s="1"/>
  <c r="H471" i="35" s="1"/>
  <c r="H472" i="35" s="1"/>
  <c r="H473" i="35" s="1"/>
  <c r="H474" i="35" s="1"/>
  <c r="H475" i="35" s="1"/>
  <c r="H372" i="35"/>
  <c r="G9" i="55"/>
  <c r="G8" i="55" s="1"/>
  <c r="E8" i="55"/>
  <c r="H1876" i="55"/>
  <c r="H1266" i="35"/>
  <c r="A1293" i="35"/>
  <c r="A1346" i="35"/>
  <c r="G3621" i="21"/>
  <c r="K4" i="59"/>
  <c r="L2" i="58"/>
  <c r="C1876" i="55"/>
  <c r="C103" i="58"/>
  <c r="G103" i="58" s="1"/>
  <c r="G96" i="58"/>
  <c r="B3625" i="21"/>
  <c r="C1886" i="55"/>
  <c r="D2902" i="19"/>
  <c r="C2902" i="19"/>
  <c r="H538" i="35" l="1"/>
  <c r="H539" i="35" s="1"/>
  <c r="H540" i="35" s="1"/>
  <c r="H541" i="35" s="1"/>
  <c r="H542" i="35" s="1"/>
  <c r="H543" i="35" s="1"/>
  <c r="H544" i="35" s="1"/>
  <c r="H545" i="35" s="1"/>
  <c r="H546" i="35" s="1"/>
  <c r="H547" i="35" s="1"/>
  <c r="H548" i="35" s="1"/>
  <c r="H549" i="35" s="1"/>
  <c r="H550" i="35" s="1"/>
  <c r="H551" i="35" s="1"/>
  <c r="H552" i="35" s="1"/>
  <c r="H553" i="35" s="1"/>
  <c r="H554" i="35" s="1"/>
  <c r="H555" i="35" s="1"/>
  <c r="H556" i="35" s="1"/>
  <c r="H557" i="35" s="1"/>
  <c r="H558" i="35" s="1"/>
  <c r="H559" i="35" s="1"/>
  <c r="H560" i="35" s="1"/>
  <c r="H561" i="35" s="1"/>
  <c r="H562" i="35" s="1"/>
  <c r="H563" i="35" s="1"/>
  <c r="H564" i="35" s="1"/>
  <c r="H565" i="35" s="1"/>
  <c r="H566" i="35" s="1"/>
  <c r="H567" i="35" s="1"/>
  <c r="H568" i="35" s="1"/>
  <c r="H569" i="35" s="1"/>
  <c r="H570" i="35" s="1"/>
  <c r="H571" i="35" s="1"/>
  <c r="H572" i="35" s="1"/>
  <c r="H573" i="35" s="1"/>
  <c r="H574" i="35" s="1"/>
  <c r="H575" i="35" s="1"/>
  <c r="H576" i="35" s="1"/>
  <c r="H577" i="35" s="1"/>
  <c r="H578" i="35" s="1"/>
  <c r="H579" i="35" s="1"/>
  <c r="H580" i="35" s="1"/>
  <c r="H581" i="35" s="1"/>
  <c r="H582" i="35" s="1"/>
  <c r="H583" i="35" s="1"/>
  <c r="H584" i="35" s="1"/>
  <c r="H585" i="35" s="1"/>
  <c r="H586" i="35" s="1"/>
  <c r="H587" i="35" s="1"/>
  <c r="H588" i="35" s="1"/>
  <c r="H589" i="35" s="1"/>
  <c r="H590" i="35" s="1"/>
  <c r="H591" i="35" s="1"/>
  <c r="H592" i="35" s="1"/>
  <c r="H593" i="35" s="1"/>
  <c r="H594" i="35" s="1"/>
  <c r="H595" i="35" s="1"/>
  <c r="H596" i="35" s="1"/>
  <c r="H597" i="35" s="1"/>
  <c r="H598" i="35" s="1"/>
  <c r="H599" i="35" s="1"/>
  <c r="H600" i="35" s="1"/>
  <c r="H601" i="35" s="1"/>
  <c r="H602" i="35" s="1"/>
  <c r="H603" i="35" s="1"/>
  <c r="H604" i="35" s="1"/>
  <c r="H605" i="35" s="1"/>
  <c r="H606" i="35" s="1"/>
  <c r="H607" i="35" s="1"/>
  <c r="H608" i="35" s="1"/>
  <c r="H609" i="35" s="1"/>
  <c r="H610" i="35" s="1"/>
  <c r="H611" i="35" s="1"/>
  <c r="H612" i="35" s="1"/>
  <c r="H613" i="35" s="1"/>
  <c r="H614" i="35" s="1"/>
  <c r="H615" i="35" s="1"/>
  <c r="H616" i="35" s="1"/>
  <c r="H617" i="35" s="1"/>
  <c r="H618" i="35" s="1"/>
  <c r="H619" i="35" s="1"/>
  <c r="H620" i="35" s="1"/>
  <c r="H621" i="35" s="1"/>
  <c r="H622" i="35" s="1"/>
  <c r="H623" i="35" s="1"/>
  <c r="H624" i="35" s="1"/>
  <c r="H625" i="35" s="1"/>
  <c r="H626" i="35" s="1"/>
  <c r="H627" i="35" s="1"/>
  <c r="H628" i="35" s="1"/>
  <c r="H629" i="35" s="1"/>
  <c r="H630" i="35" s="1"/>
  <c r="H631" i="35" s="1"/>
  <c r="H632" i="35" s="1"/>
  <c r="H633" i="35" s="1"/>
  <c r="H634" i="35" s="1"/>
  <c r="H635" i="35" s="1"/>
  <c r="H636" i="35" s="1"/>
  <c r="H637" i="35" s="1"/>
  <c r="H476" i="35"/>
  <c r="H1267" i="35"/>
  <c r="A1347" i="35"/>
  <c r="B1886" i="55"/>
  <c r="H477" i="35" l="1"/>
  <c r="H478" i="35" s="1"/>
  <c r="H479" i="35" s="1"/>
  <c r="H480" i="35" s="1"/>
  <c r="H481" i="35" s="1"/>
  <c r="H482" i="35" s="1"/>
  <c r="H483" i="35" s="1"/>
  <c r="H484" i="35" s="1"/>
  <c r="H485" i="35" s="1"/>
  <c r="H486" i="35" s="1"/>
  <c r="H487" i="35" s="1"/>
  <c r="H488" i="35" s="1"/>
  <c r="H489" i="35" s="1"/>
  <c r="H490" i="35" s="1"/>
  <c r="H491" i="35" s="1"/>
  <c r="H492" i="35" s="1"/>
  <c r="H493" i="35" s="1"/>
  <c r="H494" i="35" s="1"/>
  <c r="H495" i="35" s="1"/>
  <c r="H496" i="35" s="1"/>
  <c r="H497" i="35" s="1"/>
  <c r="H498" i="35" s="1"/>
  <c r="H499" i="35" s="1"/>
  <c r="H500" i="35" s="1"/>
  <c r="H501" i="35" s="1"/>
  <c r="H502" i="35" s="1"/>
  <c r="H503" i="35" s="1"/>
  <c r="H504" i="35" s="1"/>
  <c r="H505" i="35" s="1"/>
  <c r="H506" i="35" s="1"/>
  <c r="H507" i="35" s="1"/>
  <c r="H508" i="35" s="1"/>
  <c r="H509" i="35" s="1"/>
  <c r="H510" i="35" s="1"/>
  <c r="H511" i="35" s="1"/>
  <c r="H512" i="35" s="1"/>
  <c r="H513" i="35" s="1"/>
  <c r="H514" i="35" s="1"/>
  <c r="H515" i="35" s="1"/>
  <c r="H516" i="35" s="1"/>
  <c r="H517" i="35" s="1"/>
  <c r="H518" i="35" s="1"/>
  <c r="H519" i="35" s="1"/>
  <c r="H520" i="35" s="1"/>
  <c r="H521" i="35" s="1"/>
  <c r="H522" i="35" s="1"/>
  <c r="H523" i="35" s="1"/>
  <c r="H524" i="35" s="1"/>
  <c r="H525" i="35" s="1"/>
  <c r="H526" i="35" s="1"/>
  <c r="H527" i="35" s="1"/>
  <c r="H528" i="35" s="1"/>
  <c r="H529" i="35" s="1"/>
  <c r="H530" i="35" s="1"/>
  <c r="H531" i="35" s="1"/>
  <c r="H532" i="35" s="1"/>
  <c r="H533" i="35" s="1"/>
  <c r="H534" i="35" s="1"/>
  <c r="H535" i="35" s="1"/>
  <c r="H536" i="35" s="1"/>
  <c r="H537" i="35" s="1"/>
  <c r="H638" i="35"/>
  <c r="H639" i="35"/>
  <c r="H1268" i="35"/>
  <c r="A1348" i="35"/>
  <c r="D2" i="56"/>
  <c r="I3" i="55"/>
  <c r="C11" i="56"/>
  <c r="B7" i="56" s="1"/>
  <c r="H640" i="35" l="1"/>
  <c r="H1269" i="35"/>
  <c r="A1349" i="35"/>
  <c r="B9" i="56"/>
  <c r="B8" i="56"/>
  <c r="B10" i="56"/>
  <c r="H1270" i="35" l="1"/>
  <c r="B11" i="56"/>
  <c r="H24" i="59" l="1"/>
  <c r="I24" i="59"/>
  <c r="B25" i="59"/>
  <c r="C25" i="59"/>
  <c r="D25" i="59"/>
  <c r="G12" i="59"/>
  <c r="E25" i="59"/>
  <c r="F25" i="59"/>
  <c r="G25" i="59"/>
  <c r="H25" i="59"/>
  <c r="I25" i="59"/>
  <c r="B24" i="59"/>
  <c r="C24" i="59"/>
  <c r="D24" i="59"/>
  <c r="E24" i="59"/>
  <c r="F24" i="59"/>
  <c r="G24" i="59"/>
  <c r="E20" i="59"/>
  <c r="G14" i="59"/>
  <c r="H18" i="59"/>
  <c r="H15" i="59"/>
  <c r="H12" i="59"/>
  <c r="E21" i="59"/>
  <c r="E23" i="59"/>
  <c r="E19" i="59"/>
  <c r="I19" i="59"/>
  <c r="H21" i="59"/>
  <c r="E17" i="59"/>
  <c r="E22" i="59"/>
  <c r="E18" i="59"/>
  <c r="C19" i="59"/>
  <c r="B12" i="59"/>
  <c r="I21" i="59"/>
  <c r="I23" i="59"/>
  <c r="D20" i="59"/>
  <c r="H17" i="59"/>
  <c r="F22" i="59"/>
  <c r="I17" i="59"/>
  <c r="B14" i="59"/>
  <c r="H22" i="59"/>
  <c r="B13" i="59"/>
  <c r="H13" i="59"/>
  <c r="C15" i="59"/>
  <c r="I22" i="59"/>
  <c r="I15" i="59"/>
  <c r="F23" i="59"/>
  <c r="G23" i="59"/>
  <c r="C18" i="59"/>
  <c r="E12" i="59"/>
  <c r="I14" i="59"/>
  <c r="I18" i="59"/>
  <c r="B21" i="59"/>
  <c r="G18" i="59"/>
  <c r="F12" i="59"/>
  <c r="H20" i="59"/>
  <c r="B20" i="59"/>
  <c r="G19" i="59"/>
  <c r="B22" i="59"/>
  <c r="I16" i="59"/>
  <c r="B15" i="59"/>
  <c r="F19" i="59"/>
  <c r="D22" i="59"/>
  <c r="D12" i="59"/>
  <c r="C22" i="59"/>
  <c r="C14" i="59"/>
  <c r="H23" i="59"/>
  <c r="C13" i="59"/>
  <c r="D21" i="59"/>
  <c r="H19" i="59"/>
  <c r="G22" i="59"/>
  <c r="G21" i="59"/>
  <c r="D19" i="59"/>
  <c r="I12" i="59"/>
  <c r="H16" i="59"/>
  <c r="I20" i="59"/>
  <c r="H14" i="59"/>
  <c r="B17" i="59"/>
  <c r="F21" i="59"/>
  <c r="C16" i="59"/>
  <c r="B18" i="59"/>
  <c r="F20" i="59"/>
  <c r="C17" i="59"/>
  <c r="G20" i="59"/>
  <c r="I13" i="59"/>
  <c r="B23" i="59"/>
  <c r="F18" i="59"/>
  <c r="B19" i="59"/>
  <c r="C20" i="59"/>
  <c r="D23" i="59"/>
  <c r="B16" i="59"/>
  <c r="C21" i="59"/>
  <c r="C23" i="59"/>
  <c r="C12" i="59"/>
  <c r="D3" i="52"/>
  <c r="J45" i="52"/>
  <c r="D45" i="52" s="1"/>
  <c r="J44" i="52"/>
  <c r="J42" i="52"/>
  <c r="D42" i="52" s="1"/>
  <c r="D38" i="52"/>
  <c r="I37" i="52"/>
  <c r="J37" i="52"/>
  <c r="I36" i="52"/>
  <c r="J36" i="52"/>
  <c r="J35" i="52"/>
  <c r="J24" i="59" l="1"/>
  <c r="J25" i="59"/>
  <c r="K24" i="59"/>
  <c r="K25" i="59"/>
  <c r="J47" i="52"/>
  <c r="J46" i="52"/>
  <c r="D44" i="52"/>
  <c r="I47" i="52"/>
  <c r="K12" i="59"/>
  <c r="K21" i="59"/>
  <c r="J22" i="59"/>
  <c r="K20" i="59"/>
  <c r="K19" i="59"/>
  <c r="K23" i="59"/>
  <c r="J19" i="59"/>
  <c r="J20" i="59"/>
  <c r="J23" i="59"/>
  <c r="J21" i="59"/>
  <c r="K22" i="59"/>
  <c r="I26" i="59"/>
  <c r="H26" i="59"/>
  <c r="B26" i="59"/>
  <c r="C26" i="59"/>
  <c r="J12" i="59"/>
  <c r="D1343" i="55"/>
  <c r="C1345" i="55"/>
  <c r="D1345" i="55" s="1"/>
  <c r="C1346" i="55"/>
  <c r="D1346" i="55" s="1"/>
  <c r="C1347" i="55"/>
  <c r="D1347" i="55" s="1"/>
  <c r="C1348" i="55"/>
  <c r="D1348" i="55" s="1"/>
  <c r="C1349" i="55"/>
  <c r="D1349" i="55" s="1"/>
  <c r="C1350" i="55"/>
  <c r="D1350" i="55" s="1"/>
  <c r="C1351" i="55"/>
  <c r="D1351" i="55" s="1"/>
  <c r="C1352" i="55"/>
  <c r="D1352" i="55" s="1"/>
  <c r="C1353" i="55"/>
  <c r="D1353" i="55" s="1"/>
  <c r="C1354" i="55"/>
  <c r="D1354" i="55" s="1"/>
  <c r="C1355" i="55"/>
  <c r="D1355" i="55" s="1"/>
  <c r="C1356" i="55"/>
  <c r="D1356" i="55" s="1"/>
  <c r="C1357" i="55"/>
  <c r="D1357" i="55" s="1"/>
  <c r="C1358" i="55"/>
  <c r="D1358" i="55" s="1"/>
  <c r="C1359" i="55"/>
  <c r="D1359" i="55" s="1"/>
  <c r="C1360" i="55"/>
  <c r="D1360" i="55" s="1"/>
  <c r="C1361" i="55"/>
  <c r="D1361" i="55" s="1"/>
  <c r="C1362" i="55"/>
  <c r="D1362" i="55" s="1"/>
  <c r="C1363" i="55"/>
  <c r="D1363" i="55" s="1"/>
  <c r="C1364" i="55"/>
  <c r="D1364" i="55" s="1"/>
  <c r="C1365" i="55"/>
  <c r="D1365" i="55" s="1"/>
  <c r="C1366" i="55"/>
  <c r="D1366" i="55" s="1"/>
  <c r="C1367" i="55"/>
  <c r="D1367" i="55" s="1"/>
  <c r="C1368" i="55"/>
  <c r="D1368" i="55" s="1"/>
  <c r="C1369" i="55"/>
  <c r="D1369" i="55" s="1"/>
  <c r="C1370" i="55"/>
  <c r="D1370" i="55" s="1"/>
  <c r="C1371" i="55"/>
  <c r="D1371" i="55" s="1"/>
  <c r="C1372" i="55"/>
  <c r="D1372" i="55" s="1"/>
  <c r="C1373" i="55"/>
  <c r="D1373" i="55" s="1"/>
  <c r="C1374" i="55"/>
  <c r="D1374" i="55" s="1"/>
  <c r="C1375" i="55"/>
  <c r="D1375" i="55" s="1"/>
  <c r="C1376" i="55"/>
  <c r="D1376" i="55" s="1"/>
  <c r="C1377" i="55"/>
  <c r="D1377" i="55" s="1"/>
  <c r="C1378" i="55"/>
  <c r="D1378" i="55" s="1"/>
  <c r="C1379" i="55"/>
  <c r="D1379" i="55" s="1"/>
  <c r="C1380" i="55"/>
  <c r="D1380" i="55" s="1"/>
  <c r="C1381" i="55"/>
  <c r="D1381" i="55" s="1"/>
  <c r="C1382" i="55"/>
  <c r="D1382" i="55" s="1"/>
  <c r="C1383" i="55"/>
  <c r="D1383" i="55" s="1"/>
  <c r="C1384" i="55"/>
  <c r="D1384" i="55" s="1"/>
  <c r="C1385" i="55"/>
  <c r="D1385" i="55" s="1"/>
  <c r="C1386" i="55"/>
  <c r="D1386" i="55" s="1"/>
  <c r="C1387" i="55"/>
  <c r="D1387" i="55" s="1"/>
  <c r="C1388" i="55"/>
  <c r="D1388" i="55" s="1"/>
  <c r="C1389" i="55"/>
  <c r="D1389" i="55" s="1"/>
  <c r="C1390" i="55"/>
  <c r="D1390" i="55" s="1"/>
  <c r="C1391" i="55"/>
  <c r="D1391" i="55" s="1"/>
  <c r="C1392" i="55"/>
  <c r="D1392" i="55" s="1"/>
  <c r="C1393" i="55"/>
  <c r="D1393" i="55" s="1"/>
  <c r="C1394" i="55"/>
  <c r="D1394" i="55" s="1"/>
  <c r="C1395" i="55"/>
  <c r="D1395" i="55" s="1"/>
  <c r="C1396" i="55"/>
  <c r="D1396" i="55" s="1"/>
  <c r="C1397" i="55"/>
  <c r="D1397" i="55" s="1"/>
  <c r="C1398" i="55"/>
  <c r="D1398" i="55" s="1"/>
  <c r="C1399" i="55"/>
  <c r="D1399" i="55" s="1"/>
  <c r="C1400" i="55"/>
  <c r="D1400" i="55" s="1"/>
  <c r="C1401" i="55"/>
  <c r="D1401" i="55" s="1"/>
  <c r="C1402" i="55"/>
  <c r="D1402" i="55" s="1"/>
  <c r="C1403" i="55"/>
  <c r="D1403" i="55" s="1"/>
  <c r="C1404" i="55"/>
  <c r="D1404" i="55" s="1"/>
  <c r="C1405" i="55"/>
  <c r="D1405" i="55" s="1"/>
  <c r="C1406" i="55"/>
  <c r="D1406" i="55" s="1"/>
  <c r="C1407" i="55"/>
  <c r="D1407" i="55" s="1"/>
  <c r="C1408" i="55"/>
  <c r="D1408" i="55" s="1"/>
  <c r="C1409" i="55"/>
  <c r="D1409" i="55" s="1"/>
  <c r="C1410" i="55"/>
  <c r="D1410" i="55" s="1"/>
  <c r="C1411" i="55"/>
  <c r="D1411" i="55" s="1"/>
  <c r="C1412" i="55"/>
  <c r="D1412" i="55" s="1"/>
  <c r="C1413" i="55"/>
  <c r="D1413" i="55" s="1"/>
  <c r="C1414" i="55"/>
  <c r="D1414" i="55" s="1"/>
  <c r="C1415" i="55"/>
  <c r="D1415" i="55" s="1"/>
  <c r="C1416" i="55"/>
  <c r="D1416" i="55" s="1"/>
  <c r="C1417" i="55"/>
  <c r="D1417" i="55" s="1"/>
  <c r="C1418" i="55"/>
  <c r="D1418" i="55" s="1"/>
  <c r="C1419" i="55"/>
  <c r="D1419" i="55" s="1"/>
  <c r="C1420" i="55"/>
  <c r="D1420" i="55" s="1"/>
  <c r="C1421" i="55"/>
  <c r="D1421" i="55" s="1"/>
  <c r="C1422" i="55"/>
  <c r="D1422" i="55" s="1"/>
  <c r="C1423" i="55"/>
  <c r="D1423" i="55" s="1"/>
  <c r="C1424" i="55"/>
  <c r="D1424" i="55" s="1"/>
  <c r="C1425" i="55"/>
  <c r="D1425" i="55" s="1"/>
  <c r="C1426" i="55"/>
  <c r="D1426" i="55" s="1"/>
  <c r="C1427" i="55"/>
  <c r="D1427" i="55" s="1"/>
  <c r="C1428" i="55"/>
  <c r="D1428" i="55" s="1"/>
  <c r="C1429" i="55"/>
  <c r="D1429" i="55" s="1"/>
  <c r="C1430" i="55"/>
  <c r="D1430" i="55" s="1"/>
  <c r="C1431" i="55"/>
  <c r="D1431" i="55" s="1"/>
  <c r="C1432" i="55"/>
  <c r="D1432" i="55" s="1"/>
  <c r="C1433" i="55"/>
  <c r="D1433" i="55" s="1"/>
  <c r="C1434" i="55"/>
  <c r="D1434" i="55" s="1"/>
  <c r="C1435" i="55"/>
  <c r="D1435" i="55" s="1"/>
  <c r="C1436" i="55"/>
  <c r="D1436" i="55" s="1"/>
  <c r="C1437" i="55"/>
  <c r="D1437" i="55" s="1"/>
  <c r="C1438" i="55"/>
  <c r="D1438" i="55" s="1"/>
  <c r="C1439" i="55"/>
  <c r="D1439" i="55" s="1"/>
  <c r="C1440" i="55"/>
  <c r="D1440" i="55" s="1"/>
  <c r="C1441" i="55"/>
  <c r="D1441" i="55" s="1"/>
  <c r="C1442" i="55"/>
  <c r="D1442" i="55" s="1"/>
  <c r="C1443" i="55"/>
  <c r="D1443" i="55" s="1"/>
  <c r="C1444" i="55"/>
  <c r="D1444" i="55" s="1"/>
  <c r="C1445" i="55"/>
  <c r="D1445" i="55" s="1"/>
  <c r="C1446" i="55"/>
  <c r="D1446" i="55" s="1"/>
  <c r="C1447" i="55"/>
  <c r="D1447" i="55" s="1"/>
  <c r="C1448" i="55"/>
  <c r="D1448" i="55" s="1"/>
  <c r="C1449" i="55"/>
  <c r="D1449" i="55" s="1"/>
  <c r="C1450" i="55"/>
  <c r="D1450" i="55" s="1"/>
  <c r="C1451" i="55"/>
  <c r="D1451" i="55" s="1"/>
  <c r="C1452" i="55"/>
  <c r="D1452" i="55" s="1"/>
  <c r="C1453" i="55"/>
  <c r="D1453" i="55" s="1"/>
  <c r="C1454" i="55"/>
  <c r="D1454" i="55" s="1"/>
  <c r="C1455" i="55"/>
  <c r="D1455" i="55" s="1"/>
  <c r="C1456" i="55"/>
  <c r="D1456" i="55" s="1"/>
  <c r="C1457" i="55"/>
  <c r="D1457" i="55" s="1"/>
  <c r="C1458" i="55"/>
  <c r="D1458" i="55" s="1"/>
  <c r="C1459" i="55"/>
  <c r="D1459" i="55" s="1"/>
  <c r="C1460" i="55"/>
  <c r="D1460" i="55" s="1"/>
  <c r="C1461" i="55"/>
  <c r="D1461" i="55" s="1"/>
  <c r="C1462" i="55"/>
  <c r="D1462" i="55" s="1"/>
  <c r="C1463" i="55"/>
  <c r="D1463" i="55" s="1"/>
  <c r="C1464" i="55"/>
  <c r="D1464" i="55" s="1"/>
  <c r="C1465" i="55"/>
  <c r="D1465" i="55" s="1"/>
  <c r="C1466" i="55"/>
  <c r="D1466" i="55" s="1"/>
  <c r="C1467" i="55"/>
  <c r="D1467" i="55" s="1"/>
  <c r="C1468" i="55"/>
  <c r="D1468" i="55" s="1"/>
  <c r="C1469" i="55"/>
  <c r="D1469" i="55" s="1"/>
  <c r="C1470" i="55"/>
  <c r="D1470" i="55" s="1"/>
  <c r="C1471" i="55"/>
  <c r="D1471" i="55" s="1"/>
  <c r="C1472" i="55"/>
  <c r="D1472" i="55" s="1"/>
  <c r="C1473" i="55"/>
  <c r="D1473" i="55" s="1"/>
  <c r="C1474" i="55"/>
  <c r="D1474" i="55" s="1"/>
  <c r="C1475" i="55"/>
  <c r="D1475" i="55" s="1"/>
  <c r="C1476" i="55"/>
  <c r="D1476" i="55" s="1"/>
  <c r="C1477" i="55"/>
  <c r="D1477" i="55" s="1"/>
  <c r="C1478" i="55"/>
  <c r="D1478" i="55" s="1"/>
  <c r="C1479" i="55"/>
  <c r="D1479" i="55" s="1"/>
  <c r="C1480" i="55"/>
  <c r="D1480" i="55" s="1"/>
  <c r="C1481" i="55"/>
  <c r="D1481" i="55" s="1"/>
  <c r="C1482" i="55"/>
  <c r="D1482" i="55" s="1"/>
  <c r="C1483" i="55"/>
  <c r="D1483" i="55" s="1"/>
  <c r="C1484" i="55"/>
  <c r="D1484" i="55" s="1"/>
  <c r="C1485" i="55"/>
  <c r="D1485" i="55" s="1"/>
  <c r="C1486" i="55"/>
  <c r="D1486" i="55" s="1"/>
  <c r="C1487" i="55"/>
  <c r="D1487" i="55" s="1"/>
  <c r="C1488" i="55"/>
  <c r="D1488" i="55" s="1"/>
  <c r="C1489" i="55"/>
  <c r="D1489" i="55" s="1"/>
  <c r="C1490" i="55"/>
  <c r="D1490" i="55" s="1"/>
  <c r="C1491" i="55"/>
  <c r="D1491" i="55" s="1"/>
  <c r="C1492" i="55"/>
  <c r="D1492" i="55" s="1"/>
  <c r="C1493" i="55"/>
  <c r="D1493" i="55" s="1"/>
  <c r="C1494" i="55"/>
  <c r="D1494" i="55" s="1"/>
  <c r="C1495" i="55"/>
  <c r="D1495" i="55" s="1"/>
  <c r="C1496" i="55"/>
  <c r="D1496" i="55" s="1"/>
  <c r="C1497" i="55"/>
  <c r="D1497" i="55" s="1"/>
  <c r="C1498" i="55"/>
  <c r="D1498" i="55" s="1"/>
  <c r="C1499" i="55"/>
  <c r="D1499" i="55" s="1"/>
  <c r="C1500" i="55"/>
  <c r="D1500" i="55" s="1"/>
  <c r="C1501" i="55"/>
  <c r="D1501" i="55" s="1"/>
  <c r="C1502" i="55"/>
  <c r="D1502" i="55" s="1"/>
  <c r="C1503" i="55"/>
  <c r="D1503" i="55" s="1"/>
  <c r="C1504" i="55"/>
  <c r="D1504" i="55" s="1"/>
  <c r="C1505" i="55"/>
  <c r="D1505" i="55" s="1"/>
  <c r="C1506" i="55"/>
  <c r="D1506" i="55" s="1"/>
  <c r="C1507" i="55"/>
  <c r="D1507" i="55" s="1"/>
  <c r="C1508" i="55"/>
  <c r="D1508" i="55" s="1"/>
  <c r="C1509" i="55"/>
  <c r="D1509" i="55" s="1"/>
  <c r="C1510" i="55"/>
  <c r="D1510" i="55" s="1"/>
  <c r="C1511" i="55"/>
  <c r="D1511" i="55" s="1"/>
  <c r="C1512" i="55"/>
  <c r="D1512" i="55" s="1"/>
  <c r="C1513" i="55"/>
  <c r="D1513" i="55" s="1"/>
  <c r="C1514" i="55"/>
  <c r="D1514" i="55" s="1"/>
  <c r="C1515" i="55"/>
  <c r="D1515" i="55" s="1"/>
  <c r="C1516" i="55"/>
  <c r="D1516" i="55" s="1"/>
  <c r="C1517" i="55"/>
  <c r="D1517" i="55" s="1"/>
  <c r="C1518" i="55"/>
  <c r="D1518" i="55" s="1"/>
  <c r="C1519" i="55"/>
  <c r="D1519" i="55" s="1"/>
  <c r="C1520" i="55"/>
  <c r="D1520" i="55" s="1"/>
  <c r="C1521" i="55"/>
  <c r="D1521" i="55" s="1"/>
  <c r="C1522" i="55"/>
  <c r="D1522" i="55" s="1"/>
  <c r="C1523" i="55"/>
  <c r="D1523" i="55" s="1"/>
  <c r="C1524" i="55"/>
  <c r="D1524" i="55" s="1"/>
  <c r="C1525" i="55"/>
  <c r="D1525" i="55" s="1"/>
  <c r="C1526" i="55"/>
  <c r="D1526" i="55" s="1"/>
  <c r="C1527" i="55"/>
  <c r="D1527" i="55" s="1"/>
  <c r="C1528" i="55"/>
  <c r="D1528" i="55" s="1"/>
  <c r="C1529" i="55"/>
  <c r="D1529" i="55" s="1"/>
  <c r="C1530" i="55"/>
  <c r="D1530" i="55" s="1"/>
  <c r="C1531" i="55"/>
  <c r="D1531" i="55" s="1"/>
  <c r="C1532" i="55"/>
  <c r="D1532" i="55" s="1"/>
  <c r="C1533" i="55"/>
  <c r="D1533" i="55" s="1"/>
  <c r="C1534" i="55"/>
  <c r="D1534" i="55" s="1"/>
  <c r="C1535" i="55"/>
  <c r="D1535" i="55" s="1"/>
  <c r="C1536" i="55"/>
  <c r="D1536" i="55" s="1"/>
  <c r="C1537" i="55"/>
  <c r="D1537" i="55" s="1"/>
  <c r="C1538" i="55"/>
  <c r="D1538" i="55" s="1"/>
  <c r="C1539" i="55"/>
  <c r="D1539" i="55" s="1"/>
  <c r="C1540" i="55"/>
  <c r="D1540" i="55" s="1"/>
  <c r="C1541" i="55"/>
  <c r="D1541" i="55" s="1"/>
  <c r="C1542" i="55"/>
  <c r="D1542" i="55" s="1"/>
  <c r="C1543" i="55"/>
  <c r="D1543" i="55" s="1"/>
  <c r="C1544" i="55"/>
  <c r="D1544" i="55" s="1"/>
  <c r="C1545" i="55"/>
  <c r="D1545" i="55" s="1"/>
  <c r="C1546" i="55"/>
  <c r="D1546" i="55" s="1"/>
  <c r="C1547" i="55"/>
  <c r="D1547" i="55" s="1"/>
  <c r="C1548" i="55"/>
  <c r="D1548" i="55" s="1"/>
  <c r="C1549" i="55"/>
  <c r="D1549" i="55" s="1"/>
  <c r="C1550" i="55"/>
  <c r="D1550" i="55" s="1"/>
  <c r="C1551" i="55"/>
  <c r="D1551" i="55" s="1"/>
  <c r="C1552" i="55"/>
  <c r="D1552" i="55" s="1"/>
  <c r="C1553" i="55"/>
  <c r="D1553" i="55" s="1"/>
  <c r="C1554" i="55"/>
  <c r="D1554" i="55" s="1"/>
  <c r="C1555" i="55"/>
  <c r="D1555" i="55" s="1"/>
  <c r="C1556" i="55"/>
  <c r="D1556" i="55" s="1"/>
  <c r="C1557" i="55"/>
  <c r="D1557" i="55" s="1"/>
  <c r="C1558" i="55"/>
  <c r="D1558" i="55" s="1"/>
  <c r="C1559" i="55"/>
  <c r="D1559" i="55" s="1"/>
  <c r="C1560" i="55"/>
  <c r="D1560" i="55" s="1"/>
  <c r="C1561" i="55"/>
  <c r="D1561" i="55" s="1"/>
  <c r="C1562" i="55"/>
  <c r="D1562" i="55" s="1"/>
  <c r="C1563" i="55"/>
  <c r="D1563" i="55" s="1"/>
  <c r="C1564" i="55"/>
  <c r="D1564" i="55" s="1"/>
  <c r="C1565" i="55"/>
  <c r="D1565" i="55" s="1"/>
  <c r="C1566" i="55"/>
  <c r="D1566" i="55" s="1"/>
  <c r="C1567" i="55"/>
  <c r="D1567" i="55" s="1"/>
  <c r="C1568" i="55"/>
  <c r="D1568" i="55" s="1"/>
  <c r="C1569" i="55"/>
  <c r="D1569" i="55" s="1"/>
  <c r="C1570" i="55"/>
  <c r="D1570" i="55" s="1"/>
  <c r="C1571" i="55"/>
  <c r="D1571" i="55" s="1"/>
  <c r="C1572" i="55"/>
  <c r="D1572" i="55" s="1"/>
  <c r="C1573" i="55"/>
  <c r="D1573" i="55" s="1"/>
  <c r="C1574" i="55"/>
  <c r="D1574" i="55" s="1"/>
  <c r="C1575" i="55"/>
  <c r="D1575" i="55" s="1"/>
  <c r="C1576" i="55"/>
  <c r="D1576" i="55" s="1"/>
  <c r="C1577" i="55"/>
  <c r="D1577" i="55" s="1"/>
  <c r="C1578" i="55"/>
  <c r="D1578" i="55" s="1"/>
  <c r="C1579" i="55"/>
  <c r="D1579" i="55" s="1"/>
  <c r="C1580" i="55"/>
  <c r="D1580" i="55" s="1"/>
  <c r="C1581" i="55"/>
  <c r="D1581" i="55" s="1"/>
  <c r="C1582" i="55"/>
  <c r="D1582" i="55" s="1"/>
  <c r="C1583" i="55"/>
  <c r="D1583" i="55" s="1"/>
  <c r="C1584" i="55"/>
  <c r="D1584" i="55" s="1"/>
  <c r="C1585" i="55"/>
  <c r="D1585" i="55" s="1"/>
  <c r="C1586" i="55"/>
  <c r="D1586" i="55" s="1"/>
  <c r="C1587" i="55"/>
  <c r="D1587" i="55" s="1"/>
  <c r="C1588" i="55"/>
  <c r="D1588" i="55" s="1"/>
  <c r="C1589" i="55"/>
  <c r="D1589" i="55" s="1"/>
  <c r="C1590" i="55"/>
  <c r="D1590" i="55" s="1"/>
  <c r="C1591" i="55"/>
  <c r="D1591" i="55" s="1"/>
  <c r="C1592" i="55"/>
  <c r="D1592" i="55" s="1"/>
  <c r="C1593" i="55"/>
  <c r="D1593" i="55" s="1"/>
  <c r="C1594" i="55"/>
  <c r="D1594" i="55" s="1"/>
  <c r="C1595" i="55"/>
  <c r="D1595" i="55" s="1"/>
  <c r="C1596" i="55"/>
  <c r="D1596" i="55" s="1"/>
  <c r="C1597" i="55"/>
  <c r="D1597" i="55" s="1"/>
  <c r="C1598" i="55"/>
  <c r="D1598" i="55" s="1"/>
  <c r="C1599" i="55"/>
  <c r="D1599" i="55" s="1"/>
  <c r="C1600" i="55"/>
  <c r="D1600" i="55" s="1"/>
  <c r="C1601" i="55"/>
  <c r="D1601" i="55" s="1"/>
  <c r="C1602" i="55"/>
  <c r="D1602" i="55" s="1"/>
  <c r="C1603" i="55"/>
  <c r="D1603" i="55" s="1"/>
  <c r="C1604" i="55"/>
  <c r="D1604" i="55" s="1"/>
  <c r="C1605" i="55"/>
  <c r="D1605" i="55" s="1"/>
  <c r="C1606" i="55"/>
  <c r="D1606" i="55" s="1"/>
  <c r="C1607" i="55"/>
  <c r="D1607" i="55" s="1"/>
  <c r="C1608" i="55"/>
  <c r="D1608" i="55" s="1"/>
  <c r="C1609" i="55"/>
  <c r="D1609" i="55" s="1"/>
  <c r="C1610" i="55"/>
  <c r="D1610" i="55" s="1"/>
  <c r="C1611" i="55"/>
  <c r="D1611" i="55" s="1"/>
  <c r="C1612" i="55"/>
  <c r="D1612" i="55" s="1"/>
  <c r="C1613" i="55"/>
  <c r="D1613" i="55" s="1"/>
  <c r="C1614" i="55"/>
  <c r="D1614" i="55" s="1"/>
  <c r="C1615" i="55"/>
  <c r="D1615" i="55" s="1"/>
  <c r="C1616" i="55"/>
  <c r="D1616" i="55" s="1"/>
  <c r="C1617" i="55"/>
  <c r="D1617" i="55" s="1"/>
  <c r="C1618" i="55"/>
  <c r="D1618" i="55" s="1"/>
  <c r="C1619" i="55"/>
  <c r="D1619" i="55" s="1"/>
  <c r="C1620" i="55"/>
  <c r="D1620" i="55" s="1"/>
  <c r="C1621" i="55"/>
  <c r="D1621" i="55" s="1"/>
  <c r="C1622" i="55"/>
  <c r="D1622" i="55" s="1"/>
  <c r="C1623" i="55"/>
  <c r="D1623" i="55" s="1"/>
  <c r="C1624" i="55"/>
  <c r="D1624" i="55" s="1"/>
  <c r="C1625" i="55"/>
  <c r="D1625" i="55" s="1"/>
  <c r="C1626" i="55"/>
  <c r="D1626" i="55" s="1"/>
  <c r="C1627" i="55"/>
  <c r="D1627" i="55" s="1"/>
  <c r="C1628" i="55"/>
  <c r="D1628" i="55" s="1"/>
  <c r="C1629" i="55"/>
  <c r="D1629" i="55" s="1"/>
  <c r="C1630" i="55"/>
  <c r="D1630" i="55" s="1"/>
  <c r="C1631" i="55"/>
  <c r="D1631" i="55" s="1"/>
  <c r="C1632" i="55"/>
  <c r="D1632" i="55" s="1"/>
  <c r="C1633" i="55"/>
  <c r="D1633" i="55" s="1"/>
  <c r="C1634" i="55"/>
  <c r="D1634" i="55" s="1"/>
  <c r="C1635" i="55"/>
  <c r="D1635" i="55" s="1"/>
  <c r="C1636" i="55"/>
  <c r="D1636" i="55" s="1"/>
  <c r="C1637" i="55"/>
  <c r="D1637" i="55" s="1"/>
  <c r="C1638" i="55"/>
  <c r="D1638" i="55" s="1"/>
  <c r="C1639" i="55"/>
  <c r="D1639" i="55" s="1"/>
  <c r="C1640" i="55"/>
  <c r="D1640" i="55" s="1"/>
  <c r="C1641" i="55"/>
  <c r="D1641" i="55" s="1"/>
  <c r="C1642" i="55"/>
  <c r="D1642" i="55" s="1"/>
  <c r="C1643" i="55"/>
  <c r="D1643" i="55" s="1"/>
  <c r="C1644" i="55"/>
  <c r="D1644" i="55" s="1"/>
  <c r="C1645" i="55"/>
  <c r="D1645" i="55" s="1"/>
  <c r="C1646" i="55"/>
  <c r="D1646" i="55" s="1"/>
  <c r="C1647" i="55"/>
  <c r="D1647" i="55" s="1"/>
  <c r="C1648" i="55"/>
  <c r="D1648" i="55" s="1"/>
  <c r="C1649" i="55"/>
  <c r="D1649" i="55" s="1"/>
  <c r="C1650" i="55"/>
  <c r="D1650" i="55" s="1"/>
  <c r="C1651" i="55"/>
  <c r="D1651" i="55" s="1"/>
  <c r="C1652" i="55"/>
  <c r="D1652" i="55" s="1"/>
  <c r="C1653" i="55"/>
  <c r="D1653" i="55" s="1"/>
  <c r="C1654" i="55"/>
  <c r="D1654" i="55" s="1"/>
  <c r="C1655" i="55"/>
  <c r="D1655" i="55" s="1"/>
  <c r="C1656" i="55"/>
  <c r="D1656" i="55" s="1"/>
  <c r="C1657" i="55"/>
  <c r="D1657" i="55" s="1"/>
  <c r="C1658" i="55"/>
  <c r="D1658" i="55" s="1"/>
  <c r="C1659" i="55"/>
  <c r="D1659" i="55" s="1"/>
  <c r="C1660" i="55"/>
  <c r="D1660" i="55" s="1"/>
  <c r="C1661" i="55"/>
  <c r="D1661" i="55" s="1"/>
  <c r="C1662" i="55"/>
  <c r="D1662" i="55" s="1"/>
  <c r="C1663" i="55"/>
  <c r="D1663" i="55" s="1"/>
  <c r="C1664" i="55"/>
  <c r="D1664" i="55" s="1"/>
  <c r="C1665" i="55"/>
  <c r="D1665" i="55" s="1"/>
  <c r="C1666" i="55"/>
  <c r="D1666" i="55" s="1"/>
  <c r="C1667" i="55"/>
  <c r="D1667" i="55" s="1"/>
  <c r="C1668" i="55"/>
  <c r="D1668" i="55" s="1"/>
  <c r="C1669" i="55"/>
  <c r="D1669" i="55" s="1"/>
  <c r="C1670" i="55"/>
  <c r="D1670" i="55" s="1"/>
  <c r="C1671" i="55"/>
  <c r="D1671" i="55" s="1"/>
  <c r="C1672" i="55"/>
  <c r="D1672" i="55" s="1"/>
  <c r="C1673" i="55"/>
  <c r="D1673" i="55" s="1"/>
  <c r="C1674" i="55"/>
  <c r="D1674" i="55" s="1"/>
  <c r="C1675" i="55"/>
  <c r="D1675" i="55" s="1"/>
  <c r="C1676" i="55"/>
  <c r="D1676" i="55" s="1"/>
  <c r="C1677" i="55"/>
  <c r="D1677" i="55" s="1"/>
  <c r="C1678" i="55"/>
  <c r="D1678" i="55" s="1"/>
  <c r="C1679" i="55"/>
  <c r="D1679" i="55" s="1"/>
  <c r="C1680" i="55"/>
  <c r="D1680" i="55" s="1"/>
  <c r="C1681" i="55"/>
  <c r="D1681" i="55" s="1"/>
  <c r="C1682" i="55"/>
  <c r="D1682" i="55" s="1"/>
  <c r="C1683" i="55"/>
  <c r="D1683" i="55" s="1"/>
  <c r="C1684" i="55"/>
  <c r="D1684" i="55" s="1"/>
  <c r="C1685" i="55"/>
  <c r="D1685" i="55" s="1"/>
  <c r="C1686" i="55"/>
  <c r="D1686" i="55" s="1"/>
  <c r="C1687" i="55"/>
  <c r="D1687" i="55" s="1"/>
  <c r="C1688" i="55"/>
  <c r="D1688" i="55" s="1"/>
  <c r="C1689" i="55"/>
  <c r="D1689" i="55" s="1"/>
  <c r="C1690" i="55"/>
  <c r="D1690" i="55" s="1"/>
  <c r="C1691" i="55"/>
  <c r="D1691" i="55" s="1"/>
  <c r="C1692" i="55"/>
  <c r="D1692" i="55" s="1"/>
  <c r="C1693" i="55"/>
  <c r="D1693" i="55" s="1"/>
  <c r="C1694" i="55"/>
  <c r="D1694" i="55" s="1"/>
  <c r="C1695" i="55"/>
  <c r="D1695" i="55" s="1"/>
  <c r="C1696" i="55"/>
  <c r="D1696" i="55" s="1"/>
  <c r="C1697" i="55"/>
  <c r="D1697" i="55" s="1"/>
  <c r="C1698" i="55"/>
  <c r="D1698" i="55" s="1"/>
  <c r="C1699" i="55"/>
  <c r="D1699" i="55" s="1"/>
  <c r="C1700" i="55"/>
  <c r="D1700" i="55" s="1"/>
  <c r="C1701" i="55"/>
  <c r="D1701" i="55" s="1"/>
  <c r="C1702" i="55"/>
  <c r="D1702" i="55" s="1"/>
  <c r="C1703" i="55"/>
  <c r="D1703" i="55" s="1"/>
  <c r="C1704" i="55"/>
  <c r="D1704" i="55" s="1"/>
  <c r="C1705" i="55"/>
  <c r="D1705" i="55" s="1"/>
  <c r="C1706" i="55"/>
  <c r="D1706" i="55" s="1"/>
  <c r="C1707" i="55"/>
  <c r="D1707" i="55" s="1"/>
  <c r="C1708" i="55"/>
  <c r="D1708" i="55" s="1"/>
  <c r="C1709" i="55"/>
  <c r="D1709" i="55" s="1"/>
  <c r="C1710" i="55"/>
  <c r="D1710" i="55" s="1"/>
  <c r="C1711" i="55"/>
  <c r="D1711" i="55" s="1"/>
  <c r="C1712" i="55"/>
  <c r="D1712" i="55" s="1"/>
  <c r="C1713" i="55"/>
  <c r="D1713" i="55" s="1"/>
  <c r="C1714" i="55"/>
  <c r="D1714" i="55" s="1"/>
  <c r="C1715" i="55"/>
  <c r="D1715" i="55" s="1"/>
  <c r="C1716" i="55"/>
  <c r="D1716" i="55" s="1"/>
  <c r="C1717" i="55"/>
  <c r="D1717" i="55" s="1"/>
  <c r="C1718" i="55"/>
  <c r="D1718" i="55" s="1"/>
  <c r="C1719" i="55"/>
  <c r="D1719" i="55" s="1"/>
  <c r="C1720" i="55"/>
  <c r="D1720" i="55" s="1"/>
  <c r="C1721" i="55"/>
  <c r="D1721" i="55" s="1"/>
  <c r="C1722" i="55"/>
  <c r="D1722" i="55" s="1"/>
  <c r="C1723" i="55"/>
  <c r="D1723" i="55" s="1"/>
  <c r="C1724" i="55"/>
  <c r="D1724" i="55" s="1"/>
  <c r="C1725" i="55"/>
  <c r="D1725" i="55" s="1"/>
  <c r="D1727" i="55"/>
  <c r="D1728" i="55"/>
  <c r="D1729" i="55"/>
  <c r="D1730" i="55"/>
  <c r="D1731" i="55"/>
  <c r="D1732" i="55"/>
  <c r="D1733" i="55"/>
  <c r="D1734" i="55"/>
  <c r="D1735" i="55"/>
  <c r="D1736" i="55"/>
  <c r="D1737" i="55"/>
  <c r="D1738" i="55"/>
  <c r="D1739" i="55"/>
  <c r="D1740" i="55"/>
  <c r="D1741" i="55"/>
  <c r="D1742" i="55"/>
  <c r="D1743" i="55"/>
  <c r="D1744" i="55"/>
  <c r="D1745" i="55"/>
  <c r="D1746" i="55"/>
  <c r="D1747" i="55"/>
  <c r="D1748" i="55"/>
  <c r="D1749" i="55"/>
  <c r="D1750" i="55"/>
  <c r="D1751" i="55"/>
  <c r="D1752" i="55"/>
  <c r="D1753" i="55"/>
  <c r="D1754" i="55"/>
  <c r="D1755" i="55"/>
  <c r="D1756" i="55"/>
  <c r="D1757" i="55"/>
  <c r="D1758" i="55"/>
  <c r="D1759" i="55"/>
  <c r="D1760" i="55"/>
  <c r="D1761" i="55"/>
  <c r="D1762" i="55"/>
  <c r="D1763" i="55"/>
  <c r="D1764" i="55"/>
  <c r="D1765" i="55"/>
  <c r="D1766" i="55"/>
  <c r="D1767" i="55"/>
  <c r="D1768" i="55"/>
  <c r="D1769" i="55"/>
  <c r="D1770" i="55"/>
  <c r="D1771" i="55"/>
  <c r="D1772" i="55"/>
  <c r="D1773" i="55"/>
  <c r="D1774" i="55"/>
  <c r="D1775" i="55"/>
  <c r="D1776" i="55"/>
  <c r="D1777" i="55"/>
  <c r="D1778" i="55"/>
  <c r="D1779" i="55"/>
  <c r="D1780" i="55"/>
  <c r="D1781" i="55"/>
  <c r="D1782" i="55"/>
  <c r="D1783" i="55"/>
  <c r="D1784" i="55"/>
  <c r="D1785" i="55"/>
  <c r="D1786" i="55"/>
  <c r="D1787" i="55"/>
  <c r="D1788" i="55"/>
  <c r="D1789" i="55"/>
  <c r="D1790" i="55"/>
  <c r="D1791" i="55"/>
  <c r="D1792" i="55"/>
  <c r="D1793" i="55"/>
  <c r="D1794" i="55"/>
  <c r="D1795" i="55"/>
  <c r="D1796" i="55"/>
  <c r="D1797" i="55"/>
  <c r="D1798" i="55"/>
  <c r="D1799" i="55"/>
  <c r="D1800" i="55"/>
  <c r="D1801" i="55"/>
  <c r="D1802" i="55"/>
  <c r="D1803" i="55"/>
  <c r="D1804" i="55"/>
  <c r="D1805" i="55"/>
  <c r="D1806" i="55"/>
  <c r="D1807" i="55"/>
  <c r="D1808" i="55"/>
  <c r="D1809" i="55"/>
  <c r="D1810" i="55"/>
  <c r="D1811" i="55"/>
  <c r="D1812" i="55"/>
  <c r="D1813" i="55"/>
  <c r="D1814" i="55"/>
  <c r="D1815" i="55"/>
  <c r="D1816" i="55"/>
  <c r="D1817" i="55"/>
  <c r="D1818" i="55"/>
  <c r="D1819" i="55"/>
  <c r="D1820" i="55"/>
  <c r="D1821" i="55"/>
  <c r="D1822" i="55"/>
  <c r="D1823" i="55"/>
  <c r="D1824" i="55"/>
  <c r="D1825" i="55"/>
  <c r="D1826" i="55"/>
  <c r="D1827" i="55"/>
  <c r="D1828" i="55"/>
  <c r="D1829" i="55"/>
  <c r="D1830" i="55"/>
  <c r="D1831" i="55"/>
  <c r="D1832" i="55"/>
  <c r="D1833" i="55"/>
  <c r="D1834" i="55"/>
  <c r="D1835" i="55"/>
  <c r="D1836" i="55"/>
  <c r="D1837" i="55"/>
  <c r="D1838" i="55"/>
  <c r="D1839" i="55"/>
  <c r="D1840" i="55"/>
  <c r="D1841" i="55"/>
  <c r="D1842" i="55"/>
  <c r="D1843" i="55"/>
  <c r="D1844" i="55"/>
  <c r="D1845" i="55"/>
  <c r="D1846" i="55"/>
  <c r="D1847" i="55"/>
  <c r="D1848" i="55"/>
  <c r="D1849" i="55"/>
  <c r="D1850" i="55"/>
  <c r="D1851" i="55"/>
  <c r="D1852" i="55"/>
  <c r="D1853" i="55"/>
  <c r="D1854" i="55"/>
  <c r="D1855" i="55"/>
  <c r="D1856" i="55"/>
  <c r="D1857" i="55"/>
  <c r="D1858" i="55"/>
  <c r="D1859" i="55"/>
  <c r="D1860" i="55"/>
  <c r="D1861" i="55"/>
  <c r="D1862" i="55"/>
  <c r="D1863" i="55"/>
  <c r="D1864" i="55"/>
  <c r="C48" i="54"/>
  <c r="B48" i="54"/>
  <c r="D47" i="54"/>
  <c r="J26" i="58" s="1"/>
  <c r="D46" i="54"/>
  <c r="H26" i="58" s="1"/>
  <c r="D45" i="54"/>
  <c r="F26" i="58" s="1"/>
  <c r="D44" i="54"/>
  <c r="D26" i="58" s="1"/>
  <c r="C36" i="54"/>
  <c r="B36" i="54"/>
  <c r="D35" i="54"/>
  <c r="J19" i="58" s="1"/>
  <c r="D34" i="54"/>
  <c r="H19" i="58" s="1"/>
  <c r="D33" i="54"/>
  <c r="F19" i="58" s="1"/>
  <c r="D32" i="54"/>
  <c r="D19" i="58" s="1"/>
  <c r="C24" i="54"/>
  <c r="B24" i="54"/>
  <c r="D23" i="54"/>
  <c r="J12" i="58" s="1"/>
  <c r="D22" i="54"/>
  <c r="H12" i="58" s="1"/>
  <c r="D21" i="54"/>
  <c r="F12" i="58" s="1"/>
  <c r="D20" i="54"/>
  <c r="D12" i="58" s="1"/>
  <c r="C12" i="54"/>
  <c r="B12" i="54"/>
  <c r="D11" i="54"/>
  <c r="B1748" i="21" s="1"/>
  <c r="D10" i="54"/>
  <c r="B1747" i="21" s="1"/>
  <c r="D9" i="54"/>
  <c r="B1746" i="21" s="1"/>
  <c r="B1745" i="21"/>
  <c r="D3" i="54"/>
  <c r="D39" i="52"/>
  <c r="B1735" i="21"/>
  <c r="B1736" i="21"/>
  <c r="B1737" i="21"/>
  <c r="B1734" i="21"/>
  <c r="J75" i="58" l="1"/>
  <c r="L12" i="58"/>
  <c r="D75" i="58"/>
  <c r="H75" i="58"/>
  <c r="F75" i="58"/>
  <c r="G1882" i="55"/>
  <c r="G3631" i="21"/>
  <c r="F1883" i="55"/>
  <c r="G3632" i="21"/>
  <c r="G3633" i="21"/>
  <c r="G1884" i="55"/>
  <c r="G1883" i="55"/>
  <c r="G3634" i="21"/>
  <c r="G1885" i="55"/>
  <c r="L26" i="58"/>
  <c r="L19" i="58"/>
  <c r="D46" i="52"/>
  <c r="C1747" i="21"/>
  <c r="D1747" i="21" s="1"/>
  <c r="C1745" i="21"/>
  <c r="D1745" i="21" s="1"/>
  <c r="C1746" i="21"/>
  <c r="D1746" i="21" s="1"/>
  <c r="C1748" i="21"/>
  <c r="C37" i="52"/>
  <c r="D37" i="52"/>
  <c r="D47" i="52" s="1"/>
  <c r="D1246" i="35"/>
  <c r="E1246" i="35"/>
  <c r="F1246" i="35"/>
  <c r="B1876" i="55"/>
  <c r="D24" i="54"/>
  <c r="D36" i="54"/>
  <c r="D48" i="54"/>
  <c r="D12" i="54"/>
  <c r="B1749" i="21"/>
  <c r="L75" i="58" l="1"/>
  <c r="F3631" i="21"/>
  <c r="F3632" i="21"/>
  <c r="F3625" i="21"/>
  <c r="G3635" i="21"/>
  <c r="E1886" i="55"/>
  <c r="F1884" i="55"/>
  <c r="F3633" i="21"/>
  <c r="E3635" i="21"/>
  <c r="F1885" i="55"/>
  <c r="F3634" i="21"/>
  <c r="G1886" i="55"/>
  <c r="E3625" i="21"/>
  <c r="D1876" i="55"/>
  <c r="C47" i="52"/>
  <c r="C1749" i="21"/>
  <c r="O46" i="52"/>
  <c r="D1748" i="21"/>
  <c r="D1749" i="21" s="1"/>
  <c r="D1886" i="55" l="1"/>
  <c r="F3635" i="21"/>
  <c r="F1886" i="55"/>
  <c r="G3622" i="21"/>
  <c r="G3623" i="21"/>
  <c r="G3624" i="21"/>
  <c r="B1738" i="21"/>
  <c r="A1755" i="21"/>
  <c r="A1925" i="21"/>
  <c r="A2160" i="21"/>
  <c r="A2542" i="21"/>
  <c r="B1755" i="21"/>
  <c r="C1755" i="21"/>
  <c r="D1755" i="21"/>
  <c r="B2160" i="21"/>
  <c r="C2160" i="21"/>
  <c r="D2160" i="21"/>
  <c r="B2542" i="21"/>
  <c r="C2542" i="21"/>
  <c r="D2542" i="21"/>
  <c r="D3" i="50"/>
  <c r="F203" i="35"/>
  <c r="E203" i="35"/>
  <c r="K479" i="47"/>
  <c r="I479" i="47"/>
  <c r="H479" i="47"/>
  <c r="G479" i="47"/>
  <c r="F479" i="47"/>
  <c r="E479" i="47"/>
  <c r="D479" i="47"/>
  <c r="F2542" i="21"/>
  <c r="E1755" i="21" l="1"/>
  <c r="C2681" i="21"/>
  <c r="E2160" i="21"/>
  <c r="E2542" i="21"/>
  <c r="G2542" i="21" s="1"/>
  <c r="H3625" i="21"/>
  <c r="G3625" i="21"/>
  <c r="C3625" i="21"/>
  <c r="B12" i="50"/>
  <c r="O42" i="52" s="1"/>
  <c r="C3475" i="21"/>
  <c r="C1726" i="55" s="1"/>
  <c r="C1344" i="55"/>
  <c r="C1602" i="21"/>
  <c r="G743" i="21"/>
  <c r="E743" i="21"/>
  <c r="B743" i="21"/>
  <c r="B3475" i="21" l="1"/>
  <c r="D1602" i="21"/>
  <c r="A2688" i="21"/>
  <c r="A939" i="55" s="1"/>
  <c r="B2688" i="21"/>
  <c r="B3614" i="21" s="1"/>
  <c r="C743" i="21"/>
  <c r="D743" i="21"/>
  <c r="J479" i="47"/>
  <c r="L479" i="47" s="1"/>
  <c r="C405" i="21"/>
  <c r="A875" i="21"/>
  <c r="B8" i="46"/>
  <c r="B2869" i="19"/>
  <c r="G2869" i="19"/>
  <c r="F2869" i="19"/>
  <c r="E2869" i="19"/>
  <c r="D2869" i="19"/>
  <c r="C2869" i="19"/>
  <c r="C2662" i="19"/>
  <c r="D2662" i="19"/>
  <c r="B2662" i="19"/>
  <c r="D1728" i="19"/>
  <c r="D3094" i="21"/>
  <c r="D3095" i="21"/>
  <c r="D3096" i="21"/>
  <c r="D3097" i="21"/>
  <c r="D3098" i="21"/>
  <c r="D3099" i="21"/>
  <c r="D3100" i="21"/>
  <c r="D3101" i="21"/>
  <c r="D3102" i="21"/>
  <c r="D3103" i="21"/>
  <c r="D3104" i="21"/>
  <c r="D3105" i="21"/>
  <c r="D3106" i="21"/>
  <c r="D3107" i="21"/>
  <c r="D3108" i="21"/>
  <c r="D3109" i="21"/>
  <c r="D3110" i="21"/>
  <c r="D3111" i="21"/>
  <c r="D3112" i="21"/>
  <c r="D3113" i="21"/>
  <c r="D3114" i="21"/>
  <c r="D3115" i="21"/>
  <c r="D3116" i="21"/>
  <c r="D3117" i="21"/>
  <c r="D3118" i="21"/>
  <c r="D3119" i="21"/>
  <c r="D3120" i="21"/>
  <c r="D3121" i="21"/>
  <c r="D3122" i="21"/>
  <c r="D3123" i="21"/>
  <c r="D3124" i="21"/>
  <c r="D3125" i="21"/>
  <c r="D3126" i="21"/>
  <c r="D3127" i="21"/>
  <c r="D3128" i="21"/>
  <c r="D3129" i="21"/>
  <c r="D3130" i="21"/>
  <c r="D3131" i="21"/>
  <c r="D3132" i="21"/>
  <c r="D3133" i="21"/>
  <c r="D3134" i="21"/>
  <c r="D3135" i="21"/>
  <c r="D3136" i="21"/>
  <c r="D3137" i="21"/>
  <c r="D3138" i="21"/>
  <c r="D3139" i="21"/>
  <c r="D3140" i="21"/>
  <c r="D3141" i="21"/>
  <c r="D3142" i="21"/>
  <c r="D3143" i="21"/>
  <c r="D3144" i="21"/>
  <c r="D3145" i="21"/>
  <c r="D3146" i="21"/>
  <c r="D3147" i="21"/>
  <c r="D3148" i="21"/>
  <c r="D3149" i="21"/>
  <c r="D3150" i="21"/>
  <c r="D3151" i="21"/>
  <c r="D3152" i="21"/>
  <c r="D3153" i="21"/>
  <c r="D3154" i="21"/>
  <c r="D3155" i="21"/>
  <c r="D3156" i="21"/>
  <c r="D3157" i="21"/>
  <c r="D3158" i="21"/>
  <c r="D3159" i="21"/>
  <c r="D3160" i="21"/>
  <c r="D3161" i="21"/>
  <c r="D3162" i="21"/>
  <c r="D3163" i="21"/>
  <c r="D3164" i="21"/>
  <c r="D3165" i="21"/>
  <c r="D3166" i="21"/>
  <c r="D3167" i="21"/>
  <c r="D3168" i="21"/>
  <c r="D3169" i="21"/>
  <c r="D3170" i="21"/>
  <c r="D3171" i="21"/>
  <c r="D3172" i="21"/>
  <c r="D3173" i="21"/>
  <c r="D3174" i="21"/>
  <c r="D3175" i="21"/>
  <c r="D3176" i="21"/>
  <c r="D3177" i="21"/>
  <c r="D3178" i="21"/>
  <c r="D3179" i="21"/>
  <c r="D3180" i="21"/>
  <c r="D3181" i="21"/>
  <c r="D3182" i="21"/>
  <c r="D3183" i="21"/>
  <c r="D3184" i="21"/>
  <c r="D3185" i="21"/>
  <c r="D3186" i="21"/>
  <c r="D3187" i="21"/>
  <c r="D3188" i="21"/>
  <c r="D3189" i="21"/>
  <c r="D3190" i="21"/>
  <c r="D3191" i="21"/>
  <c r="D3192" i="21"/>
  <c r="D3193" i="21"/>
  <c r="D3194" i="21"/>
  <c r="D3195" i="21"/>
  <c r="D3196" i="21"/>
  <c r="D3197" i="21"/>
  <c r="D3198" i="21"/>
  <c r="D3199" i="21"/>
  <c r="D3200" i="21"/>
  <c r="D3201" i="21"/>
  <c r="D3202" i="21"/>
  <c r="D3203" i="21"/>
  <c r="D3204" i="21"/>
  <c r="D3205" i="21"/>
  <c r="D3206" i="21"/>
  <c r="D3207" i="21"/>
  <c r="D3208" i="21"/>
  <c r="D3209" i="21"/>
  <c r="D3210" i="21"/>
  <c r="D3211" i="21"/>
  <c r="D3212" i="21"/>
  <c r="D3213" i="21"/>
  <c r="D3214" i="21"/>
  <c r="D3215" i="21"/>
  <c r="D3216" i="21"/>
  <c r="D3217" i="21"/>
  <c r="D3218" i="21"/>
  <c r="D3219" i="21"/>
  <c r="D3220" i="21"/>
  <c r="D3221" i="21"/>
  <c r="D3222" i="21"/>
  <c r="D3223" i="21"/>
  <c r="D3224" i="21"/>
  <c r="D3225" i="21"/>
  <c r="D3226" i="21"/>
  <c r="D3227" i="21"/>
  <c r="D3228" i="21"/>
  <c r="D3229" i="21"/>
  <c r="D3230" i="21"/>
  <c r="D3231" i="21"/>
  <c r="D3232" i="21"/>
  <c r="D3233" i="21"/>
  <c r="D3234" i="21"/>
  <c r="D3235" i="21"/>
  <c r="D3236" i="21"/>
  <c r="D3237" i="21"/>
  <c r="D3238" i="21"/>
  <c r="D3239" i="21"/>
  <c r="D3240" i="21"/>
  <c r="D3241" i="21"/>
  <c r="D3242" i="21"/>
  <c r="D3243" i="21"/>
  <c r="D3244" i="21"/>
  <c r="D3245" i="21"/>
  <c r="D3246" i="21"/>
  <c r="D3247" i="21"/>
  <c r="D3248" i="21"/>
  <c r="D3249" i="21"/>
  <c r="D3250" i="21"/>
  <c r="D3251" i="21"/>
  <c r="D3252" i="21"/>
  <c r="D3253" i="21"/>
  <c r="D3254" i="21"/>
  <c r="D3255" i="21"/>
  <c r="D3256" i="21"/>
  <c r="D3257" i="21"/>
  <c r="D3258" i="21"/>
  <c r="D3259" i="21"/>
  <c r="D3260" i="21"/>
  <c r="D3261" i="21"/>
  <c r="D3262" i="21"/>
  <c r="D3263" i="21"/>
  <c r="D3264" i="21"/>
  <c r="D3265" i="21"/>
  <c r="D3266" i="21"/>
  <c r="D3267" i="21"/>
  <c r="D3268" i="21"/>
  <c r="D3269" i="21"/>
  <c r="D3270" i="21"/>
  <c r="D3271" i="21"/>
  <c r="D3272" i="21"/>
  <c r="D3273" i="21"/>
  <c r="D3274" i="21"/>
  <c r="D3275" i="21"/>
  <c r="D3276" i="21"/>
  <c r="D3277" i="21"/>
  <c r="D3278" i="21"/>
  <c r="D3279" i="21"/>
  <c r="D3280" i="21"/>
  <c r="D3281" i="21"/>
  <c r="D3282" i="21"/>
  <c r="D3283" i="21"/>
  <c r="D3284" i="21"/>
  <c r="D3285" i="21"/>
  <c r="D3286" i="21"/>
  <c r="D3287" i="21"/>
  <c r="D3288" i="21"/>
  <c r="D3289" i="21"/>
  <c r="D3290" i="21"/>
  <c r="D3291" i="21"/>
  <c r="D3292" i="21"/>
  <c r="D3293" i="21"/>
  <c r="D3294" i="21"/>
  <c r="D3295" i="21"/>
  <c r="D3296" i="21"/>
  <c r="D3297" i="21"/>
  <c r="D3298" i="21"/>
  <c r="D3299" i="21"/>
  <c r="D3300" i="21"/>
  <c r="D3301" i="21"/>
  <c r="D3302" i="21"/>
  <c r="D3303" i="21"/>
  <c r="D3304" i="21"/>
  <c r="D3305" i="21"/>
  <c r="D3306" i="21"/>
  <c r="D3307" i="21"/>
  <c r="D3308" i="21"/>
  <c r="D3309" i="21"/>
  <c r="D3310" i="21"/>
  <c r="D3311" i="21"/>
  <c r="D3312" i="21"/>
  <c r="D3313" i="21"/>
  <c r="D3314" i="21"/>
  <c r="D3315" i="21"/>
  <c r="D3316" i="21"/>
  <c r="D3317" i="21"/>
  <c r="D3318" i="21"/>
  <c r="D3319" i="21"/>
  <c r="D3320" i="21"/>
  <c r="D3321" i="21"/>
  <c r="D3322" i="21"/>
  <c r="D3323" i="21"/>
  <c r="D3324" i="21"/>
  <c r="D3325" i="21"/>
  <c r="D3326" i="21"/>
  <c r="D3327" i="21"/>
  <c r="D3328" i="21"/>
  <c r="D3329" i="21"/>
  <c r="D3330" i="21"/>
  <c r="D3331" i="21"/>
  <c r="D3332" i="21"/>
  <c r="D3333" i="21"/>
  <c r="D3334" i="21"/>
  <c r="D3335" i="21"/>
  <c r="D3336" i="21"/>
  <c r="D3337" i="21"/>
  <c r="D3338" i="21"/>
  <c r="D3339" i="21"/>
  <c r="D3340" i="21"/>
  <c r="D3341" i="21"/>
  <c r="D3342" i="21"/>
  <c r="D3343" i="21"/>
  <c r="D3344" i="21"/>
  <c r="D3345" i="21"/>
  <c r="D3346" i="21"/>
  <c r="D3347" i="21"/>
  <c r="D3348" i="21"/>
  <c r="D3349" i="21"/>
  <c r="D3350" i="21"/>
  <c r="D3351" i="21"/>
  <c r="D3352" i="21"/>
  <c r="D3353" i="21"/>
  <c r="D3354" i="21"/>
  <c r="D3355" i="21"/>
  <c r="D3356" i="21"/>
  <c r="D3357" i="21"/>
  <c r="D3358" i="21"/>
  <c r="D3359" i="21"/>
  <c r="D3360" i="21"/>
  <c r="D3361" i="21"/>
  <c r="D3362" i="21"/>
  <c r="D3363" i="21"/>
  <c r="D3364" i="21"/>
  <c r="D3365" i="21"/>
  <c r="D3366" i="21"/>
  <c r="D3367" i="21"/>
  <c r="D3368" i="21"/>
  <c r="D3369" i="21"/>
  <c r="D3370" i="21"/>
  <c r="D3371" i="21"/>
  <c r="D3372" i="21"/>
  <c r="D3373" i="21"/>
  <c r="D3374" i="21"/>
  <c r="D3375" i="21"/>
  <c r="D3376" i="21"/>
  <c r="D3377" i="21"/>
  <c r="D3378" i="21"/>
  <c r="D3379" i="21"/>
  <c r="D3380" i="21"/>
  <c r="D3381" i="21"/>
  <c r="D3382" i="21"/>
  <c r="D3383" i="21"/>
  <c r="D3384" i="21"/>
  <c r="D3385" i="21"/>
  <c r="D3386" i="21"/>
  <c r="D3387" i="21"/>
  <c r="D3388" i="21"/>
  <c r="D3389" i="21"/>
  <c r="D3390" i="21"/>
  <c r="D3391" i="21"/>
  <c r="D3392" i="21"/>
  <c r="D3393" i="21"/>
  <c r="D3394" i="21"/>
  <c r="D3395" i="21"/>
  <c r="D3396" i="21"/>
  <c r="D3397" i="21"/>
  <c r="D3398" i="21"/>
  <c r="D3399" i="21"/>
  <c r="D3400" i="21"/>
  <c r="D3401" i="21"/>
  <c r="D3402" i="21"/>
  <c r="D3403" i="21"/>
  <c r="D3404" i="21"/>
  <c r="D3405" i="21"/>
  <c r="D3406" i="21"/>
  <c r="D3407" i="21"/>
  <c r="D3408" i="21"/>
  <c r="D3409" i="21"/>
  <c r="D3410" i="21"/>
  <c r="D3411" i="21"/>
  <c r="D3412" i="21"/>
  <c r="D3413" i="21"/>
  <c r="D3414" i="21"/>
  <c r="D3415" i="21"/>
  <c r="D3416" i="21"/>
  <c r="D3417" i="21"/>
  <c r="D3418" i="21"/>
  <c r="D3419" i="21"/>
  <c r="D3420" i="21"/>
  <c r="D3421" i="21"/>
  <c r="D3422" i="21"/>
  <c r="D3423" i="21"/>
  <c r="D3424" i="21"/>
  <c r="D3425" i="21"/>
  <c r="D3426" i="21"/>
  <c r="D3427" i="21"/>
  <c r="D3428" i="21"/>
  <c r="D3429" i="21"/>
  <c r="D3430" i="21"/>
  <c r="D3431" i="21"/>
  <c r="D3432" i="21"/>
  <c r="D3433" i="21"/>
  <c r="D3434" i="21"/>
  <c r="D3435" i="21"/>
  <c r="D3436" i="21"/>
  <c r="D3437" i="21"/>
  <c r="D3438" i="21"/>
  <c r="D3439" i="21"/>
  <c r="D3440" i="21"/>
  <c r="D3441" i="21"/>
  <c r="D3442" i="21"/>
  <c r="D3443" i="21"/>
  <c r="D3444" i="21"/>
  <c r="D3445" i="21"/>
  <c r="D3446" i="21"/>
  <c r="D3447" i="21"/>
  <c r="D3448" i="21"/>
  <c r="D3449" i="21"/>
  <c r="D3450" i="21"/>
  <c r="D3451" i="21"/>
  <c r="D3452" i="21"/>
  <c r="D3453" i="21"/>
  <c r="D3454" i="21"/>
  <c r="D3455" i="21"/>
  <c r="D3456" i="21"/>
  <c r="D3457" i="21"/>
  <c r="D3458" i="21"/>
  <c r="D3459" i="21"/>
  <c r="D3460" i="21"/>
  <c r="D3461" i="21"/>
  <c r="D3462" i="21"/>
  <c r="D3463" i="21"/>
  <c r="D3464" i="21"/>
  <c r="D3465" i="21"/>
  <c r="D3466" i="21"/>
  <c r="D3467" i="21"/>
  <c r="D3468" i="21"/>
  <c r="D3469" i="21"/>
  <c r="D3470" i="21"/>
  <c r="D3471" i="21"/>
  <c r="D3472" i="21"/>
  <c r="D3473" i="21"/>
  <c r="A1875" i="19"/>
  <c r="D794" i="19"/>
  <c r="F2160" i="21"/>
  <c r="G2160" i="21" s="1"/>
  <c r="D1324" i="21"/>
  <c r="F457" i="21"/>
  <c r="G405" i="21"/>
  <c r="I38" i="58"/>
  <c r="I34" i="58"/>
  <c r="C94" i="36"/>
  <c r="D94" i="36"/>
  <c r="E1600" i="46"/>
  <c r="E1601" i="46"/>
  <c r="E1602" i="46"/>
  <c r="E1603" i="46"/>
  <c r="E1604" i="46"/>
  <c r="E1605" i="46"/>
  <c r="E1606" i="46"/>
  <c r="E1607" i="46"/>
  <c r="E1608" i="46"/>
  <c r="E1609" i="46"/>
  <c r="E1610" i="46"/>
  <c r="E1611" i="46"/>
  <c r="E1612" i="46"/>
  <c r="E1613" i="46"/>
  <c r="E1614" i="46"/>
  <c r="E1615" i="46"/>
  <c r="E1616" i="46"/>
  <c r="E1617" i="46"/>
  <c r="E1618" i="46"/>
  <c r="E1619" i="46"/>
  <c r="E1620" i="46"/>
  <c r="E1621" i="46"/>
  <c r="E1622" i="46"/>
  <c r="E1623" i="46"/>
  <c r="E1624" i="46"/>
  <c r="E1625" i="46"/>
  <c r="E1626" i="46"/>
  <c r="E1627" i="46"/>
  <c r="E1628" i="46"/>
  <c r="E1629" i="46"/>
  <c r="E1630" i="46"/>
  <c r="E1631" i="46"/>
  <c r="E1632" i="46"/>
  <c r="E1633" i="46"/>
  <c r="E1634" i="46"/>
  <c r="E1635" i="46"/>
  <c r="E1636" i="46"/>
  <c r="E1637" i="46"/>
  <c r="E1638" i="46"/>
  <c r="E1639" i="46"/>
  <c r="E1640" i="46"/>
  <c r="E1641" i="46"/>
  <c r="E1642" i="46"/>
  <c r="E1643" i="46"/>
  <c r="E1644" i="46"/>
  <c r="E1645" i="46"/>
  <c r="E1646" i="46"/>
  <c r="E1647" i="46"/>
  <c r="E1648" i="46"/>
  <c r="E1649" i="46"/>
  <c r="E1650" i="46"/>
  <c r="E1651" i="46"/>
  <c r="E1652" i="46"/>
  <c r="E1653" i="46"/>
  <c r="E1654" i="46"/>
  <c r="E1655" i="46"/>
  <c r="E1656" i="46"/>
  <c r="E1657" i="46"/>
  <c r="E1658" i="46"/>
  <c r="E1659" i="46"/>
  <c r="E1660" i="46"/>
  <c r="E1661" i="46"/>
  <c r="E1662" i="46"/>
  <c r="E1663" i="46"/>
  <c r="E1664" i="46"/>
  <c r="E1665" i="46"/>
  <c r="E1666" i="46"/>
  <c r="E1667" i="46"/>
  <c r="E1668" i="46"/>
  <c r="E1669" i="46"/>
  <c r="E1670" i="46"/>
  <c r="E1671" i="46"/>
  <c r="E1672" i="46"/>
  <c r="E1673" i="46"/>
  <c r="E1674" i="46"/>
  <c r="E1675" i="46"/>
  <c r="E1676" i="46"/>
  <c r="E1677" i="46"/>
  <c r="E1678" i="46"/>
  <c r="E1679" i="46"/>
  <c r="E1680" i="46"/>
  <c r="E1681" i="46"/>
  <c r="E1682" i="46"/>
  <c r="E1683" i="46"/>
  <c r="E1684" i="46"/>
  <c r="E1685" i="46"/>
  <c r="E1686" i="46"/>
  <c r="E1687" i="46"/>
  <c r="E1688" i="46"/>
  <c r="E1689" i="46"/>
  <c r="E1690" i="46"/>
  <c r="E1691" i="46"/>
  <c r="E1692" i="46"/>
  <c r="E1693" i="46"/>
  <c r="E1694" i="46"/>
  <c r="E1695" i="46"/>
  <c r="E1696" i="46"/>
  <c r="E1697" i="46"/>
  <c r="E1698" i="46"/>
  <c r="E1699" i="46"/>
  <c r="E1700" i="46"/>
  <c r="E1701" i="46"/>
  <c r="E1702" i="46"/>
  <c r="E1703" i="46"/>
  <c r="E1704" i="46"/>
  <c r="E1705" i="46"/>
  <c r="E1706" i="46"/>
  <c r="E1707" i="46"/>
  <c r="E1708" i="46"/>
  <c r="E1709" i="46"/>
  <c r="E1710" i="46"/>
  <c r="E1711" i="46"/>
  <c r="E1712" i="46"/>
  <c r="E1713" i="46"/>
  <c r="E1714" i="46"/>
  <c r="E1715" i="46"/>
  <c r="E1716" i="46"/>
  <c r="E1717" i="46"/>
  <c r="E1719" i="46"/>
  <c r="E1598" i="46"/>
  <c r="E1599" i="46"/>
  <c r="E1596" i="46"/>
  <c r="E1597" i="46"/>
  <c r="C1595" i="46"/>
  <c r="D1595" i="46"/>
  <c r="C735" i="46"/>
  <c r="D735" i="46"/>
  <c r="B1272" i="21"/>
  <c r="D1274" i="21"/>
  <c r="D1275" i="21"/>
  <c r="D1276" i="21"/>
  <c r="D1277" i="21"/>
  <c r="D1278" i="21"/>
  <c r="D1279" i="21"/>
  <c r="D1280" i="21"/>
  <c r="D1281" i="21"/>
  <c r="D1282" i="21"/>
  <c r="D1283" i="21"/>
  <c r="D1284" i="21"/>
  <c r="D1285" i="21"/>
  <c r="D1286" i="21"/>
  <c r="D1287" i="21"/>
  <c r="D1288" i="21"/>
  <c r="D1289" i="21"/>
  <c r="D1290" i="21"/>
  <c r="D1291" i="21"/>
  <c r="D1292" i="21"/>
  <c r="D1293" i="21"/>
  <c r="D1294" i="21"/>
  <c r="D1295" i="21"/>
  <c r="D1296" i="21"/>
  <c r="D1297" i="21"/>
  <c r="D1298" i="21"/>
  <c r="D1299" i="21"/>
  <c r="D1300" i="21"/>
  <c r="D1301" i="21"/>
  <c r="D1302" i="21"/>
  <c r="D1303" i="21"/>
  <c r="D1304" i="21"/>
  <c r="D1305" i="21"/>
  <c r="D1306" i="21"/>
  <c r="D1307" i="21"/>
  <c r="D1308" i="21"/>
  <c r="D1309" i="21"/>
  <c r="D1310" i="21"/>
  <c r="D1311" i="21"/>
  <c r="D1312" i="21"/>
  <c r="D1313" i="21"/>
  <c r="D1314" i="21"/>
  <c r="D1315" i="21"/>
  <c r="D1316" i="21"/>
  <c r="D1317" i="21"/>
  <c r="D1318" i="21"/>
  <c r="D1319" i="21"/>
  <c r="D1320" i="21"/>
  <c r="D1321" i="21"/>
  <c r="D1322" i="21"/>
  <c r="D1323" i="21"/>
  <c r="D1325" i="21"/>
  <c r="D1326" i="21"/>
  <c r="D1327" i="21"/>
  <c r="D1328" i="21"/>
  <c r="D1329" i="21"/>
  <c r="D1330" i="21"/>
  <c r="D1331" i="21"/>
  <c r="D1332" i="21"/>
  <c r="D1333" i="21"/>
  <c r="D1334" i="21"/>
  <c r="D1335" i="21"/>
  <c r="D1336" i="21"/>
  <c r="D1337" i="21"/>
  <c r="D1338" i="21"/>
  <c r="D1339" i="21"/>
  <c r="D1340" i="21"/>
  <c r="D1341" i="21"/>
  <c r="D1342" i="21"/>
  <c r="D1343" i="21"/>
  <c r="D1344" i="21"/>
  <c r="D1345" i="21"/>
  <c r="D1346" i="21"/>
  <c r="D1347" i="21"/>
  <c r="D1348" i="21"/>
  <c r="D1349" i="21"/>
  <c r="D1350" i="21"/>
  <c r="D1351" i="21"/>
  <c r="D1352" i="21"/>
  <c r="D1353" i="21"/>
  <c r="D1354" i="21"/>
  <c r="D1355" i="21"/>
  <c r="D1356" i="21"/>
  <c r="D1357" i="21"/>
  <c r="D1358" i="21"/>
  <c r="D1359" i="21"/>
  <c r="D1360" i="21"/>
  <c r="D1361" i="21"/>
  <c r="D1362" i="21"/>
  <c r="D1363" i="21"/>
  <c r="D1364" i="21"/>
  <c r="D1365" i="21"/>
  <c r="D1366" i="21"/>
  <c r="D1367" i="21"/>
  <c r="D1368" i="21"/>
  <c r="D1369" i="21"/>
  <c r="D1370" i="21"/>
  <c r="D1371" i="21"/>
  <c r="D1372" i="21"/>
  <c r="D1373" i="21"/>
  <c r="D1374" i="21"/>
  <c r="D1375" i="21"/>
  <c r="D1376" i="21"/>
  <c r="D1377" i="21"/>
  <c r="D1378" i="21"/>
  <c r="D1379" i="21"/>
  <c r="D1380" i="21"/>
  <c r="D1381" i="21"/>
  <c r="D1382" i="21"/>
  <c r="D1383" i="21"/>
  <c r="D1384" i="21"/>
  <c r="D1385" i="21"/>
  <c r="D1386" i="21"/>
  <c r="D1387" i="21"/>
  <c r="D1388" i="21"/>
  <c r="D1389" i="21"/>
  <c r="D1390" i="21"/>
  <c r="D1391" i="21"/>
  <c r="D1392" i="21"/>
  <c r="D1393" i="21"/>
  <c r="D1394" i="21"/>
  <c r="D1395" i="21"/>
  <c r="D1396" i="21"/>
  <c r="D1397" i="21"/>
  <c r="D1398" i="21"/>
  <c r="D1399" i="21"/>
  <c r="D1400" i="21"/>
  <c r="D1401" i="21"/>
  <c r="D1402" i="21"/>
  <c r="D1403" i="21"/>
  <c r="D1404" i="21"/>
  <c r="D1405" i="21"/>
  <c r="D1406" i="21"/>
  <c r="D1407" i="21"/>
  <c r="D1408" i="21"/>
  <c r="D1409" i="21"/>
  <c r="D1410" i="21"/>
  <c r="D1411" i="21"/>
  <c r="D1412" i="21"/>
  <c r="D1413" i="21"/>
  <c r="D1414" i="21"/>
  <c r="D1415" i="21"/>
  <c r="D1416" i="21"/>
  <c r="D1417" i="21"/>
  <c r="D1418" i="21"/>
  <c r="D1419" i="21"/>
  <c r="D1420" i="21"/>
  <c r="D1421" i="21"/>
  <c r="D1422" i="21"/>
  <c r="D1423" i="21"/>
  <c r="D1424" i="21"/>
  <c r="D1425" i="21"/>
  <c r="D1426" i="21"/>
  <c r="D1427" i="21"/>
  <c r="D1428" i="21"/>
  <c r="D1429" i="21"/>
  <c r="D1430" i="21"/>
  <c r="D1431" i="21"/>
  <c r="D1432" i="21"/>
  <c r="D1433" i="21"/>
  <c r="D1434" i="21"/>
  <c r="D1435" i="21"/>
  <c r="D1436" i="21"/>
  <c r="D1437" i="21"/>
  <c r="D1438" i="21"/>
  <c r="D1439" i="21"/>
  <c r="D1440" i="21"/>
  <c r="D1441" i="21"/>
  <c r="D1442" i="21"/>
  <c r="D1443" i="21"/>
  <c r="D1444" i="21"/>
  <c r="D1445" i="21"/>
  <c r="D1446" i="21"/>
  <c r="D1447" i="21"/>
  <c r="D1448" i="21"/>
  <c r="D1449" i="21"/>
  <c r="D1450" i="21"/>
  <c r="D1451" i="21"/>
  <c r="D1452" i="21"/>
  <c r="D1453" i="21"/>
  <c r="D1454" i="21"/>
  <c r="D1455" i="21"/>
  <c r="D1456" i="21"/>
  <c r="D1457" i="21"/>
  <c r="D1458" i="21"/>
  <c r="D1459" i="21"/>
  <c r="D1460" i="21"/>
  <c r="D1461" i="21"/>
  <c r="D1462" i="21"/>
  <c r="D1463" i="21"/>
  <c r="D1464" i="21"/>
  <c r="D1465" i="21"/>
  <c r="D1466" i="21"/>
  <c r="D1467" i="21"/>
  <c r="D1468" i="21"/>
  <c r="D1469" i="21"/>
  <c r="D1470" i="21"/>
  <c r="D1471" i="21"/>
  <c r="D1472" i="21"/>
  <c r="D1473" i="21"/>
  <c r="D1474" i="21"/>
  <c r="D1475" i="21"/>
  <c r="D1476" i="21"/>
  <c r="D1477" i="21"/>
  <c r="D1478" i="21"/>
  <c r="D1479" i="21"/>
  <c r="D1480" i="21"/>
  <c r="D1481" i="21"/>
  <c r="D1482" i="21"/>
  <c r="D1483" i="21"/>
  <c r="D1484" i="21"/>
  <c r="D1485" i="21"/>
  <c r="D1486" i="21"/>
  <c r="D1487" i="21"/>
  <c r="D1488" i="21"/>
  <c r="D1489" i="21"/>
  <c r="D1490" i="21"/>
  <c r="D1491" i="21"/>
  <c r="D1492" i="21"/>
  <c r="D1493" i="21"/>
  <c r="D1494" i="21"/>
  <c r="D1495" i="21"/>
  <c r="D1496" i="21"/>
  <c r="D1497" i="21"/>
  <c r="D1498" i="21"/>
  <c r="D1499" i="21"/>
  <c r="D1500" i="21"/>
  <c r="D1501" i="21"/>
  <c r="D1502" i="21"/>
  <c r="D1503" i="21"/>
  <c r="D1504" i="21"/>
  <c r="D1505" i="21"/>
  <c r="D1506" i="21"/>
  <c r="D1507" i="21"/>
  <c r="D1508" i="21"/>
  <c r="D1509" i="21"/>
  <c r="D1510" i="21"/>
  <c r="D1511" i="21"/>
  <c r="D1512" i="21"/>
  <c r="D1513" i="21"/>
  <c r="D1514" i="21"/>
  <c r="D1515" i="21"/>
  <c r="D1516" i="21"/>
  <c r="D1517" i="21"/>
  <c r="D1518" i="21"/>
  <c r="D1519" i="21"/>
  <c r="D1520" i="21"/>
  <c r="D1521" i="21"/>
  <c r="D1522" i="21"/>
  <c r="D1523" i="21"/>
  <c r="D1524" i="21"/>
  <c r="D1525" i="21"/>
  <c r="D1526" i="21"/>
  <c r="D1527" i="21"/>
  <c r="D1528" i="21"/>
  <c r="D1529" i="21"/>
  <c r="D1530" i="21"/>
  <c r="D1531" i="21"/>
  <c r="D1532" i="21"/>
  <c r="D1533" i="21"/>
  <c r="D1534" i="21"/>
  <c r="D1535" i="21"/>
  <c r="D1536" i="21"/>
  <c r="D1537" i="21"/>
  <c r="D1538" i="21"/>
  <c r="D1539" i="21"/>
  <c r="D1540" i="21"/>
  <c r="D1541" i="21"/>
  <c r="D1542" i="21"/>
  <c r="D1543" i="21"/>
  <c r="D1544" i="21"/>
  <c r="D1545" i="21"/>
  <c r="D1546" i="21"/>
  <c r="D1547" i="21"/>
  <c r="D1548" i="21"/>
  <c r="D1549" i="21"/>
  <c r="D1550" i="21"/>
  <c r="D1551" i="21"/>
  <c r="D1552" i="21"/>
  <c r="D1553" i="21"/>
  <c r="D1554" i="21"/>
  <c r="D1555" i="21"/>
  <c r="D1556" i="21"/>
  <c r="D1557" i="21"/>
  <c r="D1558" i="21"/>
  <c r="D1559" i="21"/>
  <c r="D1560" i="21"/>
  <c r="D1561" i="21"/>
  <c r="D1562" i="21"/>
  <c r="D1563" i="21"/>
  <c r="D1564" i="21"/>
  <c r="D1565" i="21"/>
  <c r="D1566" i="21"/>
  <c r="D1567" i="21"/>
  <c r="D1568" i="21"/>
  <c r="D1569" i="21"/>
  <c r="D1570" i="21"/>
  <c r="D1571" i="21"/>
  <c r="D1572" i="21"/>
  <c r="D1573" i="21"/>
  <c r="D1574" i="21"/>
  <c r="D1575" i="21"/>
  <c r="D1576" i="21"/>
  <c r="D1577" i="21"/>
  <c r="D1578" i="21"/>
  <c r="D1579" i="21"/>
  <c r="D1580" i="21"/>
  <c r="D1581" i="21"/>
  <c r="D1582" i="21"/>
  <c r="D1583" i="21"/>
  <c r="D1584" i="21"/>
  <c r="D1585" i="21"/>
  <c r="D1586" i="21"/>
  <c r="D1587" i="21"/>
  <c r="D1588" i="21"/>
  <c r="D1589" i="21"/>
  <c r="D1590" i="21"/>
  <c r="D1591" i="21"/>
  <c r="D1592" i="21"/>
  <c r="D1593" i="21"/>
  <c r="D1594" i="21"/>
  <c r="D1595" i="21"/>
  <c r="D1596" i="21"/>
  <c r="D1597" i="21"/>
  <c r="D1598" i="21"/>
  <c r="D1599" i="21"/>
  <c r="D1600" i="21"/>
  <c r="D1601" i="21"/>
  <c r="F672" i="21"/>
  <c r="F673" i="21"/>
  <c r="F681" i="21"/>
  <c r="F682" i="21"/>
  <c r="F683" i="21"/>
  <c r="F684" i="21"/>
  <c r="F685" i="21"/>
  <c r="F686" i="21"/>
  <c r="F687" i="21"/>
  <c r="F688" i="21"/>
  <c r="F689" i="21"/>
  <c r="F690" i="21"/>
  <c r="F691" i="21"/>
  <c r="F692" i="21"/>
  <c r="F714" i="21"/>
  <c r="F715" i="21"/>
  <c r="F716" i="21"/>
  <c r="F717" i="21"/>
  <c r="F674" i="21"/>
  <c r="F698" i="21"/>
  <c r="F699" i="21"/>
  <c r="F700" i="21"/>
  <c r="F701" i="21"/>
  <c r="F702" i="21"/>
  <c r="F703" i="21"/>
  <c r="F704" i="21"/>
  <c r="F705" i="21"/>
  <c r="F706" i="21"/>
  <c r="F718" i="21"/>
  <c r="F719" i="21"/>
  <c r="F720" i="21"/>
  <c r="F721" i="21"/>
  <c r="F722" i="21"/>
  <c r="F662" i="21"/>
  <c r="F664" i="21"/>
  <c r="F678" i="21"/>
  <c r="F679" i="21"/>
  <c r="F680" i="21"/>
  <c r="F694" i="21"/>
  <c r="F695" i="21"/>
  <c r="F696" i="21"/>
  <c r="F710" i="21"/>
  <c r="F711" i="21"/>
  <c r="F712" i="21"/>
  <c r="F726" i="21"/>
  <c r="F727" i="21"/>
  <c r="F728" i="21"/>
  <c r="F407" i="21"/>
  <c r="F408" i="21"/>
  <c r="F409" i="21"/>
  <c r="F410" i="21"/>
  <c r="F411" i="21"/>
  <c r="F412" i="21"/>
  <c r="F413" i="21"/>
  <c r="F414" i="21"/>
  <c r="F415" i="21"/>
  <c r="F416" i="21"/>
  <c r="F417" i="21"/>
  <c r="F418" i="21"/>
  <c r="F419" i="21"/>
  <c r="F420" i="21"/>
  <c r="F421" i="21"/>
  <c r="F422" i="21"/>
  <c r="F423" i="21"/>
  <c r="F424" i="21"/>
  <c r="F425" i="21"/>
  <c r="F426" i="21"/>
  <c r="F427" i="21"/>
  <c r="F428" i="21"/>
  <c r="F429" i="21"/>
  <c r="F430" i="21"/>
  <c r="F431" i="21"/>
  <c r="F432" i="21"/>
  <c r="F433" i="21"/>
  <c r="F434" i="21"/>
  <c r="F435" i="21"/>
  <c r="F436" i="21"/>
  <c r="F437" i="21"/>
  <c r="F438" i="21"/>
  <c r="F439" i="21"/>
  <c r="F440" i="21"/>
  <c r="F441" i="21"/>
  <c r="F442" i="21"/>
  <c r="F443" i="21"/>
  <c r="F444" i="21"/>
  <c r="F445" i="21"/>
  <c r="F446" i="21"/>
  <c r="F447" i="21"/>
  <c r="F448" i="21"/>
  <c r="F449" i="21"/>
  <c r="F450" i="21"/>
  <c r="F451" i="21"/>
  <c r="F452" i="21"/>
  <c r="F453" i="21"/>
  <c r="F454" i="21"/>
  <c r="F455" i="21"/>
  <c r="F456" i="21"/>
  <c r="F458" i="21"/>
  <c r="F459" i="21"/>
  <c r="F460" i="21"/>
  <c r="F461" i="21"/>
  <c r="F462" i="21"/>
  <c r="F463" i="21"/>
  <c r="F464" i="21"/>
  <c r="F465" i="21"/>
  <c r="F466" i="21"/>
  <c r="F467" i="21"/>
  <c r="F468" i="21"/>
  <c r="F469" i="21"/>
  <c r="F470" i="21"/>
  <c r="F471" i="21"/>
  <c r="F472" i="21"/>
  <c r="F473" i="21"/>
  <c r="F474" i="21"/>
  <c r="F475" i="21"/>
  <c r="F476" i="21"/>
  <c r="F477" i="21"/>
  <c r="F478" i="21"/>
  <c r="F479" i="21"/>
  <c r="F480" i="21"/>
  <c r="F481" i="21"/>
  <c r="F482" i="21"/>
  <c r="F483" i="21"/>
  <c r="F484" i="21"/>
  <c r="F485" i="21"/>
  <c r="F486" i="21"/>
  <c r="F487" i="21"/>
  <c r="F488" i="21"/>
  <c r="F489" i="21"/>
  <c r="F490" i="21"/>
  <c r="F491" i="21"/>
  <c r="F492" i="21"/>
  <c r="F493" i="21"/>
  <c r="F494" i="21"/>
  <c r="F495" i="21"/>
  <c r="F496" i="21"/>
  <c r="F497" i="21"/>
  <c r="F498" i="21"/>
  <c r="F499" i="21"/>
  <c r="F500" i="21"/>
  <c r="F501" i="21"/>
  <c r="F502" i="21"/>
  <c r="F503" i="21"/>
  <c r="F504" i="21"/>
  <c r="F505" i="21"/>
  <c r="F506" i="21"/>
  <c r="F507" i="21"/>
  <c r="F508" i="21"/>
  <c r="F509" i="21"/>
  <c r="F510" i="21"/>
  <c r="F511" i="21"/>
  <c r="F512" i="21"/>
  <c r="F513" i="21"/>
  <c r="F514" i="21"/>
  <c r="F515" i="21"/>
  <c r="F516" i="21"/>
  <c r="F517" i="21"/>
  <c r="F518" i="21"/>
  <c r="F519" i="21"/>
  <c r="F520" i="21"/>
  <c r="F521" i="21"/>
  <c r="F522" i="21"/>
  <c r="F523" i="21"/>
  <c r="F524" i="21"/>
  <c r="F525" i="21"/>
  <c r="F526" i="21"/>
  <c r="F527" i="21"/>
  <c r="F528" i="21"/>
  <c r="F529" i="21"/>
  <c r="F530" i="21"/>
  <c r="F531" i="21"/>
  <c r="F532" i="21"/>
  <c r="F533" i="21"/>
  <c r="F534" i="21"/>
  <c r="F535" i="21"/>
  <c r="F536" i="21"/>
  <c r="F537" i="21"/>
  <c r="F538" i="21"/>
  <c r="F539" i="21"/>
  <c r="F540" i="21"/>
  <c r="F541" i="21"/>
  <c r="F542" i="21"/>
  <c r="F543" i="21"/>
  <c r="F544" i="21"/>
  <c r="F545" i="21"/>
  <c r="F546" i="21"/>
  <c r="F547" i="21"/>
  <c r="F548" i="21"/>
  <c r="F549" i="21"/>
  <c r="F550" i="21"/>
  <c r="F551" i="21"/>
  <c r="F552" i="21"/>
  <c r="F553" i="21"/>
  <c r="F554" i="21"/>
  <c r="F555" i="21"/>
  <c r="F556" i="21"/>
  <c r="F557" i="21"/>
  <c r="F558" i="21"/>
  <c r="F559" i="21"/>
  <c r="F560" i="21"/>
  <c r="F561" i="21"/>
  <c r="F562" i="21"/>
  <c r="F563" i="21"/>
  <c r="F564" i="21"/>
  <c r="F565" i="21"/>
  <c r="F566" i="21"/>
  <c r="F567" i="21"/>
  <c r="F568" i="21"/>
  <c r="F569" i="21"/>
  <c r="F570" i="21"/>
  <c r="F571" i="21"/>
  <c r="F572" i="21"/>
  <c r="F573" i="21"/>
  <c r="F574" i="21"/>
  <c r="F575" i="21"/>
  <c r="F576" i="21"/>
  <c r="F577" i="21"/>
  <c r="F578" i="21"/>
  <c r="F579" i="21"/>
  <c r="F580" i="21"/>
  <c r="F581" i="21"/>
  <c r="F582" i="21"/>
  <c r="F583" i="21"/>
  <c r="F584" i="21"/>
  <c r="F585" i="21"/>
  <c r="F586" i="21"/>
  <c r="F587" i="21"/>
  <c r="F588" i="21"/>
  <c r="F589" i="21"/>
  <c r="F590" i="21"/>
  <c r="F591" i="21"/>
  <c r="F592" i="21"/>
  <c r="F593" i="21"/>
  <c r="F594" i="21"/>
  <c r="F595" i="21"/>
  <c r="F596" i="21"/>
  <c r="F597" i="21"/>
  <c r="F598" i="21"/>
  <c r="F599" i="21"/>
  <c r="F600" i="21"/>
  <c r="F601" i="21"/>
  <c r="F602" i="21"/>
  <c r="F603" i="21"/>
  <c r="F604" i="21"/>
  <c r="F605" i="21"/>
  <c r="F606" i="21"/>
  <c r="F607" i="21"/>
  <c r="F608" i="21"/>
  <c r="F609" i="21"/>
  <c r="F610" i="21"/>
  <c r="F611" i="21"/>
  <c r="F612" i="21"/>
  <c r="F613" i="21"/>
  <c r="F614" i="21"/>
  <c r="F615" i="21"/>
  <c r="F616" i="21"/>
  <c r="F617" i="21"/>
  <c r="F618" i="21"/>
  <c r="F619" i="21"/>
  <c r="F620" i="21"/>
  <c r="F621" i="21"/>
  <c r="F622" i="21"/>
  <c r="F623" i="21"/>
  <c r="F624" i="21"/>
  <c r="F625" i="21"/>
  <c r="F626" i="21"/>
  <c r="F627" i="21"/>
  <c r="F628" i="21"/>
  <c r="F629" i="21"/>
  <c r="F630" i="21"/>
  <c r="F631" i="21"/>
  <c r="F632" i="21"/>
  <c r="F633" i="21"/>
  <c r="F634" i="21"/>
  <c r="F635" i="21"/>
  <c r="F636" i="21"/>
  <c r="F637" i="21"/>
  <c r="F638" i="21"/>
  <c r="F639" i="21"/>
  <c r="F640" i="21"/>
  <c r="F641" i="21"/>
  <c r="F642" i="21"/>
  <c r="F643" i="21"/>
  <c r="F644" i="21"/>
  <c r="F645" i="21"/>
  <c r="F646" i="21"/>
  <c r="F647" i="21"/>
  <c r="F665" i="21"/>
  <c r="F666" i="21"/>
  <c r="F667" i="21"/>
  <c r="F668" i="21"/>
  <c r="F669" i="21"/>
  <c r="F670" i="21"/>
  <c r="F671" i="21"/>
  <c r="F697" i="21"/>
  <c r="F713" i="21"/>
  <c r="F729" i="21"/>
  <c r="F730" i="21"/>
  <c r="F731" i="21"/>
  <c r="F732" i="21"/>
  <c r="F733" i="21"/>
  <c r="F406" i="21"/>
  <c r="G46" i="58"/>
  <c r="G59" i="58"/>
  <c r="D58" i="36"/>
  <c r="C58" i="36"/>
  <c r="B58" i="36"/>
  <c r="E1541" i="46"/>
  <c r="E1542" i="46"/>
  <c r="E1543" i="46"/>
  <c r="E1544" i="46"/>
  <c r="E1545" i="46"/>
  <c r="E1546" i="46"/>
  <c r="E1547" i="46"/>
  <c r="E1548" i="46"/>
  <c r="E1549" i="46"/>
  <c r="E1550" i="46"/>
  <c r="E1551" i="46"/>
  <c r="E1552" i="46"/>
  <c r="E1553" i="46"/>
  <c r="E1554" i="46"/>
  <c r="E1555" i="46"/>
  <c r="E1556" i="46"/>
  <c r="E1557" i="46"/>
  <c r="E1558" i="46"/>
  <c r="E1559" i="46"/>
  <c r="E1560" i="46"/>
  <c r="E1561" i="46"/>
  <c r="E1562" i="46"/>
  <c r="E1563" i="46"/>
  <c r="E1564" i="46"/>
  <c r="E1565" i="46"/>
  <c r="E1566" i="46"/>
  <c r="E1567" i="46"/>
  <c r="E1568" i="46"/>
  <c r="E1569" i="46"/>
  <c r="E1570" i="46"/>
  <c r="E1571" i="46"/>
  <c r="E1572" i="46"/>
  <c r="E1573" i="46"/>
  <c r="E1574" i="46"/>
  <c r="E1575" i="46"/>
  <c r="E1576" i="46"/>
  <c r="E1577" i="46"/>
  <c r="E1578" i="46"/>
  <c r="E1579" i="46"/>
  <c r="E1580" i="46"/>
  <c r="E1581" i="46"/>
  <c r="E1582" i="46"/>
  <c r="E1583" i="46"/>
  <c r="E1584" i="46"/>
  <c r="E1585" i="46"/>
  <c r="E1586" i="46"/>
  <c r="E1587" i="46"/>
  <c r="E1588" i="46"/>
  <c r="E1589" i="46"/>
  <c r="E1590" i="46"/>
  <c r="E1591" i="46"/>
  <c r="E1592" i="46"/>
  <c r="E1593" i="46"/>
  <c r="D1265" i="46"/>
  <c r="C1265" i="46"/>
  <c r="B1265" i="46"/>
  <c r="E1267" i="46"/>
  <c r="E1268" i="46"/>
  <c r="E1269" i="46"/>
  <c r="E1270" i="46"/>
  <c r="E1271" i="46"/>
  <c r="E1272" i="46"/>
  <c r="E1273" i="46"/>
  <c r="E1274" i="46"/>
  <c r="E1275" i="46"/>
  <c r="E1276" i="46"/>
  <c r="E1277" i="46"/>
  <c r="E1278" i="46"/>
  <c r="E1279" i="46"/>
  <c r="E1280" i="46"/>
  <c r="E1281" i="46"/>
  <c r="E1282" i="46"/>
  <c r="E1283" i="46"/>
  <c r="E1284" i="46"/>
  <c r="E1285" i="46"/>
  <c r="E1286" i="46"/>
  <c r="E1287" i="46"/>
  <c r="E1288" i="46"/>
  <c r="E1289" i="46"/>
  <c r="E1290" i="46"/>
  <c r="E1291" i="46"/>
  <c r="E1292" i="46"/>
  <c r="E1293" i="46"/>
  <c r="E1294" i="46"/>
  <c r="E1295" i="46"/>
  <c r="E1296" i="46"/>
  <c r="E1297" i="46"/>
  <c r="E1298" i="46"/>
  <c r="E1299" i="46"/>
  <c r="E1300" i="46"/>
  <c r="E1301" i="46"/>
  <c r="E1302" i="46"/>
  <c r="E1303" i="46"/>
  <c r="E1304" i="46"/>
  <c r="E1305" i="46"/>
  <c r="E1306" i="46"/>
  <c r="E1307" i="46"/>
  <c r="E1308" i="46"/>
  <c r="E1309" i="46"/>
  <c r="E1310" i="46"/>
  <c r="E1311" i="46"/>
  <c r="E1312" i="46"/>
  <c r="E1313" i="46"/>
  <c r="E1314" i="46"/>
  <c r="E1315" i="46"/>
  <c r="E1316" i="46"/>
  <c r="E1317" i="46"/>
  <c r="E1318" i="46"/>
  <c r="E1319" i="46"/>
  <c r="E1320" i="46"/>
  <c r="E1321" i="46"/>
  <c r="E1322" i="46"/>
  <c r="E1323" i="46"/>
  <c r="E1324" i="46"/>
  <c r="E1325" i="46"/>
  <c r="E1326" i="46"/>
  <c r="E1327" i="46"/>
  <c r="E1328" i="46"/>
  <c r="E1329" i="46"/>
  <c r="E1330" i="46"/>
  <c r="E1331" i="46"/>
  <c r="E1332" i="46"/>
  <c r="E1333" i="46"/>
  <c r="E1334" i="46"/>
  <c r="E1335" i="46"/>
  <c r="E1336" i="46"/>
  <c r="E1337" i="46"/>
  <c r="E1338" i="46"/>
  <c r="E1339" i="46"/>
  <c r="E1340" i="46"/>
  <c r="E1341" i="46"/>
  <c r="E1342" i="46"/>
  <c r="E1343" i="46"/>
  <c r="E1344" i="46"/>
  <c r="E1345" i="46"/>
  <c r="E1346" i="46"/>
  <c r="E1347" i="46"/>
  <c r="E1348" i="46"/>
  <c r="E1349" i="46"/>
  <c r="E1350" i="46"/>
  <c r="E1351" i="46"/>
  <c r="E1352" i="46"/>
  <c r="E1353" i="46"/>
  <c r="E1354" i="46"/>
  <c r="E1355" i="46"/>
  <c r="E1356" i="46"/>
  <c r="E1357" i="46"/>
  <c r="E1358" i="46"/>
  <c r="E1359" i="46"/>
  <c r="E1360" i="46"/>
  <c r="E1361" i="46"/>
  <c r="E1362" i="46"/>
  <c r="E1363" i="46"/>
  <c r="E1364" i="46"/>
  <c r="E1365" i="46"/>
  <c r="E1366" i="46"/>
  <c r="E1367" i="46"/>
  <c r="E1368" i="46"/>
  <c r="E1369" i="46"/>
  <c r="E1370" i="46"/>
  <c r="E1371" i="46"/>
  <c r="E1372" i="46"/>
  <c r="E1373" i="46"/>
  <c r="E1374" i="46"/>
  <c r="E1375" i="46"/>
  <c r="E1376" i="46"/>
  <c r="E1377" i="46"/>
  <c r="E1378" i="46"/>
  <c r="E1379" i="46"/>
  <c r="E1380" i="46"/>
  <c r="E1381" i="46"/>
  <c r="E1382" i="46"/>
  <c r="E1383" i="46"/>
  <c r="E1384" i="46"/>
  <c r="E1385" i="46"/>
  <c r="E1386" i="46"/>
  <c r="E1387" i="46"/>
  <c r="E1388" i="46"/>
  <c r="E1389" i="46"/>
  <c r="E1390" i="46"/>
  <c r="E1391" i="46"/>
  <c r="E1392" i="46"/>
  <c r="E1393" i="46"/>
  <c r="E1394" i="46"/>
  <c r="E1395" i="46"/>
  <c r="E1396" i="46"/>
  <c r="E1397" i="46"/>
  <c r="E1398" i="46"/>
  <c r="E1399" i="46"/>
  <c r="E1400" i="46"/>
  <c r="E1401" i="46"/>
  <c r="E1402" i="46"/>
  <c r="E1403" i="46"/>
  <c r="E1404" i="46"/>
  <c r="E1405" i="46"/>
  <c r="E1406" i="46"/>
  <c r="E1407" i="46"/>
  <c r="E1408" i="46"/>
  <c r="E1409" i="46"/>
  <c r="E1410" i="46"/>
  <c r="E1411" i="46"/>
  <c r="E1412" i="46"/>
  <c r="E1413" i="46"/>
  <c r="E1414" i="46"/>
  <c r="E1415" i="46"/>
  <c r="E1416" i="46"/>
  <c r="E1417" i="46"/>
  <c r="E1418" i="46"/>
  <c r="E1419" i="46"/>
  <c r="E1420" i="46"/>
  <c r="E1421" i="46"/>
  <c r="E1422" i="46"/>
  <c r="E1423" i="46"/>
  <c r="E1424" i="46"/>
  <c r="E1425" i="46"/>
  <c r="E1426" i="46"/>
  <c r="E1427" i="46"/>
  <c r="E1428" i="46"/>
  <c r="E1429" i="46"/>
  <c r="E1430" i="46"/>
  <c r="E1431" i="46"/>
  <c r="E1432" i="46"/>
  <c r="E1433" i="46"/>
  <c r="E1434" i="46"/>
  <c r="E1435" i="46"/>
  <c r="E1436" i="46"/>
  <c r="E1437" i="46"/>
  <c r="E1438" i="46"/>
  <c r="E1439" i="46"/>
  <c r="E1440" i="46"/>
  <c r="E1441" i="46"/>
  <c r="E1442" i="46"/>
  <c r="E1443" i="46"/>
  <c r="E1444" i="46"/>
  <c r="E1445" i="46"/>
  <c r="E1446" i="46"/>
  <c r="E1447" i="46"/>
  <c r="E1448" i="46"/>
  <c r="E1449" i="46"/>
  <c r="E1450" i="46"/>
  <c r="E1451" i="46"/>
  <c r="E1452" i="46"/>
  <c r="E1453" i="46"/>
  <c r="E1454" i="46"/>
  <c r="E1455" i="46"/>
  <c r="E1456" i="46"/>
  <c r="E1457" i="46"/>
  <c r="E1458" i="46"/>
  <c r="E1459" i="46"/>
  <c r="E1460" i="46"/>
  <c r="E1461" i="46"/>
  <c r="E1462" i="46"/>
  <c r="E1463" i="46"/>
  <c r="E1464" i="46"/>
  <c r="E1465" i="46"/>
  <c r="E1466" i="46"/>
  <c r="E1467" i="46"/>
  <c r="E1468" i="46"/>
  <c r="E1469" i="46"/>
  <c r="E1470" i="46"/>
  <c r="E1471" i="46"/>
  <c r="E1472" i="46"/>
  <c r="E1473" i="46"/>
  <c r="E1474" i="46"/>
  <c r="E1475" i="46"/>
  <c r="E1476" i="46"/>
  <c r="E1477" i="46"/>
  <c r="E1478" i="46"/>
  <c r="E1479" i="46"/>
  <c r="E1480" i="46"/>
  <c r="E1481" i="46"/>
  <c r="E1482" i="46"/>
  <c r="E1483" i="46"/>
  <c r="E1484" i="46"/>
  <c r="E1485" i="46"/>
  <c r="E1486" i="46"/>
  <c r="E1487" i="46"/>
  <c r="E1488" i="46"/>
  <c r="E1489" i="46"/>
  <c r="E1490" i="46"/>
  <c r="E1491" i="46"/>
  <c r="E1492" i="46"/>
  <c r="E1493" i="46"/>
  <c r="E1494" i="46"/>
  <c r="E1495" i="46"/>
  <c r="E1496" i="46"/>
  <c r="E1497" i="46"/>
  <c r="E1498" i="46"/>
  <c r="E1499" i="46"/>
  <c r="E1500" i="46"/>
  <c r="E1501" i="46"/>
  <c r="E1502" i="46"/>
  <c r="E1503" i="46"/>
  <c r="E1504" i="46"/>
  <c r="E1505" i="46"/>
  <c r="E1506" i="46"/>
  <c r="E1507" i="46"/>
  <c r="E1508" i="46"/>
  <c r="E1509" i="46"/>
  <c r="E1510" i="46"/>
  <c r="E1511" i="46"/>
  <c r="E1512" i="46"/>
  <c r="E1513" i="46"/>
  <c r="E1514" i="46"/>
  <c r="E1515" i="46"/>
  <c r="E1516" i="46"/>
  <c r="E1517" i="46"/>
  <c r="E1518" i="46"/>
  <c r="E1519" i="46"/>
  <c r="E1520" i="46"/>
  <c r="E1521" i="46"/>
  <c r="E1522" i="46"/>
  <c r="E1523" i="46"/>
  <c r="E1524" i="46"/>
  <c r="E1525" i="46"/>
  <c r="E1526" i="46"/>
  <c r="E1527" i="46"/>
  <c r="E1528" i="46"/>
  <c r="E1529" i="46"/>
  <c r="E1530" i="46"/>
  <c r="E1531" i="46"/>
  <c r="E1532" i="46"/>
  <c r="E1533" i="46"/>
  <c r="E1534" i="46"/>
  <c r="E1535" i="46"/>
  <c r="E1536" i="46"/>
  <c r="E1537" i="46"/>
  <c r="E1538" i="46"/>
  <c r="E1539" i="46"/>
  <c r="E1540" i="46"/>
  <c r="E1266" i="46"/>
  <c r="E408" i="46"/>
  <c r="E409" i="46"/>
  <c r="E410" i="46"/>
  <c r="E411" i="46"/>
  <c r="E412" i="46"/>
  <c r="E413" i="46"/>
  <c r="E414" i="46"/>
  <c r="E415" i="46"/>
  <c r="E416" i="46"/>
  <c r="E417" i="46"/>
  <c r="E418" i="46"/>
  <c r="E419" i="46"/>
  <c r="E420" i="46"/>
  <c r="E421" i="46"/>
  <c r="E422" i="46"/>
  <c r="E423" i="46"/>
  <c r="E424" i="46"/>
  <c r="E425" i="46"/>
  <c r="E426" i="46"/>
  <c r="E427" i="46"/>
  <c r="E428" i="46"/>
  <c r="E429" i="46"/>
  <c r="E430" i="46"/>
  <c r="E431" i="46"/>
  <c r="E432" i="46"/>
  <c r="E433" i="46"/>
  <c r="E434" i="46"/>
  <c r="E435" i="46"/>
  <c r="E436" i="46"/>
  <c r="E437" i="46"/>
  <c r="E438" i="46"/>
  <c r="E439" i="46"/>
  <c r="E440" i="46"/>
  <c r="E441" i="46"/>
  <c r="E442" i="46"/>
  <c r="E443" i="46"/>
  <c r="E444" i="46"/>
  <c r="E445" i="46"/>
  <c r="E446" i="46"/>
  <c r="E447" i="46"/>
  <c r="E448" i="46"/>
  <c r="E449" i="46"/>
  <c r="E450" i="46"/>
  <c r="E451" i="46"/>
  <c r="E452" i="46"/>
  <c r="E453" i="46"/>
  <c r="E454" i="46"/>
  <c r="E455" i="46"/>
  <c r="E456" i="46"/>
  <c r="E457" i="46"/>
  <c r="E458" i="46"/>
  <c r="E459" i="46"/>
  <c r="E460" i="46"/>
  <c r="E461" i="46"/>
  <c r="E462" i="46"/>
  <c r="E463" i="46"/>
  <c r="E464" i="46"/>
  <c r="E465" i="46"/>
  <c r="E466" i="46"/>
  <c r="E467" i="46"/>
  <c r="E468" i="46"/>
  <c r="E469" i="46"/>
  <c r="E470" i="46"/>
  <c r="E471" i="46"/>
  <c r="E472" i="46"/>
  <c r="E473" i="46"/>
  <c r="E474" i="46"/>
  <c r="E475" i="46"/>
  <c r="E476" i="46"/>
  <c r="E477" i="46"/>
  <c r="E478" i="46"/>
  <c r="E479" i="46"/>
  <c r="E480" i="46"/>
  <c r="E481" i="46"/>
  <c r="E482" i="46"/>
  <c r="E483" i="46"/>
  <c r="E484" i="46"/>
  <c r="E485" i="46"/>
  <c r="E486" i="46"/>
  <c r="E487" i="46"/>
  <c r="E488" i="46"/>
  <c r="E489" i="46"/>
  <c r="E490" i="46"/>
  <c r="E491" i="46"/>
  <c r="E492" i="46"/>
  <c r="E493" i="46"/>
  <c r="E494" i="46"/>
  <c r="E495" i="46"/>
  <c r="E496" i="46"/>
  <c r="E497" i="46"/>
  <c r="E498" i="46"/>
  <c r="E499" i="46"/>
  <c r="E500" i="46"/>
  <c r="E501" i="46"/>
  <c r="E502" i="46"/>
  <c r="E503" i="46"/>
  <c r="E504" i="46"/>
  <c r="E505" i="46"/>
  <c r="E506" i="46"/>
  <c r="E507" i="46"/>
  <c r="E508" i="46"/>
  <c r="E509" i="46"/>
  <c r="E510" i="46"/>
  <c r="E511" i="46"/>
  <c r="E512" i="46"/>
  <c r="E513" i="46"/>
  <c r="E514" i="46"/>
  <c r="E515" i="46"/>
  <c r="E516" i="46"/>
  <c r="E517" i="46"/>
  <c r="E518" i="46"/>
  <c r="E519" i="46"/>
  <c r="E520" i="46"/>
  <c r="E521" i="46"/>
  <c r="E522" i="46"/>
  <c r="E523" i="46"/>
  <c r="E524" i="46"/>
  <c r="E525" i="46"/>
  <c r="E526" i="46"/>
  <c r="E527" i="46"/>
  <c r="E528" i="46"/>
  <c r="E529" i="46"/>
  <c r="E530" i="46"/>
  <c r="E531" i="46"/>
  <c r="E532" i="46"/>
  <c r="E533" i="46"/>
  <c r="E534" i="46"/>
  <c r="E535" i="46"/>
  <c r="E536" i="46"/>
  <c r="E537" i="46"/>
  <c r="E538" i="46"/>
  <c r="E539" i="46"/>
  <c r="E540" i="46"/>
  <c r="E541" i="46"/>
  <c r="E542" i="46"/>
  <c r="E543" i="46"/>
  <c r="E544" i="46"/>
  <c r="E545" i="46"/>
  <c r="E546" i="46"/>
  <c r="E547" i="46"/>
  <c r="E548" i="46"/>
  <c r="E549" i="46"/>
  <c r="E550" i="46"/>
  <c r="E551" i="46"/>
  <c r="E552" i="46"/>
  <c r="E553" i="46"/>
  <c r="E554" i="46"/>
  <c r="E555" i="46"/>
  <c r="E556" i="46"/>
  <c r="E557" i="46"/>
  <c r="E558" i="46"/>
  <c r="E559" i="46"/>
  <c r="E560" i="46"/>
  <c r="E561" i="46"/>
  <c r="E562" i="46"/>
  <c r="E563" i="46"/>
  <c r="E564" i="46"/>
  <c r="E565" i="46"/>
  <c r="E566" i="46"/>
  <c r="E567" i="46"/>
  <c r="E568" i="46"/>
  <c r="E569" i="46"/>
  <c r="E570" i="46"/>
  <c r="E571" i="46"/>
  <c r="E572" i="46"/>
  <c r="E573" i="46"/>
  <c r="E574" i="46"/>
  <c r="E575" i="46"/>
  <c r="E576" i="46"/>
  <c r="E577" i="46"/>
  <c r="E578" i="46"/>
  <c r="E579" i="46"/>
  <c r="E580" i="46"/>
  <c r="E581" i="46"/>
  <c r="E582" i="46"/>
  <c r="E583" i="46"/>
  <c r="E584" i="46"/>
  <c r="E585" i="46"/>
  <c r="E586" i="46"/>
  <c r="E587" i="46"/>
  <c r="E588" i="46"/>
  <c r="E589" i="46"/>
  <c r="E590" i="46"/>
  <c r="E591" i="46"/>
  <c r="E592" i="46"/>
  <c r="E593" i="46"/>
  <c r="E594" i="46"/>
  <c r="E595" i="46"/>
  <c r="E596" i="46"/>
  <c r="E597" i="46"/>
  <c r="E598" i="46"/>
  <c r="E599" i="46"/>
  <c r="E600" i="46"/>
  <c r="E601" i="46"/>
  <c r="E602" i="46"/>
  <c r="E603" i="46"/>
  <c r="E604" i="46"/>
  <c r="E605" i="46"/>
  <c r="E606" i="46"/>
  <c r="E607" i="46"/>
  <c r="E608" i="46"/>
  <c r="E609" i="46"/>
  <c r="E610" i="46"/>
  <c r="E611" i="46"/>
  <c r="E612" i="46"/>
  <c r="E613" i="46"/>
  <c r="E614" i="46"/>
  <c r="E615" i="46"/>
  <c r="E616" i="46"/>
  <c r="E617" i="46"/>
  <c r="E618" i="46"/>
  <c r="E619" i="46"/>
  <c r="E620" i="46"/>
  <c r="E621" i="46"/>
  <c r="E622" i="46"/>
  <c r="E623" i="46"/>
  <c r="E624" i="46"/>
  <c r="E625" i="46"/>
  <c r="E626" i="46"/>
  <c r="E627" i="46"/>
  <c r="E628" i="46"/>
  <c r="E629" i="46"/>
  <c r="E630" i="46"/>
  <c r="E631" i="46"/>
  <c r="E632" i="46"/>
  <c r="E633" i="46"/>
  <c r="E634" i="46"/>
  <c r="E635" i="46"/>
  <c r="E636" i="46"/>
  <c r="E637" i="46"/>
  <c r="E638" i="46"/>
  <c r="E639" i="46"/>
  <c r="E640" i="46"/>
  <c r="E641" i="46"/>
  <c r="E642" i="46"/>
  <c r="E643" i="46"/>
  <c r="E644" i="46"/>
  <c r="E645" i="46"/>
  <c r="E646" i="46"/>
  <c r="E647" i="46"/>
  <c r="E648" i="46"/>
  <c r="E649" i="46"/>
  <c r="E650" i="46"/>
  <c r="E651" i="46"/>
  <c r="E652" i="46"/>
  <c r="E653" i="46"/>
  <c r="E654" i="46"/>
  <c r="E655" i="46"/>
  <c r="E656" i="46"/>
  <c r="E657" i="46"/>
  <c r="E658" i="46"/>
  <c r="E659" i="46"/>
  <c r="E660" i="46"/>
  <c r="E661" i="46"/>
  <c r="E662" i="46"/>
  <c r="E663" i="46"/>
  <c r="E664" i="46"/>
  <c r="E665" i="46"/>
  <c r="E666" i="46"/>
  <c r="E667" i="46"/>
  <c r="E668" i="46"/>
  <c r="E669" i="46"/>
  <c r="E670" i="46"/>
  <c r="E671" i="46"/>
  <c r="E672" i="46"/>
  <c r="E673" i="46"/>
  <c r="E674" i="46"/>
  <c r="E675" i="46"/>
  <c r="E676" i="46"/>
  <c r="E677" i="46"/>
  <c r="E678" i="46"/>
  <c r="E679" i="46"/>
  <c r="E680" i="46"/>
  <c r="E681" i="46"/>
  <c r="E682" i="46"/>
  <c r="E683" i="46"/>
  <c r="E684" i="46"/>
  <c r="E685" i="46"/>
  <c r="E686" i="46"/>
  <c r="E687" i="46"/>
  <c r="E688" i="46"/>
  <c r="E689" i="46"/>
  <c r="E690" i="46"/>
  <c r="E691" i="46"/>
  <c r="E692" i="46"/>
  <c r="E693" i="46"/>
  <c r="E694" i="46"/>
  <c r="E695" i="46"/>
  <c r="E696" i="46"/>
  <c r="E697" i="46"/>
  <c r="E698" i="46"/>
  <c r="E699" i="46"/>
  <c r="E700" i="46"/>
  <c r="E701" i="46"/>
  <c r="E702" i="46"/>
  <c r="E703" i="46"/>
  <c r="E704" i="46"/>
  <c r="E705" i="46"/>
  <c r="E706" i="46"/>
  <c r="E707" i="46"/>
  <c r="E708" i="46"/>
  <c r="E709" i="46"/>
  <c r="E710" i="46"/>
  <c r="E711" i="46"/>
  <c r="E712" i="46"/>
  <c r="E713" i="46"/>
  <c r="E714" i="46"/>
  <c r="E715" i="46"/>
  <c r="E716" i="46"/>
  <c r="E717" i="46"/>
  <c r="E718" i="46"/>
  <c r="E719" i="46"/>
  <c r="E720" i="46"/>
  <c r="E721" i="46"/>
  <c r="E722" i="46"/>
  <c r="E723" i="46"/>
  <c r="E724" i="46"/>
  <c r="E725" i="46"/>
  <c r="E726" i="46"/>
  <c r="E727" i="46"/>
  <c r="E728" i="46"/>
  <c r="E729" i="46"/>
  <c r="E730" i="46"/>
  <c r="E731" i="46"/>
  <c r="E732" i="46"/>
  <c r="E733" i="46"/>
  <c r="E734" i="46"/>
  <c r="E406" i="46"/>
  <c r="E407" i="46"/>
  <c r="B2881" i="19"/>
  <c r="I2662" i="19" l="1"/>
  <c r="I794" i="19"/>
  <c r="I20" i="58"/>
  <c r="I31" i="58"/>
  <c r="G27" i="58"/>
  <c r="I1728" i="19"/>
  <c r="G41" i="58"/>
  <c r="G45" i="58"/>
  <c r="G52" i="58"/>
  <c r="G47" i="58" s="1"/>
  <c r="G39" i="58"/>
  <c r="G34" i="58"/>
  <c r="G24" i="58"/>
  <c r="G32" i="58"/>
  <c r="G25" i="58"/>
  <c r="I33" i="58"/>
  <c r="G20" i="58"/>
  <c r="I24" i="58"/>
  <c r="G31" i="58"/>
  <c r="I40" i="58"/>
  <c r="I27" i="58"/>
  <c r="G38" i="58"/>
  <c r="G54" i="58"/>
  <c r="G68" i="58"/>
  <c r="D3093" i="21"/>
  <c r="D1344" i="55"/>
  <c r="D2688" i="21"/>
  <c r="D3475" i="21"/>
  <c r="B1726" i="55"/>
  <c r="D1726" i="55" s="1"/>
  <c r="F743" i="21"/>
  <c r="I743" i="21" s="1"/>
  <c r="C1272" i="21"/>
  <c r="D1273" i="21"/>
  <c r="F649" i="21"/>
  <c r="F724" i="21"/>
  <c r="F708" i="21"/>
  <c r="F676" i="21"/>
  <c r="F723" i="21"/>
  <c r="F707" i="21"/>
  <c r="F675" i="21"/>
  <c r="F658" i="21"/>
  <c r="F657" i="21"/>
  <c r="F656" i="21"/>
  <c r="F655" i="21"/>
  <c r="F654" i="21"/>
  <c r="F653" i="21"/>
  <c r="F652" i="21"/>
  <c r="F651" i="21"/>
  <c r="F650" i="21"/>
  <c r="F648" i="21"/>
  <c r="F663" i="21"/>
  <c r="F725" i="21"/>
  <c r="F709" i="21"/>
  <c r="F693" i="21"/>
  <c r="F677" i="21"/>
  <c r="F661" i="21"/>
  <c r="F660" i="21"/>
  <c r="F659" i="21"/>
  <c r="E405" i="21"/>
  <c r="D405" i="21"/>
  <c r="D3" i="36"/>
  <c r="I19" i="58" l="1"/>
  <c r="G40" i="58"/>
  <c r="G33" i="58"/>
  <c r="I26" i="58"/>
  <c r="G26" i="58"/>
  <c r="G19" i="58"/>
  <c r="F405" i="21"/>
  <c r="I405" i="21" s="1"/>
  <c r="G16" i="59"/>
  <c r="C2865" i="19"/>
  <c r="D2865" i="19"/>
  <c r="E2865" i="19"/>
  <c r="F2865" i="19"/>
  <c r="G2865" i="19"/>
  <c r="B2865" i="19"/>
  <c r="C2830" i="19"/>
  <c r="D2830" i="19"/>
  <c r="B2830" i="19"/>
  <c r="B2661" i="19"/>
  <c r="I2661" i="19" s="1"/>
  <c r="C1346" i="19"/>
  <c r="B1727" i="19"/>
  <c r="F1755" i="21"/>
  <c r="G1755" i="21" s="1"/>
  <c r="C876" i="21"/>
  <c r="C877" i="21"/>
  <c r="C878" i="21"/>
  <c r="C879" i="21"/>
  <c r="C880" i="21"/>
  <c r="C881" i="21"/>
  <c r="C882" i="21"/>
  <c r="C883" i="21"/>
  <c r="C884" i="21"/>
  <c r="C885" i="21"/>
  <c r="C886" i="21"/>
  <c r="C887" i="21"/>
  <c r="C888" i="21"/>
  <c r="C889" i="21"/>
  <c r="C890" i="21"/>
  <c r="C891" i="21"/>
  <c r="C892" i="21"/>
  <c r="C893" i="21"/>
  <c r="C894" i="21"/>
  <c r="C895" i="21"/>
  <c r="C896" i="21"/>
  <c r="C897" i="21"/>
  <c r="C898" i="21"/>
  <c r="C899" i="21"/>
  <c r="C900" i="21"/>
  <c r="C901" i="21"/>
  <c r="C902" i="21"/>
  <c r="C903" i="21"/>
  <c r="C904" i="21"/>
  <c r="C905" i="21"/>
  <c r="C906" i="21"/>
  <c r="C907" i="21"/>
  <c r="C908" i="21"/>
  <c r="C909" i="21"/>
  <c r="C910" i="21"/>
  <c r="C911" i="21"/>
  <c r="C912" i="21"/>
  <c r="C913" i="21"/>
  <c r="C914" i="21"/>
  <c r="C915" i="21"/>
  <c r="C916" i="21"/>
  <c r="C917" i="21"/>
  <c r="C918" i="21"/>
  <c r="C919" i="21"/>
  <c r="C920" i="21"/>
  <c r="C921" i="21"/>
  <c r="C922" i="21"/>
  <c r="C923" i="21"/>
  <c r="C924" i="21"/>
  <c r="C925" i="21"/>
  <c r="C926" i="21"/>
  <c r="C927" i="21"/>
  <c r="C928" i="21"/>
  <c r="C929" i="21"/>
  <c r="C930" i="21"/>
  <c r="C931" i="21"/>
  <c r="C932" i="21"/>
  <c r="C933" i="21"/>
  <c r="C934" i="21"/>
  <c r="C935" i="21"/>
  <c r="C936" i="21"/>
  <c r="C937" i="21"/>
  <c r="C938" i="21"/>
  <c r="C939" i="21"/>
  <c r="C940" i="21"/>
  <c r="C941" i="21"/>
  <c r="C942" i="21"/>
  <c r="C943" i="21"/>
  <c r="C944" i="21"/>
  <c r="C945" i="21"/>
  <c r="C946" i="21"/>
  <c r="C947" i="21"/>
  <c r="C948" i="21"/>
  <c r="C949" i="21"/>
  <c r="C950" i="21"/>
  <c r="C951" i="21"/>
  <c r="C952" i="21"/>
  <c r="C953" i="21"/>
  <c r="C954" i="21"/>
  <c r="C955" i="21"/>
  <c r="C956" i="21"/>
  <c r="C957" i="21"/>
  <c r="C958" i="21"/>
  <c r="C959" i="21"/>
  <c r="C960" i="21"/>
  <c r="C961" i="21"/>
  <c r="C962" i="21"/>
  <c r="C963" i="21"/>
  <c r="C964" i="21"/>
  <c r="C965" i="21"/>
  <c r="C966" i="21"/>
  <c r="C967" i="21"/>
  <c r="C968" i="21"/>
  <c r="C969" i="21"/>
  <c r="C970" i="21"/>
  <c r="C971" i="21"/>
  <c r="C972" i="21"/>
  <c r="C973" i="21"/>
  <c r="C974" i="21"/>
  <c r="C975" i="21"/>
  <c r="C976" i="21"/>
  <c r="C977" i="21"/>
  <c r="C978" i="21"/>
  <c r="C979" i="21"/>
  <c r="C980" i="21"/>
  <c r="C981" i="21"/>
  <c r="C982" i="21"/>
  <c r="C983" i="21"/>
  <c r="C984" i="21"/>
  <c r="C985" i="21"/>
  <c r="C986" i="21"/>
  <c r="C987" i="21"/>
  <c r="C988" i="21"/>
  <c r="C989" i="21"/>
  <c r="C990" i="21"/>
  <c r="C991" i="21"/>
  <c r="C992" i="21"/>
  <c r="C993" i="21"/>
  <c r="C994" i="21"/>
  <c r="C995" i="21"/>
  <c r="C996" i="21"/>
  <c r="C997" i="21"/>
  <c r="C998" i="21"/>
  <c r="C999" i="21"/>
  <c r="C1000" i="21"/>
  <c r="C1001" i="21"/>
  <c r="C1002" i="21"/>
  <c r="C1003" i="21"/>
  <c r="C1004" i="21"/>
  <c r="C1005" i="21"/>
  <c r="C1006" i="21"/>
  <c r="C1007" i="21"/>
  <c r="C1008" i="21"/>
  <c r="C1009" i="21"/>
  <c r="C1010" i="21"/>
  <c r="C1011" i="21"/>
  <c r="C1012" i="21"/>
  <c r="C1013" i="21"/>
  <c r="C1014" i="21"/>
  <c r="C1015" i="21"/>
  <c r="C1016" i="21"/>
  <c r="C1017" i="21"/>
  <c r="C1018" i="21"/>
  <c r="C1019" i="21"/>
  <c r="C1020" i="21"/>
  <c r="C1021" i="21"/>
  <c r="C1022" i="21"/>
  <c r="C1023" i="21"/>
  <c r="C1024" i="21"/>
  <c r="C1025" i="21"/>
  <c r="C1026" i="21"/>
  <c r="C1027" i="21"/>
  <c r="C1028" i="21"/>
  <c r="C1029" i="21"/>
  <c r="C1030" i="21"/>
  <c r="C1031" i="21"/>
  <c r="C1032" i="21"/>
  <c r="C1033" i="21"/>
  <c r="C1034" i="21"/>
  <c r="G29" i="21"/>
  <c r="I29" i="21" s="1"/>
  <c r="G30" i="21"/>
  <c r="I30" i="21" s="1"/>
  <c r="G31" i="21"/>
  <c r="I31" i="21" s="1"/>
  <c r="G32" i="21"/>
  <c r="I32" i="21" s="1"/>
  <c r="G34" i="21"/>
  <c r="I34" i="21" s="1"/>
  <c r="G35" i="21"/>
  <c r="I35" i="21" s="1"/>
  <c r="G36" i="21"/>
  <c r="I36" i="21" s="1"/>
  <c r="G38" i="21"/>
  <c r="I38" i="21" s="1"/>
  <c r="G39" i="21"/>
  <c r="I39" i="21" s="1"/>
  <c r="G40" i="21"/>
  <c r="I40" i="21" s="1"/>
  <c r="G41" i="21"/>
  <c r="I41" i="21" s="1"/>
  <c r="G42" i="21"/>
  <c r="I42" i="21" s="1"/>
  <c r="G43" i="21"/>
  <c r="I43" i="21" s="1"/>
  <c r="G44" i="21"/>
  <c r="I44" i="21" s="1"/>
  <c r="G46" i="21"/>
  <c r="I46" i="21" s="1"/>
  <c r="G47" i="21"/>
  <c r="I47" i="21" s="1"/>
  <c r="G50" i="21"/>
  <c r="I50" i="21" s="1"/>
  <c r="G51" i="21"/>
  <c r="I51" i="21" s="1"/>
  <c r="G52" i="21"/>
  <c r="I52" i="21" s="1"/>
  <c r="G54" i="21"/>
  <c r="I54" i="21" s="1"/>
  <c r="G56" i="21"/>
  <c r="I56" i="21" s="1"/>
  <c r="G57" i="21"/>
  <c r="I57" i="21" s="1"/>
  <c r="G58" i="21"/>
  <c r="I58" i="21" s="1"/>
  <c r="G59" i="21"/>
  <c r="I59" i="21" s="1"/>
  <c r="G60" i="21"/>
  <c r="I60" i="21" s="1"/>
  <c r="G61" i="21"/>
  <c r="I61" i="21" s="1"/>
  <c r="G62" i="21"/>
  <c r="I62" i="21" s="1"/>
  <c r="G64" i="21"/>
  <c r="I64" i="21" s="1"/>
  <c r="G65" i="21"/>
  <c r="I65" i="21" s="1"/>
  <c r="G67" i="21"/>
  <c r="I67" i="21" s="1"/>
  <c r="G68" i="21"/>
  <c r="I68" i="21" s="1"/>
  <c r="G69" i="21"/>
  <c r="I69" i="21" s="1"/>
  <c r="G70" i="21"/>
  <c r="I70" i="21" s="1"/>
  <c r="G71" i="21"/>
  <c r="I71" i="21" s="1"/>
  <c r="G72" i="21"/>
  <c r="I72" i="21" s="1"/>
  <c r="G73" i="21"/>
  <c r="I73" i="21" s="1"/>
  <c r="G74" i="21"/>
  <c r="I74" i="21" s="1"/>
  <c r="G75" i="21"/>
  <c r="I75" i="21" s="1"/>
  <c r="G76" i="21"/>
  <c r="I76" i="21" s="1"/>
  <c r="G78" i="21"/>
  <c r="I78" i="21" s="1"/>
  <c r="G81" i="21"/>
  <c r="I81" i="21" s="1"/>
  <c r="G82" i="21"/>
  <c r="I82" i="21" s="1"/>
  <c r="G86" i="21"/>
  <c r="I86" i="21" s="1"/>
  <c r="G87" i="21"/>
  <c r="I87" i="21" s="1"/>
  <c r="G88" i="21"/>
  <c r="I88" i="21" s="1"/>
  <c r="G89" i="21"/>
  <c r="I89" i="21" s="1"/>
  <c r="G92" i="21"/>
  <c r="I92" i="21" s="1"/>
  <c r="G93" i="21"/>
  <c r="I93" i="21" s="1"/>
  <c r="G94" i="21"/>
  <c r="I94" i="21" s="1"/>
  <c r="G95" i="21"/>
  <c r="I95" i="21" s="1"/>
  <c r="G96" i="21"/>
  <c r="I96" i="21" s="1"/>
  <c r="G100" i="21"/>
  <c r="I100" i="21" s="1"/>
  <c r="G101" i="21"/>
  <c r="I101" i="21" s="1"/>
  <c r="G102" i="21"/>
  <c r="I102" i="21" s="1"/>
  <c r="G103" i="21"/>
  <c r="I103" i="21" s="1"/>
  <c r="G104" i="21"/>
  <c r="I104" i="21" s="1"/>
  <c r="G106" i="21"/>
  <c r="I106" i="21" s="1"/>
  <c r="G107" i="21"/>
  <c r="I107" i="21" s="1"/>
  <c r="G108" i="21"/>
  <c r="I108" i="21" s="1"/>
  <c r="G110" i="21"/>
  <c r="I110" i="21" s="1"/>
  <c r="G111" i="21"/>
  <c r="I111" i="21" s="1"/>
  <c r="G113" i="21"/>
  <c r="I113" i="21" s="1"/>
  <c r="G116" i="21"/>
  <c r="I116" i="21" s="1"/>
  <c r="G118" i="21"/>
  <c r="I118" i="21" s="1"/>
  <c r="G119" i="21"/>
  <c r="I119" i="21" s="1"/>
  <c r="G122" i="21"/>
  <c r="I122" i="21" s="1"/>
  <c r="G125" i="21"/>
  <c r="I125" i="21" s="1"/>
  <c r="G127" i="21"/>
  <c r="I127" i="21" s="1"/>
  <c r="G129" i="21"/>
  <c r="I129" i="21" s="1"/>
  <c r="G130" i="21"/>
  <c r="I130" i="21" s="1"/>
  <c r="G131" i="21"/>
  <c r="I131" i="21" s="1"/>
  <c r="G132" i="21"/>
  <c r="I132" i="21" s="1"/>
  <c r="G133" i="21"/>
  <c r="I133" i="21" s="1"/>
  <c r="G134" i="21"/>
  <c r="I134" i="21" s="1"/>
  <c r="G135" i="21"/>
  <c r="I135" i="21" s="1"/>
  <c r="G136" i="21"/>
  <c r="I136" i="21" s="1"/>
  <c r="G137" i="21"/>
  <c r="I137" i="21" s="1"/>
  <c r="G138" i="21"/>
  <c r="I138" i="21" s="1"/>
  <c r="G143" i="21"/>
  <c r="I143" i="21" s="1"/>
  <c r="G145" i="21"/>
  <c r="I145" i="21" s="1"/>
  <c r="G146" i="21"/>
  <c r="I146" i="21" s="1"/>
  <c r="G147" i="21"/>
  <c r="I147" i="21" s="1"/>
  <c r="G148" i="21"/>
  <c r="I148" i="21" s="1"/>
  <c r="G149" i="21"/>
  <c r="I149" i="21" s="1"/>
  <c r="G150" i="21"/>
  <c r="I150" i="21" s="1"/>
  <c r="G151" i="21"/>
  <c r="I151" i="21" s="1"/>
  <c r="G152" i="21"/>
  <c r="I152" i="21" s="1"/>
  <c r="G153" i="21"/>
  <c r="I153" i="21" s="1"/>
  <c r="G154" i="21"/>
  <c r="I154" i="21" s="1"/>
  <c r="G155" i="21"/>
  <c r="I155" i="21" s="1"/>
  <c r="G156" i="21"/>
  <c r="I156" i="21" s="1"/>
  <c r="G157" i="21"/>
  <c r="I157" i="21" s="1"/>
  <c r="G161" i="21"/>
  <c r="I161" i="21" s="1"/>
  <c r="G162" i="21"/>
  <c r="I162" i="21" s="1"/>
  <c r="G163" i="21"/>
  <c r="I163" i="21" s="1"/>
  <c r="G164" i="21"/>
  <c r="I164" i="21" s="1"/>
  <c r="G165" i="21"/>
  <c r="I165" i="21" s="1"/>
  <c r="G166" i="21"/>
  <c r="I166" i="21" s="1"/>
  <c r="G9" i="21"/>
  <c r="I9" i="21" s="1"/>
  <c r="G10" i="21"/>
  <c r="I10" i="21" s="1"/>
  <c r="G11" i="21"/>
  <c r="I11" i="21" s="1"/>
  <c r="G13" i="21"/>
  <c r="I13" i="21" s="1"/>
  <c r="G14" i="21"/>
  <c r="I14" i="21" s="1"/>
  <c r="G17" i="21"/>
  <c r="I17" i="21" s="1"/>
  <c r="G19" i="21"/>
  <c r="I19" i="21" s="1"/>
  <c r="G20" i="21"/>
  <c r="I20" i="21" s="1"/>
  <c r="G21" i="21"/>
  <c r="I21" i="21" s="1"/>
  <c r="G23" i="21"/>
  <c r="I23" i="21" s="1"/>
  <c r="G24" i="21"/>
  <c r="I24" i="21" s="1"/>
  <c r="G26" i="21"/>
  <c r="I26" i="21" s="1"/>
  <c r="G27" i="21"/>
  <c r="I27" i="21" s="1"/>
  <c r="G8" i="21"/>
  <c r="I8" i="21" s="1"/>
  <c r="C8" i="21"/>
  <c r="D8" i="21"/>
  <c r="E8" i="21"/>
  <c r="C9" i="21"/>
  <c r="D9" i="21"/>
  <c r="E9" i="21"/>
  <c r="C10" i="21"/>
  <c r="D10" i="21"/>
  <c r="E10" i="21"/>
  <c r="C11" i="21"/>
  <c r="D11" i="21"/>
  <c r="E11" i="21"/>
  <c r="C12" i="21"/>
  <c r="D12" i="21"/>
  <c r="E12" i="21"/>
  <c r="C13" i="21"/>
  <c r="D13" i="21"/>
  <c r="E13" i="21"/>
  <c r="C14" i="21"/>
  <c r="D14" i="21"/>
  <c r="E14" i="21"/>
  <c r="C15" i="21"/>
  <c r="D15" i="21"/>
  <c r="E15" i="21"/>
  <c r="C16" i="21"/>
  <c r="D16" i="21"/>
  <c r="E16" i="21"/>
  <c r="C17" i="21"/>
  <c r="D17" i="21"/>
  <c r="E17" i="21"/>
  <c r="C18" i="21"/>
  <c r="D18" i="21"/>
  <c r="E18" i="21"/>
  <c r="C19" i="21"/>
  <c r="D19" i="21"/>
  <c r="E19" i="21"/>
  <c r="C20" i="21"/>
  <c r="D20" i="21"/>
  <c r="E20" i="21"/>
  <c r="C21" i="21"/>
  <c r="D21" i="21"/>
  <c r="E21" i="21"/>
  <c r="C22" i="21"/>
  <c r="D22" i="21"/>
  <c r="E22" i="21"/>
  <c r="C23" i="21"/>
  <c r="D23" i="21"/>
  <c r="E23" i="21"/>
  <c r="C24" i="21"/>
  <c r="D24" i="21"/>
  <c r="E24" i="21"/>
  <c r="C25" i="21"/>
  <c r="D25" i="21"/>
  <c r="E25" i="21"/>
  <c r="C26" i="21"/>
  <c r="D26" i="21"/>
  <c r="E26" i="21"/>
  <c r="C27" i="21"/>
  <c r="D27" i="21"/>
  <c r="E27" i="21"/>
  <c r="C28" i="21"/>
  <c r="D28" i="21"/>
  <c r="E28" i="21"/>
  <c r="C29" i="21"/>
  <c r="D29" i="21"/>
  <c r="E29" i="21"/>
  <c r="C30" i="21"/>
  <c r="D30" i="21"/>
  <c r="E30" i="21"/>
  <c r="C31" i="21"/>
  <c r="D31" i="21"/>
  <c r="E31" i="21"/>
  <c r="C32" i="21"/>
  <c r="D32" i="21"/>
  <c r="E32" i="21"/>
  <c r="C33" i="21"/>
  <c r="D33" i="21"/>
  <c r="E33" i="21"/>
  <c r="C34" i="21"/>
  <c r="D34" i="21"/>
  <c r="E34" i="21"/>
  <c r="C35" i="21"/>
  <c r="D35" i="21"/>
  <c r="E35" i="21"/>
  <c r="C36" i="21"/>
  <c r="D36" i="21"/>
  <c r="E36" i="21"/>
  <c r="C37" i="21"/>
  <c r="D37" i="21"/>
  <c r="E37" i="21"/>
  <c r="C38" i="21"/>
  <c r="D38" i="21"/>
  <c r="E38" i="21"/>
  <c r="C39" i="21"/>
  <c r="D39" i="21"/>
  <c r="E39" i="21"/>
  <c r="C40" i="21"/>
  <c r="D40" i="21"/>
  <c r="E40" i="21"/>
  <c r="C41" i="21"/>
  <c r="D41" i="21"/>
  <c r="E41" i="21"/>
  <c r="C42" i="21"/>
  <c r="D42" i="21"/>
  <c r="E42" i="21"/>
  <c r="C43" i="21"/>
  <c r="D43" i="21"/>
  <c r="E43" i="21"/>
  <c r="C44" i="21"/>
  <c r="D44" i="21"/>
  <c r="E44" i="21"/>
  <c r="C45" i="21"/>
  <c r="D45" i="21"/>
  <c r="E45" i="21"/>
  <c r="C46" i="21"/>
  <c r="D46" i="21"/>
  <c r="E46" i="21"/>
  <c r="C47" i="21"/>
  <c r="D47" i="21"/>
  <c r="E47" i="21"/>
  <c r="C48" i="21"/>
  <c r="D48" i="21"/>
  <c r="E48" i="21"/>
  <c r="C49" i="21"/>
  <c r="D49" i="21"/>
  <c r="E49" i="21"/>
  <c r="C50" i="21"/>
  <c r="D50" i="21"/>
  <c r="E50" i="21"/>
  <c r="C51" i="21"/>
  <c r="D51" i="21"/>
  <c r="E51" i="21"/>
  <c r="C52" i="21"/>
  <c r="D52" i="21"/>
  <c r="E52" i="21"/>
  <c r="C53" i="21"/>
  <c r="D53" i="21"/>
  <c r="E53" i="21"/>
  <c r="C54" i="21"/>
  <c r="D54" i="21"/>
  <c r="E54" i="21"/>
  <c r="C55" i="21"/>
  <c r="D55" i="21"/>
  <c r="E55" i="21"/>
  <c r="C56" i="21"/>
  <c r="D56" i="21"/>
  <c r="E56" i="21"/>
  <c r="C57" i="21"/>
  <c r="D57" i="21"/>
  <c r="E57" i="21"/>
  <c r="C58" i="21"/>
  <c r="D58" i="21"/>
  <c r="E58" i="21"/>
  <c r="C59" i="21"/>
  <c r="D59" i="21"/>
  <c r="E59" i="21"/>
  <c r="C60" i="21"/>
  <c r="D60" i="21"/>
  <c r="E60" i="21"/>
  <c r="C61" i="21"/>
  <c r="D61" i="21"/>
  <c r="E61" i="21"/>
  <c r="C62" i="21"/>
  <c r="D62" i="21"/>
  <c r="E62" i="21"/>
  <c r="C63" i="21"/>
  <c r="D63" i="21"/>
  <c r="E63" i="21"/>
  <c r="C64" i="21"/>
  <c r="D64" i="21"/>
  <c r="E64" i="21"/>
  <c r="C65" i="21"/>
  <c r="D65" i="21"/>
  <c r="E65" i="21"/>
  <c r="C66" i="21"/>
  <c r="D66" i="21"/>
  <c r="E66" i="21"/>
  <c r="C67" i="21"/>
  <c r="D67" i="21"/>
  <c r="E67" i="21"/>
  <c r="C68" i="21"/>
  <c r="D68" i="21"/>
  <c r="E68" i="21"/>
  <c r="C69" i="21"/>
  <c r="D69" i="21"/>
  <c r="E69" i="21"/>
  <c r="C70" i="21"/>
  <c r="D70" i="21"/>
  <c r="E70" i="21"/>
  <c r="C71" i="21"/>
  <c r="D71" i="21"/>
  <c r="E71" i="21"/>
  <c r="C72" i="21"/>
  <c r="D72" i="21"/>
  <c r="E72" i="21"/>
  <c r="C73" i="21"/>
  <c r="D73" i="21"/>
  <c r="E73" i="21"/>
  <c r="C74" i="21"/>
  <c r="D74" i="21"/>
  <c r="E74" i="21"/>
  <c r="C75" i="21"/>
  <c r="D75" i="21"/>
  <c r="E75" i="21"/>
  <c r="C76" i="21"/>
  <c r="D76" i="21"/>
  <c r="E76" i="21"/>
  <c r="C77" i="21"/>
  <c r="D77" i="21"/>
  <c r="E77" i="21"/>
  <c r="C78" i="21"/>
  <c r="D78" i="21"/>
  <c r="E78" i="21"/>
  <c r="C79" i="21"/>
  <c r="D79" i="21"/>
  <c r="E79" i="21"/>
  <c r="C80" i="21"/>
  <c r="D80" i="21"/>
  <c r="E80" i="21"/>
  <c r="C81" i="21"/>
  <c r="D81" i="21"/>
  <c r="E81" i="21"/>
  <c r="C82" i="21"/>
  <c r="D82" i="21"/>
  <c r="E82" i="21"/>
  <c r="C83" i="21"/>
  <c r="D83" i="21"/>
  <c r="E83" i="21"/>
  <c r="C84" i="21"/>
  <c r="D84" i="21"/>
  <c r="E84" i="21"/>
  <c r="C85" i="21"/>
  <c r="D85" i="21"/>
  <c r="E85" i="21"/>
  <c r="C86" i="21"/>
  <c r="D86" i="21"/>
  <c r="E86" i="21"/>
  <c r="C87" i="21"/>
  <c r="D87" i="21"/>
  <c r="E87" i="21"/>
  <c r="C88" i="21"/>
  <c r="D88" i="21"/>
  <c r="E88" i="21"/>
  <c r="C89" i="21"/>
  <c r="D89" i="21"/>
  <c r="E89" i="21"/>
  <c r="C90" i="21"/>
  <c r="D90" i="21"/>
  <c r="E90" i="21"/>
  <c r="C91" i="21"/>
  <c r="D91" i="21"/>
  <c r="E91" i="21"/>
  <c r="C92" i="21"/>
  <c r="D92" i="21"/>
  <c r="E92" i="21"/>
  <c r="C93" i="21"/>
  <c r="D93" i="21"/>
  <c r="E93" i="21"/>
  <c r="C94" i="21"/>
  <c r="D94" i="21"/>
  <c r="E94" i="21"/>
  <c r="C95" i="21"/>
  <c r="D95" i="21"/>
  <c r="E95" i="21"/>
  <c r="C96" i="21"/>
  <c r="D96" i="21"/>
  <c r="E96" i="21"/>
  <c r="C97" i="21"/>
  <c r="D97" i="21"/>
  <c r="E97" i="21"/>
  <c r="C98" i="21"/>
  <c r="D98" i="21"/>
  <c r="E98" i="21"/>
  <c r="C99" i="21"/>
  <c r="D99" i="21"/>
  <c r="E99" i="21"/>
  <c r="C100" i="21"/>
  <c r="D100" i="21"/>
  <c r="E100" i="21"/>
  <c r="C101" i="21"/>
  <c r="D101" i="21"/>
  <c r="E101" i="21"/>
  <c r="C102" i="21"/>
  <c r="D102" i="21"/>
  <c r="E102" i="21"/>
  <c r="C103" i="21"/>
  <c r="D103" i="21"/>
  <c r="E103" i="21"/>
  <c r="C104" i="21"/>
  <c r="D104" i="21"/>
  <c r="E104" i="21"/>
  <c r="C105" i="21"/>
  <c r="D105" i="21"/>
  <c r="E105" i="21"/>
  <c r="C106" i="21"/>
  <c r="D106" i="21"/>
  <c r="E106" i="21"/>
  <c r="C107" i="21"/>
  <c r="D107" i="21"/>
  <c r="E107" i="21"/>
  <c r="C108" i="21"/>
  <c r="D108" i="21"/>
  <c r="E108" i="21"/>
  <c r="C109" i="21"/>
  <c r="D109" i="21"/>
  <c r="E109" i="21"/>
  <c r="C110" i="21"/>
  <c r="D110" i="21"/>
  <c r="E110" i="21"/>
  <c r="C111" i="21"/>
  <c r="D111" i="21"/>
  <c r="E111" i="21"/>
  <c r="C112" i="21"/>
  <c r="D112" i="21"/>
  <c r="E112" i="21"/>
  <c r="C113" i="21"/>
  <c r="D113" i="21"/>
  <c r="E113" i="21"/>
  <c r="C114" i="21"/>
  <c r="D114" i="21"/>
  <c r="E114" i="21"/>
  <c r="C115" i="21"/>
  <c r="D115" i="21"/>
  <c r="E115" i="21"/>
  <c r="C116" i="21"/>
  <c r="D116" i="21"/>
  <c r="E116" i="21"/>
  <c r="C117" i="21"/>
  <c r="D117" i="21"/>
  <c r="E117" i="21"/>
  <c r="C118" i="21"/>
  <c r="D118" i="21"/>
  <c r="E118" i="21"/>
  <c r="C119" i="21"/>
  <c r="D119" i="21"/>
  <c r="E119" i="21"/>
  <c r="C120" i="21"/>
  <c r="D120" i="21"/>
  <c r="E120" i="21"/>
  <c r="C121" i="21"/>
  <c r="D121" i="21"/>
  <c r="E121" i="21"/>
  <c r="C122" i="21"/>
  <c r="D122" i="21"/>
  <c r="E122" i="21"/>
  <c r="C123" i="21"/>
  <c r="D123" i="21"/>
  <c r="E123" i="21"/>
  <c r="C124" i="21"/>
  <c r="D124" i="21"/>
  <c r="E124" i="21"/>
  <c r="C125" i="21"/>
  <c r="D125" i="21"/>
  <c r="E125" i="21"/>
  <c r="C126" i="21"/>
  <c r="D126" i="21"/>
  <c r="E126" i="21"/>
  <c r="C127" i="21"/>
  <c r="D127" i="21"/>
  <c r="E127" i="21"/>
  <c r="C128" i="21"/>
  <c r="D128" i="21"/>
  <c r="E128" i="21"/>
  <c r="C129" i="21"/>
  <c r="D129" i="21"/>
  <c r="E129" i="21"/>
  <c r="C130" i="21"/>
  <c r="D130" i="21"/>
  <c r="E130" i="21"/>
  <c r="C131" i="21"/>
  <c r="D131" i="21"/>
  <c r="E131" i="21"/>
  <c r="C132" i="21"/>
  <c r="D132" i="21"/>
  <c r="E132" i="21"/>
  <c r="C133" i="21"/>
  <c r="D133" i="21"/>
  <c r="E133" i="21"/>
  <c r="C134" i="21"/>
  <c r="D134" i="21"/>
  <c r="E134" i="21"/>
  <c r="C135" i="21"/>
  <c r="D135" i="21"/>
  <c r="E135" i="21"/>
  <c r="C136" i="21"/>
  <c r="D136" i="21"/>
  <c r="E136" i="21"/>
  <c r="C137" i="21"/>
  <c r="D137" i="21"/>
  <c r="E137" i="21"/>
  <c r="C138" i="21"/>
  <c r="D138" i="21"/>
  <c r="E138" i="21"/>
  <c r="C139" i="21"/>
  <c r="D139" i="21"/>
  <c r="E139" i="21"/>
  <c r="C140" i="21"/>
  <c r="D140" i="21"/>
  <c r="E140" i="21"/>
  <c r="C141" i="21"/>
  <c r="D141" i="21"/>
  <c r="E141" i="21"/>
  <c r="C142" i="21"/>
  <c r="D142" i="21"/>
  <c r="E142" i="21"/>
  <c r="C143" i="21"/>
  <c r="D143" i="21"/>
  <c r="E143" i="21"/>
  <c r="C144" i="21"/>
  <c r="D144" i="21"/>
  <c r="E144" i="21"/>
  <c r="C145" i="21"/>
  <c r="D145" i="21"/>
  <c r="E145" i="21"/>
  <c r="C146" i="21"/>
  <c r="D146" i="21"/>
  <c r="E146" i="21"/>
  <c r="C147" i="21"/>
  <c r="D147" i="21"/>
  <c r="E147" i="21"/>
  <c r="C148" i="21"/>
  <c r="D148" i="21"/>
  <c r="E148" i="21"/>
  <c r="C149" i="21"/>
  <c r="D149" i="21"/>
  <c r="E149" i="21"/>
  <c r="C150" i="21"/>
  <c r="D150" i="21"/>
  <c r="E150" i="21"/>
  <c r="C151" i="21"/>
  <c r="D151" i="21"/>
  <c r="E151" i="21"/>
  <c r="C152" i="21"/>
  <c r="D152" i="21"/>
  <c r="E152" i="21"/>
  <c r="C153" i="21"/>
  <c r="D153" i="21"/>
  <c r="E153" i="21"/>
  <c r="C154" i="21"/>
  <c r="D154" i="21"/>
  <c r="E154" i="21"/>
  <c r="C155" i="21"/>
  <c r="D155" i="21"/>
  <c r="E155" i="21"/>
  <c r="C156" i="21"/>
  <c r="D156" i="21"/>
  <c r="E156" i="21"/>
  <c r="C157" i="21"/>
  <c r="D157" i="21"/>
  <c r="E157" i="21"/>
  <c r="C158" i="21"/>
  <c r="D158" i="21"/>
  <c r="E158" i="21"/>
  <c r="C159" i="21"/>
  <c r="D159" i="21"/>
  <c r="E159" i="21"/>
  <c r="C160" i="21"/>
  <c r="D160" i="21"/>
  <c r="E160" i="21"/>
  <c r="C161" i="21"/>
  <c r="D161" i="21"/>
  <c r="E161" i="21"/>
  <c r="C162" i="21"/>
  <c r="D162" i="21"/>
  <c r="E162" i="21"/>
  <c r="C163" i="21"/>
  <c r="D163" i="21"/>
  <c r="E163" i="21"/>
  <c r="C164" i="21"/>
  <c r="D164" i="21"/>
  <c r="E164" i="21"/>
  <c r="C165" i="21"/>
  <c r="D165" i="21"/>
  <c r="E165" i="21"/>
  <c r="C166" i="21"/>
  <c r="D166" i="21"/>
  <c r="E166" i="21"/>
  <c r="D2859" i="21"/>
  <c r="D2881" i="21"/>
  <c r="D2882" i="21"/>
  <c r="D2883" i="21"/>
  <c r="D2884" i="21"/>
  <c r="D2885" i="21"/>
  <c r="D2886" i="21"/>
  <c r="D2887" i="21"/>
  <c r="D2888" i="21"/>
  <c r="D2889" i="21"/>
  <c r="D2890" i="21"/>
  <c r="D2891" i="21"/>
  <c r="D2892" i="21"/>
  <c r="D2893" i="21"/>
  <c r="D2894" i="21"/>
  <c r="D2895" i="21"/>
  <c r="D2896" i="21"/>
  <c r="D2897" i="21"/>
  <c r="D2898" i="21"/>
  <c r="D2899" i="21"/>
  <c r="D2900" i="21"/>
  <c r="D2901" i="21"/>
  <c r="D2902" i="21"/>
  <c r="D2903" i="21"/>
  <c r="D2904" i="21"/>
  <c r="D2905" i="21"/>
  <c r="D2906" i="21"/>
  <c r="D2907" i="21"/>
  <c r="D2908" i="21"/>
  <c r="D2909" i="21"/>
  <c r="D2910" i="21"/>
  <c r="D2911" i="21"/>
  <c r="D2912" i="21"/>
  <c r="D2913" i="21"/>
  <c r="D2914" i="21"/>
  <c r="D2915" i="21"/>
  <c r="D2916" i="21"/>
  <c r="D2917" i="21"/>
  <c r="D2918" i="21"/>
  <c r="D2919" i="21"/>
  <c r="D2920" i="21"/>
  <c r="D2921" i="21"/>
  <c r="D2922" i="21"/>
  <c r="D2923" i="21"/>
  <c r="D2924" i="21"/>
  <c r="D2925" i="21"/>
  <c r="D2926" i="21"/>
  <c r="D2927" i="21"/>
  <c r="D2928" i="21"/>
  <c r="D2929" i="21"/>
  <c r="D2930" i="21"/>
  <c r="D2931" i="21"/>
  <c r="D2932" i="21"/>
  <c r="D2933" i="21"/>
  <c r="D2934" i="21"/>
  <c r="D2935" i="21"/>
  <c r="D2936" i="21"/>
  <c r="D2937" i="21"/>
  <c r="D2938" i="21"/>
  <c r="D2939" i="21"/>
  <c r="D2940" i="21"/>
  <c r="D2941" i="21"/>
  <c r="D2942" i="21"/>
  <c r="D2943" i="21"/>
  <c r="D2944" i="21"/>
  <c r="D2945" i="21"/>
  <c r="D2946" i="21"/>
  <c r="D2947" i="21"/>
  <c r="D2948" i="21"/>
  <c r="D2949" i="21"/>
  <c r="D2950" i="21"/>
  <c r="D2951" i="21"/>
  <c r="D2952" i="21"/>
  <c r="D2953" i="21"/>
  <c r="D2954" i="21"/>
  <c r="D2955" i="21"/>
  <c r="D2956" i="21"/>
  <c r="D2957" i="21"/>
  <c r="D2958" i="21"/>
  <c r="D2959" i="21"/>
  <c r="D2960" i="21"/>
  <c r="D2961" i="21"/>
  <c r="D2962" i="21"/>
  <c r="D2963" i="21"/>
  <c r="D2964" i="21"/>
  <c r="D2965" i="21"/>
  <c r="D2966" i="21"/>
  <c r="D2967" i="21"/>
  <c r="D2968" i="21"/>
  <c r="D2969" i="21"/>
  <c r="D2970" i="21"/>
  <c r="D2971" i="21"/>
  <c r="D2972" i="21"/>
  <c r="D2973" i="21"/>
  <c r="D2974" i="21"/>
  <c r="D2975" i="21"/>
  <c r="D2976" i="21"/>
  <c r="D2977" i="21"/>
  <c r="D2978" i="21"/>
  <c r="D2979" i="21"/>
  <c r="D2980" i="21"/>
  <c r="D2981" i="21"/>
  <c r="D2982" i="21"/>
  <c r="D2983" i="21"/>
  <c r="D2984" i="21"/>
  <c r="D2985" i="21"/>
  <c r="D2986" i="21"/>
  <c r="D2987" i="21"/>
  <c r="D2988" i="21"/>
  <c r="D2989" i="21"/>
  <c r="D2990" i="21"/>
  <c r="D2991" i="21"/>
  <c r="D2992" i="21"/>
  <c r="D2993" i="21"/>
  <c r="D2994" i="21"/>
  <c r="D2995" i="21"/>
  <c r="D2996" i="21"/>
  <c r="D2997" i="21"/>
  <c r="D2998" i="21"/>
  <c r="D2999" i="21"/>
  <c r="D3000" i="21"/>
  <c r="D3001" i="21"/>
  <c r="D3002" i="21"/>
  <c r="D3003" i="21"/>
  <c r="D3004" i="21"/>
  <c r="D3005" i="21"/>
  <c r="D3006" i="21"/>
  <c r="D3007" i="21"/>
  <c r="D3008" i="21"/>
  <c r="D3009" i="21"/>
  <c r="D3010" i="21"/>
  <c r="D3011" i="21"/>
  <c r="D3012" i="21"/>
  <c r="D3013" i="21"/>
  <c r="D3014" i="21"/>
  <c r="D3015" i="21"/>
  <c r="D3016" i="21"/>
  <c r="D3017" i="21"/>
  <c r="D3018" i="21"/>
  <c r="D3019" i="21"/>
  <c r="D3020" i="21"/>
  <c r="D3021" i="21"/>
  <c r="D3022" i="21"/>
  <c r="D3023" i="21"/>
  <c r="D3024" i="21"/>
  <c r="D3025" i="21"/>
  <c r="D3026" i="21"/>
  <c r="D3027" i="21"/>
  <c r="D3028" i="21"/>
  <c r="D3029" i="21"/>
  <c r="D3030" i="21"/>
  <c r="D3031" i="21"/>
  <c r="D3032" i="21"/>
  <c r="D3033" i="21"/>
  <c r="D3034" i="21"/>
  <c r="D3035" i="21"/>
  <c r="D3036" i="21"/>
  <c r="D3037" i="21"/>
  <c r="D3038" i="21"/>
  <c r="D3039" i="21"/>
  <c r="D3040" i="21"/>
  <c r="D3041" i="21"/>
  <c r="D3042" i="21"/>
  <c r="D3043" i="21"/>
  <c r="D3044" i="21"/>
  <c r="D3045" i="21"/>
  <c r="D3046" i="21"/>
  <c r="D3047" i="21"/>
  <c r="D3048" i="21"/>
  <c r="D3049" i="21"/>
  <c r="D3050" i="21"/>
  <c r="D3051" i="21"/>
  <c r="D3052" i="21"/>
  <c r="D3053" i="21"/>
  <c r="D3054" i="21"/>
  <c r="D3055" i="21"/>
  <c r="D3056" i="21"/>
  <c r="D3057" i="21"/>
  <c r="D3058" i="21"/>
  <c r="D3059" i="21"/>
  <c r="D3060" i="21"/>
  <c r="D3061" i="21"/>
  <c r="D3062" i="21"/>
  <c r="D3063" i="21"/>
  <c r="D3064" i="21"/>
  <c r="D3065" i="21"/>
  <c r="D3066" i="21"/>
  <c r="D3067" i="21"/>
  <c r="D3068" i="21"/>
  <c r="D3069" i="21"/>
  <c r="D3070" i="21"/>
  <c r="D3071" i="21"/>
  <c r="D3072" i="21"/>
  <c r="D3073" i="21"/>
  <c r="D3074" i="21"/>
  <c r="D3075" i="21"/>
  <c r="D3076" i="21"/>
  <c r="D3077" i="21"/>
  <c r="D3078" i="21"/>
  <c r="D3079" i="21"/>
  <c r="D3080" i="21"/>
  <c r="D3081" i="21"/>
  <c r="D3082" i="21"/>
  <c r="D3083" i="21"/>
  <c r="D3084" i="21"/>
  <c r="D3085" i="21"/>
  <c r="D3086" i="21"/>
  <c r="D3087" i="21"/>
  <c r="D3088" i="21"/>
  <c r="D3089" i="21"/>
  <c r="D3090" i="21"/>
  <c r="D3091" i="21"/>
  <c r="D3092" i="21"/>
  <c r="C1109" i="55"/>
  <c r="C1865" i="55" s="1"/>
  <c r="D1036" i="21"/>
  <c r="B1035" i="21"/>
  <c r="I1727" i="19" l="1"/>
  <c r="B1346" i="19"/>
  <c r="I75" i="58"/>
  <c r="G75" i="58"/>
  <c r="F16" i="59"/>
  <c r="F15" i="59"/>
  <c r="F17" i="59"/>
  <c r="G15" i="59"/>
  <c r="G17" i="59"/>
  <c r="F14" i="59"/>
  <c r="F13" i="59"/>
  <c r="G13" i="59"/>
  <c r="I412" i="19"/>
  <c r="D1346" i="19"/>
  <c r="C3614" i="21"/>
  <c r="B2280" i="19"/>
  <c r="F26" i="59" l="1"/>
  <c r="G26" i="59"/>
  <c r="I1346" i="19"/>
  <c r="E167" i="21" l="1"/>
  <c r="C29" i="36"/>
  <c r="B29" i="36" l="1"/>
  <c r="D1028" i="46"/>
  <c r="J2816" i="19"/>
  <c r="I2816" i="19"/>
  <c r="J2815" i="19"/>
  <c r="I2815" i="19"/>
  <c r="J2814" i="19"/>
  <c r="I2814" i="19"/>
  <c r="J2813" i="19"/>
  <c r="I2813" i="19"/>
  <c r="J2812" i="19"/>
  <c r="I2812" i="19"/>
  <c r="J2811" i="19"/>
  <c r="I2811" i="19"/>
  <c r="J2810" i="19"/>
  <c r="I2810" i="19"/>
  <c r="G2810" i="19"/>
  <c r="F2810" i="19"/>
  <c r="B2809" i="19"/>
  <c r="C7" i="19"/>
  <c r="D7" i="19"/>
  <c r="E7" i="19"/>
  <c r="B7" i="19"/>
  <c r="I1095" i="19" l="1"/>
  <c r="I1079" i="19"/>
  <c r="I1063" i="19"/>
  <c r="I1055" i="19"/>
  <c r="I1039" i="19"/>
  <c r="I1023" i="19"/>
  <c r="I1007" i="19"/>
  <c r="I991" i="19"/>
  <c r="I975" i="19"/>
  <c r="I959" i="19"/>
  <c r="I943" i="19"/>
  <c r="I1103" i="19"/>
  <c r="I1087" i="19"/>
  <c r="I1071" i="19"/>
  <c r="I1047" i="19"/>
  <c r="I1031" i="19"/>
  <c r="I1015" i="19"/>
  <c r="I999" i="19"/>
  <c r="I983" i="19"/>
  <c r="I967" i="19"/>
  <c r="I951" i="19"/>
  <c r="I1101" i="19"/>
  <c r="I1093" i="19"/>
  <c r="I1085" i="19"/>
  <c r="I1077" i="19"/>
  <c r="I1069" i="19"/>
  <c r="I1061" i="19"/>
  <c r="I1053" i="19"/>
  <c r="I1045" i="19"/>
  <c r="I1037" i="19"/>
  <c r="I1029" i="19"/>
  <c r="I1021" i="19"/>
  <c r="I1013" i="19"/>
  <c r="I1005" i="19"/>
  <c r="I997" i="19"/>
  <c r="I989" i="19"/>
  <c r="I981" i="19"/>
  <c r="I973" i="19"/>
  <c r="I965" i="19"/>
  <c r="I957" i="19"/>
  <c r="I949" i="19"/>
  <c r="I1100" i="19"/>
  <c r="I1092" i="19"/>
  <c r="I1084" i="19"/>
  <c r="I1076" i="19"/>
  <c r="I1068" i="19"/>
  <c r="I1060" i="19"/>
  <c r="I1052" i="19"/>
  <c r="I1044" i="19"/>
  <c r="I1036" i="19"/>
  <c r="I1028" i="19"/>
  <c r="I1020" i="19"/>
  <c r="I1012" i="19"/>
  <c r="I1004" i="19"/>
  <c r="I996" i="19"/>
  <c r="I988" i="19"/>
  <c r="I980" i="19"/>
  <c r="I972" i="19"/>
  <c r="I964" i="19"/>
  <c r="I956" i="19"/>
  <c r="I948" i="19"/>
  <c r="I1089" i="19"/>
  <c r="I1081" i="19"/>
  <c r="I1065" i="19"/>
  <c r="I1057" i="19"/>
  <c r="I1049" i="19"/>
  <c r="I1041" i="19"/>
  <c r="I1033" i="19"/>
  <c r="I1025" i="19"/>
  <c r="I1017" i="19"/>
  <c r="I1009" i="19"/>
  <c r="I1001" i="19"/>
  <c r="I993" i="19"/>
  <c r="I985" i="19"/>
  <c r="I977" i="19"/>
  <c r="I969" i="19"/>
  <c r="I961" i="19"/>
  <c r="I953" i="19"/>
  <c r="I945" i="19"/>
  <c r="I1097" i="19"/>
  <c r="I1073" i="19"/>
  <c r="I1104" i="19"/>
  <c r="I1096" i="19"/>
  <c r="I1088" i="19"/>
  <c r="I1080" i="19"/>
  <c r="I1072" i="19"/>
  <c r="I1064" i="19"/>
  <c r="I1056" i="19"/>
  <c r="I1048" i="19"/>
  <c r="I1040" i="19"/>
  <c r="I1032" i="19"/>
  <c r="I1024" i="19"/>
  <c r="I1016" i="19"/>
  <c r="I1008" i="19"/>
  <c r="I1000" i="19"/>
  <c r="I992" i="19"/>
  <c r="I984" i="19"/>
  <c r="I976" i="19"/>
  <c r="I968" i="19"/>
  <c r="I960" i="19"/>
  <c r="I952" i="19"/>
  <c r="I944" i="19"/>
  <c r="I1099" i="19"/>
  <c r="I1091" i="19"/>
  <c r="I1083" i="19"/>
  <c r="I1075" i="19"/>
  <c r="I1067" i="19"/>
  <c r="I1059" i="19"/>
  <c r="I1051" i="19"/>
  <c r="I1043" i="19"/>
  <c r="I1035" i="19"/>
  <c r="I1027" i="19"/>
  <c r="I1019" i="19"/>
  <c r="I1011" i="19"/>
  <c r="I1003" i="19"/>
  <c r="I995" i="19"/>
  <c r="I987" i="19"/>
  <c r="I979" i="19"/>
  <c r="I971" i="19"/>
  <c r="I963" i="19"/>
  <c r="I955" i="19"/>
  <c r="I947" i="19"/>
  <c r="I1098" i="19"/>
  <c r="I1090" i="19"/>
  <c r="I1082" i="19"/>
  <c r="I1074" i="19"/>
  <c r="I1066" i="19"/>
  <c r="I1058" i="19"/>
  <c r="I1050" i="19"/>
  <c r="I1042" i="19"/>
  <c r="I1034" i="19"/>
  <c r="I1026" i="19"/>
  <c r="I1018" i="19"/>
  <c r="I1010" i="19"/>
  <c r="I1002" i="19"/>
  <c r="I994" i="19"/>
  <c r="I986" i="19"/>
  <c r="I978" i="19"/>
  <c r="I970" i="19"/>
  <c r="I962" i="19"/>
  <c r="I954" i="19"/>
  <c r="I946" i="19"/>
  <c r="I942" i="19"/>
  <c r="I1102" i="19"/>
  <c r="I1094" i="19"/>
  <c r="I1086" i="19"/>
  <c r="I1078" i="19"/>
  <c r="I1070" i="19"/>
  <c r="I1062" i="19"/>
  <c r="I1054" i="19"/>
  <c r="I1046" i="19"/>
  <c r="I1038" i="19"/>
  <c r="I1030" i="19"/>
  <c r="I1022" i="19"/>
  <c r="I1014" i="19"/>
  <c r="I1006" i="19"/>
  <c r="I998" i="19"/>
  <c r="I990" i="19"/>
  <c r="I982" i="19"/>
  <c r="I974" i="19"/>
  <c r="I966" i="19"/>
  <c r="I958" i="19"/>
  <c r="I950" i="19"/>
  <c r="I7" i="19"/>
  <c r="C2809" i="19"/>
  <c r="D2809" i="19"/>
  <c r="B1875" i="19"/>
  <c r="B941" i="19"/>
  <c r="I941" i="19" l="1"/>
  <c r="E11" i="47"/>
  <c r="F11" i="47"/>
  <c r="G11" i="47"/>
  <c r="H11" i="47"/>
  <c r="I11" i="47"/>
  <c r="J11" i="47"/>
  <c r="K11" i="47"/>
  <c r="D79" i="47"/>
  <c r="E79" i="47"/>
  <c r="F79" i="47"/>
  <c r="G79" i="47"/>
  <c r="H79" i="47"/>
  <c r="I79" i="47"/>
  <c r="J79" i="47"/>
  <c r="K79" i="47"/>
  <c r="L78" i="47"/>
  <c r="L45" i="47"/>
  <c r="L44" i="47"/>
  <c r="L43" i="47"/>
  <c r="L42" i="47"/>
  <c r="L41" i="47"/>
  <c r="L40" i="47"/>
  <c r="L39" i="47"/>
  <c r="L38" i="47"/>
  <c r="L37" i="47"/>
  <c r="L36" i="47"/>
  <c r="L35" i="47"/>
  <c r="L34" i="47"/>
  <c r="L33" i="47"/>
  <c r="L32" i="47"/>
  <c r="G49" i="21" s="1"/>
  <c r="I49" i="21" s="1"/>
  <c r="L31" i="47"/>
  <c r="L30" i="47"/>
  <c r="L29" i="47"/>
  <c r="L28" i="47"/>
  <c r="L27" i="47"/>
  <c r="L26" i="47"/>
  <c r="L25" i="47"/>
  <c r="G16" i="21" s="1"/>
  <c r="I16" i="21" s="1"/>
  <c r="L24" i="47"/>
  <c r="L23" i="47"/>
  <c r="L22" i="47"/>
  <c r="G15" i="21" s="1"/>
  <c r="I15" i="21" s="1"/>
  <c r="L21" i="47"/>
  <c r="L20" i="47"/>
  <c r="L19" i="47"/>
  <c r="L15" i="47"/>
  <c r="L14" i="47"/>
  <c r="L13" i="47"/>
  <c r="L60" i="47"/>
  <c r="G66" i="21" s="1"/>
  <c r="I66" i="21" s="1"/>
  <c r="L59" i="47"/>
  <c r="G55" i="21" s="1"/>
  <c r="I55" i="21" s="1"/>
  <c r="L58" i="47"/>
  <c r="L57" i="47"/>
  <c r="G48" i="21" s="1"/>
  <c r="I48" i="21" s="1"/>
  <c r="L56" i="47"/>
  <c r="L55" i="47"/>
  <c r="L54" i="47"/>
  <c r="L53" i="47"/>
  <c r="G142" i="21" s="1"/>
  <c r="I142" i="21" s="1"/>
  <c r="L52" i="47"/>
  <c r="L51" i="47"/>
  <c r="L50" i="47"/>
  <c r="G112" i="21" s="1"/>
  <c r="I112" i="21" s="1"/>
  <c r="L49" i="47"/>
  <c r="G99" i="21" s="1"/>
  <c r="I99" i="21" s="1"/>
  <c r="L48" i="47"/>
  <c r="L47" i="47"/>
  <c r="L46" i="47"/>
  <c r="L12" i="47"/>
  <c r="L68" i="47"/>
  <c r="G117" i="21" s="1"/>
  <c r="I117" i="21" s="1"/>
  <c r="L67" i="47"/>
  <c r="L66" i="47"/>
  <c r="G114" i="21" s="1"/>
  <c r="I114" i="21" s="1"/>
  <c r="L65" i="47"/>
  <c r="L64" i="47"/>
  <c r="L63" i="47"/>
  <c r="L62" i="47"/>
  <c r="L61" i="47"/>
  <c r="G80" i="21" s="1"/>
  <c r="I80" i="21" s="1"/>
  <c r="L73" i="47"/>
  <c r="G139" i="21" s="1"/>
  <c r="I139" i="21" s="1"/>
  <c r="L72" i="47"/>
  <c r="G126" i="21" s="1"/>
  <c r="I126" i="21" s="1"/>
  <c r="L71" i="47"/>
  <c r="L69" i="47"/>
  <c r="L75" i="47"/>
  <c r="L74" i="47"/>
  <c r="G140" i="21" s="1"/>
  <c r="I140" i="21" s="1"/>
  <c r="G28" i="21" l="1"/>
  <c r="I28" i="21" s="1"/>
  <c r="G53" i="21"/>
  <c r="I53" i="21" s="1"/>
  <c r="G85" i="21"/>
  <c r="I85" i="21" s="1"/>
  <c r="G33" i="21"/>
  <c r="I33" i="21" s="1"/>
  <c r="C13" i="58"/>
  <c r="K13" i="58" s="1"/>
  <c r="G83" i="21"/>
  <c r="I83" i="21" s="1"/>
  <c r="G105" i="21"/>
  <c r="I105" i="21" s="1"/>
  <c r="G124" i="21"/>
  <c r="I124" i="21" s="1"/>
  <c r="G90" i="21"/>
  <c r="I90" i="21" s="1"/>
  <c r="C46" i="58"/>
  <c r="G144" i="21"/>
  <c r="I144" i="21" s="1"/>
  <c r="G121" i="21"/>
  <c r="I121" i="21" s="1"/>
  <c r="G12" i="21"/>
  <c r="I12" i="21" s="1"/>
  <c r="G63" i="21"/>
  <c r="I63" i="21" s="1"/>
  <c r="C41" i="58"/>
  <c r="C45" i="58"/>
  <c r="C32" i="58"/>
  <c r="C24" i="58"/>
  <c r="C34" i="58"/>
  <c r="C38" i="58"/>
  <c r="C20" i="58"/>
  <c r="C39" i="58"/>
  <c r="C53" i="58"/>
  <c r="C47" i="58" s="1"/>
  <c r="C25" i="58"/>
  <c r="G159" i="21"/>
  <c r="I159" i="21" s="1"/>
  <c r="G115" i="21"/>
  <c r="I115" i="21" s="1"/>
  <c r="G98" i="21"/>
  <c r="I98" i="21" s="1"/>
  <c r="G97" i="21"/>
  <c r="I97" i="21" s="1"/>
  <c r="G141" i="21"/>
  <c r="I141" i="21" s="1"/>
  <c r="D589" i="47"/>
  <c r="B3635" i="21"/>
  <c r="G22" i="21"/>
  <c r="I22" i="21" s="1"/>
  <c r="G25" i="21"/>
  <c r="I25" i="21" s="1"/>
  <c r="C875" i="21"/>
  <c r="G123" i="21"/>
  <c r="I123" i="21" s="1"/>
  <c r="H589" i="47"/>
  <c r="J589" i="47"/>
  <c r="G84" i="21"/>
  <c r="I84" i="21" s="1"/>
  <c r="I589" i="47"/>
  <c r="G589" i="47"/>
  <c r="K589" i="47"/>
  <c r="E589" i="47"/>
  <c r="G91" i="21"/>
  <c r="I91" i="21" s="1"/>
  <c r="G77" i="21"/>
  <c r="I77" i="21" s="1"/>
  <c r="G79" i="21"/>
  <c r="I79" i="21" s="1"/>
  <c r="G37" i="21"/>
  <c r="I37" i="21" s="1"/>
  <c r="G45" i="21"/>
  <c r="I45" i="21" s="1"/>
  <c r="G120" i="21"/>
  <c r="I120" i="21" s="1"/>
  <c r="G18" i="21"/>
  <c r="I18" i="21" s="1"/>
  <c r="G109" i="21"/>
  <c r="I109" i="21" s="1"/>
  <c r="C9" i="36"/>
  <c r="D9" i="36"/>
  <c r="E7" i="21" s="1"/>
  <c r="E868" i="21" s="1"/>
  <c r="B117" i="36"/>
  <c r="O38" i="52" s="1"/>
  <c r="C868" i="46"/>
  <c r="D868" i="46"/>
  <c r="D1720" i="46" s="1"/>
  <c r="O37" i="52" s="1"/>
  <c r="B868" i="46"/>
  <c r="E1027" i="46"/>
  <c r="E1026" i="46"/>
  <c r="E1025" i="46"/>
  <c r="E1024" i="46"/>
  <c r="E1023" i="46"/>
  <c r="E1022" i="46"/>
  <c r="E1021" i="46"/>
  <c r="E1020" i="46"/>
  <c r="E1019" i="46"/>
  <c r="E1018" i="46"/>
  <c r="E1017" i="46"/>
  <c r="E1016" i="46"/>
  <c r="E1015" i="46"/>
  <c r="E1014" i="46"/>
  <c r="E1013" i="46"/>
  <c r="E1012" i="46"/>
  <c r="E1011" i="46"/>
  <c r="E1010" i="46"/>
  <c r="E1009" i="46"/>
  <c r="E1008" i="46"/>
  <c r="E1007" i="46"/>
  <c r="E1006" i="46"/>
  <c r="E1005" i="46"/>
  <c r="E1004" i="46"/>
  <c r="E1003" i="46"/>
  <c r="E1002" i="46"/>
  <c r="E1001" i="46"/>
  <c r="E1000" i="46"/>
  <c r="E999" i="46"/>
  <c r="E998" i="46"/>
  <c r="E997" i="46"/>
  <c r="E996" i="46"/>
  <c r="E995" i="46"/>
  <c r="E994" i="46"/>
  <c r="E993" i="46"/>
  <c r="E992" i="46"/>
  <c r="E991" i="46"/>
  <c r="E990" i="46"/>
  <c r="E989" i="46"/>
  <c r="E988" i="46"/>
  <c r="E987" i="46"/>
  <c r="E986" i="46"/>
  <c r="E985" i="46"/>
  <c r="E984" i="46"/>
  <c r="E983" i="46"/>
  <c r="E982" i="46"/>
  <c r="E981" i="46"/>
  <c r="E980" i="46"/>
  <c r="E979" i="46"/>
  <c r="E978" i="46"/>
  <c r="E977" i="46"/>
  <c r="E976" i="46"/>
  <c r="E975" i="46"/>
  <c r="E974" i="46"/>
  <c r="E973" i="46"/>
  <c r="E972" i="46"/>
  <c r="E971" i="46"/>
  <c r="E970" i="46"/>
  <c r="E969" i="46"/>
  <c r="E968" i="46"/>
  <c r="E967" i="46"/>
  <c r="E966" i="46"/>
  <c r="E965" i="46"/>
  <c r="E964" i="46"/>
  <c r="E963" i="46"/>
  <c r="E962" i="46"/>
  <c r="E961" i="46"/>
  <c r="E960" i="46"/>
  <c r="E959" i="46"/>
  <c r="E958" i="46"/>
  <c r="E957" i="46"/>
  <c r="E956" i="46"/>
  <c r="E955" i="46"/>
  <c r="E954" i="46"/>
  <c r="E953" i="46"/>
  <c r="E952" i="46"/>
  <c r="E951" i="46"/>
  <c r="E950" i="46"/>
  <c r="E949" i="46"/>
  <c r="E948" i="46"/>
  <c r="E947" i="46"/>
  <c r="E946" i="46"/>
  <c r="E945" i="46"/>
  <c r="E944" i="46"/>
  <c r="E943" i="46"/>
  <c r="E942" i="46"/>
  <c r="E941" i="46"/>
  <c r="E940" i="46"/>
  <c r="E939" i="46"/>
  <c r="E938" i="46"/>
  <c r="E937" i="46"/>
  <c r="E936" i="46"/>
  <c r="E935" i="46"/>
  <c r="E934" i="46"/>
  <c r="E933" i="46"/>
  <c r="E932" i="46"/>
  <c r="E931" i="46"/>
  <c r="E930" i="46"/>
  <c r="E929" i="46"/>
  <c r="E928" i="46"/>
  <c r="E927" i="46"/>
  <c r="E926" i="46"/>
  <c r="E925" i="46"/>
  <c r="E924" i="46"/>
  <c r="E923" i="46"/>
  <c r="E922" i="46"/>
  <c r="E921" i="46"/>
  <c r="E920" i="46"/>
  <c r="E919" i="46"/>
  <c r="E918" i="46"/>
  <c r="E917" i="46"/>
  <c r="E916" i="46"/>
  <c r="E915" i="46"/>
  <c r="E914" i="46"/>
  <c r="E913" i="46"/>
  <c r="E912" i="46"/>
  <c r="E911" i="46"/>
  <c r="E910" i="46"/>
  <c r="E909" i="46"/>
  <c r="E908" i="46"/>
  <c r="E907" i="46"/>
  <c r="E906" i="46"/>
  <c r="E905" i="46"/>
  <c r="E904" i="46"/>
  <c r="E903" i="46"/>
  <c r="E902" i="46"/>
  <c r="E901" i="46"/>
  <c r="E900" i="46"/>
  <c r="E899" i="46"/>
  <c r="E898" i="46"/>
  <c r="E897" i="46"/>
  <c r="E896" i="46"/>
  <c r="E895" i="46"/>
  <c r="E894" i="46"/>
  <c r="E893" i="46"/>
  <c r="E892" i="46"/>
  <c r="E891" i="46"/>
  <c r="E890" i="46"/>
  <c r="E889" i="46"/>
  <c r="E888" i="46"/>
  <c r="E887" i="46"/>
  <c r="E886" i="46"/>
  <c r="E885" i="46"/>
  <c r="E884" i="46"/>
  <c r="E883" i="46"/>
  <c r="E882" i="46"/>
  <c r="E881" i="46"/>
  <c r="E880" i="46"/>
  <c r="E879" i="46"/>
  <c r="E878" i="46"/>
  <c r="E877" i="46"/>
  <c r="E876" i="46"/>
  <c r="E875" i="46"/>
  <c r="E874" i="46"/>
  <c r="E873" i="46"/>
  <c r="E872" i="46"/>
  <c r="E871" i="46"/>
  <c r="C8" i="46"/>
  <c r="D8" i="46"/>
  <c r="E162" i="46"/>
  <c r="B1029" i="21" s="1"/>
  <c r="D1029" i="21" s="1"/>
  <c r="E161" i="46"/>
  <c r="B1028" i="21" s="1"/>
  <c r="D1028" i="21" s="1"/>
  <c r="E160" i="46"/>
  <c r="B1027" i="21" s="1"/>
  <c r="D1027" i="21" s="1"/>
  <c r="E159" i="46"/>
  <c r="B1026" i="21" s="1"/>
  <c r="D1026" i="21" s="1"/>
  <c r="E8" i="46" l="1"/>
  <c r="C33" i="58"/>
  <c r="C40" i="58"/>
  <c r="C68" i="58"/>
  <c r="C19" i="58"/>
  <c r="D7" i="21"/>
  <c r="D868" i="21" s="1"/>
  <c r="C117" i="36"/>
  <c r="O40" i="52" s="1"/>
  <c r="C7" i="21"/>
  <c r="C1867" i="19"/>
  <c r="D14" i="59" l="1"/>
  <c r="J14" i="59" s="1"/>
  <c r="D15" i="59"/>
  <c r="J15" i="59" s="1"/>
  <c r="D16" i="59"/>
  <c r="J16" i="59" s="1"/>
  <c r="D18" i="59"/>
  <c r="J18" i="59" s="1"/>
  <c r="E16" i="59"/>
  <c r="K16" i="59" s="1"/>
  <c r="D13" i="59"/>
  <c r="J13" i="59" s="1"/>
  <c r="E13" i="59"/>
  <c r="K13" i="59" s="1"/>
  <c r="K18" i="59"/>
  <c r="E15" i="59"/>
  <c r="K15" i="59" s="1"/>
  <c r="K17" i="59"/>
  <c r="D17" i="59"/>
  <c r="J17" i="59" s="1"/>
  <c r="E14" i="59"/>
  <c r="K14" i="59" s="1"/>
  <c r="D1867" i="19"/>
  <c r="E1867" i="19"/>
  <c r="C2801" i="19"/>
  <c r="K26" i="59" l="1"/>
  <c r="E26" i="59"/>
  <c r="J26" i="59"/>
  <c r="D26" i="59"/>
  <c r="B1867" i="19"/>
  <c r="I1867" i="19"/>
  <c r="D2801" i="19"/>
  <c r="E2801" i="19"/>
  <c r="B2801" i="19" l="1"/>
  <c r="C933" i="19"/>
  <c r="E933" i="19"/>
  <c r="C2853" i="19"/>
  <c r="D2853" i="19"/>
  <c r="E2853" i="19"/>
  <c r="F2853" i="19"/>
  <c r="G2853" i="19"/>
  <c r="H2820" i="19"/>
  <c r="H2853" i="19" s="1"/>
  <c r="I2820" i="19"/>
  <c r="I2853" i="19" s="1"/>
  <c r="J2820" i="19"/>
  <c r="J2853" i="19" s="1"/>
  <c r="B2853" i="19"/>
  <c r="D2871" i="19"/>
  <c r="E2871" i="19"/>
  <c r="F2871" i="19"/>
  <c r="G2871" i="19"/>
  <c r="B2871" i="19"/>
  <c r="C3635" i="21"/>
  <c r="D933" i="19" l="1"/>
  <c r="B933" i="19"/>
  <c r="C2871" i="19"/>
  <c r="F933" i="19" l="1"/>
  <c r="I933" i="19" s="1"/>
  <c r="D29" i="36"/>
  <c r="D117" i="36" s="1"/>
  <c r="O39" i="52" s="1"/>
  <c r="C1028" i="46"/>
  <c r="C1720" i="46" s="1"/>
  <c r="O36" i="52" s="1"/>
  <c r="B1720" i="46"/>
  <c r="O35" i="52" s="1"/>
  <c r="C168" i="46"/>
  <c r="C860" i="46" s="1"/>
  <c r="N36" i="52" s="1"/>
  <c r="D168" i="46"/>
  <c r="B168" i="46"/>
  <c r="B860" i="46" s="1"/>
  <c r="N35" i="52" s="1"/>
  <c r="E169" i="46"/>
  <c r="A1344" i="55"/>
  <c r="A3475" i="21"/>
  <c r="A1726" i="55" s="1"/>
  <c r="A2858" i="21"/>
  <c r="A2865" i="19"/>
  <c r="A2869" i="19"/>
  <c r="A2862" i="19"/>
  <c r="A2861" i="19"/>
  <c r="A2830" i="19"/>
  <c r="A2848" i="19"/>
  <c r="A2820" i="19"/>
  <c r="A2809" i="19"/>
  <c r="A2280" i="19"/>
  <c r="A2662" i="19"/>
  <c r="A2045" i="19"/>
  <c r="A1346" i="19"/>
  <c r="A1728" i="19"/>
  <c r="A1111" i="19"/>
  <c r="A941" i="19"/>
  <c r="F2681" i="21"/>
  <c r="F2801" i="19" l="1"/>
  <c r="I2280" i="19"/>
  <c r="E383" i="55"/>
  <c r="G383" i="55" s="1"/>
  <c r="E192" i="55"/>
  <c r="G192" i="55" s="1"/>
  <c r="D933" i="55"/>
  <c r="D2681" i="21"/>
  <c r="E2124" i="21"/>
  <c r="G2124" i="21" s="1"/>
  <c r="E2116" i="21"/>
  <c r="G2116" i="21" s="1"/>
  <c r="E2103" i="21"/>
  <c r="G2103" i="21" s="1"/>
  <c r="E2122" i="21"/>
  <c r="G2122" i="21" s="1"/>
  <c r="E2118" i="21"/>
  <c r="G2118" i="21" s="1"/>
  <c r="E2101" i="21"/>
  <c r="G2101" i="21" s="1"/>
  <c r="E2108" i="21"/>
  <c r="G2108" i="21" s="1"/>
  <c r="E2119" i="21"/>
  <c r="G2119" i="21" s="1"/>
  <c r="E2104" i="21"/>
  <c r="G2104" i="21" s="1"/>
  <c r="E2126" i="21"/>
  <c r="G2126" i="21" s="1"/>
  <c r="E2097" i="21"/>
  <c r="G2097" i="21" s="1"/>
  <c r="E2106" i="21"/>
  <c r="G2106" i="21" s="1"/>
  <c r="E2102" i="21"/>
  <c r="G2102" i="21" s="1"/>
  <c r="E2121" i="21"/>
  <c r="G2121" i="21" s="1"/>
  <c r="E2113" i="21"/>
  <c r="G2113" i="21" s="1"/>
  <c r="E2127" i="21"/>
  <c r="G2127" i="21" s="1"/>
  <c r="E2098" i="21"/>
  <c r="G2098" i="21" s="1"/>
  <c r="E2117" i="21"/>
  <c r="G2117" i="21" s="1"/>
  <c r="E2099" i="21"/>
  <c r="G2099" i="21" s="1"/>
  <c r="E2114" i="21"/>
  <c r="G2114" i="21" s="1"/>
  <c r="E2105" i="21"/>
  <c r="G2105" i="21" s="1"/>
  <c r="E2128" i="21"/>
  <c r="G2128" i="21" s="1"/>
  <c r="E2100" i="21"/>
  <c r="G2100" i="21" s="1"/>
  <c r="E2123" i="21"/>
  <c r="G2123" i="21" s="1"/>
  <c r="E2109" i="21"/>
  <c r="G2109" i="21" s="1"/>
  <c r="E2110" i="21"/>
  <c r="G2110" i="21" s="1"/>
  <c r="E2096" i="21"/>
  <c r="G2096" i="21" s="1"/>
  <c r="E2111" i="21"/>
  <c r="G2111" i="21" s="1"/>
  <c r="E2125" i="21"/>
  <c r="G2125" i="21" s="1"/>
  <c r="E2107" i="21"/>
  <c r="G2107" i="21" s="1"/>
  <c r="E2120" i="21"/>
  <c r="G2120" i="21" s="1"/>
  <c r="E2115" i="21"/>
  <c r="G2115" i="21" s="1"/>
  <c r="E2112" i="21"/>
  <c r="G2112" i="21" s="1"/>
  <c r="E2159" i="21"/>
  <c r="G2159" i="21" s="1"/>
  <c r="I2045" i="19"/>
  <c r="E339" i="55"/>
  <c r="G339" i="55" s="1"/>
  <c r="E251" i="55"/>
  <c r="G251" i="55" s="1"/>
  <c r="E312" i="55"/>
  <c r="G312" i="55" s="1"/>
  <c r="E240" i="55"/>
  <c r="G240" i="55" s="1"/>
  <c r="E259" i="55"/>
  <c r="G259" i="55" s="1"/>
  <c r="E256" i="55"/>
  <c r="G256" i="55" s="1"/>
  <c r="E352" i="55"/>
  <c r="G352" i="55" s="1"/>
  <c r="E307" i="55"/>
  <c r="G307" i="55" s="1"/>
  <c r="E336" i="55"/>
  <c r="G336" i="55" s="1"/>
  <c r="E355" i="55"/>
  <c r="G355" i="55" s="1"/>
  <c r="E331" i="55"/>
  <c r="G331" i="55" s="1"/>
  <c r="E315" i="55"/>
  <c r="G315" i="55" s="1"/>
  <c r="E320" i="55"/>
  <c r="G320" i="55" s="1"/>
  <c r="E288" i="55"/>
  <c r="G288" i="55" s="1"/>
  <c r="E280" i="55"/>
  <c r="G280" i="55" s="1"/>
  <c r="E323" i="55"/>
  <c r="G323" i="55" s="1"/>
  <c r="E296" i="55"/>
  <c r="G296" i="55" s="1"/>
  <c r="E264" i="55"/>
  <c r="G264" i="55" s="1"/>
  <c r="E344" i="55"/>
  <c r="G344" i="55" s="1"/>
  <c r="E235" i="55"/>
  <c r="G235" i="55" s="1"/>
  <c r="E304" i="55"/>
  <c r="G304" i="55" s="1"/>
  <c r="E347" i="55"/>
  <c r="G347" i="55" s="1"/>
  <c r="E267" i="55"/>
  <c r="G267" i="55" s="1"/>
  <c r="E299" i="55"/>
  <c r="G299" i="55" s="1"/>
  <c r="E283" i="55"/>
  <c r="G283" i="55" s="1"/>
  <c r="E291" i="55"/>
  <c r="G291" i="55" s="1"/>
  <c r="E248" i="55"/>
  <c r="G248" i="55" s="1"/>
  <c r="E275" i="55"/>
  <c r="G275" i="55" s="1"/>
  <c r="E328" i="55"/>
  <c r="G328" i="55" s="1"/>
  <c r="E243" i="55"/>
  <c r="G243" i="55" s="1"/>
  <c r="E272" i="55"/>
  <c r="G272" i="55" s="1"/>
  <c r="E271" i="55"/>
  <c r="G271" i="55" s="1"/>
  <c r="E300" i="55"/>
  <c r="G300" i="55" s="1"/>
  <c r="E308" i="55"/>
  <c r="G308" i="55" s="1"/>
  <c r="E252" i="55"/>
  <c r="G252" i="55" s="1"/>
  <c r="E340" i="55"/>
  <c r="G340" i="55" s="1"/>
  <c r="E284" i="55"/>
  <c r="G284" i="55" s="1"/>
  <c r="E266" i="55"/>
  <c r="G266" i="55" s="1"/>
  <c r="E303" i="55"/>
  <c r="G303" i="55" s="1"/>
  <c r="E314" i="55"/>
  <c r="G314" i="55" s="1"/>
  <c r="E246" i="55"/>
  <c r="G246" i="55" s="1"/>
  <c r="E250" i="55"/>
  <c r="G250" i="55" s="1"/>
  <c r="E247" i="55"/>
  <c r="G247" i="55" s="1"/>
  <c r="E254" i="55"/>
  <c r="G254" i="55" s="1"/>
  <c r="E316" i="55"/>
  <c r="G316" i="55" s="1"/>
  <c r="E255" i="55"/>
  <c r="G255" i="55" s="1"/>
  <c r="E260" i="55"/>
  <c r="G260" i="55" s="1"/>
  <c r="E268" i="55"/>
  <c r="G268" i="55" s="1"/>
  <c r="E295" i="55"/>
  <c r="G295" i="55" s="1"/>
  <c r="E270" i="55"/>
  <c r="G270" i="55" s="1"/>
  <c r="E330" i="55"/>
  <c r="G330" i="55" s="1"/>
  <c r="E335" i="55"/>
  <c r="G335" i="55" s="1"/>
  <c r="E274" i="55"/>
  <c r="G274" i="55" s="1"/>
  <c r="E278" i="55"/>
  <c r="G278" i="55" s="1"/>
  <c r="E279" i="55"/>
  <c r="G279" i="55" s="1"/>
  <c r="E286" i="55"/>
  <c r="G286" i="55" s="1"/>
  <c r="E234" i="55"/>
  <c r="G234" i="55" s="1"/>
  <c r="E287" i="55"/>
  <c r="G287" i="55" s="1"/>
  <c r="E324" i="55"/>
  <c r="G324" i="55" s="1"/>
  <c r="E262" i="55"/>
  <c r="G262" i="55" s="1"/>
  <c r="E332" i="55"/>
  <c r="G332" i="55" s="1"/>
  <c r="E327" i="55"/>
  <c r="G327" i="55" s="1"/>
  <c r="E258" i="55"/>
  <c r="G258" i="55" s="1"/>
  <c r="E302" i="55"/>
  <c r="G302" i="55" s="1"/>
  <c r="E334" i="55"/>
  <c r="G334" i="55" s="1"/>
  <c r="E273" i="55"/>
  <c r="G273" i="55" s="1"/>
  <c r="E263" i="55"/>
  <c r="G263" i="55" s="1"/>
  <c r="E338" i="55"/>
  <c r="G338" i="55" s="1"/>
  <c r="E310" i="55"/>
  <c r="G310" i="55" s="1"/>
  <c r="E282" i="55"/>
  <c r="G282" i="55" s="1"/>
  <c r="E311" i="55"/>
  <c r="G311" i="55" s="1"/>
  <c r="E290" i="55"/>
  <c r="G290" i="55" s="1"/>
  <c r="E318" i="55"/>
  <c r="G318" i="55" s="1"/>
  <c r="E298" i="55"/>
  <c r="G298" i="55" s="1"/>
  <c r="E319" i="55"/>
  <c r="G319" i="55" s="1"/>
  <c r="E242" i="55"/>
  <c r="G242" i="55" s="1"/>
  <c r="E294" i="55"/>
  <c r="G294" i="55" s="1"/>
  <c r="E322" i="55"/>
  <c r="G322" i="55" s="1"/>
  <c r="E277" i="55"/>
  <c r="G277" i="55" s="1"/>
  <c r="E281" i="55"/>
  <c r="G281" i="55" s="1"/>
  <c r="E285" i="55"/>
  <c r="G285" i="55" s="1"/>
  <c r="E342" i="55"/>
  <c r="G342" i="55" s="1"/>
  <c r="E346" i="55"/>
  <c r="G346" i="55" s="1"/>
  <c r="E343" i="55"/>
  <c r="G343" i="55" s="1"/>
  <c r="E354" i="55"/>
  <c r="G354" i="55" s="1"/>
  <c r="E350" i="55"/>
  <c r="G350" i="55" s="1"/>
  <c r="E351" i="55"/>
  <c r="G351" i="55" s="1"/>
  <c r="E306" i="55"/>
  <c r="G306" i="55" s="1"/>
  <c r="E326" i="55"/>
  <c r="G326" i="55" s="1"/>
  <c r="E265" i="55"/>
  <c r="G265" i="55" s="1"/>
  <c r="E269" i="55"/>
  <c r="G269" i="55" s="1"/>
  <c r="E238" i="55"/>
  <c r="G238" i="55" s="1"/>
  <c r="E345" i="55"/>
  <c r="G345" i="55" s="1"/>
  <c r="E349" i="55"/>
  <c r="G349" i="55" s="1"/>
  <c r="E289" i="55"/>
  <c r="G289" i="55" s="1"/>
  <c r="E233" i="55"/>
  <c r="G233" i="55" s="1"/>
  <c r="E237" i="55"/>
  <c r="G237" i="55" s="1"/>
  <c r="E241" i="55"/>
  <c r="G241" i="55" s="1"/>
  <c r="E249" i="55"/>
  <c r="G249" i="55" s="1"/>
  <c r="E329" i="55"/>
  <c r="G329" i="55" s="1"/>
  <c r="E333" i="55"/>
  <c r="G333" i="55" s="1"/>
  <c r="E337" i="55"/>
  <c r="G337" i="55" s="1"/>
  <c r="E341" i="55"/>
  <c r="G341" i="55" s="1"/>
  <c r="E353" i="55"/>
  <c r="G353" i="55" s="1"/>
  <c r="E293" i="55"/>
  <c r="G293" i="55" s="1"/>
  <c r="E297" i="55"/>
  <c r="G297" i="55" s="1"/>
  <c r="E301" i="55"/>
  <c r="G301" i="55" s="1"/>
  <c r="E305" i="55"/>
  <c r="G305" i="55" s="1"/>
  <c r="E245" i="55"/>
  <c r="G245" i="55" s="1"/>
  <c r="E313" i="55"/>
  <c r="G313" i="55" s="1"/>
  <c r="E253" i="55"/>
  <c r="G253" i="55" s="1"/>
  <c r="E257" i="55"/>
  <c r="G257" i="55" s="1"/>
  <c r="E261" i="55"/>
  <c r="G261" i="55" s="1"/>
  <c r="E348" i="55"/>
  <c r="G348" i="55" s="1"/>
  <c r="E239" i="55"/>
  <c r="G239" i="55" s="1"/>
  <c r="E292" i="55"/>
  <c r="G292" i="55" s="1"/>
  <c r="E236" i="55"/>
  <c r="G236" i="55" s="1"/>
  <c r="E244" i="55"/>
  <c r="G244" i="55" s="1"/>
  <c r="E309" i="55"/>
  <c r="G309" i="55" s="1"/>
  <c r="E317" i="55"/>
  <c r="G317" i="55" s="1"/>
  <c r="E321" i="55"/>
  <c r="G321" i="55" s="1"/>
  <c r="E325" i="55"/>
  <c r="G325" i="55" s="1"/>
  <c r="E276" i="55"/>
  <c r="G276" i="55" s="1"/>
  <c r="A1109" i="55"/>
  <c r="E53" i="58"/>
  <c r="K53" i="58" s="1"/>
  <c r="E52" i="58"/>
  <c r="K52" i="58" s="1"/>
  <c r="E46" i="58"/>
  <c r="K46" i="58" s="1"/>
  <c r="E41" i="58"/>
  <c r="K38" i="58"/>
  <c r="E59" i="58"/>
  <c r="E54" i="58" s="1"/>
  <c r="K54" i="58" s="1"/>
  <c r="K25" i="58"/>
  <c r="E66" i="58"/>
  <c r="K66" i="58" s="1"/>
  <c r="E73" i="58"/>
  <c r="K73" i="58" s="1"/>
  <c r="K34" i="58"/>
  <c r="E39" i="58"/>
  <c r="K39" i="58" s="1"/>
  <c r="K32" i="58"/>
  <c r="E45" i="58"/>
  <c r="K45" i="58" s="1"/>
  <c r="K24" i="58"/>
  <c r="K74" i="58"/>
  <c r="K69" i="58"/>
  <c r="F1867" i="19"/>
  <c r="A3632" i="21"/>
  <c r="A3634" i="21"/>
  <c r="A3633" i="21"/>
  <c r="A3621" i="21"/>
  <c r="A3622" i="21"/>
  <c r="A3624" i="21"/>
  <c r="E2004" i="21"/>
  <c r="G2004" i="21" s="1"/>
  <c r="E2012" i="21"/>
  <c r="G2012" i="21" s="1"/>
  <c r="E2020" i="21"/>
  <c r="G2020" i="21" s="1"/>
  <c r="E2024" i="21"/>
  <c r="G2024" i="21" s="1"/>
  <c r="E2036" i="21"/>
  <c r="G2036" i="21" s="1"/>
  <c r="E2044" i="21"/>
  <c r="G2044" i="21" s="1"/>
  <c r="E2048" i="21"/>
  <c r="G2048" i="21" s="1"/>
  <c r="E2060" i="21"/>
  <c r="G2060" i="21" s="1"/>
  <c r="E2064" i="21"/>
  <c r="G2064" i="21" s="1"/>
  <c r="E2076" i="21"/>
  <c r="G2076" i="21" s="1"/>
  <c r="E2080" i="21"/>
  <c r="G2080" i="21" s="1"/>
  <c r="E2092" i="21"/>
  <c r="G2092" i="21" s="1"/>
  <c r="E2067" i="21"/>
  <c r="G2067" i="21" s="1"/>
  <c r="E2095" i="21"/>
  <c r="G2095" i="21" s="1"/>
  <c r="E2000" i="21"/>
  <c r="G2000" i="21" s="1"/>
  <c r="E2008" i="21"/>
  <c r="G2008" i="21" s="1"/>
  <c r="E2016" i="21"/>
  <c r="G2016" i="21" s="1"/>
  <c r="E2028" i="21"/>
  <c r="G2028" i="21" s="1"/>
  <c r="E2032" i="21"/>
  <c r="G2032" i="21" s="1"/>
  <c r="E2040" i="21"/>
  <c r="G2040" i="21" s="1"/>
  <c r="E2052" i="21"/>
  <c r="G2052" i="21" s="1"/>
  <c r="E2056" i="21"/>
  <c r="G2056" i="21" s="1"/>
  <c r="E2068" i="21"/>
  <c r="G2068" i="21" s="1"/>
  <c r="E2072" i="21"/>
  <c r="G2072" i="21" s="1"/>
  <c r="E2084" i="21"/>
  <c r="G2084" i="21" s="1"/>
  <c r="E2088" i="21"/>
  <c r="G2088" i="21" s="1"/>
  <c r="E2063" i="21"/>
  <c r="G2063" i="21" s="1"/>
  <c r="E2087" i="21"/>
  <c r="G2087" i="21" s="1"/>
  <c r="E2005" i="21"/>
  <c r="G2005" i="21" s="1"/>
  <c r="E2013" i="21"/>
  <c r="G2013" i="21" s="1"/>
  <c r="E2021" i="21"/>
  <c r="G2021" i="21" s="1"/>
  <c r="E2029" i="21"/>
  <c r="G2029" i="21" s="1"/>
  <c r="E2033" i="21"/>
  <c r="G2033" i="21" s="1"/>
  <c r="E2045" i="21"/>
  <c r="G2045" i="21" s="1"/>
  <c r="E2049" i="21"/>
  <c r="G2049" i="21" s="1"/>
  <c r="E2061" i="21"/>
  <c r="G2061" i="21" s="1"/>
  <c r="E2069" i="21"/>
  <c r="G2069" i="21" s="1"/>
  <c r="E2077" i="21"/>
  <c r="G2077" i="21" s="1"/>
  <c r="E2081" i="21"/>
  <c r="G2081" i="21" s="1"/>
  <c r="E2093" i="21"/>
  <c r="G2093" i="21" s="1"/>
  <c r="E2043" i="21"/>
  <c r="G2043" i="21" s="1"/>
  <c r="E2079" i="21"/>
  <c r="G2079" i="21" s="1"/>
  <c r="E2001" i="21"/>
  <c r="G2001" i="21" s="1"/>
  <c r="E2009" i="21"/>
  <c r="G2009" i="21" s="1"/>
  <c r="E2017" i="21"/>
  <c r="G2017" i="21" s="1"/>
  <c r="E2025" i="21"/>
  <c r="G2025" i="21" s="1"/>
  <c r="E2037" i="21"/>
  <c r="G2037" i="21" s="1"/>
  <c r="E2041" i="21"/>
  <c r="G2041" i="21" s="1"/>
  <c r="E2053" i="21"/>
  <c r="G2053" i="21" s="1"/>
  <c r="E2057" i="21"/>
  <c r="G2057" i="21" s="1"/>
  <c r="E2065" i="21"/>
  <c r="G2065" i="21" s="1"/>
  <c r="E2073" i="21"/>
  <c r="G2073" i="21" s="1"/>
  <c r="E2085" i="21"/>
  <c r="G2085" i="21" s="1"/>
  <c r="E2089" i="21"/>
  <c r="G2089" i="21" s="1"/>
  <c r="E2051" i="21"/>
  <c r="G2051" i="21" s="1"/>
  <c r="E2075" i="21"/>
  <c r="G2075" i="21" s="1"/>
  <c r="E2006" i="21"/>
  <c r="G2006" i="21" s="1"/>
  <c r="E2014" i="21"/>
  <c r="G2014" i="21" s="1"/>
  <c r="E2022" i="21"/>
  <c r="G2022" i="21" s="1"/>
  <c r="E2030" i="21"/>
  <c r="G2030" i="21" s="1"/>
  <c r="E2038" i="21"/>
  <c r="G2038" i="21" s="1"/>
  <c r="E2046" i="21"/>
  <c r="G2046" i="21" s="1"/>
  <c r="E2054" i="21"/>
  <c r="G2054" i="21" s="1"/>
  <c r="E2062" i="21"/>
  <c r="G2062" i="21" s="1"/>
  <c r="E2066" i="21"/>
  <c r="G2066" i="21" s="1"/>
  <c r="E2078" i="21"/>
  <c r="G2078" i="21" s="1"/>
  <c r="E2086" i="21"/>
  <c r="G2086" i="21" s="1"/>
  <c r="E2090" i="21"/>
  <c r="G2090" i="21" s="1"/>
  <c r="E2035" i="21"/>
  <c r="G2035" i="21" s="1"/>
  <c r="E2055" i="21"/>
  <c r="G2055" i="21" s="1"/>
  <c r="E2091" i="21"/>
  <c r="G2091" i="21" s="1"/>
  <c r="E2002" i="21"/>
  <c r="G2002" i="21" s="1"/>
  <c r="E2010" i="21"/>
  <c r="G2010" i="21" s="1"/>
  <c r="E2018" i="21"/>
  <c r="G2018" i="21" s="1"/>
  <c r="E2026" i="21"/>
  <c r="G2026" i="21" s="1"/>
  <c r="E2034" i="21"/>
  <c r="G2034" i="21" s="1"/>
  <c r="E2042" i="21"/>
  <c r="G2042" i="21" s="1"/>
  <c r="E2050" i="21"/>
  <c r="G2050" i="21" s="1"/>
  <c r="E2058" i="21"/>
  <c r="G2058" i="21" s="1"/>
  <c r="E2070" i="21"/>
  <c r="G2070" i="21" s="1"/>
  <c r="E2074" i="21"/>
  <c r="G2074" i="21" s="1"/>
  <c r="E2082" i="21"/>
  <c r="G2082" i="21" s="1"/>
  <c r="E2094" i="21"/>
  <c r="G2094" i="21" s="1"/>
  <c r="E2039" i="21"/>
  <c r="G2039" i="21" s="1"/>
  <c r="E2059" i="21"/>
  <c r="G2059" i="21" s="1"/>
  <c r="E2083" i="21"/>
  <c r="G2083" i="21" s="1"/>
  <c r="E2003" i="21"/>
  <c r="G2003" i="21" s="1"/>
  <c r="E2007" i="21"/>
  <c r="G2007" i="21" s="1"/>
  <c r="E2011" i="21"/>
  <c r="G2011" i="21" s="1"/>
  <c r="E2015" i="21"/>
  <c r="G2015" i="21" s="1"/>
  <c r="E2019" i="21"/>
  <c r="G2019" i="21" s="1"/>
  <c r="E2023" i="21"/>
  <c r="G2023" i="21" s="1"/>
  <c r="E2027" i="21"/>
  <c r="G2027" i="21" s="1"/>
  <c r="E2031" i="21"/>
  <c r="G2031" i="21" s="1"/>
  <c r="E2047" i="21"/>
  <c r="G2047" i="21" s="1"/>
  <c r="E2071" i="21"/>
  <c r="G2071" i="21" s="1"/>
  <c r="A3623" i="21"/>
  <c r="A3631" i="21"/>
  <c r="E168" i="46"/>
  <c r="F1" i="35"/>
  <c r="I1" i="19"/>
  <c r="I3" i="21"/>
  <c r="L2" i="47"/>
  <c r="A1" i="36"/>
  <c r="I2801" i="19" l="1"/>
  <c r="E228" i="55"/>
  <c r="G228" i="55" s="1"/>
  <c r="E201" i="55"/>
  <c r="G201" i="55" s="1"/>
  <c r="E232" i="55"/>
  <c r="G232" i="55" s="1"/>
  <c r="E220" i="55"/>
  <c r="G220" i="55" s="1"/>
  <c r="E224" i="55"/>
  <c r="G224" i="55" s="1"/>
  <c r="E210" i="55"/>
  <c r="G210" i="55" s="1"/>
  <c r="E203" i="55"/>
  <c r="G203" i="55" s="1"/>
  <c r="E226" i="55"/>
  <c r="G226" i="55" s="1"/>
  <c r="E187" i="55"/>
  <c r="G187" i="55" s="1"/>
  <c r="E213" i="55"/>
  <c r="G213" i="55" s="1"/>
  <c r="E193" i="55"/>
  <c r="G193" i="55" s="1"/>
  <c r="E214" i="55"/>
  <c r="G214" i="55" s="1"/>
  <c r="E216" i="55"/>
  <c r="G216" i="55" s="1"/>
  <c r="E195" i="55"/>
  <c r="G195" i="55" s="1"/>
  <c r="E197" i="55"/>
  <c r="G197" i="55" s="1"/>
  <c r="E227" i="55"/>
  <c r="G227" i="55" s="1"/>
  <c r="E230" i="55"/>
  <c r="G230" i="55" s="1"/>
  <c r="E198" i="55"/>
  <c r="G198" i="55" s="1"/>
  <c r="E231" i="55"/>
  <c r="G231" i="55" s="1"/>
  <c r="E188" i="55"/>
  <c r="G188" i="55" s="1"/>
  <c r="E221" i="55"/>
  <c r="G221" i="55" s="1"/>
  <c r="E217" i="55"/>
  <c r="G217" i="55" s="1"/>
  <c r="E222" i="55"/>
  <c r="G222" i="55" s="1"/>
  <c r="E204" i="55"/>
  <c r="G204" i="55" s="1"/>
  <c r="E223" i="55"/>
  <c r="G223" i="55" s="1"/>
  <c r="E202" i="55"/>
  <c r="G202" i="55" s="1"/>
  <c r="E208" i="55"/>
  <c r="G208" i="55" s="1"/>
  <c r="E189" i="55"/>
  <c r="G189" i="55" s="1"/>
  <c r="E191" i="55"/>
  <c r="G191" i="55" s="1"/>
  <c r="E209" i="55"/>
  <c r="G209" i="55" s="1"/>
  <c r="E218" i="55"/>
  <c r="G218" i="55" s="1"/>
  <c r="E184" i="55"/>
  <c r="G184" i="55" s="1"/>
  <c r="E183" i="55"/>
  <c r="G183" i="55" s="1"/>
  <c r="E206" i="55"/>
  <c r="G206" i="55" s="1"/>
  <c r="E1927" i="21"/>
  <c r="G1927" i="21" s="1"/>
  <c r="E194" i="55"/>
  <c r="G194" i="55" s="1"/>
  <c r="E229" i="55"/>
  <c r="G229" i="55" s="1"/>
  <c r="E186" i="55"/>
  <c r="G186" i="55" s="1"/>
  <c r="E190" i="55"/>
  <c r="G190" i="55" s="1"/>
  <c r="E215" i="55"/>
  <c r="G215" i="55" s="1"/>
  <c r="E185" i="55"/>
  <c r="G185" i="55" s="1"/>
  <c r="E207" i="55"/>
  <c r="G207" i="55" s="1"/>
  <c r="E196" i="55"/>
  <c r="G196" i="55" s="1"/>
  <c r="E212" i="55"/>
  <c r="G212" i="55" s="1"/>
  <c r="E199" i="55"/>
  <c r="G199" i="55" s="1"/>
  <c r="E181" i="55"/>
  <c r="G181" i="55" s="1"/>
  <c r="E219" i="55"/>
  <c r="G219" i="55" s="1"/>
  <c r="E200" i="55"/>
  <c r="G200" i="55" s="1"/>
  <c r="E205" i="55"/>
  <c r="G205" i="55" s="1"/>
  <c r="E211" i="55"/>
  <c r="G211" i="55" s="1"/>
  <c r="E182" i="55"/>
  <c r="G182" i="55" s="1"/>
  <c r="E225" i="55"/>
  <c r="G225" i="55" s="1"/>
  <c r="E180" i="55"/>
  <c r="G180" i="55" s="1"/>
  <c r="B933" i="55"/>
  <c r="D3614" i="21"/>
  <c r="B1109" i="55"/>
  <c r="E19" i="58"/>
  <c r="K59" i="58"/>
  <c r="E61" i="58"/>
  <c r="K61" i="58" s="1"/>
  <c r="E1929" i="21"/>
  <c r="G1929" i="21" s="1"/>
  <c r="E1976" i="21"/>
  <c r="G1976" i="21" s="1"/>
  <c r="E1977" i="21"/>
  <c r="G1977" i="21" s="1"/>
  <c r="E1983" i="21"/>
  <c r="G1983" i="21" s="1"/>
  <c r="E1973" i="21"/>
  <c r="G1973" i="21" s="1"/>
  <c r="E1974" i="21"/>
  <c r="G1974" i="21" s="1"/>
  <c r="E1979" i="21"/>
  <c r="G1979" i="21" s="1"/>
  <c r="E1996" i="21"/>
  <c r="G1996" i="21" s="1"/>
  <c r="E1991" i="21"/>
  <c r="G1991" i="21" s="1"/>
  <c r="E1967" i="21"/>
  <c r="G1967" i="21" s="1"/>
  <c r="E1980" i="21"/>
  <c r="G1980" i="21" s="1"/>
  <c r="E1992" i="21"/>
  <c r="G1992" i="21" s="1"/>
  <c r="E1970" i="21"/>
  <c r="G1970" i="21" s="1"/>
  <c r="E1933" i="21"/>
  <c r="G1933" i="21" s="1"/>
  <c r="E1994" i="21"/>
  <c r="G1994" i="21" s="1"/>
  <c r="E1999" i="21"/>
  <c r="G1999" i="21" s="1"/>
  <c r="E1926" i="21"/>
  <c r="G1926" i="21" s="1"/>
  <c r="E1993" i="21"/>
  <c r="G1993" i="21" s="1"/>
  <c r="E1997" i="21"/>
  <c r="G1997" i="21" s="1"/>
  <c r="E1971" i="21"/>
  <c r="G1971" i="21" s="1"/>
  <c r="E1975" i="21"/>
  <c r="G1975" i="21" s="1"/>
  <c r="E1981" i="21"/>
  <c r="G1981" i="21" s="1"/>
  <c r="E1972" i="21"/>
  <c r="G1972" i="21" s="1"/>
  <c r="E1998" i="21"/>
  <c r="G1998" i="21" s="1"/>
  <c r="E1990" i="21"/>
  <c r="G1990" i="21" s="1"/>
  <c r="E47" i="58"/>
  <c r="K47" i="58" s="1"/>
  <c r="E68" i="58"/>
  <c r="K68" i="58" s="1"/>
  <c r="E40" i="58"/>
  <c r="K40" i="58" s="1"/>
  <c r="K41" i="58"/>
  <c r="E26" i="58"/>
  <c r="K20" i="58"/>
  <c r="E33" i="58"/>
  <c r="K33" i="58" s="1"/>
  <c r="E1995" i="21"/>
  <c r="G1995" i="21" s="1"/>
  <c r="E1968" i="21"/>
  <c r="G1968" i="21" s="1"/>
  <c r="E1969" i="21"/>
  <c r="G1969" i="21" s="1"/>
  <c r="E1978" i="21"/>
  <c r="G1978" i="21" s="1"/>
  <c r="E1950" i="21"/>
  <c r="G1950" i="21" s="1"/>
  <c r="E1932" i="21"/>
  <c r="G1932" i="21" s="1"/>
  <c r="E1928" i="21"/>
  <c r="G1928" i="21" s="1"/>
  <c r="E1985" i="21"/>
  <c r="G1985" i="21" s="1"/>
  <c r="E1989" i="21"/>
  <c r="G1989" i="21" s="1"/>
  <c r="E1986" i="21"/>
  <c r="G1986" i="21" s="1"/>
  <c r="E1987" i="21"/>
  <c r="G1987" i="21" s="1"/>
  <c r="E1982" i="21"/>
  <c r="G1982" i="21" s="1"/>
  <c r="E1966" i="21"/>
  <c r="G1966" i="21" s="1"/>
  <c r="E1984" i="21"/>
  <c r="G1984" i="21" s="1"/>
  <c r="E1988" i="21"/>
  <c r="G1988" i="21" s="1"/>
  <c r="E1931" i="21"/>
  <c r="G1931" i="21" s="1"/>
  <c r="E1936" i="21"/>
  <c r="G1936" i="21" s="1"/>
  <c r="E1963" i="21"/>
  <c r="G1963" i="21" s="1"/>
  <c r="E1964" i="21"/>
  <c r="G1964" i="21" s="1"/>
  <c r="E1961" i="21"/>
  <c r="G1961" i="21" s="1"/>
  <c r="E1965" i="21"/>
  <c r="G1965" i="21" s="1"/>
  <c r="E1962" i="21"/>
  <c r="G1962" i="21" s="1"/>
  <c r="E1938" i="21"/>
  <c r="G1938" i="21" s="1"/>
  <c r="E1959" i="21"/>
  <c r="G1959" i="21" s="1"/>
  <c r="E1960" i="21"/>
  <c r="G1960" i="21" s="1"/>
  <c r="E1955" i="21"/>
  <c r="G1955" i="21" s="1"/>
  <c r="E1951" i="21"/>
  <c r="G1951" i="21" s="1"/>
  <c r="E1949" i="21"/>
  <c r="G1949" i="21" s="1"/>
  <c r="E1935" i="21"/>
  <c r="G1935" i="21" s="1"/>
  <c r="E1930" i="21"/>
  <c r="G1930" i="21" s="1"/>
  <c r="E1944" i="21"/>
  <c r="G1944" i="21" s="1"/>
  <c r="E1948" i="21"/>
  <c r="G1948" i="21" s="1"/>
  <c r="E1952" i="21"/>
  <c r="G1952" i="21" s="1"/>
  <c r="E1956" i="21"/>
  <c r="G1956" i="21" s="1"/>
  <c r="E1947" i="21"/>
  <c r="G1947" i="21" s="1"/>
  <c r="E1953" i="21"/>
  <c r="G1953" i="21" s="1"/>
  <c r="E1957" i="21"/>
  <c r="G1957" i="21" s="1"/>
  <c r="E1940" i="21"/>
  <c r="G1940" i="21" s="1"/>
  <c r="E1934" i="21"/>
  <c r="G1934" i="21" s="1"/>
  <c r="E1942" i="21"/>
  <c r="G1942" i="21" s="1"/>
  <c r="E1943" i="21"/>
  <c r="G1943" i="21" s="1"/>
  <c r="E1954" i="21"/>
  <c r="G1954" i="21" s="1"/>
  <c r="E1945" i="21"/>
  <c r="G1945" i="21" s="1"/>
  <c r="E1939" i="21"/>
  <c r="G1939" i="21" s="1"/>
  <c r="E1946" i="21"/>
  <c r="G1946" i="21" s="1"/>
  <c r="E1958" i="21"/>
  <c r="G1958" i="21" s="1"/>
  <c r="E1937" i="21"/>
  <c r="G1937" i="21" s="1"/>
  <c r="E1941" i="21"/>
  <c r="G1941" i="21" s="1"/>
  <c r="B2681" i="21"/>
  <c r="J2925" i="19"/>
  <c r="I2925" i="19"/>
  <c r="H2925" i="19"/>
  <c r="G2925" i="19"/>
  <c r="F2925" i="19"/>
  <c r="E2925" i="19"/>
  <c r="D2925" i="19"/>
  <c r="C2925" i="19"/>
  <c r="B2891" i="19"/>
  <c r="E869" i="46"/>
  <c r="E870" i="46"/>
  <c r="E1028" i="46"/>
  <c r="E1265" i="46"/>
  <c r="E1595" i="46"/>
  <c r="E9" i="46"/>
  <c r="B876" i="21" s="1"/>
  <c r="E10" i="46"/>
  <c r="B877" i="21" s="1"/>
  <c r="D877" i="21" s="1"/>
  <c r="E11" i="46"/>
  <c r="B878" i="21" s="1"/>
  <c r="D878" i="21" s="1"/>
  <c r="E12" i="46"/>
  <c r="B879" i="21" s="1"/>
  <c r="D879" i="21" s="1"/>
  <c r="E13" i="46"/>
  <c r="B880" i="21" s="1"/>
  <c r="D880" i="21" s="1"/>
  <c r="E14" i="46"/>
  <c r="B881" i="21" s="1"/>
  <c r="D881" i="21" s="1"/>
  <c r="E15" i="46"/>
  <c r="B882" i="21" s="1"/>
  <c r="D882" i="21" s="1"/>
  <c r="E16" i="46"/>
  <c r="B883" i="21" s="1"/>
  <c r="D883" i="21" s="1"/>
  <c r="E17" i="46"/>
  <c r="B884" i="21" s="1"/>
  <c r="E18" i="46"/>
  <c r="B885" i="21" s="1"/>
  <c r="D885" i="21" s="1"/>
  <c r="E19" i="46"/>
  <c r="B886" i="21" s="1"/>
  <c r="D886" i="21" s="1"/>
  <c r="E20" i="46"/>
  <c r="B887" i="21" s="1"/>
  <c r="D887" i="21" s="1"/>
  <c r="E21" i="46"/>
  <c r="B888" i="21" s="1"/>
  <c r="D888" i="21" s="1"/>
  <c r="E22" i="46"/>
  <c r="B889" i="21" s="1"/>
  <c r="D889" i="21" s="1"/>
  <c r="E23" i="46"/>
  <c r="B890" i="21" s="1"/>
  <c r="D890" i="21" s="1"/>
  <c r="E24" i="46"/>
  <c r="B891" i="21" s="1"/>
  <c r="D891" i="21" s="1"/>
  <c r="E25" i="46"/>
  <c r="B892" i="21" s="1"/>
  <c r="D892" i="21" s="1"/>
  <c r="E26" i="46"/>
  <c r="B893" i="21" s="1"/>
  <c r="D893" i="21" s="1"/>
  <c r="E27" i="46"/>
  <c r="B894" i="21" s="1"/>
  <c r="D894" i="21" s="1"/>
  <c r="E28" i="46"/>
  <c r="B895" i="21" s="1"/>
  <c r="D895" i="21" s="1"/>
  <c r="E29" i="46"/>
  <c r="B896" i="21" s="1"/>
  <c r="D896" i="21" s="1"/>
  <c r="E30" i="46"/>
  <c r="B897" i="21" s="1"/>
  <c r="D897" i="21" s="1"/>
  <c r="E31" i="46"/>
  <c r="B898" i="21" s="1"/>
  <c r="D898" i="21" s="1"/>
  <c r="E32" i="46"/>
  <c r="B899" i="21" s="1"/>
  <c r="D899" i="21" s="1"/>
  <c r="E33" i="46"/>
  <c r="B900" i="21" s="1"/>
  <c r="D900" i="21" s="1"/>
  <c r="E34" i="46"/>
  <c r="B901" i="21" s="1"/>
  <c r="D901" i="21" s="1"/>
  <c r="E35" i="46"/>
  <c r="B902" i="21" s="1"/>
  <c r="D902" i="21" s="1"/>
  <c r="E36" i="46"/>
  <c r="B903" i="21" s="1"/>
  <c r="D903" i="21" s="1"/>
  <c r="E37" i="46"/>
  <c r="B904" i="21" s="1"/>
  <c r="D904" i="21" s="1"/>
  <c r="E38" i="46"/>
  <c r="B905" i="21" s="1"/>
  <c r="D905" i="21" s="1"/>
  <c r="E39" i="46"/>
  <c r="B906" i="21" s="1"/>
  <c r="D906" i="21" s="1"/>
  <c r="E40" i="46"/>
  <c r="B907" i="21" s="1"/>
  <c r="D907" i="21" s="1"/>
  <c r="E41" i="46"/>
  <c r="B908" i="21" s="1"/>
  <c r="D908" i="21" s="1"/>
  <c r="E42" i="46"/>
  <c r="B909" i="21" s="1"/>
  <c r="D909" i="21" s="1"/>
  <c r="E43" i="46"/>
  <c r="B910" i="21" s="1"/>
  <c r="D910" i="21" s="1"/>
  <c r="E44" i="46"/>
  <c r="B911" i="21" s="1"/>
  <c r="D911" i="21" s="1"/>
  <c r="E45" i="46"/>
  <c r="B912" i="21" s="1"/>
  <c r="D912" i="21" s="1"/>
  <c r="E46" i="46"/>
  <c r="B913" i="21" s="1"/>
  <c r="D913" i="21" s="1"/>
  <c r="E47" i="46"/>
  <c r="B914" i="21" s="1"/>
  <c r="D914" i="21" s="1"/>
  <c r="E48" i="46"/>
  <c r="B915" i="21" s="1"/>
  <c r="D915" i="21" s="1"/>
  <c r="E49" i="46"/>
  <c r="B916" i="21" s="1"/>
  <c r="D916" i="21" s="1"/>
  <c r="E50" i="46"/>
  <c r="B917" i="21" s="1"/>
  <c r="D917" i="21" s="1"/>
  <c r="E51" i="46"/>
  <c r="B918" i="21" s="1"/>
  <c r="D918" i="21" s="1"/>
  <c r="E52" i="46"/>
  <c r="B919" i="21" s="1"/>
  <c r="D919" i="21" s="1"/>
  <c r="E53" i="46"/>
  <c r="B920" i="21" s="1"/>
  <c r="D920" i="21" s="1"/>
  <c r="E54" i="46"/>
  <c r="B921" i="21" s="1"/>
  <c r="D921" i="21" s="1"/>
  <c r="E55" i="46"/>
  <c r="B922" i="21" s="1"/>
  <c r="D922" i="21" s="1"/>
  <c r="E56" i="46"/>
  <c r="B923" i="21" s="1"/>
  <c r="D923" i="21" s="1"/>
  <c r="E57" i="46"/>
  <c r="B924" i="21" s="1"/>
  <c r="D924" i="21" s="1"/>
  <c r="E58" i="46"/>
  <c r="B925" i="21" s="1"/>
  <c r="D925" i="21" s="1"/>
  <c r="E59" i="46"/>
  <c r="B926" i="21" s="1"/>
  <c r="D926" i="21" s="1"/>
  <c r="E60" i="46"/>
  <c r="B927" i="21" s="1"/>
  <c r="D927" i="21" s="1"/>
  <c r="E61" i="46"/>
  <c r="B928" i="21" s="1"/>
  <c r="D928" i="21" s="1"/>
  <c r="E62" i="46"/>
  <c r="B929" i="21" s="1"/>
  <c r="D929" i="21" s="1"/>
  <c r="E63" i="46"/>
  <c r="B930" i="21" s="1"/>
  <c r="D930" i="21" s="1"/>
  <c r="E64" i="46"/>
  <c r="B931" i="21" s="1"/>
  <c r="D931" i="21" s="1"/>
  <c r="E65" i="46"/>
  <c r="B932" i="21" s="1"/>
  <c r="D932" i="21" s="1"/>
  <c r="E66" i="46"/>
  <c r="B933" i="21" s="1"/>
  <c r="D933" i="21" s="1"/>
  <c r="E67" i="46"/>
  <c r="B934" i="21" s="1"/>
  <c r="D934" i="21" s="1"/>
  <c r="E68" i="46"/>
  <c r="B935" i="21" s="1"/>
  <c r="D935" i="21" s="1"/>
  <c r="E69" i="46"/>
  <c r="B936" i="21" s="1"/>
  <c r="D936" i="21" s="1"/>
  <c r="E70" i="46"/>
  <c r="B937" i="21" s="1"/>
  <c r="D937" i="21" s="1"/>
  <c r="E71" i="46"/>
  <c r="B938" i="21" s="1"/>
  <c r="D938" i="21" s="1"/>
  <c r="E72" i="46"/>
  <c r="B939" i="21" s="1"/>
  <c r="D939" i="21" s="1"/>
  <c r="E73" i="46"/>
  <c r="B940" i="21" s="1"/>
  <c r="D940" i="21" s="1"/>
  <c r="E74" i="46"/>
  <c r="B941" i="21" s="1"/>
  <c r="D941" i="21" s="1"/>
  <c r="E75" i="46"/>
  <c r="B942" i="21" s="1"/>
  <c r="D942" i="21" s="1"/>
  <c r="E76" i="46"/>
  <c r="B943" i="21" s="1"/>
  <c r="D943" i="21" s="1"/>
  <c r="E77" i="46"/>
  <c r="B944" i="21" s="1"/>
  <c r="D944" i="21" s="1"/>
  <c r="E78" i="46"/>
  <c r="B945" i="21" s="1"/>
  <c r="D945" i="21" s="1"/>
  <c r="E79" i="46"/>
  <c r="B946" i="21" s="1"/>
  <c r="D946" i="21" s="1"/>
  <c r="E80" i="46"/>
  <c r="B947" i="21" s="1"/>
  <c r="D947" i="21" s="1"/>
  <c r="E81" i="46"/>
  <c r="B948" i="21" s="1"/>
  <c r="D948" i="21" s="1"/>
  <c r="E82" i="46"/>
  <c r="B949" i="21" s="1"/>
  <c r="D949" i="21" s="1"/>
  <c r="E83" i="46"/>
  <c r="B950" i="21" s="1"/>
  <c r="D950" i="21" s="1"/>
  <c r="E84" i="46"/>
  <c r="B951" i="21" s="1"/>
  <c r="D951" i="21" s="1"/>
  <c r="E85" i="46"/>
  <c r="B952" i="21" s="1"/>
  <c r="D952" i="21" s="1"/>
  <c r="E86" i="46"/>
  <c r="B953" i="21" s="1"/>
  <c r="D953" i="21" s="1"/>
  <c r="E87" i="46"/>
  <c r="B954" i="21" s="1"/>
  <c r="D954" i="21" s="1"/>
  <c r="E88" i="46"/>
  <c r="B955" i="21" s="1"/>
  <c r="D955" i="21" s="1"/>
  <c r="E89" i="46"/>
  <c r="B956" i="21" s="1"/>
  <c r="D956" i="21" s="1"/>
  <c r="E90" i="46"/>
  <c r="B957" i="21" s="1"/>
  <c r="D957" i="21" s="1"/>
  <c r="E91" i="46"/>
  <c r="B958" i="21" s="1"/>
  <c r="D958" i="21" s="1"/>
  <c r="E92" i="46"/>
  <c r="B959" i="21" s="1"/>
  <c r="D959" i="21" s="1"/>
  <c r="E93" i="46"/>
  <c r="B960" i="21" s="1"/>
  <c r="D960" i="21" s="1"/>
  <c r="E94" i="46"/>
  <c r="B961" i="21" s="1"/>
  <c r="D961" i="21" s="1"/>
  <c r="E95" i="46"/>
  <c r="B962" i="21" s="1"/>
  <c r="D962" i="21" s="1"/>
  <c r="E96" i="46"/>
  <c r="B963" i="21" s="1"/>
  <c r="D963" i="21" s="1"/>
  <c r="E97" i="46"/>
  <c r="B964" i="21" s="1"/>
  <c r="D964" i="21" s="1"/>
  <c r="E98" i="46"/>
  <c r="B965" i="21" s="1"/>
  <c r="D965" i="21" s="1"/>
  <c r="E99" i="46"/>
  <c r="B966" i="21" s="1"/>
  <c r="D966" i="21" s="1"/>
  <c r="E100" i="46"/>
  <c r="B967" i="21" s="1"/>
  <c r="D967" i="21" s="1"/>
  <c r="E101" i="46"/>
  <c r="B968" i="21" s="1"/>
  <c r="D968" i="21" s="1"/>
  <c r="E102" i="46"/>
  <c r="B969" i="21" s="1"/>
  <c r="D969" i="21" s="1"/>
  <c r="E103" i="46"/>
  <c r="B970" i="21" s="1"/>
  <c r="D970" i="21" s="1"/>
  <c r="E104" i="46"/>
  <c r="B971" i="21" s="1"/>
  <c r="D971" i="21" s="1"/>
  <c r="E105" i="46"/>
  <c r="B972" i="21" s="1"/>
  <c r="D972" i="21" s="1"/>
  <c r="E106" i="46"/>
  <c r="B973" i="21" s="1"/>
  <c r="D973" i="21" s="1"/>
  <c r="E107" i="46"/>
  <c r="B974" i="21" s="1"/>
  <c r="D974" i="21" s="1"/>
  <c r="E108" i="46"/>
  <c r="B975" i="21" s="1"/>
  <c r="D975" i="21" s="1"/>
  <c r="E109" i="46"/>
  <c r="B976" i="21" s="1"/>
  <c r="D976" i="21" s="1"/>
  <c r="E110" i="46"/>
  <c r="B977" i="21" s="1"/>
  <c r="D977" i="21" s="1"/>
  <c r="E111" i="46"/>
  <c r="B978" i="21" s="1"/>
  <c r="D978" i="21" s="1"/>
  <c r="E112" i="46"/>
  <c r="B979" i="21" s="1"/>
  <c r="D979" i="21" s="1"/>
  <c r="E113" i="46"/>
  <c r="B980" i="21" s="1"/>
  <c r="D980" i="21" s="1"/>
  <c r="E114" i="46"/>
  <c r="B981" i="21" s="1"/>
  <c r="D981" i="21" s="1"/>
  <c r="E115" i="46"/>
  <c r="B982" i="21" s="1"/>
  <c r="D982" i="21" s="1"/>
  <c r="E116" i="46"/>
  <c r="B983" i="21" s="1"/>
  <c r="D983" i="21" s="1"/>
  <c r="E117" i="46"/>
  <c r="B984" i="21" s="1"/>
  <c r="D984" i="21" s="1"/>
  <c r="E118" i="46"/>
  <c r="B985" i="21" s="1"/>
  <c r="D985" i="21" s="1"/>
  <c r="E119" i="46"/>
  <c r="B986" i="21" s="1"/>
  <c r="D986" i="21" s="1"/>
  <c r="E120" i="46"/>
  <c r="B987" i="21" s="1"/>
  <c r="D987" i="21" s="1"/>
  <c r="E121" i="46"/>
  <c r="B988" i="21" s="1"/>
  <c r="D988" i="21" s="1"/>
  <c r="E122" i="46"/>
  <c r="B989" i="21" s="1"/>
  <c r="D989" i="21" s="1"/>
  <c r="E123" i="46"/>
  <c r="B990" i="21" s="1"/>
  <c r="D990" i="21" s="1"/>
  <c r="E124" i="46"/>
  <c r="B991" i="21" s="1"/>
  <c r="D991" i="21" s="1"/>
  <c r="E125" i="46"/>
  <c r="B992" i="21" s="1"/>
  <c r="D992" i="21" s="1"/>
  <c r="E126" i="46"/>
  <c r="B993" i="21" s="1"/>
  <c r="D993" i="21" s="1"/>
  <c r="E127" i="46"/>
  <c r="B994" i="21" s="1"/>
  <c r="D994" i="21" s="1"/>
  <c r="E128" i="46"/>
  <c r="B995" i="21" s="1"/>
  <c r="D995" i="21" s="1"/>
  <c r="E129" i="46"/>
  <c r="B996" i="21" s="1"/>
  <c r="D996" i="21" s="1"/>
  <c r="E130" i="46"/>
  <c r="B997" i="21" s="1"/>
  <c r="D997" i="21" s="1"/>
  <c r="E131" i="46"/>
  <c r="B998" i="21" s="1"/>
  <c r="D998" i="21" s="1"/>
  <c r="E132" i="46"/>
  <c r="B999" i="21" s="1"/>
  <c r="D999" i="21" s="1"/>
  <c r="E133" i="46"/>
  <c r="B1000" i="21" s="1"/>
  <c r="D1000" i="21" s="1"/>
  <c r="E134" i="46"/>
  <c r="B1001" i="21" s="1"/>
  <c r="D1001" i="21" s="1"/>
  <c r="E135" i="46"/>
  <c r="B1002" i="21" s="1"/>
  <c r="D1002" i="21" s="1"/>
  <c r="E136" i="46"/>
  <c r="B1003" i="21" s="1"/>
  <c r="D1003" i="21" s="1"/>
  <c r="E137" i="46"/>
  <c r="B1004" i="21" s="1"/>
  <c r="D1004" i="21" s="1"/>
  <c r="E138" i="46"/>
  <c r="B1005" i="21" s="1"/>
  <c r="D1005" i="21" s="1"/>
  <c r="E139" i="46"/>
  <c r="B1006" i="21" s="1"/>
  <c r="D1006" i="21" s="1"/>
  <c r="E140" i="46"/>
  <c r="B1007" i="21" s="1"/>
  <c r="D1007" i="21" s="1"/>
  <c r="E141" i="46"/>
  <c r="B1008" i="21" s="1"/>
  <c r="D1008" i="21" s="1"/>
  <c r="E142" i="46"/>
  <c r="B1009" i="21" s="1"/>
  <c r="D1009" i="21" s="1"/>
  <c r="E143" i="46"/>
  <c r="B1010" i="21" s="1"/>
  <c r="D1010" i="21" s="1"/>
  <c r="E144" i="46"/>
  <c r="B1011" i="21" s="1"/>
  <c r="D1011" i="21" s="1"/>
  <c r="E145" i="46"/>
  <c r="B1012" i="21" s="1"/>
  <c r="D1012" i="21" s="1"/>
  <c r="E146" i="46"/>
  <c r="B1013" i="21" s="1"/>
  <c r="D1013" i="21" s="1"/>
  <c r="E147" i="46"/>
  <c r="B1014" i="21" s="1"/>
  <c r="D1014" i="21" s="1"/>
  <c r="E148" i="46"/>
  <c r="B1015" i="21" s="1"/>
  <c r="D1015" i="21" s="1"/>
  <c r="E149" i="46"/>
  <c r="B1016" i="21" s="1"/>
  <c r="D1016" i="21" s="1"/>
  <c r="E150" i="46"/>
  <c r="B1017" i="21" s="1"/>
  <c r="D1017" i="21" s="1"/>
  <c r="E151" i="46"/>
  <c r="B1018" i="21" s="1"/>
  <c r="D1018" i="21" s="1"/>
  <c r="E152" i="46"/>
  <c r="B1019" i="21" s="1"/>
  <c r="D1019" i="21" s="1"/>
  <c r="E153" i="46"/>
  <c r="B1020" i="21" s="1"/>
  <c r="D1020" i="21" s="1"/>
  <c r="E154" i="46"/>
  <c r="B1021" i="21" s="1"/>
  <c r="D1021" i="21" s="1"/>
  <c r="E155" i="46"/>
  <c r="B1022" i="21" s="1"/>
  <c r="D1022" i="21" s="1"/>
  <c r="E156" i="46"/>
  <c r="B1023" i="21" s="1"/>
  <c r="D1023" i="21" s="1"/>
  <c r="E157" i="46"/>
  <c r="B1024" i="21" s="1"/>
  <c r="D1024" i="21" s="1"/>
  <c r="E158" i="46"/>
  <c r="B1025" i="21" s="1"/>
  <c r="D1025" i="21" s="1"/>
  <c r="E163" i="46"/>
  <c r="B1030" i="21" s="1"/>
  <c r="D1030" i="21" s="1"/>
  <c r="E164" i="46"/>
  <c r="B1031" i="21" s="1"/>
  <c r="D1031" i="21" s="1"/>
  <c r="E165" i="46"/>
  <c r="B1032" i="21" s="1"/>
  <c r="D1032" i="21" s="1"/>
  <c r="E166" i="46"/>
  <c r="B1033" i="21" s="1"/>
  <c r="D1033" i="21" s="1"/>
  <c r="E167" i="46"/>
  <c r="B1034" i="21" s="1"/>
  <c r="D1034" i="21" s="1"/>
  <c r="E405" i="46"/>
  <c r="E735" i="46"/>
  <c r="D2881" i="19"/>
  <c r="C2881" i="19"/>
  <c r="E860" i="46" l="1"/>
  <c r="D1109" i="55"/>
  <c r="D1865" i="55" s="1"/>
  <c r="B1865" i="55"/>
  <c r="G933" i="55"/>
  <c r="E933" i="55"/>
  <c r="E75" i="58"/>
  <c r="K19" i="58"/>
  <c r="E2681" i="21"/>
  <c r="G1925" i="21"/>
  <c r="G2681" i="21" s="1"/>
  <c r="C868" i="21"/>
  <c r="L76" i="47"/>
  <c r="L77" i="47"/>
  <c r="L79" i="47"/>
  <c r="L11" i="47"/>
  <c r="E868" i="46"/>
  <c r="E1720" i="46" s="1"/>
  <c r="A1265" i="46"/>
  <c r="A1028" i="46"/>
  <c r="A868" i="46"/>
  <c r="B8" i="21" s="1"/>
  <c r="D860" i="46"/>
  <c r="N37" i="52" s="1"/>
  <c r="C31" i="58" l="1"/>
  <c r="K31" i="58" s="1"/>
  <c r="G160" i="21"/>
  <c r="I160" i="21" s="1"/>
  <c r="C27" i="58"/>
  <c r="K27" i="58" s="1"/>
  <c r="G158" i="21"/>
  <c r="I158" i="21" s="1"/>
  <c r="C18" i="58"/>
  <c r="B7" i="21"/>
  <c r="G128" i="21"/>
  <c r="B20" i="21"/>
  <c r="F20" i="21" s="1"/>
  <c r="B53" i="21"/>
  <c r="F53" i="21" s="1"/>
  <c r="B117" i="21"/>
  <c r="F117" i="21" s="1"/>
  <c r="B30" i="21"/>
  <c r="F30" i="21" s="1"/>
  <c r="B118" i="21"/>
  <c r="F118" i="21" s="1"/>
  <c r="B52" i="21"/>
  <c r="F52" i="21" s="1"/>
  <c r="B22" i="21"/>
  <c r="F22" i="21" s="1"/>
  <c r="B111" i="21"/>
  <c r="F111" i="21" s="1"/>
  <c r="B46" i="21"/>
  <c r="F46" i="21" s="1"/>
  <c r="B24" i="21"/>
  <c r="F24" i="21" s="1"/>
  <c r="B88" i="21"/>
  <c r="F88" i="21" s="1"/>
  <c r="B152" i="21"/>
  <c r="F152" i="21" s="1"/>
  <c r="B33" i="21"/>
  <c r="F33" i="21" s="1"/>
  <c r="B97" i="21"/>
  <c r="F97" i="21" s="1"/>
  <c r="B161" i="21"/>
  <c r="F161" i="21" s="1"/>
  <c r="B26" i="21"/>
  <c r="F26" i="21" s="1"/>
  <c r="B90" i="21"/>
  <c r="F90" i="21" s="1"/>
  <c r="B154" i="21"/>
  <c r="F154" i="21" s="1"/>
  <c r="B59" i="21"/>
  <c r="F59" i="21" s="1"/>
  <c r="B123" i="21"/>
  <c r="F123" i="21" s="1"/>
  <c r="B44" i="21"/>
  <c r="F44" i="21" s="1"/>
  <c r="B61" i="21"/>
  <c r="F61" i="21" s="1"/>
  <c r="B125" i="21"/>
  <c r="F125" i="21" s="1"/>
  <c r="B62" i="21"/>
  <c r="F62" i="21" s="1"/>
  <c r="B126" i="21"/>
  <c r="F126" i="21" s="1"/>
  <c r="B84" i="21"/>
  <c r="F84" i="21" s="1"/>
  <c r="B15" i="21"/>
  <c r="F15" i="21" s="1"/>
  <c r="B119" i="21"/>
  <c r="F119" i="21" s="1"/>
  <c r="B54" i="21"/>
  <c r="F54" i="21" s="1"/>
  <c r="B32" i="21"/>
  <c r="F32" i="21" s="1"/>
  <c r="B96" i="21"/>
  <c r="F96" i="21" s="1"/>
  <c r="B160" i="21"/>
  <c r="F160" i="21" s="1"/>
  <c r="B41" i="21"/>
  <c r="F41" i="21" s="1"/>
  <c r="B105" i="21"/>
  <c r="F105" i="21" s="1"/>
  <c r="B92" i="21"/>
  <c r="F92" i="21" s="1"/>
  <c r="B34" i="21"/>
  <c r="F34" i="21" s="1"/>
  <c r="B98" i="21"/>
  <c r="F98" i="21" s="1"/>
  <c r="B162" i="21"/>
  <c r="F162" i="21" s="1"/>
  <c r="B67" i="21"/>
  <c r="F67" i="21" s="1"/>
  <c r="B131" i="21"/>
  <c r="F131" i="21" s="1"/>
  <c r="B94" i="21"/>
  <c r="F94" i="21" s="1"/>
  <c r="B64" i="21"/>
  <c r="F64" i="21" s="1"/>
  <c r="B137" i="21"/>
  <c r="F137" i="21" s="1"/>
  <c r="B35" i="21"/>
  <c r="F35" i="21" s="1"/>
  <c r="B76" i="21"/>
  <c r="F76" i="21" s="1"/>
  <c r="B69" i="21"/>
  <c r="F69" i="21" s="1"/>
  <c r="B133" i="21"/>
  <c r="F133" i="21" s="1"/>
  <c r="B70" i="21"/>
  <c r="F70" i="21" s="1"/>
  <c r="B134" i="21"/>
  <c r="F134" i="21" s="1"/>
  <c r="B108" i="21"/>
  <c r="F108" i="21" s="1"/>
  <c r="B31" i="21"/>
  <c r="F31" i="21" s="1"/>
  <c r="B127" i="21"/>
  <c r="F127" i="21" s="1"/>
  <c r="B23" i="21"/>
  <c r="F23" i="21" s="1"/>
  <c r="B40" i="21"/>
  <c r="F40" i="21" s="1"/>
  <c r="B104" i="21"/>
  <c r="F104" i="21" s="1"/>
  <c r="B49" i="21"/>
  <c r="F49" i="21" s="1"/>
  <c r="B113" i="21"/>
  <c r="F113" i="21" s="1"/>
  <c r="B100" i="21"/>
  <c r="F100" i="21" s="1"/>
  <c r="B42" i="21"/>
  <c r="F42" i="21" s="1"/>
  <c r="B106" i="21"/>
  <c r="F106" i="21" s="1"/>
  <c r="B11" i="21"/>
  <c r="F11" i="21" s="1"/>
  <c r="B75" i="21"/>
  <c r="F75" i="21" s="1"/>
  <c r="B139" i="21"/>
  <c r="F139" i="21" s="1"/>
  <c r="B157" i="21"/>
  <c r="F157" i="21" s="1"/>
  <c r="B55" i="21"/>
  <c r="F55" i="21" s="1"/>
  <c r="B73" i="21"/>
  <c r="F73" i="21" s="1"/>
  <c r="B130" i="21"/>
  <c r="F130" i="21" s="1"/>
  <c r="B13" i="21"/>
  <c r="F13" i="21" s="1"/>
  <c r="B77" i="21"/>
  <c r="F77" i="21" s="1"/>
  <c r="B141" i="21"/>
  <c r="F141" i="21" s="1"/>
  <c r="B78" i="21"/>
  <c r="F78" i="21" s="1"/>
  <c r="B142" i="21"/>
  <c r="F142" i="21" s="1"/>
  <c r="B124" i="21"/>
  <c r="F124" i="21" s="1"/>
  <c r="B71" i="21"/>
  <c r="F71" i="21" s="1"/>
  <c r="B135" i="21"/>
  <c r="F135" i="21" s="1"/>
  <c r="B39" i="21"/>
  <c r="F39" i="21" s="1"/>
  <c r="B48" i="21"/>
  <c r="F48" i="21" s="1"/>
  <c r="B112" i="21"/>
  <c r="F112" i="21" s="1"/>
  <c r="B12" i="21"/>
  <c r="F12" i="21" s="1"/>
  <c r="B57" i="21"/>
  <c r="F57" i="21" s="1"/>
  <c r="B121" i="21"/>
  <c r="F121" i="21" s="1"/>
  <c r="B116" i="21"/>
  <c r="F116" i="21" s="1"/>
  <c r="B50" i="21"/>
  <c r="F50" i="21" s="1"/>
  <c r="B114" i="21"/>
  <c r="F114" i="21" s="1"/>
  <c r="B19" i="21"/>
  <c r="F19" i="21" s="1"/>
  <c r="B83" i="21"/>
  <c r="F83" i="21" s="1"/>
  <c r="B147" i="21"/>
  <c r="F147" i="21" s="1"/>
  <c r="B29" i="21"/>
  <c r="F29" i="21" s="1"/>
  <c r="B156" i="21"/>
  <c r="F156" i="21" s="1"/>
  <c r="B87" i="21"/>
  <c r="F87" i="21" s="1"/>
  <c r="B128" i="21"/>
  <c r="F128" i="21" s="1"/>
  <c r="B148" i="21"/>
  <c r="F148" i="21" s="1"/>
  <c r="B99" i="21"/>
  <c r="F99" i="21" s="1"/>
  <c r="B21" i="21"/>
  <c r="F21" i="21" s="1"/>
  <c r="B85" i="21"/>
  <c r="F85" i="21" s="1"/>
  <c r="B149" i="21"/>
  <c r="F149" i="21" s="1"/>
  <c r="B86" i="21"/>
  <c r="F86" i="21" s="1"/>
  <c r="B150" i="21"/>
  <c r="F150" i="21" s="1"/>
  <c r="B140" i="21"/>
  <c r="F140" i="21" s="1"/>
  <c r="B79" i="21"/>
  <c r="F79" i="21" s="1"/>
  <c r="B143" i="21"/>
  <c r="F143" i="21" s="1"/>
  <c r="B47" i="21"/>
  <c r="F47" i="21" s="1"/>
  <c r="B56" i="21"/>
  <c r="F56" i="21" s="1"/>
  <c r="B120" i="21"/>
  <c r="F120" i="21" s="1"/>
  <c r="B36" i="21"/>
  <c r="F36" i="21" s="1"/>
  <c r="B65" i="21"/>
  <c r="F65" i="21" s="1"/>
  <c r="B129" i="21"/>
  <c r="F129" i="21" s="1"/>
  <c r="B132" i="21"/>
  <c r="F132" i="21" s="1"/>
  <c r="B58" i="21"/>
  <c r="F58" i="21" s="1"/>
  <c r="B122" i="21"/>
  <c r="F122" i="21" s="1"/>
  <c r="B27" i="21"/>
  <c r="F27" i="21" s="1"/>
  <c r="B91" i="21"/>
  <c r="F91" i="21" s="1"/>
  <c r="B155" i="21"/>
  <c r="F155" i="21" s="1"/>
  <c r="B93" i="21"/>
  <c r="F93" i="21" s="1"/>
  <c r="B158" i="21"/>
  <c r="F158" i="21" s="1"/>
  <c r="B151" i="21"/>
  <c r="F151" i="21" s="1"/>
  <c r="B68" i="21"/>
  <c r="F68" i="21" s="1"/>
  <c r="B66" i="21"/>
  <c r="F66" i="21" s="1"/>
  <c r="B163" i="21"/>
  <c r="F163" i="21" s="1"/>
  <c r="B37" i="21"/>
  <c r="F37" i="21" s="1"/>
  <c r="B101" i="21"/>
  <c r="F101" i="21" s="1"/>
  <c r="B165" i="21"/>
  <c r="F165" i="21" s="1"/>
  <c r="B102" i="21"/>
  <c r="F102" i="21" s="1"/>
  <c r="B166" i="21"/>
  <c r="F166" i="21" s="1"/>
  <c r="B164" i="21"/>
  <c r="F164" i="21" s="1"/>
  <c r="B95" i="21"/>
  <c r="F95" i="21" s="1"/>
  <c r="B159" i="21"/>
  <c r="F159" i="21" s="1"/>
  <c r="B63" i="21"/>
  <c r="F63" i="21" s="1"/>
  <c r="B72" i="21"/>
  <c r="F72" i="21" s="1"/>
  <c r="B136" i="21"/>
  <c r="F136" i="21" s="1"/>
  <c r="B17" i="21"/>
  <c r="F17" i="21" s="1"/>
  <c r="B81" i="21"/>
  <c r="F81" i="21" s="1"/>
  <c r="B145" i="21"/>
  <c r="F145" i="21" s="1"/>
  <c r="B10" i="21"/>
  <c r="F10" i="21" s="1"/>
  <c r="B74" i="21"/>
  <c r="F74" i="21" s="1"/>
  <c r="B138" i="21"/>
  <c r="F138" i="21" s="1"/>
  <c r="B43" i="21"/>
  <c r="F43" i="21" s="1"/>
  <c r="B107" i="21"/>
  <c r="F107" i="21" s="1"/>
  <c r="B45" i="21"/>
  <c r="F45" i="21" s="1"/>
  <c r="B109" i="21"/>
  <c r="F109" i="21" s="1"/>
  <c r="B60" i="21"/>
  <c r="F60" i="21" s="1"/>
  <c r="B110" i="21"/>
  <c r="F110" i="21" s="1"/>
  <c r="B28" i="21"/>
  <c r="F28" i="21" s="1"/>
  <c r="B14" i="21"/>
  <c r="F14" i="21" s="1"/>
  <c r="B103" i="21"/>
  <c r="F103" i="21" s="1"/>
  <c r="B38" i="21"/>
  <c r="F38" i="21" s="1"/>
  <c r="B16" i="21"/>
  <c r="F16" i="21" s="1"/>
  <c r="B80" i="21"/>
  <c r="F80" i="21" s="1"/>
  <c r="B144" i="21"/>
  <c r="F144" i="21" s="1"/>
  <c r="B25" i="21"/>
  <c r="F25" i="21" s="1"/>
  <c r="B89" i="21"/>
  <c r="F89" i="21" s="1"/>
  <c r="B153" i="21"/>
  <c r="F153" i="21" s="1"/>
  <c r="B18" i="21"/>
  <c r="F18" i="21" s="1"/>
  <c r="B82" i="21"/>
  <c r="F82" i="21" s="1"/>
  <c r="B146" i="21"/>
  <c r="F146" i="21" s="1"/>
  <c r="B51" i="21"/>
  <c r="F51" i="21" s="1"/>
  <c r="B115" i="21"/>
  <c r="F115" i="21" s="1"/>
  <c r="F8" i="21"/>
  <c r="L589" i="47"/>
  <c r="B9" i="21"/>
  <c r="F9" i="21" s="1"/>
  <c r="D884" i="21"/>
  <c r="D876" i="21"/>
  <c r="B868" i="21" l="1"/>
  <c r="F7" i="21"/>
  <c r="C26" i="58"/>
  <c r="K18" i="58"/>
  <c r="C12" i="58"/>
  <c r="K12" i="58" s="1"/>
  <c r="G7" i="21"/>
  <c r="I128" i="21"/>
  <c r="D1721" i="46"/>
  <c r="B1721" i="46"/>
  <c r="C1721" i="46"/>
  <c r="C861" i="46"/>
  <c r="C75" i="58" l="1"/>
  <c r="G868" i="21"/>
  <c r="I7" i="21"/>
  <c r="I868" i="21" s="1"/>
  <c r="K26" i="58"/>
  <c r="K75" i="58" s="1"/>
  <c r="F868" i="21"/>
  <c r="D861" i="46"/>
  <c r="B861" i="46"/>
  <c r="E861" i="46" l="1"/>
  <c r="A1602" i="21" l="1"/>
  <c r="A1272" i="21"/>
  <c r="A1035" i="21"/>
  <c r="C1727" i="21" s="1"/>
  <c r="B875" i="21" l="1"/>
  <c r="B1727" i="21" s="1"/>
  <c r="D1272" i="21" l="1"/>
  <c r="D1035" i="21"/>
  <c r="D875" i="21"/>
  <c r="D1727" i="21" l="1"/>
  <c r="E1721" i="46"/>
  <c r="H868" i="21" l="1"/>
  <c r="F589" i="4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tc={6A53519C-8830-4C64-A0CC-49D217A1AE7B}</author>
  </authors>
  <commentList>
    <comment ref="H836" authorId="0" shapeId="0" xr:uid="{6A53519C-8830-4C64-A0CC-49D217A1AE7B}">
      <text>
        <t xml:space="preserve"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Wert korrigiert. RZ-Testierter Wert nicht korrekt. In Absprache mit RZ Testierer und D-Testierer erfolgt die Erfassung des richtigen Wertes. </t>
      </text>
    </comment>
  </commentList>
</comments>
</file>

<file path=xl/sharedStrings.xml><?xml version="1.0" encoding="utf-8"?>
<sst xmlns="http://schemas.openxmlformats.org/spreadsheetml/2006/main" count="22653" uniqueCount="2183">
  <si>
    <t>Stand</t>
  </si>
  <si>
    <t xml:space="preserve">Aktuelle Jahresabrechnung </t>
  </si>
  <si>
    <t>Befüllen der Datei</t>
  </si>
  <si>
    <t>Übergreifend</t>
  </si>
  <si>
    <t>Tabellenblätter mit VNB erfordern (ggf. jährlich) unterschiedliche Anzahl von Netzbetreibern, daher</t>
  </si>
  <si>
    <t>bitte vorab die Zeilen/ VNB-Anzahl vor dem Kopieren der Daten prüfen und Reihenfolge prüfen</t>
  </si>
  <si>
    <t>Es sind nur VNB anzugeben, die relevant sind für die Abwicklung mit der Maßgabe […dass leere Angaben mit Null ausgegeben werden!]</t>
  </si>
  <si>
    <t>Blatt "Hinweise" und "LV-Schlüssel" sind vor der Veröffentlichung auszublenden, Arbeitsmappe mit Kennwort schützen!</t>
  </si>
  <si>
    <t>Anlage 1a_Zuschlagszahlungen</t>
  </si>
  <si>
    <t>Tabelle 1: Eintragung der JAR-Mengen je VNB je Regelzone. Mengen für Pauschalierte Kategorien dürfen nicht mit aufgenommen werden (KWK12---73---0, KWK16---91---0)</t>
  </si>
  <si>
    <t>Tabelle 2: Eintragung der EUR-Beträge gem. JAR-Meldung je VNB je Regelzone</t>
  </si>
  <si>
    <t>Je Regelzone die Daten gruppieren und zusammenklappen (Formeln für die Summe der gesamten Regelzone anpassen)</t>
  </si>
  <si>
    <t>Hinweis: Kategorie 154 gehört zu den Daten nach KWKG 2023</t>
  </si>
  <si>
    <t>Anlage 1b_Abzüge_Pflicht, Boni</t>
  </si>
  <si>
    <t>Eintragung der EUR-Beträge gem. JAR-Meldung je VNB je Regelzone</t>
  </si>
  <si>
    <t>Hinweis: Abszugsbetrag Kat. 13a und 281</t>
  </si>
  <si>
    <t>Anlage 1c_Korrekturen</t>
  </si>
  <si>
    <t>In den Tabellen werden die Korrektur-Mengen und Korrektur Beträge je Kalenderjahr und VNB je Regelzone eingetragen</t>
  </si>
  <si>
    <t>In Spalte O muss der betreffende ÜNB angegeben werden (z. B. Regelzone TenneT (gesamt)). Diese Spalte wird für eine Verformelung im Reiter "Anlage 1g_Korrekurten_KG" benötigt.</t>
  </si>
  <si>
    <t>Hinweis: Kategorie Pauschalzahlungen, nur Euro einbeziehen; d.h. keine Pauschal-kWh in Mengenspalten berücksichtigen</t>
  </si>
  <si>
    <t>Anlage 1d_Pönalen</t>
  </si>
  <si>
    <t>Eintragung der Pönalzahlungen gem. RZ-Testat je ÜNB</t>
  </si>
  <si>
    <t>Anlage 1e_WKNS</t>
  </si>
  <si>
    <t>Eintragung der WKNS Zahlungen gem. RZ-Testat je ÜNB</t>
  </si>
  <si>
    <t>ggf. weitere Vorjahre aufnehmen!</t>
  </si>
  <si>
    <t>Anlage 1f_ZuschlagszalungenKAT</t>
  </si>
  <si>
    <t>Diese Tabelle gibt die Zuschlagszahlungen, Abzüge, Boni, Plfichtverstöße, Pönalen und WKNS für 2024 nach Kategorien wieder. Dies ist eine Zusammenfassung aus den Tabellenblättern 1a, 1b, 1d und 1e</t>
  </si>
  <si>
    <t>Vor der Veröffentlichung müssen die RZ-scharfen Daten ausgeblendet werden, Arbeitsmappe mit Kennwort schützen!</t>
  </si>
  <si>
    <t>Anlage 1g_Korrekturen_KG</t>
  </si>
  <si>
    <t>Tabelle 1: Zusammenfassung der Korrekturbeträge vom Tabellenblatt 1c sowie vom Tabellenblatt 1e</t>
  </si>
  <si>
    <t>Tabelle 2: Zusammenfassung der nachträglichen Korrekturzahlungen bei Pflichtverstößen nach § 52 Abs. 8 EEG 2023</t>
  </si>
  <si>
    <t>Anlage 2a_Letztverbrauch</t>
  </si>
  <si>
    <t>Tabelle 1 Umlagepflichtige Netzentnahmen in kWh (KWKG-Umlage / Offshore-Netzumlage): Eintragung der JAR-Mengen je VNB je Regelzone</t>
  </si>
  <si>
    <t>Ggf. noch mehr Zeilen einfügen für die VNB-scharfe Eintragung und nach ÜNB gruppieren</t>
  </si>
  <si>
    <t>Tabelle 2 Soll-Umlageeinnahmen in Euro aus der KWKG-Umlage für umlagepflichtige Netzentnahmen: Eintragung der KWKG-Umlagen in EUR je VNB je Regelzone</t>
  </si>
  <si>
    <t>Tabelle 3 Soll-Umlageeinnahmen in Euro aus der Offshore-Netzumlage für umlagepflichtige Netzentnahmen: Eintragung der ON-Umlagen in EUR je VNB je Regelzone</t>
  </si>
  <si>
    <t>Tabelle 4 Verringerung der KWKG-Umlage / Offshore-Netzumlage aufgrund von § 21 EnFG: Eintragung der Saldierung nach § 21 kWh und EUR, je VNB, je RZ</t>
  </si>
  <si>
    <t>Tabelle 5 Sanktionen gem. § 53 EnFG aufgrund eines Verstoßes gegen die Mitteilungspflichten nach § 52 EnFG: Eintragung der Sanktionsbeträge je VNB, je RZ</t>
  </si>
  <si>
    <t>Tabelle 6 Umlagepflichtige Netzentnahmen von aus dem Netz entnommenen und selbst verbrauchten Strommengen von stromkostenintensiven Unternehmen: Eintragung kWh und Umlage der BesAR Unternehmen je Regelzone</t>
  </si>
  <si>
    <t>Tabelle 7 Umlagepflichtige Netzentnahmen von aus dem Netz entnommenen und weitergeleiteten Strommengen von stromkostenintensiven Unternehmen in kWh (KWKG-Umlage / Offshore-Netzumlage): Eintragung der von BesAR weitergeleiteten Mengen in kWh je RZ</t>
  </si>
  <si>
    <t>Tabelle 8 Soll-Umlageeinnahmen in Euro aus der KWKG-Umlage für umlagepflichtige Netzentnahmen von aus dem Netz entnommenen und weitergeleiteten Strommengen von stromkostenintensiven Unternehmen: Eintragung der KWKG-Umlagen von BesAR in EUR  je Regelzone</t>
  </si>
  <si>
    <t>Tabelle 9 Soll-Umlageeinnahmen in Euro aus der Offshore-Netzumlage für umlagepflichtige Netzentnahmen von aus dem Netz entnommenen und weitergeleiteten Strommengen von stromkostenintensiven Unternehmen: Eintragung der ON-Umlagen von BesAR in EUR je Regelzone</t>
  </si>
  <si>
    <t>Tabelle 10 Verringerung der KWKG-Umlage / Offshore-Netzumlage aufgrund von § 21 EnFG - stromkostenintensive Unternehmen: Saldierungsbetrag von BesAR gem. § 21 EnFG</t>
  </si>
  <si>
    <t>Anlage 2b_Korrekturen</t>
  </si>
  <si>
    <t xml:space="preserve">Tabelle 1 bis 4 Angaben zu Korrekturen in der Regelzone: </t>
  </si>
  <si>
    <t>Eintraung der Korrekturen kWh und EUR, nach Jahren, Umlageart, je VNB, je Regelzone</t>
  </si>
  <si>
    <t>Tabelle 5 Korrekturen für Umlagepflichtige Netzentnahmen von aus dem Netz entnommenen und selbst verbrauchten Strommengen von stromkostenintensiven Unternehmen</t>
  </si>
  <si>
    <t>Eintragung der Korrekturen der BesAR je RZ nach Jahren</t>
  </si>
  <si>
    <t>Tabelle 6 bis 9 Korrekturen für Umlagepflichtige Netzentnahmen von aus dem Netz entnommenen und weitergeleiteten Strommengen von stromkostenintensiven Unternehmen:</t>
  </si>
  <si>
    <t>Eintragung der Korrekturen der Dritten je RZ nach Jahren; EUR und kWh</t>
  </si>
  <si>
    <t>inkl. der Eintragung der Korrekturen der Saldierungstatbeständen je RZ nach Jahren; EUR und kWh</t>
  </si>
  <si>
    <t>Hinweis: Änderung der Kategorien ab 2023 (da andere LV-Kategorien nach EnFG)</t>
  </si>
  <si>
    <t>In Spalte H muss der betreffende ÜNB angegeben werden (z. B. Regelzone TenneT (gesamt)). Diese Spalte wird für eine Verformelung im Reiter "Anlage 2c_Korrekurten_JA" benötigt.</t>
  </si>
  <si>
    <t>Anlage 2c_Korrekturen_JA</t>
  </si>
  <si>
    <t>keine Anpassung der Formeln erforderlich -ggfs. Daten prüfen</t>
  </si>
  <si>
    <t>Anlage 3_Zusammenfassung_KWKG</t>
  </si>
  <si>
    <t>Tabelle 1 Zusammenfassung der Zuschlagszahlungen sowie Abzugsbeträge, Pflichtverstoßzahlungen und Bonuszahlungen nach KWKG in Euro:</t>
  </si>
  <si>
    <t>Eintragung der Fördertatbestände in EUR je VNB je Regelzone</t>
  </si>
  <si>
    <t>Tabelle 2 Zusammenfassung der im Rahmen der Zuschlagszahlungen förderwirksamen Strommengen in kWh:</t>
  </si>
  <si>
    <t>Eintragung der Fördertatbestände in kWh je VNB je Regelzone</t>
  </si>
  <si>
    <t>Tabelle 3 Zusammenfassung für die vereinnahmten Pönalen nach § 21 Abs.  1 KWKAusV: Darstellung der eingetragenen Pönalen je Regelzone</t>
  </si>
  <si>
    <t>Tabelle 4 Zusammenfassung für die Förderung von Wärme-/Kältenetzen und von Wärme-/Kältespeichern (WKNS): Darstellung der eingetragenen WKNS je Regelzone</t>
  </si>
  <si>
    <t xml:space="preserve">Tabelle 5 Zusammenfassung der umlagepflichtigen Netzentnahmen zwischen den Netzbetreibern in Euro (KWKG-Umlage): </t>
  </si>
  <si>
    <t>Eintragung der KWKG-Umlagen in EUR je VNB je Regelzone, aktuelles Jahr und Korrekturen</t>
  </si>
  <si>
    <t>Tabelle 6 Zusammenfassung der umlagepflichtigen Strommengen zwischen den Netzbetreibern in kWh:</t>
  </si>
  <si>
    <t>Eintragung der Netzentnahmen in kWh je VNB je Regelzone, aktuelles Jahr und Korrekturen</t>
  </si>
  <si>
    <t>Tabelle 7 Zusammenfassung der umlagepflichtige Netzentnahmen von aus dem Netz entnommenen und selbst verbrauchten Strommengen von stromkostenintensiven Unternehmen:</t>
  </si>
  <si>
    <t>Daten aus Tabellenblatt 2a und 2b für BesAR werden hier zusammegefasst</t>
  </si>
  <si>
    <t>Tabelle 8 Zusammenfassung der umlagepflichtige Netzentnahmen von aus dem Netz entnommenen und weitergeleiteten Strommengen von stromkostenintensiven Unternehmen</t>
  </si>
  <si>
    <t>Daten aus Tabellenblatt 2a und 2b für Weiterleitungen werden hier zusammegefasst</t>
  </si>
  <si>
    <t>Anlage 3_Zusammenfassung_ONU</t>
  </si>
  <si>
    <t>Tabelle 1 Zusammenfassung der umlagepflichtigen Netzentnahmen zwischen den Netzbetreibern in Euro (Offshore-Netzumlage)</t>
  </si>
  <si>
    <t>Eintragung der ON-Umlagen in EUR je VNB je Regelzone, aktuelles Jahr und Korrekturen</t>
  </si>
  <si>
    <t>Tabelle 2 Zusammenfassung der umlagepflichtigen Strommengen zwischen den Netzbetreibern in kWh:</t>
  </si>
  <si>
    <t>Tabelle 3 Zusammenfassung der umlagepflichtige Netzentnahmen von aus dem Netz entnommenen und selbst verbrauchten Strommengen von stromkostenintensiven Unternehmen:</t>
  </si>
  <si>
    <t>Tabelle 4 Zusammenfassung der umlagepflichtige Netzentnahmen von aus dem Netz entnommenen und weitergeleiteten Strommengen von stromkostenintensiven Unternehmen</t>
  </si>
  <si>
    <t>Anlage LV-Schlüssel</t>
  </si>
  <si>
    <t xml:space="preserve">Eintragung des testierten LV gem. VNB-Meldungen. Das sind lt. LK SN Beschluss in der 64. LK SN Sitzung zu TOP 2.2 die Summe der umlagepflichtigen Netzentnahmen der VNB Meldungen aus dem RZ-Testat je ÜNB. Also inkl. der BesAR-Strommengen, die der VNB uns mitteilt. </t>
  </si>
  <si>
    <t>Kategorie ist vor der Veröffentlichung auszublenden, Arbeitsmappe mit Kennwort schützen!</t>
  </si>
  <si>
    <t>Förderwirksame Strommenge in Kilowattstunden (kWh)</t>
  </si>
  <si>
    <t>Förderwirksame KWK-Strommenge
nach KWKG 2009</t>
  </si>
  <si>
    <t>Förderwirksame KWK-Strommenge
nach KWKG 2012</t>
  </si>
  <si>
    <t>Förderwirksame KWK-Strommenge
nach KWKG 2023</t>
  </si>
  <si>
    <t>Förderwirksame KWK-Strommengen
gesamt</t>
  </si>
  <si>
    <t>[kWh]</t>
  </si>
  <si>
    <t>Regelzone 50Hertz (gesamt)</t>
  </si>
  <si>
    <t>SNB901665585874</t>
  </si>
  <si>
    <t>GETEC net GmbH</t>
  </si>
  <si>
    <t>SNB910474681448</t>
  </si>
  <si>
    <t>Stadtwerke Staßfurt GmbH</t>
  </si>
  <si>
    <t>SNB911159111601</t>
  </si>
  <si>
    <t>BASF Schwarzheide GmbH</t>
  </si>
  <si>
    <t>SNB912218404412</t>
  </si>
  <si>
    <t>Kommunale Energieversorgung GmbH Eisenhüttenstadt</t>
  </si>
  <si>
    <t>SNB913006238462</t>
  </si>
  <si>
    <t>Stadtwerke Merseburg GmbH</t>
  </si>
  <si>
    <t>SNB913130054136</t>
  </si>
  <si>
    <t>Netzgesellschaft Schwerin mbH (NGS)</t>
  </si>
  <si>
    <t>SNB913280322543</t>
  </si>
  <si>
    <t>Stadtwerke Schwedt GmbH</t>
  </si>
  <si>
    <t>SNB913563830420</t>
  </si>
  <si>
    <t>ENA Energienetze Apolda GmbH</t>
  </si>
  <si>
    <t>SNB914103081760</t>
  </si>
  <si>
    <t>Meißener Stadtwerke GmbH</t>
  </si>
  <si>
    <t>SNB914630088973</t>
  </si>
  <si>
    <t>Stadtwerke Neustrelitz GmbH</t>
  </si>
  <si>
    <t>SNB914879260819</t>
  </si>
  <si>
    <t>Stadtwerke Wernigerode GmbH</t>
  </si>
  <si>
    <t>SNB915186313908</t>
  </si>
  <si>
    <t>Energieversorgung Guben GmbH</t>
  </si>
  <si>
    <t>SNB915358347793</t>
  </si>
  <si>
    <t>Stadtwerke Lübz GmbH</t>
  </si>
  <si>
    <t>SNB915638224585</t>
  </si>
  <si>
    <t>SWS Netze GmbH</t>
  </si>
  <si>
    <t>SNB916269213931</t>
  </si>
  <si>
    <t>Mitteldeutsche Netzgesellschaft Strom mbH</t>
  </si>
  <si>
    <t>SNB916663914472</t>
  </si>
  <si>
    <t>inetz GmbH</t>
  </si>
  <si>
    <t>SNB917314328846</t>
  </si>
  <si>
    <t>Energienetze Berlin GmbH</t>
  </si>
  <si>
    <t>SNB917432806905</t>
  </si>
  <si>
    <t>Netzgesellschaft Eisenberg mbH</t>
  </si>
  <si>
    <t>SNB918070278383</t>
  </si>
  <si>
    <t>Stadtwerke Meerane GmbH</t>
  </si>
  <si>
    <t>SNB918084816830</t>
  </si>
  <si>
    <t>Stadtwerke Weißwasser GmbH</t>
  </si>
  <si>
    <t>SNB918539636471</t>
  </si>
  <si>
    <t>Stromversorgung Zerbst GmbH &amp; Co. KG</t>
  </si>
  <si>
    <t>SNB918620072652</t>
  </si>
  <si>
    <t>ASCANETZ GmbH</t>
  </si>
  <si>
    <t>SNB919654931526</t>
  </si>
  <si>
    <t>Stadtwerke Blankenburg GmbH</t>
  </si>
  <si>
    <t>SNB919657321775</t>
  </si>
  <si>
    <t>Licht- und Kraftwerke Sonneberg GmbH</t>
  </si>
  <si>
    <t>SNB920348005966</t>
  </si>
  <si>
    <t>Stadtwerke Neuruppin GmbH</t>
  </si>
  <si>
    <t>SNB920699937404</t>
  </si>
  <si>
    <t>Stadtwerke Elbtal GmbH</t>
  </si>
  <si>
    <t>SNB921629791202</t>
  </si>
  <si>
    <t>ENGIE Deutschland GmbH</t>
  </si>
  <si>
    <t>SNB922055731633</t>
  </si>
  <si>
    <t>Netzgesellschaft Forst (Lausitz) mbH &amp; Co. KG</t>
  </si>
  <si>
    <t>SNB922354559020</t>
  </si>
  <si>
    <t>Stadtwerke Pritzwalk GmbH</t>
  </si>
  <si>
    <t>SNB922689183730</t>
  </si>
  <si>
    <t>Stadt- und Überlandwerke GmbH Luckau-Lübbenau</t>
  </si>
  <si>
    <t>SNB922861338965</t>
  </si>
  <si>
    <t>Stadtwerke Sangerhausen GmbH</t>
  </si>
  <si>
    <t>SNB925823629552</t>
  </si>
  <si>
    <t>Zwickauer Energieversorgung GmbH</t>
  </si>
  <si>
    <t>SNB925883927308</t>
  </si>
  <si>
    <t>Stadtwerke Meiningen GmbH</t>
  </si>
  <si>
    <t>SNB926394976090</t>
  </si>
  <si>
    <t>Städtische Werke Spremberg (Lausitz) GmbH</t>
  </si>
  <si>
    <t>SNB926442995943</t>
  </si>
  <si>
    <t>Stadtwerke Greifswald GmbH</t>
  </si>
  <si>
    <t>SNB926470799582</t>
  </si>
  <si>
    <t>Stadtwerke Löbau GmbH</t>
  </si>
  <si>
    <t>SNB927160517950</t>
  </si>
  <si>
    <t>Stadtwerke Burg Energienetze GmbH</t>
  </si>
  <si>
    <t>SNB927925826730</t>
  </si>
  <si>
    <t>Stadtwerke Pirna Energie GmbH</t>
  </si>
  <si>
    <t>SNB928200943784</t>
  </si>
  <si>
    <t>Stadtwerke Ludwigslust-Grabow GmbH</t>
  </si>
  <si>
    <t>SNB928602915495</t>
  </si>
  <si>
    <t>Stadtwerke Hagenow GmbH</t>
  </si>
  <si>
    <t>SNB928759560869</t>
  </si>
  <si>
    <t>WEMAG Netz GmbH</t>
  </si>
  <si>
    <t>SNB929027950139</t>
  </si>
  <si>
    <t>Netzgesellschaft Potsdam GmbH</t>
  </si>
  <si>
    <t>SNB930067626847</t>
  </si>
  <si>
    <t>Greizer Energienetze GmbH</t>
  </si>
  <si>
    <t>SNB930525911119</t>
  </si>
  <si>
    <t>EGC Infrastruktur und Netz GmbH</t>
  </si>
  <si>
    <t>SNB931294328658</t>
  </si>
  <si>
    <t>Stadtwerke Neustadt an der Orla GmbH</t>
  </si>
  <si>
    <t>SNB931431136771</t>
  </si>
  <si>
    <t>Elektroenergieversorgung Cottbus GmbH</t>
  </si>
  <si>
    <t>SNB931986174853</t>
  </si>
  <si>
    <t>Stadtwerke Mühlhausen Netz GmbH</t>
  </si>
  <si>
    <t>SNB932006596143</t>
  </si>
  <si>
    <t>Sömmerdaer Energieversorgung GmbH</t>
  </si>
  <si>
    <t>SNB932107297727</t>
  </si>
  <si>
    <t>Stadtwerke Lutherstadt Wittenberg GmbH</t>
  </si>
  <si>
    <t>SNB932509765411</t>
  </si>
  <si>
    <t>Stadtwerke Teterow GmbH</t>
  </si>
  <si>
    <t>SNB933235634552</t>
  </si>
  <si>
    <t>Stadtwerke Torgau GmbH</t>
  </si>
  <si>
    <t>SNB933274941888</t>
  </si>
  <si>
    <t>Stadtwerke Weißenfels Energienetze GmbH</t>
  </si>
  <si>
    <t>SNB933459598975</t>
  </si>
  <si>
    <t>Netze Magdeburg GmbH</t>
  </si>
  <si>
    <t>SNB933869654360</t>
  </si>
  <si>
    <t>Stromkontor Rostock Port GmbH</t>
  </si>
  <si>
    <t>SNB934071779865</t>
  </si>
  <si>
    <t>OsthessenNetz GmbH</t>
  </si>
  <si>
    <t>SNB934355412402</t>
  </si>
  <si>
    <t>Havelstrom Zehdenick GmbH</t>
  </si>
  <si>
    <t>SNB934514392514</t>
  </si>
  <si>
    <t>Energie- und Wasserversorgung Altenburg GmbH</t>
  </si>
  <si>
    <t>SNB934984130722</t>
  </si>
  <si>
    <t>ewag kamenz Energie und Wasserversorgung Aktiengesellschaft Kamenz</t>
  </si>
  <si>
    <t>SNB935760057516</t>
  </si>
  <si>
    <t>Stadtwerke Suhl/Zella-Mehlis Netz GmbH</t>
  </si>
  <si>
    <t>SNB936461984224</t>
  </si>
  <si>
    <t>Stadtwerke Schönebeck GmbH - SWS -</t>
  </si>
  <si>
    <t>SNB936480897581</t>
  </si>
  <si>
    <t>Elektrizitätswerk Max Peissker</t>
  </si>
  <si>
    <t>SNB936769439815</t>
  </si>
  <si>
    <t>Stadtwerke Annaberg-Buchholz Energie AG</t>
  </si>
  <si>
    <t>SNB936940951426</t>
  </si>
  <si>
    <t>Überlandwerk Rhön GmbH</t>
  </si>
  <si>
    <t>SNB937001443546</t>
  </si>
  <si>
    <t>Stadtwerke Delitzsch GmbH</t>
  </si>
  <si>
    <t>SNB938672757734</t>
  </si>
  <si>
    <t>Stadtwerke Görlitz AG</t>
  </si>
  <si>
    <t>SNB939517994215</t>
  </si>
  <si>
    <t>NETZE Bad Langensalza GmbH</t>
  </si>
  <si>
    <t>SNB939624707241</t>
  </si>
  <si>
    <t>Neubrandenburger Stadtwerke GmbH</t>
  </si>
  <si>
    <t>SNB939724292715</t>
  </si>
  <si>
    <t>Stadtwerke Rostock Netzgesellschaft mbH</t>
  </si>
  <si>
    <t>SNB941081544895</t>
  </si>
  <si>
    <t>Stadtwerke Wittenberge GmbH</t>
  </si>
  <si>
    <t>SNB941283828373</t>
  </si>
  <si>
    <t>Stadtwerke Prenzlau GmbH</t>
  </si>
  <si>
    <t>SNB941314694489</t>
  </si>
  <si>
    <t>Stadtwerke Oelsnitz/V. GmbH</t>
  </si>
  <si>
    <t>SNB941690671609</t>
  </si>
  <si>
    <t>E.DIS Netz GmbH</t>
  </si>
  <si>
    <t>SNB942159258331</t>
  </si>
  <si>
    <t>Stadtwerke Schkeuditz GmbH</t>
  </si>
  <si>
    <t>SNB943531720705</t>
  </si>
  <si>
    <t>Städtische Betriebswerke Luckenwalde GmbH</t>
  </si>
  <si>
    <t>SNB943962034624</t>
  </si>
  <si>
    <t>Energie- und Wasserwerke Bautzen GmbH Energijowe a Wodowezawody Budysin</t>
  </si>
  <si>
    <t>SNB944962954653</t>
  </si>
  <si>
    <t>Stadtwerke Hettstedt GmbH</t>
  </si>
  <si>
    <t>SNB945861817537</t>
  </si>
  <si>
    <t>Stadtwerke Jena Netze GmbH</t>
  </si>
  <si>
    <t>SNB946013720880</t>
  </si>
  <si>
    <t>Städtische Werke Borna Netz GmbH</t>
  </si>
  <si>
    <t>SNB946425570127</t>
  </si>
  <si>
    <t>Stadtwerke Lutherstadt Eisleben GmbH</t>
  </si>
  <si>
    <t>SNB946612539746</t>
  </si>
  <si>
    <t>Versorgungsbetriebe Hoyerswerda GmbH</t>
  </si>
  <si>
    <t>SNB948470226516</t>
  </si>
  <si>
    <t>Stadtwerke Malchow</t>
  </si>
  <si>
    <t>SNB948816192529</t>
  </si>
  <si>
    <t>GeraNetz GmbH</t>
  </si>
  <si>
    <t>SNB948859455841</t>
  </si>
  <si>
    <t>Netz Leipzig GmbH</t>
  </si>
  <si>
    <t>SNB950262883869</t>
  </si>
  <si>
    <t>SWE Netz GmbH (Erfurt)</t>
  </si>
  <si>
    <t>SNB951105240061</t>
  </si>
  <si>
    <t>Stadtwerke Oranienburg GmbH</t>
  </si>
  <si>
    <t>SNB951305396193</t>
  </si>
  <si>
    <t>Stadtwerke Riesa GmbH</t>
  </si>
  <si>
    <t>SNB952677840789</t>
  </si>
  <si>
    <t>Stadtwerke Heilbad Heiligenstadt GmbH</t>
  </si>
  <si>
    <t>SNB953495670831</t>
  </si>
  <si>
    <t>EnR Energienetze Rudolstadt GmbH</t>
  </si>
  <si>
    <t>SNB953669866350</t>
  </si>
  <si>
    <t>Stadtwerke Bernburg GmbH</t>
  </si>
  <si>
    <t>SNB954281375657</t>
  </si>
  <si>
    <t>Dessauer Stromversorgung GmbH</t>
  </si>
  <si>
    <t>SNB954814647626</t>
  </si>
  <si>
    <t>Netzgesellschaft Frankfurt (Oder) mbH</t>
  </si>
  <si>
    <t>SNB957404386462</t>
  </si>
  <si>
    <t>Stadtwerke - Altm. Gas-, Wasseru.Elektrizitätswerke GmbH Stendal</t>
  </si>
  <si>
    <t>SNB957440824454</t>
  </si>
  <si>
    <t>Stadtwerke Velten GmbH</t>
  </si>
  <si>
    <t>SNB957549782006</t>
  </si>
  <si>
    <t>Stadtwerke Finsterwalde GmbH</t>
  </si>
  <si>
    <t>SNB957591716776</t>
  </si>
  <si>
    <t>Stadtwerke Aue - Bad Schlema GmbH</t>
  </si>
  <si>
    <t>SNB958237843443</t>
  </si>
  <si>
    <t>Saalfelder Energienetze GmbH</t>
  </si>
  <si>
    <t>SNB959120377328</t>
  </si>
  <si>
    <t>Stadtwerke Haldensleben GmbH</t>
  </si>
  <si>
    <t>SNB959176447266</t>
  </si>
  <si>
    <t>Nordhausen Netz GmbH</t>
  </si>
  <si>
    <t>SNB959567240391</t>
  </si>
  <si>
    <t>Stadtwerke Reichenbach/Vogtland GmbH</t>
  </si>
  <si>
    <t>SNB959966681252</t>
  </si>
  <si>
    <t>Stadtwerke Zittau GmbH</t>
  </si>
  <si>
    <t>SNB960729432592</t>
  </si>
  <si>
    <t>Stadtwerke Havelberg GmbH</t>
  </si>
  <si>
    <t>SNB961316124487</t>
  </si>
  <si>
    <t>Stadtwerke Gotha Netz GmbH</t>
  </si>
  <si>
    <t>SNB961833910969</t>
  </si>
  <si>
    <t>Stadtwerke Pasewalk GmbH</t>
  </si>
  <si>
    <t>SNB961943991735</t>
  </si>
  <si>
    <t>Stadtwerke Niesky GmbH</t>
  </si>
  <si>
    <t>SNB962389410347</t>
  </si>
  <si>
    <t>Stadtwerke Werdau GmbH</t>
  </si>
  <si>
    <t>SNB962890977544</t>
  </si>
  <si>
    <t>Stadtwerke Bernau GmbH</t>
  </si>
  <si>
    <t>SNB963070917732</t>
  </si>
  <si>
    <t>Stadtwerke Glauchau Dienstleistungsgesellschaft mbH</t>
  </si>
  <si>
    <t>SNB963792700889</t>
  </si>
  <si>
    <t>ENWG Energienetze Weimar GmbH &amp; Co. KG</t>
  </si>
  <si>
    <t>SNB963995572245</t>
  </si>
  <si>
    <t>REDINET Burgenland GmbH</t>
  </si>
  <si>
    <t>SNB964045995373</t>
  </si>
  <si>
    <t>Strom- und Gasnetz Wismar GmbH</t>
  </si>
  <si>
    <t>SNB964092397892</t>
  </si>
  <si>
    <t>ENRO Ludwigsfelde Netz GmbH</t>
  </si>
  <si>
    <t>SNB964659661008</t>
  </si>
  <si>
    <t>Stadtwerke Ilmenau GmbH</t>
  </si>
  <si>
    <t>SNB968295079586</t>
  </si>
  <si>
    <t>Stromnetz Hamburg GmbH</t>
  </si>
  <si>
    <t>SNB968914838013</t>
  </si>
  <si>
    <t>SachsenNetze HS.HD GmbH</t>
  </si>
  <si>
    <t>SNB970223838288</t>
  </si>
  <si>
    <t>Stadtwerke Quedlinburg GmbH</t>
  </si>
  <si>
    <t>SNB970821959712</t>
  </si>
  <si>
    <t>TEN Thüringer Energienetze GmbH &amp; Co. KG</t>
  </si>
  <si>
    <t>SNB971199523673</t>
  </si>
  <si>
    <t>StWB Stadtwerke Brandenburg an der Havel GmbH &amp; Co. KG</t>
  </si>
  <si>
    <t>SNB971345683381</t>
  </si>
  <si>
    <t>Stadtwerke Wolmirstedt GmbH</t>
  </si>
  <si>
    <t>SNB971770548286</t>
  </si>
  <si>
    <t>VersorgungsBetriebe Elbe GmbH</t>
  </si>
  <si>
    <t>SNB971962135690</t>
  </si>
  <si>
    <t>Infrastrukturbetrieb der Stadt Arneburg</t>
  </si>
  <si>
    <t>SNB973501936539</t>
  </si>
  <si>
    <t>Werraenergie GmbH</t>
  </si>
  <si>
    <t>SNB973505068113</t>
  </si>
  <si>
    <t>Stadtwerke Waren GmbH</t>
  </si>
  <si>
    <t>SNB974684403535</t>
  </si>
  <si>
    <t>Energiewerke Zeulenroda GmbH</t>
  </si>
  <si>
    <t>SNB974763887737</t>
  </si>
  <si>
    <t>Energieversorgung Inselsberg GmbH</t>
  </si>
  <si>
    <t>SNB975176329548</t>
  </si>
  <si>
    <t>Energieverbund Gierstädt GmbH</t>
  </si>
  <si>
    <t>SNB975846871759</t>
  </si>
  <si>
    <t>Stadtwerke Strausberg GmbH</t>
  </si>
  <si>
    <t>SNB976240506834</t>
  </si>
  <si>
    <t>Stadtwerke Stadtroda GmbH</t>
  </si>
  <si>
    <t>SNB976679550309</t>
  </si>
  <si>
    <t>Stadtwerke Döbeln GmbH</t>
  </si>
  <si>
    <t>SNB977174706994</t>
  </si>
  <si>
    <t>Stadtwerke Eilenburg GmbH</t>
  </si>
  <si>
    <t>SNB977374861035</t>
  </si>
  <si>
    <t>Halberstadtwerke GmbH</t>
  </si>
  <si>
    <t>SNB977641826996</t>
  </si>
  <si>
    <t>Verteilnetz Plauen GmbH</t>
  </si>
  <si>
    <t>SNB978051166283</t>
  </si>
  <si>
    <t>Netzgesellschaft Bitterfeld-Wolfen mbH</t>
  </si>
  <si>
    <t>SNB978071940108</t>
  </si>
  <si>
    <t>Technische Werke Naumburg GmbH</t>
  </si>
  <si>
    <t>SNB979269087643</t>
  </si>
  <si>
    <t>Stromnetz Berlin GmbH</t>
  </si>
  <si>
    <t>SNB979429791342</t>
  </si>
  <si>
    <t>Stadtwerke Schneeberg GmbH</t>
  </si>
  <si>
    <t>SNB980362940834</t>
  </si>
  <si>
    <t>Stromnetz24 GmbH</t>
  </si>
  <si>
    <t>SNB980808485264</t>
  </si>
  <si>
    <t>SachsenNetze GmbH</t>
  </si>
  <si>
    <t>SNB981122608278</t>
  </si>
  <si>
    <t>Stromkontor Netzgesellschaft mbH</t>
  </si>
  <si>
    <t>SNB981460842488</t>
  </si>
  <si>
    <t>Stromversorgung Angermünde GmbH</t>
  </si>
  <si>
    <t>SNB981597332487</t>
  </si>
  <si>
    <t>Fährhafen Sassnitz GmbH</t>
  </si>
  <si>
    <t>SNB982241851170</t>
  </si>
  <si>
    <t>Freitaler Stadtwerke GmbH</t>
  </si>
  <si>
    <t>SNB982722829230</t>
  </si>
  <si>
    <t>InfraLeuna GmbH</t>
  </si>
  <si>
    <t>SNB982934611074</t>
  </si>
  <si>
    <t>Energieversorgung Halle Netz GmbH</t>
  </si>
  <si>
    <t>SNB983029590205</t>
  </si>
  <si>
    <t>Stadtwerke Güstrow GmbH</t>
  </si>
  <si>
    <t>SNB983765888505</t>
  </si>
  <si>
    <t>Stadtwerke Ludwigsfelde GmbH</t>
  </si>
  <si>
    <t>SNB985072256732</t>
  </si>
  <si>
    <t>Stadtwerke Schwarzenberg GmbH</t>
  </si>
  <si>
    <t>SNB985993443181</t>
  </si>
  <si>
    <t>Stadtwerke Arnstadt Netz GmbH &amp; Co. KG</t>
  </si>
  <si>
    <t>SNB987317008403</t>
  </si>
  <si>
    <t>Netzgesellschaft Panketal GmbH</t>
  </si>
  <si>
    <t>SNB987483520273</t>
  </si>
  <si>
    <t>Stadtwerke Sondershausen Netz GmbH</t>
  </si>
  <si>
    <t>SNB988532040636</t>
  </si>
  <si>
    <t>PVU Energienetze GmbH</t>
  </si>
  <si>
    <t>SNB989700422711</t>
  </si>
  <si>
    <t>EVB Netze GmbH</t>
  </si>
  <si>
    <t>SNB990362338043</t>
  </si>
  <si>
    <t>Avacon Netz GmbH</t>
  </si>
  <si>
    <t>SNB990971435621</t>
  </si>
  <si>
    <t>Freiberger Stromversorgung GmbH</t>
  </si>
  <si>
    <t>SNB991689251534</t>
  </si>
  <si>
    <t>Stadtwerke Grevesmühlen GmbH</t>
  </si>
  <si>
    <t>SNB991836941189</t>
  </si>
  <si>
    <t>Stadtwerke Olbernhau GmbH</t>
  </si>
  <si>
    <t>SNB995034381532</t>
  </si>
  <si>
    <t>Stadtwerke Senftenberg GmbH</t>
  </si>
  <si>
    <t>SNB995332374861</t>
  </si>
  <si>
    <t>GETEC Quartier GmbH</t>
  </si>
  <si>
    <t>SNB999125588145</t>
  </si>
  <si>
    <t>Stadtwerke Parchim GmbH</t>
  </si>
  <si>
    <t>SNB982046657236</t>
  </si>
  <si>
    <t>50Hertz Transmission GmbH</t>
  </si>
  <si>
    <t>Regelzone Amprion (gesamt)</t>
  </si>
  <si>
    <t>SNB900123507953</t>
  </si>
  <si>
    <t>Stadtwerke Steinfurt GmbH</t>
  </si>
  <si>
    <t>SNB910696207785</t>
  </si>
  <si>
    <t>Teutoburger Energie Netzwerk eG</t>
  </si>
  <si>
    <t>SNB911081401368</t>
  </si>
  <si>
    <t>Aschaffenburger Versorgungs-GmbH</t>
  </si>
  <si>
    <t>SNB911144461377</t>
  </si>
  <si>
    <t>NGN NETZGESELLSCHAFT NIEDERRHEIN MBH</t>
  </si>
  <si>
    <t>SNB911521002599</t>
  </si>
  <si>
    <t>EnergieSüdwest Netz GmbH</t>
  </si>
  <si>
    <t>SNB911602541351</t>
  </si>
  <si>
    <t>Stadtwerke Backnang GmbH</t>
  </si>
  <si>
    <t>SNB911641710114</t>
  </si>
  <si>
    <t>Regionetz GmbH</t>
  </si>
  <si>
    <t>SNB911705062982</t>
  </si>
  <si>
    <t>LEW Verteilnetz GmbH</t>
  </si>
  <si>
    <t>SNB912063565672</t>
  </si>
  <si>
    <t>Stadtwerke Fröndenberg Wickede GmbH</t>
  </si>
  <si>
    <t>SNB912239808732</t>
  </si>
  <si>
    <t>Rheinhessische Energie- und Wasserversorgungs-GmbH</t>
  </si>
  <si>
    <t>SNB912743424114</t>
  </si>
  <si>
    <t>Energie- und Wasserversorgung Hamm GmbH</t>
  </si>
  <si>
    <t>SNB913730249284</t>
  </si>
  <si>
    <t>Stadtwerke Iserlohn GmbH</t>
  </si>
  <si>
    <t>SNB913768089142</t>
  </si>
  <si>
    <t>EGC Energie- und Gebäudetechnik Control GmbH &amp; Co. KG</t>
  </si>
  <si>
    <t>SNB914027640531</t>
  </si>
  <si>
    <t>SWL Energienetz- und Entsorgungsgesellschaft mbH</t>
  </si>
  <si>
    <t>SNB914306944756</t>
  </si>
  <si>
    <t>WSW Netz GmbH</t>
  </si>
  <si>
    <t>SNB914731268120</t>
  </si>
  <si>
    <t>MEGA Monheimer Elektrizitäts- und Gasversorgung GmbH</t>
  </si>
  <si>
    <t>SNB915100694458</t>
  </si>
  <si>
    <t>Energienetze Offenbach GmbH</t>
  </si>
  <si>
    <t>SNB915471253889</t>
  </si>
  <si>
    <t>Netzwerke Saarlouis GmbH</t>
  </si>
  <si>
    <t>SNB916123648602</t>
  </si>
  <si>
    <t>Netze Duisburg GmbH</t>
  </si>
  <si>
    <t>SNB916617262147</t>
  </si>
  <si>
    <t>Gemeindewerke Rheinzabern</t>
  </si>
  <si>
    <t>SNB918097788087</t>
  </si>
  <si>
    <t>Stadtwerke Speyer GmbH</t>
  </si>
  <si>
    <t>SNB918156808725</t>
  </si>
  <si>
    <t>Stadtwerke Erkrath GmbH</t>
  </si>
  <si>
    <t>SNB918250928893</t>
  </si>
  <si>
    <t>Syna GmbH</t>
  </si>
  <si>
    <t>SNB918290153354</t>
  </si>
  <si>
    <t>Stadtwerke Bad Dürkheim GmbH</t>
  </si>
  <si>
    <t>SNB918576265276</t>
  </si>
  <si>
    <t>Bocholter Energie und Wasserversorgung GmbH</t>
  </si>
  <si>
    <t>SNB918689434309</t>
  </si>
  <si>
    <t>EVU Dahn</t>
  </si>
  <si>
    <t>SNB919708421706</t>
  </si>
  <si>
    <t>Gemeindewerke Hütschenhausen</t>
  </si>
  <si>
    <t>SNB920357766414</t>
  </si>
  <si>
    <t>Leitungspartner GmbH</t>
  </si>
  <si>
    <t>SNB921299925846</t>
  </si>
  <si>
    <t>Stadtwerke Bad Bergzabern GmbH</t>
  </si>
  <si>
    <t>SNB921319639913</t>
  </si>
  <si>
    <t>Enervie Vernetzt GmbH</t>
  </si>
  <si>
    <t>SNB921550647487</t>
  </si>
  <si>
    <t>E-Werk Meckenheim/Pfalz</t>
  </si>
  <si>
    <t>SNB921816651920</t>
  </si>
  <si>
    <t>Stadtwerke Haltern am See GmbH</t>
  </si>
  <si>
    <t>SNB921897286493</t>
  </si>
  <si>
    <t>WESTNETZ GmbH</t>
  </si>
  <si>
    <t>SNB922030852827</t>
  </si>
  <si>
    <t>Stadtwerke EVB Huntetal Netz GmbH</t>
  </si>
  <si>
    <t>SNB922361841965</t>
  </si>
  <si>
    <t>Gemeindewerke Budenheim AöR</t>
  </si>
  <si>
    <t>SNB922514070884</t>
  </si>
  <si>
    <t>Stadtwerke Bliestal GmbH</t>
  </si>
  <si>
    <t>SNB922607376381</t>
  </si>
  <si>
    <t>Stadtwerke Bochum Netz GmbH</t>
  </si>
  <si>
    <t>SNB922774216633</t>
  </si>
  <si>
    <t>Stadtwerke Menden GmbH</t>
  </si>
  <si>
    <t>SNB923190544898</t>
  </si>
  <si>
    <t>Stadtwerke Zweibrücken GmbH</t>
  </si>
  <si>
    <t>SNB924477581384</t>
  </si>
  <si>
    <t>RheinNetz GmbH</t>
  </si>
  <si>
    <t>SNB924659713978</t>
  </si>
  <si>
    <t>Stadtwerke Troisdorf GmbH</t>
  </si>
  <si>
    <t>SNB924685554682</t>
  </si>
  <si>
    <t>Stadtwerke Schifferstadt</t>
  </si>
  <si>
    <t>SNB924747450655</t>
  </si>
  <si>
    <t>EWR GmbH</t>
  </si>
  <si>
    <t>SNB925558752303</t>
  </si>
  <si>
    <t>Elektrizitätswerk Hindelang eG</t>
  </si>
  <si>
    <t>SNB925999725461</t>
  </si>
  <si>
    <t>Stadtwerke Neuwied GmbH</t>
  </si>
  <si>
    <t>SNB926394308747</t>
  </si>
  <si>
    <t>AllgäuNetz GmbH &amp; Co. KG</t>
  </si>
  <si>
    <t>SNB926470603247</t>
  </si>
  <si>
    <t>Stadtwerke St. Ingbert GmbH</t>
  </si>
  <si>
    <t>SNB926480464456</t>
  </si>
  <si>
    <t>Stadtwerke Weilburg GmbH</t>
  </si>
  <si>
    <t>SNB926697076725</t>
  </si>
  <si>
    <t>Stadtwerke Dülmen GmbH</t>
  </si>
  <si>
    <t>SNB927498960503</t>
  </si>
  <si>
    <t>Bonn-Netz GmbH</t>
  </si>
  <si>
    <t>SNB929088252340</t>
  </si>
  <si>
    <t>Netzwerke Merzig GmbH</t>
  </si>
  <si>
    <t>SNB929663692172</t>
  </si>
  <si>
    <t>Stadtwerke Landsberg KU</t>
  </si>
  <si>
    <t>SNB929881052512</t>
  </si>
  <si>
    <t>Westfalen Weser Netz GmbH</t>
  </si>
  <si>
    <t>SNB930325069232</t>
  </si>
  <si>
    <t>SWL Übertragungsnetzgesellschaft mbH</t>
  </si>
  <si>
    <t>SNB930709120863</t>
  </si>
  <si>
    <t>Stadtwerke Versmold GmbH</t>
  </si>
  <si>
    <t>SNB931015724646</t>
  </si>
  <si>
    <t>Elektrizitätsgenossenschaft Oesterweg eG</t>
  </si>
  <si>
    <t>SNB931070025696</t>
  </si>
  <si>
    <t>Alliander Netz Heinsberg GmbH</t>
  </si>
  <si>
    <t>SNB931164620455</t>
  </si>
  <si>
    <t>SWV Regional GmbH</t>
  </si>
  <si>
    <t>SNB931546188436</t>
  </si>
  <si>
    <t>Netzgesellschaft Gütersloh mbH</t>
  </si>
  <si>
    <t>SNB931639626302</t>
  </si>
  <si>
    <t>Stadtwerke Hemer GmbH</t>
  </si>
  <si>
    <t>SNB931774737192</t>
  </si>
  <si>
    <t>Gemeindewerke Stockstadt Eigenbetrieb Stockstadt am Main</t>
  </si>
  <si>
    <t>SNB931930462517</t>
  </si>
  <si>
    <t>Energieversorgung Rüsselsheim GmbH</t>
  </si>
  <si>
    <t>SNB932161540975</t>
  </si>
  <si>
    <t>Verbandsgemeindewerke Enkenbach-Alsenborn</t>
  </si>
  <si>
    <t>SNB932375556731</t>
  </si>
  <si>
    <t>Stadtwerke Ostmünsterland GmbH &amp; Co. KG</t>
  </si>
  <si>
    <t>SNB932516649124</t>
  </si>
  <si>
    <t>Energie- und Wasserversorgung Rheine GmbH</t>
  </si>
  <si>
    <t>SNB932788203468</t>
  </si>
  <si>
    <t>Stadtwerke Schwerte GmbH</t>
  </si>
  <si>
    <t>SNB933760214908</t>
  </si>
  <si>
    <t>Veolia Industriepark Deutschland GmbH</t>
  </si>
  <si>
    <t>SNB933767388565</t>
  </si>
  <si>
    <t>Netzgesellschaft Ahlen mbH</t>
  </si>
  <si>
    <t>SNB933956506145</t>
  </si>
  <si>
    <t>Netzgesellschaft Düsseldorf mbH</t>
  </si>
  <si>
    <t>SNB934068635945</t>
  </si>
  <si>
    <t>Stadtwerke Ulm/Neu-Ulm Netze GmbH</t>
  </si>
  <si>
    <t>SNB934185023519</t>
  </si>
  <si>
    <t>Netzgesellschaft Lübbecke mbH</t>
  </si>
  <si>
    <t>SNB934949020686</t>
  </si>
  <si>
    <t>Stadtwerke Gronau GmbH</t>
  </si>
  <si>
    <t>SNB934961797092</t>
  </si>
  <si>
    <t>Stadtwerke Ochtrup</t>
  </si>
  <si>
    <t>SNB935578300972</t>
  </si>
  <si>
    <t>TWL Netze GmbH</t>
  </si>
  <si>
    <t>SNB935600499711</t>
  </si>
  <si>
    <t>GSW Gemeinschaftsstadtwerke GmbH Kamen, Bönen, Bergkamen</t>
  </si>
  <si>
    <t>SNB935814055062</t>
  </si>
  <si>
    <t>Stadtwerke Kleve GmbH</t>
  </si>
  <si>
    <t>SNB939191427887</t>
  </si>
  <si>
    <t>Gelsenkirchen Raffinerie Netz GmbH</t>
  </si>
  <si>
    <t>SNB939688186686</t>
  </si>
  <si>
    <t>Abita Energie Otterberg GmbH</t>
  </si>
  <si>
    <t>SNB940113133601</t>
  </si>
  <si>
    <t>e-werk Gerolsheim</t>
  </si>
  <si>
    <t>SNB940122004213</t>
  </si>
  <si>
    <t>Verteilnetze Energie Weißenhorn GmbH &amp; Co. KG</t>
  </si>
  <si>
    <t>SNB940133714842</t>
  </si>
  <si>
    <t>Creos Deutschland GmbH</t>
  </si>
  <si>
    <t>SNB940437318166</t>
  </si>
  <si>
    <t>NEW Netz GmbH</t>
  </si>
  <si>
    <t>SNB941004899811</t>
  </si>
  <si>
    <t>Stadtwerke Goch GmbH</t>
  </si>
  <si>
    <t>SNB941650885558</t>
  </si>
  <si>
    <t>VSE Verteilnetz GmbH</t>
  </si>
  <si>
    <t>SNB942111583372</t>
  </si>
  <si>
    <t>Stadtwerke Lünen GmbH</t>
  </si>
  <si>
    <t>SNB942173666990</t>
  </si>
  <si>
    <t>Energieversorgung Beckum GmbH &amp; Co. KG</t>
  </si>
  <si>
    <t>SNB942182027607</t>
  </si>
  <si>
    <t>DB Energie GmbH</t>
  </si>
  <si>
    <t>SNB942305388936</t>
  </si>
  <si>
    <t>Stadtwerke Neustadt an der Weinstraße GmbH</t>
  </si>
  <si>
    <t>SNB942804093577</t>
  </si>
  <si>
    <t>Queichtal Energie Offenbach Netz GmbH</t>
  </si>
  <si>
    <t>SNB943042904373</t>
  </si>
  <si>
    <t>Stadtwerke Kempen GmbH</t>
  </si>
  <si>
    <t>SNB943170046990</t>
  </si>
  <si>
    <t>mve eurokom GmbH</t>
  </si>
  <si>
    <t>SNB943261073362</t>
  </si>
  <si>
    <t>Stadtwerke Sulzbach/Saar GmbH</t>
  </si>
  <si>
    <t>SNB943480673763</t>
  </si>
  <si>
    <t>Stadtwerke Coesfeld GmbH</t>
  </si>
  <si>
    <t>SNB943662886851</t>
  </si>
  <si>
    <t>SWO Netz GmbH</t>
  </si>
  <si>
    <t>SNB943841101959</t>
  </si>
  <si>
    <t>KEW Kommunale Energie- und Wasserversorgung AG</t>
  </si>
  <si>
    <t>SNB944057190867</t>
  </si>
  <si>
    <t>BEW Netze GmbH</t>
  </si>
  <si>
    <t>SNB944150243392</t>
  </si>
  <si>
    <t>Stadtwerke Unna GmbH</t>
  </si>
  <si>
    <t>SNB944294076061</t>
  </si>
  <si>
    <t>Stadtwerke Schüttorf-Emsbüren GmbH</t>
  </si>
  <si>
    <t>SNB945021456095</t>
  </si>
  <si>
    <t>Stadtwerke Kusel GmbH</t>
  </si>
  <si>
    <t>SNB945413736880</t>
  </si>
  <si>
    <t>Stadtwerke Völklingen Netz GmbH</t>
  </si>
  <si>
    <t>SNB945532057606</t>
  </si>
  <si>
    <t>nvb Nordhorner Versorgungsbetriebe GmbH</t>
  </si>
  <si>
    <t>SNB945750197795</t>
  </si>
  <si>
    <t>EVU Weilerbach</t>
  </si>
  <si>
    <t>SNB946885311919</t>
  </si>
  <si>
    <t>LokalWerke GmbH</t>
  </si>
  <si>
    <t>SNB947698671429</t>
  </si>
  <si>
    <t>Stadtwerke Dreieich GmbH</t>
  </si>
  <si>
    <t>SNB948311994307</t>
  </si>
  <si>
    <t>Netze BW GmbH</t>
  </si>
  <si>
    <t>SNB948485211972</t>
  </si>
  <si>
    <t>YNCORIS GmbH &amp; Co. KG</t>
  </si>
  <si>
    <t>SNB948741734467</t>
  </si>
  <si>
    <t>Stadtwerke Bad Wörishofen</t>
  </si>
  <si>
    <t>SNB950006175489</t>
  </si>
  <si>
    <t>SWTE Netz GmbH &amp; Co. KG</t>
  </si>
  <si>
    <t>SNB950584553167</t>
  </si>
  <si>
    <t>Stadtwerke Wiesbaden Netz GmbH</t>
  </si>
  <si>
    <t>SNB950724684287</t>
  </si>
  <si>
    <t>Gemeindewerke Dudenhofen</t>
  </si>
  <si>
    <t>SNB951760950909</t>
  </si>
  <si>
    <t>KEEP - Kommunale Eisenberger Energiepartner GmbH</t>
  </si>
  <si>
    <t>SNB953661539375</t>
  </si>
  <si>
    <t>Stadtwerke Ratingen GmbH</t>
  </si>
  <si>
    <t>SNB954537392643</t>
  </si>
  <si>
    <t>Stadtwerke Homburg GmbH</t>
  </si>
  <si>
    <t>SNB955001358523</t>
  </si>
  <si>
    <t>Stadtwerke Pirmasens Versorgungs GmbH</t>
  </si>
  <si>
    <t>SNB955266506998</t>
  </si>
  <si>
    <t>Stadtwerke Bramsche GmbH</t>
  </si>
  <si>
    <t>SNB955586052717</t>
  </si>
  <si>
    <t>Stadtwerke Bexbach GmbH</t>
  </si>
  <si>
    <t>SNB956923775696</t>
  </si>
  <si>
    <t>CPM Netz GmbH</t>
  </si>
  <si>
    <t>SNB956958990736</t>
  </si>
  <si>
    <t>e-netz Südhessen AG</t>
  </si>
  <si>
    <t>SNB956986612075</t>
  </si>
  <si>
    <t>Saerbecker Ver- und Entsorgungsnetzgesellschaft mbH</t>
  </si>
  <si>
    <t>SNB958070514050</t>
  </si>
  <si>
    <t>Stadtwerke Grünstadt GmbH</t>
  </si>
  <si>
    <t>SNB958077102830</t>
  </si>
  <si>
    <t>swa Netze GmbH</t>
  </si>
  <si>
    <t>SNB958116260552</t>
  </si>
  <si>
    <t>Flughafen Düsseldorf GmbH</t>
  </si>
  <si>
    <t>SNB958416423039</t>
  </si>
  <si>
    <t>Stadtwerke Emsdetten GmbH</t>
  </si>
  <si>
    <t>SNB959523885956</t>
  </si>
  <si>
    <t>Mainzer Netze GmbH</t>
  </si>
  <si>
    <t>SNB959585826225</t>
  </si>
  <si>
    <t>Stadtwerke Lambrecht (Pfalz) GmbH</t>
  </si>
  <si>
    <t>SNB960263813482</t>
  </si>
  <si>
    <t>SNB960797798422</t>
  </si>
  <si>
    <t>Stadtwerke Neu-Isenburg GmbH</t>
  </si>
  <si>
    <t>SNB960884494671</t>
  </si>
  <si>
    <t>InfraServ GmbH &amp; Co. Wiesbaden KG</t>
  </si>
  <si>
    <t>SNB961322866920</t>
  </si>
  <si>
    <t>Gemeindewerke Herxheim - Elektrizitätswerk -</t>
  </si>
  <si>
    <t>SNB961471621746</t>
  </si>
  <si>
    <t>Pfalzwerke Netz AG</t>
  </si>
  <si>
    <t>SNB961497906636</t>
  </si>
  <si>
    <t>GELSENWASSER Energienetze GmbH</t>
  </si>
  <si>
    <t>SNB961745390019</t>
  </si>
  <si>
    <t>Stadtwerke Frankenthal GmbH</t>
  </si>
  <si>
    <t>SNB962064980332</t>
  </si>
  <si>
    <t>Nahwerk-Energie GmbH &amp; Co. KG</t>
  </si>
  <si>
    <t>SNB963671951227</t>
  </si>
  <si>
    <t>Stadtwerke Herne AG</t>
  </si>
  <si>
    <t>SNB964262506406</t>
  </si>
  <si>
    <t>Stadtwerke Radevormwald GmbH</t>
  </si>
  <si>
    <t>SNB964592501355</t>
  </si>
  <si>
    <t>Hertener Stadtwerke GmbH</t>
  </si>
  <si>
    <t>SNB965107360993</t>
  </si>
  <si>
    <t>Stadtwerke Geldern Netz GmbH</t>
  </si>
  <si>
    <t>SNB965118678667</t>
  </si>
  <si>
    <t>Stadtwerke Soest GmbH</t>
  </si>
  <si>
    <t>SNB965164398427</t>
  </si>
  <si>
    <t>Fraport AG</t>
  </si>
  <si>
    <t>SNB965281540327</t>
  </si>
  <si>
    <t>Energieversorgung Limburg GmbH</t>
  </si>
  <si>
    <t>SNB965379905076</t>
  </si>
  <si>
    <t>Stadtwerke Langen GmbH</t>
  </si>
  <si>
    <t>SNB965394941448</t>
  </si>
  <si>
    <t>Outokumpu Stainless Holding GmbH</t>
  </si>
  <si>
    <t>SNB966808200267</t>
  </si>
  <si>
    <t>Vereinigte Wertach-Elektrizitätswerke GmbH</t>
  </si>
  <si>
    <t>SNB966809778161</t>
  </si>
  <si>
    <t>Stadtwerke Groß-Gerau Versorgungs GmbH</t>
  </si>
  <si>
    <t>SNB966813503780</t>
  </si>
  <si>
    <t>SWT Stadtwerke Trier Versorgungs-GmbH</t>
  </si>
  <si>
    <t>SNB966823215826</t>
  </si>
  <si>
    <t>Talwerk GmbH</t>
  </si>
  <si>
    <t>SNB967148688999</t>
  </si>
  <si>
    <t>SWL Verteilungsnetzgesellschaft mbH</t>
  </si>
  <si>
    <t>SNB967794191157</t>
  </si>
  <si>
    <t>AVU Netz GmbH</t>
  </si>
  <si>
    <t>SNB968648650424</t>
  </si>
  <si>
    <t>Stadtwerke Wachenheim</t>
  </si>
  <si>
    <t>SNB968670865650</t>
  </si>
  <si>
    <t>GGEW, Gruppen-Gas- und Elektrizitätswerk Bergstraße AG</t>
  </si>
  <si>
    <t>SNB968694358282</t>
  </si>
  <si>
    <t>Stadtwerke Heiligenhaus GmbH</t>
  </si>
  <si>
    <t>SNB969058795651</t>
  </si>
  <si>
    <t>Stadtwerke Waiblingen GmbH</t>
  </si>
  <si>
    <t>SNB969068596941</t>
  </si>
  <si>
    <t>EWR Netz GmbH</t>
  </si>
  <si>
    <t>SNB969345305204</t>
  </si>
  <si>
    <t>WEV Warendorfer Energieversorgung GmbH</t>
  </si>
  <si>
    <t>SNB969362778135</t>
  </si>
  <si>
    <t>SWS Netze Solingen GmbH</t>
  </si>
  <si>
    <t>SNB969688824103</t>
  </si>
  <si>
    <t>Gemeindewerke Kirkel GmbH</t>
  </si>
  <si>
    <t>SNB969826201797</t>
  </si>
  <si>
    <t>Stadtwerke Hilden GmbH</t>
  </si>
  <si>
    <t>SNB971007500575</t>
  </si>
  <si>
    <t>Stadtwerke Witten GmbH</t>
  </si>
  <si>
    <t>SNB971155221315</t>
  </si>
  <si>
    <t>Flughafen Köln/Bonn GmbH</t>
  </si>
  <si>
    <t>SNB971169136186</t>
  </si>
  <si>
    <t>Weißachtal-Kraftwerke eG</t>
  </si>
  <si>
    <t>SNB971311555230</t>
  </si>
  <si>
    <t>EAM Netz GmbH</t>
  </si>
  <si>
    <t>SNB971503120734</t>
  </si>
  <si>
    <t>Stadtwerke Service Meerbusch Willich GmbH &amp; Co. KG</t>
  </si>
  <si>
    <t>SNB972040623122</t>
  </si>
  <si>
    <t>Stadtwerke Annweiler</t>
  </si>
  <si>
    <t>SNB972046955654</t>
  </si>
  <si>
    <t>Stadtwerke Harsewinkel GmbH</t>
  </si>
  <si>
    <t>SNB972265030262</t>
  </si>
  <si>
    <t>Gemeindewerke Münchweiler a.d. Rodalb AöR</t>
  </si>
  <si>
    <t>SNB973074326355</t>
  </si>
  <si>
    <t>ELE Verteilnetz GmbH</t>
  </si>
  <si>
    <t>SNB973356062049</t>
  </si>
  <si>
    <t>Bad Honnef AG</t>
  </si>
  <si>
    <t>SNB973672371320</t>
  </si>
  <si>
    <t>Stadtwerke Jülich GmbH</t>
  </si>
  <si>
    <t>SNB974319144116</t>
  </si>
  <si>
    <t>IGS Netze GmbH</t>
  </si>
  <si>
    <t>SNB974492211483</t>
  </si>
  <si>
    <t>Stadtwerke Velbert GmbH</t>
  </si>
  <si>
    <t>SNB974556654430</t>
  </si>
  <si>
    <t>Donau-Stadtwerke Dillingen-Lauingen</t>
  </si>
  <si>
    <t>SNB974711150357</t>
  </si>
  <si>
    <t>Netcur GmbH</t>
  </si>
  <si>
    <t>SNB974739102161</t>
  </si>
  <si>
    <t>T.W.O. Technische Werke Osning GmbH</t>
  </si>
  <si>
    <t>SNB975680234468</t>
  </si>
  <si>
    <t>Stadtwerke Witten Mittelspannungsnetz GmbH</t>
  </si>
  <si>
    <t>SNB976379598847</t>
  </si>
  <si>
    <t>energis-Netzgesellschaft mbH</t>
  </si>
  <si>
    <t>SNB976890256486</t>
  </si>
  <si>
    <t>Amprion GmbH</t>
  </si>
  <si>
    <t>SNB977443469322</t>
  </si>
  <si>
    <t>SNB977451702473</t>
  </si>
  <si>
    <t>Stromkontor Griesheim GmbH</t>
  </si>
  <si>
    <t>SNB977481237679</t>
  </si>
  <si>
    <t>Stadtwerke Georgsmarienhütte Netz GmbH</t>
  </si>
  <si>
    <t>SNB977535807001</t>
  </si>
  <si>
    <t>Infraserv Netze GmbH</t>
  </si>
  <si>
    <t>SNB977716315769</t>
  </si>
  <si>
    <t>enwor Netz GmbH</t>
  </si>
  <si>
    <t>SNB978108787379</t>
  </si>
  <si>
    <t>NHL Netzgesellschaft Heilbronner Land GmbH &amp; Co. KG</t>
  </si>
  <si>
    <t>SNB978730380269</t>
  </si>
  <si>
    <t>Stadtwerke Ludwigsburg-Kornwestheim GmbH</t>
  </si>
  <si>
    <t>SNB979326623005</t>
  </si>
  <si>
    <t>Stadtwerke Rhede GmbH</t>
  </si>
  <si>
    <t>SNB979980141082</t>
  </si>
  <si>
    <t>Stadtwerke Werl GmbH</t>
  </si>
  <si>
    <t>SNB980055629275</t>
  </si>
  <si>
    <t>Energienetze Mittelrhein GmbH &amp; Co. KG</t>
  </si>
  <si>
    <t>SNB980883363112</t>
  </si>
  <si>
    <t>Stadtnetze Münster GmbH</t>
  </si>
  <si>
    <t>SNB981060961299</t>
  </si>
  <si>
    <t>Dortmunder Netz GmbH</t>
  </si>
  <si>
    <t>SNB981335690930</t>
  </si>
  <si>
    <t>Stadtwerke Andernach Energie GmbH</t>
  </si>
  <si>
    <t>SNB982030394239</t>
  </si>
  <si>
    <t>Stadtwerke Lingen GmbH</t>
  </si>
  <si>
    <t>SNB982049301273</t>
  </si>
  <si>
    <t>Stadtwerke Germersheim GmbH</t>
  </si>
  <si>
    <t>SNB982394830312</t>
  </si>
  <si>
    <t>SWK Stadtwerke Kaiserslautern Versorgungs-AG</t>
  </si>
  <si>
    <t>SNB982432856366</t>
  </si>
  <si>
    <t>Stadtwerke Borken/Westf. GmbH</t>
  </si>
  <si>
    <t>SNB982660786343</t>
  </si>
  <si>
    <t>Stadtwerke Schwäbisch Hall GmbH</t>
  </si>
  <si>
    <t>SNB983315496327</t>
  </si>
  <si>
    <t>Ahrtal-Werke GmbH</t>
  </si>
  <si>
    <t>SNB983444187332</t>
  </si>
  <si>
    <t>Stadtwerke Brühl GmbH</t>
  </si>
  <si>
    <t>SNB983526428810</t>
  </si>
  <si>
    <t>Mainnetz GmbH</t>
  </si>
  <si>
    <t>SNB983792571722</t>
  </si>
  <si>
    <t>Gemeindewerke Wadgassen GmbH</t>
  </si>
  <si>
    <t>SNB984269982003</t>
  </si>
  <si>
    <t>Stadtwerke Deidesheim GmbH</t>
  </si>
  <si>
    <t>SNB984338214660</t>
  </si>
  <si>
    <t>Gemeinde-Elektrizitäts- und Wasserwerk Burtenbach</t>
  </si>
  <si>
    <t>SNB985069443664</t>
  </si>
  <si>
    <t>OQ Services GmbH</t>
  </si>
  <si>
    <t>SNB985098042388</t>
  </si>
  <si>
    <t>Stadtwerke Lippstadt GmbH</t>
  </si>
  <si>
    <t>SNB985347645049</t>
  </si>
  <si>
    <t>Stadtwerke Nettetal GmbH</t>
  </si>
  <si>
    <t>SNB985382489820</t>
  </si>
  <si>
    <t>Stadtwerke Saarbrücken Netz AG</t>
  </si>
  <si>
    <t>SNB985431470335</t>
  </si>
  <si>
    <t>Stadtwerke GmbH Bad Kreuznach</t>
  </si>
  <si>
    <t>SNB985871274975</t>
  </si>
  <si>
    <t>Kommunalunternehmen Gemeindewerke Peißenberg</t>
  </si>
  <si>
    <t>SNB986042567117</t>
  </si>
  <si>
    <t>Stadtwerke Mühlheim am Main GmbH</t>
  </si>
  <si>
    <t>SNB986190606218</t>
  </si>
  <si>
    <t>Stadtwerke Emmerich GmbH</t>
  </si>
  <si>
    <t>SNB986403410816</t>
  </si>
  <si>
    <t>Elektrizitätsgenossenschaft Rettenberg eG</t>
  </si>
  <si>
    <t>SNB986916159257</t>
  </si>
  <si>
    <t>ThyssenKrupp Steel Europe AG</t>
  </si>
  <si>
    <t>SNB986931195988</t>
  </si>
  <si>
    <t>Gemeindewerke Enkenbach-Alsenborn</t>
  </si>
  <si>
    <t>SNB987153361809</t>
  </si>
  <si>
    <t>Gemeindewerke Nümbrecht GmbH</t>
  </si>
  <si>
    <t>SNB987451707521</t>
  </si>
  <si>
    <t>Elektrizitätswerk Bruchmühlbach-Miesau</t>
  </si>
  <si>
    <t>SNB987569421388</t>
  </si>
  <si>
    <t>Stadtwerke Ramstein-Miesenbach GmbH</t>
  </si>
  <si>
    <t>SNB988556835096</t>
  </si>
  <si>
    <t>e-shelter power grid GmbH</t>
  </si>
  <si>
    <t>SNB989025785690</t>
  </si>
  <si>
    <t>SSW Netz GmbH</t>
  </si>
  <si>
    <t>SNB990174285078</t>
  </si>
  <si>
    <t>BIGGE ENERGIE GmbH &amp; Co. KG</t>
  </si>
  <si>
    <t>SNB990887002092</t>
  </si>
  <si>
    <t>Thüga Energienetze GmbH</t>
  </si>
  <si>
    <t>SNB991381724831</t>
  </si>
  <si>
    <t>Fürstlich Fugger von Glött`sche E-Werks GmbH &amp; Co. KG</t>
  </si>
  <si>
    <t>SNB991400668603</t>
  </si>
  <si>
    <t>Gemeindewerke Haßloch GmbH</t>
  </si>
  <si>
    <t>SNB991561247815</t>
  </si>
  <si>
    <t>Stadtwerke Dillingen/Saar Netzgesellschaft mbH</t>
  </si>
  <si>
    <t>SNB992672107807</t>
  </si>
  <si>
    <t>Oberhausener Netzgesellschaft mbH</t>
  </si>
  <si>
    <t>SNB993724515038</t>
  </si>
  <si>
    <t>Gemeindewerke Grefrath GmbH</t>
  </si>
  <si>
    <t>SNB994887596117</t>
  </si>
  <si>
    <t>SOLVAY GmbH</t>
  </si>
  <si>
    <t>SNB997465895442</t>
  </si>
  <si>
    <t>Energie- und Bäderbetrieb Hauenstein</t>
  </si>
  <si>
    <t>SNB998044089535</t>
  </si>
  <si>
    <t>Stadtwerke Greven GmbH</t>
  </si>
  <si>
    <t>Regelzone TenneT (gesamt)</t>
  </si>
  <si>
    <t>SNB981193584808</t>
  </si>
  <si>
    <t>Gemeindewerke Kiefersfelden</t>
  </si>
  <si>
    <t>SNB991410365127</t>
  </si>
  <si>
    <t>Gemeindewerke Ebersdorf</t>
  </si>
  <si>
    <t>SNB919208961290</t>
  </si>
  <si>
    <t>Gewerbepark Nürnberg-Feucht Versorgungs- und Abwasserentsorgungs GmbH</t>
  </si>
  <si>
    <t>SNB913346629968</t>
  </si>
  <si>
    <t>Stadtwerke Barmstedt</t>
  </si>
  <si>
    <t>SNB960502792271</t>
  </si>
  <si>
    <t>Stadtwerke Bad Bramstedt Netz GmbH</t>
  </si>
  <si>
    <t>SNB962756415364</t>
  </si>
  <si>
    <t>Gemeindewerke Rückersdorf</t>
  </si>
  <si>
    <t>SNB951791941969</t>
  </si>
  <si>
    <t>Stadtwerke Nordfriesland-Netz GmbH</t>
  </si>
  <si>
    <t>SNB959255155907</t>
  </si>
  <si>
    <t>Osterholzer Stadtwerke GmbH &amp; Co. KG</t>
  </si>
  <si>
    <t>SNB931823254809</t>
  </si>
  <si>
    <t>Stadt Burgbernheim</t>
  </si>
  <si>
    <t>SNB922811950100</t>
  </si>
  <si>
    <t>Stadtwerke Schweinfurt GmbH</t>
  </si>
  <si>
    <t>SNB943984165313</t>
  </si>
  <si>
    <t>Stadtwerke Stein GmbH &amp; Co. KG</t>
  </si>
  <si>
    <t>SNB910882213224</t>
  </si>
  <si>
    <t>Elektrizitätswerk Stern KG Bad Endorf</t>
  </si>
  <si>
    <t>SNB947092763157</t>
  </si>
  <si>
    <t>Stadtwerke Altdorf GmbH</t>
  </si>
  <si>
    <t>SNB916743652645</t>
  </si>
  <si>
    <t>Stadtwerke Elmshorn</t>
  </si>
  <si>
    <t>SNB910956210043</t>
  </si>
  <si>
    <t>Überlandwerk Leinetal GmbH</t>
  </si>
  <si>
    <t>SNB968646876970</t>
  </si>
  <si>
    <t>Stadtwerke Eckernförde GmbH</t>
  </si>
  <si>
    <t>SNB963795614626</t>
  </si>
  <si>
    <t>Stadtwerke Bad Windsheim</t>
  </si>
  <si>
    <t>SNB957632855181</t>
  </si>
  <si>
    <t>Überlandwerk Erding GmbH &amp; Co. KG</t>
  </si>
  <si>
    <t>SNB967068117678</t>
  </si>
  <si>
    <t>gKU oberes Egertal</t>
  </si>
  <si>
    <t>SNB972153058149</t>
  </si>
  <si>
    <t>Kommunale Energienetze Inn-Salzach GmbH &amp; Co. KG</t>
  </si>
  <si>
    <t>SNB983546347757</t>
  </si>
  <si>
    <t>Stadtwerke Wolfenbüttel GmbH</t>
  </si>
  <si>
    <t>SNB979202870318</t>
  </si>
  <si>
    <t>Stadtwerke Rothenburg o. d. T. GmbH</t>
  </si>
  <si>
    <t>SNB942824437573</t>
  </si>
  <si>
    <t>Gemeinde Heroldsbach</t>
  </si>
  <si>
    <t>SNB948413721931</t>
  </si>
  <si>
    <t>Stadtwerke Bad Salzuflen GmbH</t>
  </si>
  <si>
    <t>SNB911696239035</t>
  </si>
  <si>
    <t>Energieversorgung Selb-Marktredwitz GmbH</t>
  </si>
  <si>
    <t>SNB927574397889</t>
  </si>
  <si>
    <t>Stadtwerke Roth</t>
  </si>
  <si>
    <t>SNB991797615686</t>
  </si>
  <si>
    <t>Energieversorgung Lohr-Karlstadt und Umgebung GmbH &amp; Co. KG</t>
  </si>
  <si>
    <t>SNB911960309587</t>
  </si>
  <si>
    <t>infra fürth gmbh</t>
  </si>
  <si>
    <t>SNB935626894156</t>
  </si>
  <si>
    <t>Stadtwerke Zeil a. Main</t>
  </si>
  <si>
    <t>SNB960882503184</t>
  </si>
  <si>
    <t>Stadtwerke Geesthacht GmbH</t>
  </si>
  <si>
    <t>SNB939428749966</t>
  </si>
  <si>
    <t>Stadtwerke Hemau</t>
  </si>
  <si>
    <t>SNB941183960449</t>
  </si>
  <si>
    <t>Stadtwerke Emden GmbH</t>
  </si>
  <si>
    <t>SNB949646353012</t>
  </si>
  <si>
    <t>Stadtwerke Bamberg Energie- und Wasserversorgungs GmbH</t>
  </si>
  <si>
    <t>SNB916328839515</t>
  </si>
  <si>
    <t>Elektrizitätswerk Diessen Stadler GmbH</t>
  </si>
  <si>
    <t>SNB958337664054</t>
  </si>
  <si>
    <t>Rupert Buchauer E-Werk &amp; Elektroinstallation</t>
  </si>
  <si>
    <t>SNB977206503256</t>
  </si>
  <si>
    <t>Stadtwerke Hof Energie+Wasser GmbH</t>
  </si>
  <si>
    <t>SNB943571241628</t>
  </si>
  <si>
    <t>Maintal-Werke GmbH</t>
  </si>
  <si>
    <t>SNB937406641264</t>
  </si>
  <si>
    <t>Stadtwerke Ansbach GmbH</t>
  </si>
  <si>
    <t>SNB956377097702</t>
  </si>
  <si>
    <t>Stadtwerke Baiersdorf KU</t>
  </si>
  <si>
    <t>SNB970033313272</t>
  </si>
  <si>
    <t>TenneT TSO GmbH</t>
  </si>
  <si>
    <t>SNB906862380628</t>
  </si>
  <si>
    <t>Mittelhessen Netz GmbH</t>
  </si>
  <si>
    <t>SNB929383206369</t>
  </si>
  <si>
    <t>Elektrizitätswerk Simbach GmbH</t>
  </si>
  <si>
    <t>SNB965315499379</t>
  </si>
  <si>
    <t>Stadtwerke Neustadt a.d. Aisch GmbH</t>
  </si>
  <si>
    <t>SNB946115797155</t>
  </si>
  <si>
    <t>Versorgungsbetriebe Zellingen</t>
  </si>
  <si>
    <t>SNB962996832648</t>
  </si>
  <si>
    <t>Stadtwerke Verden GmbH</t>
  </si>
  <si>
    <t>SNB988769717073</t>
  </si>
  <si>
    <t>Stadtwerke Neustadt a.d. Donau</t>
  </si>
  <si>
    <t>SNB924120395771</t>
  </si>
  <si>
    <t>Stadtwerke Scheinfeld</t>
  </si>
  <si>
    <t>SNB965813404431</t>
  </si>
  <si>
    <t>Stadtwerke Nortorf AöR</t>
  </si>
  <si>
    <t>SNB990562890006</t>
  </si>
  <si>
    <t>SWD Stadtwerke Dinkelsbühl</t>
  </si>
  <si>
    <t>SNB926119738552</t>
  </si>
  <si>
    <t>Stadtwerke Rendsburg GmbH</t>
  </si>
  <si>
    <t>SNB925878615876</t>
  </si>
  <si>
    <t>Gemeindliche Werke Hengersberg</t>
  </si>
  <si>
    <t>SNB924409922308</t>
  </si>
  <si>
    <t>Stadtwerke Rinteln GmbH</t>
  </si>
  <si>
    <t>SNB930423383254</t>
  </si>
  <si>
    <t>Stadtwerke Böhmetal GmbH</t>
  </si>
  <si>
    <t>SNB967075358620</t>
  </si>
  <si>
    <t>Stadtwerke Lemgo GmbH</t>
  </si>
  <si>
    <t>SNB917625393281</t>
  </si>
  <si>
    <t>Stadtwerke Passau GmbH</t>
  </si>
  <si>
    <t>SNB962736090291</t>
  </si>
  <si>
    <t>Gemeindewerke Großkrotzenburg GmbH</t>
  </si>
  <si>
    <t>SNB944723161733</t>
  </si>
  <si>
    <t>Feuchter Gemeindewerke GmbH</t>
  </si>
  <si>
    <t>SNB962006136537</t>
  </si>
  <si>
    <t>Gemeindewerke Kahl Versorgungsgesellschaft mbH</t>
  </si>
  <si>
    <t>SNB911347846643</t>
  </si>
  <si>
    <t>Stadtwerke Ingolstadt Netze GmbH</t>
  </si>
  <si>
    <t>SNB941929592729</t>
  </si>
  <si>
    <t>Regensburg Netz GmbH</t>
  </si>
  <si>
    <t>SNB913576376151</t>
  </si>
  <si>
    <t>Energieversorgung Alzenau GmbH</t>
  </si>
  <si>
    <t>SNB927533168369</t>
  </si>
  <si>
    <t>SW Südholstein GmbH ehemals SW Pinneberg GmbH</t>
  </si>
  <si>
    <t>SNB972740218178</t>
  </si>
  <si>
    <t>Stadtwerke Marburg GmbH</t>
  </si>
  <si>
    <t>SNB954662803168</t>
  </si>
  <si>
    <t>Stadtwerke Pappenheim GmbH</t>
  </si>
  <si>
    <t>SNB930312838582</t>
  </si>
  <si>
    <t>Herzo Werke GmbH</t>
  </si>
  <si>
    <t>SNB914522191989</t>
  </si>
  <si>
    <t>Stadtwerke Ebermannstadt Versorgungsbetriebe GmbH</t>
  </si>
  <si>
    <t>SNB978191145308</t>
  </si>
  <si>
    <t>Stadtwerke Amberg Versorgungs GmbH</t>
  </si>
  <si>
    <t>SNB955607007702</t>
  </si>
  <si>
    <t>Stadtwerke Pfarrkirchen</t>
  </si>
  <si>
    <t>SNB953794435957</t>
  </si>
  <si>
    <t>Stadtwerke Gunzenhausen GmbH</t>
  </si>
  <si>
    <t>SNB928557841498</t>
  </si>
  <si>
    <t>Gemeindewerke Halstenbek</t>
  </si>
  <si>
    <t>SNB977581070640</t>
  </si>
  <si>
    <t>Stadtwerke Dettelbach</t>
  </si>
  <si>
    <t>SNB919230329570</t>
  </si>
  <si>
    <t>Stadtwerke Wilster</t>
  </si>
  <si>
    <t>SNB983359308570</t>
  </si>
  <si>
    <t>Stadtwerke Bad Brückenau GmbH</t>
  </si>
  <si>
    <t>SNB975283859389</t>
  </si>
  <si>
    <t>Stadtwerke Wedel GmbH</t>
  </si>
  <si>
    <t>SNB913866241817</t>
  </si>
  <si>
    <t>EMB Energieversorgung Miltenberg-Bürgstadt GmbH &amp; Co. KG</t>
  </si>
  <si>
    <t>SNB932685335767</t>
  </si>
  <si>
    <t>Stadtwerke Vilsbiburg</t>
  </si>
  <si>
    <t>SNB971196250442</t>
  </si>
  <si>
    <t>Stadtwerke Waldmünchen</t>
  </si>
  <si>
    <t>SNB971174411018</t>
  </si>
  <si>
    <t>Gemeindewerke Heikendorf AöR</t>
  </si>
  <si>
    <t>SNB958561375085</t>
  </si>
  <si>
    <t>Gemeindewerke Markt Lichtenau</t>
  </si>
  <si>
    <t>SNB965500640463</t>
  </si>
  <si>
    <t>STADTWERKE KELHEIM GmbH &amp; Co KG</t>
  </si>
  <si>
    <t>SNB955706777742</t>
  </si>
  <si>
    <t>Markt Lam</t>
  </si>
  <si>
    <t>SNB953938790515</t>
  </si>
  <si>
    <t>Stadtwerke Heide GmbH</t>
  </si>
  <si>
    <t>SNB943319305469</t>
  </si>
  <si>
    <t>Licht-, Kraft- und Wasserwerke Kitzingen GmbH</t>
  </si>
  <si>
    <t>SNB985701689504</t>
  </si>
  <si>
    <t>Stadtwerke Fürstenfeldbruck GmbH</t>
  </si>
  <si>
    <t>SNB935482852901</t>
  </si>
  <si>
    <t>Städtische Werke Netz + Service GmbH</t>
  </si>
  <si>
    <t>SNB941424038838</t>
  </si>
  <si>
    <t>Stadtwerke Bad Nauheim GmbH</t>
  </si>
  <si>
    <t>SNB964573708865</t>
  </si>
  <si>
    <t>KEW Karwendel Energie und Wasser GmbH</t>
  </si>
  <si>
    <t>SNB936172924014</t>
  </si>
  <si>
    <t>Energie Waldeck-Frankenberg GmbH</t>
  </si>
  <si>
    <t>SNB946958756494</t>
  </si>
  <si>
    <t>Markt Wilhermsdorf</t>
  </si>
  <si>
    <t>SNB914092143906</t>
  </si>
  <si>
    <t>Gemeinde Bayerisch Gmain</t>
  </si>
  <si>
    <t>SNB940718804685</t>
  </si>
  <si>
    <t>Stadtwerke Traunstein GmbH &amp; Co. KG</t>
  </si>
  <si>
    <t>SNB976863966633</t>
  </si>
  <si>
    <t>Rothmoser GmbH &amp; Co. KG</t>
  </si>
  <si>
    <t>SNB916008519201</t>
  </si>
  <si>
    <t>Elektrizitäts-Werk Ottersberg</t>
  </si>
  <si>
    <t>SNB914668240749</t>
  </si>
  <si>
    <t>Stadtwerke Furth im Wald GmbH &amp; Co. KG</t>
  </si>
  <si>
    <t>SNB945768616967</t>
  </si>
  <si>
    <t>Eichsfelder Energie- und Wasserversorgungsgesellschaft mbH</t>
  </si>
  <si>
    <t>SNB981972152532</t>
  </si>
  <si>
    <t>Gemeindewerke Schönkirchen GmbH</t>
  </si>
  <si>
    <t>SNB927892816017</t>
  </si>
  <si>
    <t>E-Werk Schweiger OHG</t>
  </si>
  <si>
    <t>SNB939653726848</t>
  </si>
  <si>
    <t>Stadtwerke Herborn GmbH</t>
  </si>
  <si>
    <t>SNB947270211210</t>
  </si>
  <si>
    <t>SWN Stadtwerke Neustadt GmbH</t>
  </si>
  <si>
    <t>SNB954026274702</t>
  </si>
  <si>
    <t>Stadtwerke Peine GmbH</t>
  </si>
  <si>
    <t>SNB935738221819</t>
  </si>
  <si>
    <t>Stadtwerke Langenzenn</t>
  </si>
  <si>
    <t>SNB996457394093</t>
  </si>
  <si>
    <t>Stadtwerke Forchheim GmbH</t>
  </si>
  <si>
    <t>SNB972723368326</t>
  </si>
  <si>
    <t>Stadtwerke Winsen (Luhe) GmbH</t>
  </si>
  <si>
    <t>SNB960416123321</t>
  </si>
  <si>
    <t>Stadtwerke Waldkraiburg GmbH</t>
  </si>
  <si>
    <t>SNB962110557570</t>
  </si>
  <si>
    <t>Stadtwerke Schwabach GmbH</t>
  </si>
  <si>
    <t>SNB958680286002</t>
  </si>
  <si>
    <t>Stadtwerke Hollfeld</t>
  </si>
  <si>
    <t>SNB947030954821</t>
  </si>
  <si>
    <t>Stadtwerke Soltau GmbH &amp; Co. KG</t>
  </si>
  <si>
    <t>SNB950028563172</t>
  </si>
  <si>
    <t>Stadtwerke Schneverdingen-Neuenkirchen GmbH</t>
  </si>
  <si>
    <t>SNB963499807249</t>
  </si>
  <si>
    <t>Stadtwerke Landau a.d. Isar</t>
  </si>
  <si>
    <t>SNB924774487556</t>
  </si>
  <si>
    <t>Stadtwerke Detmold GmbH</t>
  </si>
  <si>
    <t>SNB982085566391</t>
  </si>
  <si>
    <t>HEWA Hersbrucker Energie- und Wasserversorgung GmbH</t>
  </si>
  <si>
    <t>SNB932388577952</t>
  </si>
  <si>
    <t>Energieversorgung Dahlenburg-Bleckede AG</t>
  </si>
  <si>
    <t>SNB968489334224</t>
  </si>
  <si>
    <t>Stadtwerke Buchholz in der Nordheide GmbH</t>
  </si>
  <si>
    <t>SNB959513498364</t>
  </si>
  <si>
    <t>Stadtwerke Bebra GmbH</t>
  </si>
  <si>
    <t>SNB911031559460</t>
  </si>
  <si>
    <t>Stadtwerke Bad Kissingen GmbH</t>
  </si>
  <si>
    <t>SNB959373877170</t>
  </si>
  <si>
    <t>Stadtwerke Bad Vilbel GmbH</t>
  </si>
  <si>
    <t>SNB940847187345</t>
  </si>
  <si>
    <t>Stadtwerke Eschwege GmbH</t>
  </si>
  <si>
    <t>SNB964046129302</t>
  </si>
  <si>
    <t>Stadtwerk Haßfurt GmbH</t>
  </si>
  <si>
    <t>SNB976170444053</t>
  </si>
  <si>
    <t>Stadtwerke Rotenburg (Wümme) GmbH</t>
  </si>
  <si>
    <t>SNB964375043041</t>
  </si>
  <si>
    <t>Stadtwerke Hünfeld GmbH</t>
  </si>
  <si>
    <t>SNB957268511697</t>
  </si>
  <si>
    <t>Gemeindewerke Bovenden GmbH &amp; Co. KG</t>
  </si>
  <si>
    <t>SNB973519584647</t>
  </si>
  <si>
    <t>Versorgungsbetriebe Bordesholm GmbH</t>
  </si>
  <si>
    <t>SNB983425156814</t>
  </si>
  <si>
    <t>TraveNetz GmbH</t>
  </si>
  <si>
    <t>SNB925050442719</t>
  </si>
  <si>
    <t>Stadtwerke Dorfen GmbH</t>
  </si>
  <si>
    <t>SNB956741146944</t>
  </si>
  <si>
    <t>Stadtwerke Münchberg</t>
  </si>
  <si>
    <t>SNB953868012787</t>
  </si>
  <si>
    <t>Schleswiger Stadtwerke GmbH</t>
  </si>
  <si>
    <t>SNB929073868471</t>
  </si>
  <si>
    <t>Stadtwerke Wasserburg a. Inn</t>
  </si>
  <si>
    <t>SNB968949417344</t>
  </si>
  <si>
    <t>Stadtwerke Bad Hersfeld GmbH</t>
  </si>
  <si>
    <t>SNB948134408678</t>
  </si>
  <si>
    <t>Stadtwerke Quickborn GmbH</t>
  </si>
  <si>
    <t>SNB958672501014</t>
  </si>
  <si>
    <t>Stadtwerke Bad Reichenhall KU</t>
  </si>
  <si>
    <t>SNB945149216045</t>
  </si>
  <si>
    <t>Stadtwerke Dachau</t>
  </si>
  <si>
    <t>SNB985206131959</t>
  </si>
  <si>
    <t>Stadtwerke Waldkirchen</t>
  </si>
  <si>
    <t>SNB971746988153</t>
  </si>
  <si>
    <t>enercity Netz GmbH</t>
  </si>
  <si>
    <t>SNB978963778161</t>
  </si>
  <si>
    <t>e-werk Sachsenwald GmbH</t>
  </si>
  <si>
    <t>SNB930134015819</t>
  </si>
  <si>
    <t>Elektrizitätsgenossenschaft Vogling &amp; Angrenzer eG</t>
  </si>
  <si>
    <t>SNB973056451075</t>
  </si>
  <si>
    <t>Stadtwerke Munster-Bispingen GmbH</t>
  </si>
  <si>
    <t>SNB943915605062</t>
  </si>
  <si>
    <t>Energieversorgung Gemünden GmbH</t>
  </si>
  <si>
    <t>SNB965557517831</t>
  </si>
  <si>
    <t>Stadtwerke Uelzen GmbH</t>
  </si>
  <si>
    <t>SNB922051401837</t>
  </si>
  <si>
    <t>Stadtwerke Wertheim GmbH</t>
  </si>
  <si>
    <t>SNB917615238004</t>
  </si>
  <si>
    <t>Stadtwerke Plattling</t>
  </si>
  <si>
    <t>SNB916672506194</t>
  </si>
  <si>
    <t>Cramer-Mühle GmbH &amp; Co. KG</t>
  </si>
  <si>
    <t>SNB978299965228</t>
  </si>
  <si>
    <t>E-Werke Haniel Haimhausen GmbH &amp; Co. KG</t>
  </si>
  <si>
    <t>SNB975659838086</t>
  </si>
  <si>
    <t>Stadtwerke Stade GmbH</t>
  </si>
  <si>
    <t>SNB924332586844</t>
  </si>
  <si>
    <t>Stadtwerke Zwiesel</t>
  </si>
  <si>
    <t>SNB980412578185</t>
  </si>
  <si>
    <t>Stadtwerke Heilsbronn</t>
  </si>
  <si>
    <t>SNB967958627669</t>
  </si>
  <si>
    <t>Stadtwerke Bad Sachsa GmbH</t>
  </si>
  <si>
    <t>SNB975801091031</t>
  </si>
  <si>
    <t>Elektrizitätsgenossenschaft Ohlstadt e. G.</t>
  </si>
  <si>
    <t>SNB980181102130</t>
  </si>
  <si>
    <t>Stadtwerke Glückstadt GmbH</t>
  </si>
  <si>
    <t>SNB916711029424</t>
  </si>
  <si>
    <t>Stadtwerke Hammelburg GmbH</t>
  </si>
  <si>
    <t>SNB990329664031</t>
  </si>
  <si>
    <t>Kommunalunternehmen Stadtwerke Klingenberg (AöR)</t>
  </si>
  <si>
    <t>SNB938620426132</t>
  </si>
  <si>
    <t>Stadtwerke Tirschenreuth</t>
  </si>
  <si>
    <t>SNB925861098273</t>
  </si>
  <si>
    <t>Stadtwerke Uslar GmbH</t>
  </si>
  <si>
    <t>SNB922220582657</t>
  </si>
  <si>
    <t>Stadtwerke Flensburg GmbH</t>
  </si>
  <si>
    <t>SNB917574266223</t>
  </si>
  <si>
    <t>Versorgungsbetriebe Hann. Münden GmbH</t>
  </si>
  <si>
    <t>SNB946137378622</t>
  </si>
  <si>
    <t>Stadtwerke Itzehoe GmbH</t>
  </si>
  <si>
    <t>SNB947553215997</t>
  </si>
  <si>
    <t>Gemeindewerke Stammbach Kommunalunternehmen AdöR</t>
  </si>
  <si>
    <t>SNB977253144464</t>
  </si>
  <si>
    <t>Stadtwerke Bad Neustadt a. d. Saale</t>
  </si>
  <si>
    <t>SNB967967636034</t>
  </si>
  <si>
    <t>Stadtwerke Vilshofen GmbH</t>
  </si>
  <si>
    <t>SNB966216072913</t>
  </si>
  <si>
    <t>Gemeindewerke Georgensgmünd</t>
  </si>
  <si>
    <t>SNB985965721965</t>
  </si>
  <si>
    <t>Stadtwerke Norderstedt</t>
  </si>
  <si>
    <t>SNB967782555602</t>
  </si>
  <si>
    <t>Stadtwerke Bayreuth Energie und Wasser GmbH</t>
  </si>
  <si>
    <t>SNB914735995145</t>
  </si>
  <si>
    <t>Energiegenossenschaft für Wittmund eG</t>
  </si>
  <si>
    <t>SNB939431117011</t>
  </si>
  <si>
    <t>Stromversorgung Inzell eG</t>
  </si>
  <si>
    <t>SNB949422762892</t>
  </si>
  <si>
    <t>Stadtwerke Bad Sooden-Allendorf</t>
  </si>
  <si>
    <t>SNB924793953759</t>
  </si>
  <si>
    <t>Stadtwerke Deggendorf GmbH</t>
  </si>
  <si>
    <t>SNB960060046328</t>
  </si>
  <si>
    <t>Stadtwerke Northeim GmbH</t>
  </si>
  <si>
    <t>SNB964802985821</t>
  </si>
  <si>
    <t>Stadtwerke Röthenbach a.d. Pegnitz GmbH</t>
  </si>
  <si>
    <t>SNB922161652860</t>
  </si>
  <si>
    <t>KWH Netz GmbH</t>
  </si>
  <si>
    <t>SNB914149166902</t>
  </si>
  <si>
    <t>Fischereihafen-Betriebsgesellschaft mbH</t>
  </si>
  <si>
    <t>SNB964137069203</t>
  </si>
  <si>
    <t>Gemeindewerke Wendelstein KU</t>
  </si>
  <si>
    <t>SNB928258126528</t>
  </si>
  <si>
    <t>Elektrizitätswerk Tegernsee Carl Miller KG</t>
  </si>
  <si>
    <t>SNB942238573102</t>
  </si>
  <si>
    <t>wesernetz Bremen GmbH</t>
  </si>
  <si>
    <t>SNB971641248901</t>
  </si>
  <si>
    <t>Stadtwerke Straubing Strom und Gas GmbH</t>
  </si>
  <si>
    <t>SNB987617847795</t>
  </si>
  <si>
    <t>Stadtwerke Schlitz</t>
  </si>
  <si>
    <t>SNB969473762610</t>
  </si>
  <si>
    <t>SWM Infrastruktur GmbH &amp; Co. KG</t>
  </si>
  <si>
    <t>SNB914767582221</t>
  </si>
  <si>
    <t>SW Südholstein GmbH ehemals SW Tornesch-Netz GmbH</t>
  </si>
  <si>
    <t>SNB967490557615</t>
  </si>
  <si>
    <t>Stadtwerke Oerlinghausen GmbH</t>
  </si>
  <si>
    <t>SNB926644622999</t>
  </si>
  <si>
    <t>Braunschweiger Netz GmbH</t>
  </si>
  <si>
    <t>SNB924330086940</t>
  </si>
  <si>
    <t>Stadtwerke Bad Harzburg GmbH</t>
  </si>
  <si>
    <t>SNB934967462406</t>
  </si>
  <si>
    <t>Versorgungsbetriebe Kronshagen GmbH</t>
  </si>
  <si>
    <t>SNB913273314623</t>
  </si>
  <si>
    <t>KBG Kraftstrom-Bezugsgenossenschaft Homberg e.G.</t>
  </si>
  <si>
    <t>SNB919649671758</t>
  </si>
  <si>
    <t>Wirtschaftsbetriebe der Stadt Norden GmbH</t>
  </si>
  <si>
    <t>SNB944601935326</t>
  </si>
  <si>
    <t>Stadtwerke Dingolfing GmbH</t>
  </si>
  <si>
    <t>SNB955718588763</t>
  </si>
  <si>
    <t>Stadtwerke Neunburg vorm Wald Strom GmbH</t>
  </si>
  <si>
    <t>SNB939779591900</t>
  </si>
  <si>
    <t>Stadtwerke Bad Aibling</t>
  </si>
  <si>
    <t>SNB983964953738</t>
  </si>
  <si>
    <t>SVH Stromversorgung Haar GmbH</t>
  </si>
  <si>
    <t>SNB989365725226</t>
  </si>
  <si>
    <t>Stadtwerke Neumarkt i.d.OPf. Energie GmbH</t>
  </si>
  <si>
    <t>SNB922269370765</t>
  </si>
  <si>
    <t>Licht- und Kraftwerke Helmbrechts</t>
  </si>
  <si>
    <t>SNB984334051054</t>
  </si>
  <si>
    <t>Strotög GmbH Strom aus Töging</t>
  </si>
  <si>
    <t>SNB955248518643</t>
  </si>
  <si>
    <t>Stromversorgung Schierling eG</t>
  </si>
  <si>
    <t>SNB933386930565</t>
  </si>
  <si>
    <t>Stadtwerke Neustadt in Holstein</t>
  </si>
  <si>
    <t>SNB973742186519</t>
  </si>
  <si>
    <t>SW Kiel Netz GmbH</t>
  </si>
  <si>
    <t>SNB984571613121</t>
  </si>
  <si>
    <t>Gemeindewerke Neuendettelsau</t>
  </si>
  <si>
    <t>SNB942257679137</t>
  </si>
  <si>
    <t>Stadtwerke Achim AG</t>
  </si>
  <si>
    <t>SNB947683785568</t>
  </si>
  <si>
    <t>Stadtwerke Uffenheim</t>
  </si>
  <si>
    <t>SNB980054996408</t>
  </si>
  <si>
    <t>Stadtwerke Neuburg an der Donau</t>
  </si>
  <si>
    <t>SNB915728555230</t>
  </si>
  <si>
    <t>Gemeindewerke Pleinfeld</t>
  </si>
  <si>
    <t>SNB928992067729</t>
  </si>
  <si>
    <t>Stadtwerke Landshut</t>
  </si>
  <si>
    <t>SNB971076036227</t>
  </si>
  <si>
    <t>Stadtwerke Eichstätt Versorgungs-GmbH</t>
  </si>
  <si>
    <t>SNB957209230809</t>
  </si>
  <si>
    <t>StWL Städtische Werke Lauf a.d. Pegnitz GmbH</t>
  </si>
  <si>
    <t>SNB911969765803</t>
  </si>
  <si>
    <t>Stromversorgung Neunkirchen GmbH</t>
  </si>
  <si>
    <t>SNB982713229933</t>
  </si>
  <si>
    <t>Versorgungsbetrieb Waldbüttelbrunn GmbH</t>
  </si>
  <si>
    <t>SNB918516395612</t>
  </si>
  <si>
    <t>Bielefelder Netz GmbH</t>
  </si>
  <si>
    <t>SNB974547197724</t>
  </si>
  <si>
    <t>Stadtwerke Buxtehude GmbH</t>
  </si>
  <si>
    <t>SNB935303204162</t>
  </si>
  <si>
    <t>Elektrizitäts-Genossenschaft Tacherting-Feichten e.G.</t>
  </si>
  <si>
    <t>SNB972511582064</t>
  </si>
  <si>
    <t>Butzbacher Netzbetriebe GmbH &amp; Co. KG</t>
  </si>
  <si>
    <t>SNB955238223991</t>
  </si>
  <si>
    <t>Celle-Uelzen Netz GmbH</t>
  </si>
  <si>
    <t>SNB931316685899</t>
  </si>
  <si>
    <t>Stadtwerke Zirndorf GmbH</t>
  </si>
  <si>
    <t>SNB952939058372</t>
  </si>
  <si>
    <t>Stadtwerke Clausthal-Zellerfeld GmbH</t>
  </si>
  <si>
    <t>SNB994749019716</t>
  </si>
  <si>
    <t>Energieversorgung Sylt GmbH</t>
  </si>
  <si>
    <t>SNB911838879365</t>
  </si>
  <si>
    <t>ews-Netz GmbH</t>
  </si>
  <si>
    <t>SNB989583209836</t>
  </si>
  <si>
    <t>EVU der Gemeinde Gochsheim</t>
  </si>
  <si>
    <t>SNB976987786759</t>
  </si>
  <si>
    <t>Stadtwerke Treuchtlingen KU</t>
  </si>
  <si>
    <t>SNB921899277833</t>
  </si>
  <si>
    <t>NRM Netzdienste Rhein-Main GmbH</t>
  </si>
  <si>
    <t>SNB945552907998</t>
  </si>
  <si>
    <t>Stadtwerke Haiger</t>
  </si>
  <si>
    <t>SNB921626387354</t>
  </si>
  <si>
    <t>Energie- und Wassergesellschaft mbH</t>
  </si>
  <si>
    <t>SNB957862279702</t>
  </si>
  <si>
    <t>LSW Netz GmbH &amp; Co. KG</t>
  </si>
  <si>
    <t>SNB984060961757</t>
  </si>
  <si>
    <t>Stadtwerke Bad Pyrmont GmbH</t>
  </si>
  <si>
    <t>SNB941555074781</t>
  </si>
  <si>
    <t>Stromversorgung Seebruck eG</t>
  </si>
  <si>
    <t>SNB982380015723</t>
  </si>
  <si>
    <t>Stadtwerke Bogen GmbH</t>
  </si>
  <si>
    <t>SNB988606051575</t>
  </si>
  <si>
    <t>Elektrizitätsgenossenschaft Unterneukirchen eG</t>
  </si>
  <si>
    <t>SNB950882682972</t>
  </si>
  <si>
    <t>Elektrizitäts-Genossenschaft Schonstett eG</t>
  </si>
  <si>
    <t>SNB924819944297</t>
  </si>
  <si>
    <t>Gemeindewerke Holzkirchen GmbH</t>
  </si>
  <si>
    <t>SNB914963192408</t>
  </si>
  <si>
    <t>Stadtwerke Trostberg GmbH &amp; Co. KG</t>
  </si>
  <si>
    <t>SNB916657570554</t>
  </si>
  <si>
    <t>Gemeindewerke Steinhagen GmbH</t>
  </si>
  <si>
    <t>SNB981113965977</t>
  </si>
  <si>
    <t>SWR Energie GmbH &amp; Co. KG</t>
  </si>
  <si>
    <t>SNB919067474511</t>
  </si>
  <si>
    <t>SVI Stromversorgung Ismaning GmbH</t>
  </si>
  <si>
    <t>SNB982671807549</t>
  </si>
  <si>
    <t>Stadtwerke Bad Tölz GmbH</t>
  </si>
  <si>
    <t>SNB950960779068</t>
  </si>
  <si>
    <t>SEW Stromversorgungs-GmbH</t>
  </si>
  <si>
    <t>SNB960280760097</t>
  </si>
  <si>
    <t>Stadtwerke Schwentinental GmbH</t>
  </si>
  <si>
    <t>SNB985704986426</t>
  </si>
  <si>
    <t>wesernetz Bremerhaven GmbH</t>
  </si>
  <si>
    <t>SNB977384143473</t>
  </si>
  <si>
    <t>Freisinger Stadtwerke Versorgungs-GmbH</t>
  </si>
  <si>
    <t>SNB920157746937</t>
  </si>
  <si>
    <t>GEW Wilhelmshaven GmbH</t>
  </si>
  <si>
    <t>SNB950777700255</t>
  </si>
  <si>
    <t>Gemeindewerke Oberaudorf</t>
  </si>
  <si>
    <t>SNB957988771050</t>
  </si>
  <si>
    <t>Stadtwerke Windsbach</t>
  </si>
  <si>
    <t>SNB967812386411</t>
  </si>
  <si>
    <t>SWW Wunsiedel GmbH</t>
  </si>
  <si>
    <t>SNB968862623211</t>
  </si>
  <si>
    <t>SÜC Energie und H2O GmbH</t>
  </si>
  <si>
    <t>SNB978865527096</t>
  </si>
  <si>
    <t>VW Kraftwerk GmbH</t>
  </si>
  <si>
    <t>SNB967982606159</t>
  </si>
  <si>
    <t>Erlanger Stadtwerke AG</t>
  </si>
  <si>
    <t>SNB981984960101</t>
  </si>
  <si>
    <t>Stadtwerke Hameln Weserbergland GmbH</t>
  </si>
  <si>
    <t>SNB965998184692</t>
  </si>
  <si>
    <t>Elektrizitätswerk Goldbach-Hösbach GmbH &amp; Co. KG</t>
  </si>
  <si>
    <t>T.W.O Technische Werke Osning GmbH</t>
  </si>
  <si>
    <t>SNB937722627607</t>
  </si>
  <si>
    <t>Stadtwerke Witzenhausen GmbH</t>
  </si>
  <si>
    <t>SNB969483935394</t>
  </si>
  <si>
    <t>E-Werke Reutte GmbH &amp; Co. KG</t>
  </si>
  <si>
    <t>SNB940297211072</t>
  </si>
  <si>
    <t>EZV Energie- und Service GmbH &amp; Co. KG Untermain</t>
  </si>
  <si>
    <t>SNB976297675927</t>
  </si>
  <si>
    <t>Gemeindewerke Waging am See</t>
  </si>
  <si>
    <t>SNB980783618473</t>
  </si>
  <si>
    <t>Stadtwerke Zeven GmbH</t>
  </si>
  <si>
    <t>SNB997826747014</t>
  </si>
  <si>
    <t>Markt Egloffstein</t>
  </si>
  <si>
    <t>SNB980449174619</t>
  </si>
  <si>
    <t>EVI Energieversorgung Hildesheim GmbH &amp; Co. KG</t>
  </si>
  <si>
    <t>SNB980345455409</t>
  </si>
  <si>
    <t>Stadtwerke Lauterbach GmbH</t>
  </si>
  <si>
    <t>SNB931610892481</t>
  </si>
  <si>
    <t>Nordseeheilbad Borkum GmbH</t>
  </si>
  <si>
    <t>SNB990522725676</t>
  </si>
  <si>
    <t>Stadtwerke Cham GmbH</t>
  </si>
  <si>
    <t>SNB930558787330</t>
  </si>
  <si>
    <t>Elektrizitäts-Versorgungs-Genossenschaft Perlesreut e.G.</t>
  </si>
  <si>
    <t>SNB926937565941</t>
  </si>
  <si>
    <t>Gemeindewerke Garmisch-Partenkirchen</t>
  </si>
  <si>
    <t>SNB917454122557</t>
  </si>
  <si>
    <t>Überlandzentrale Wörth/l.- Altheim Netz AG</t>
  </si>
  <si>
    <t>SNB928340368768</t>
  </si>
  <si>
    <t>SWB Stadtwerke Biedenkopf GmbH</t>
  </si>
  <si>
    <t>SNB963282434775</t>
  </si>
  <si>
    <t>Bauer Netz GmbH &amp; Co. KG</t>
  </si>
  <si>
    <t>SNB974053451990</t>
  </si>
  <si>
    <t>Kommunalunternehmen Leutershausen</t>
  </si>
  <si>
    <t>SNB921471558077</t>
  </si>
  <si>
    <t>Stadtwerke Feuchtwangen</t>
  </si>
  <si>
    <t>SNB924535591034</t>
  </si>
  <si>
    <t>EVU Späth e.K.</t>
  </si>
  <si>
    <t>SNB929185184919</t>
  </si>
  <si>
    <t>ÜZ Mainfranken eG</t>
  </si>
  <si>
    <t>SNB932489723517</t>
  </si>
  <si>
    <t>Markt Obernzell</t>
  </si>
  <si>
    <t>SNB947727983103</t>
  </si>
  <si>
    <t>Gemeindewerke Frammersbach</t>
  </si>
  <si>
    <t>SNB987171059405</t>
  </si>
  <si>
    <t>Kraftwerk Farchant A. Poettinger &amp; Co. KG</t>
  </si>
  <si>
    <t>SNB946373984786</t>
  </si>
  <si>
    <t>Wendelsteinbahn Verteilnetz GmbH</t>
  </si>
  <si>
    <t>SNB937094451244</t>
  </si>
  <si>
    <t>Stadtwerke Eutin GmbH</t>
  </si>
  <si>
    <t>SNB988980270319</t>
  </si>
  <si>
    <t>Elektrizitätswerk Wörth a.d. Donau Rupert Heider GmbH &amp; Co. KG</t>
  </si>
  <si>
    <t>SNB911692402044</t>
  </si>
  <si>
    <t>Stadtwerke Warburg GmbH</t>
  </si>
  <si>
    <t>SNB937858140285</t>
  </si>
  <si>
    <t>Kreiswerke Main-Kinzig GmbH</t>
  </si>
  <si>
    <t>SNB967186419241</t>
  </si>
  <si>
    <t>Stadtwerke Bad Rodach</t>
  </si>
  <si>
    <t>SNB915316807789</t>
  </si>
  <si>
    <t>Mainfranken Netze GmbH</t>
  </si>
  <si>
    <t>SNB931064958931</t>
  </si>
  <si>
    <t>Vereinigte Stadtwerke Netz GmbH</t>
  </si>
  <si>
    <t>SNB969534177940</t>
  </si>
  <si>
    <t>ovag Netz GmbH</t>
  </si>
  <si>
    <t>SNB951051725711</t>
  </si>
  <si>
    <t>EWE NETZ GmbH</t>
  </si>
  <si>
    <t>SNB944419421783</t>
  </si>
  <si>
    <t>Gemeindewerke Schwarzenbruck GmbH</t>
  </si>
  <si>
    <t>SNB940352624434</t>
  </si>
  <si>
    <t>Bayernwerk Netz GmbH</t>
  </si>
  <si>
    <t>SNB919861978666</t>
  </si>
  <si>
    <t>Schleswig-Holstein Netz GmbH</t>
  </si>
  <si>
    <t>SNB984607096621</t>
  </si>
  <si>
    <t>Harz Energie Netz GmbH</t>
  </si>
  <si>
    <t>SNB949369515353</t>
  </si>
  <si>
    <t>Stadtwerke Burgdorf Netz GmbH</t>
  </si>
  <si>
    <t>SNB973875583315</t>
  </si>
  <si>
    <t>N-ERGIE Netz GmbH</t>
  </si>
  <si>
    <t>SNB928184287881</t>
  </si>
  <si>
    <t>BTT Bauteam Tretzel GmbH</t>
  </si>
  <si>
    <t>SNB986580518855</t>
  </si>
  <si>
    <t>KommEnergie GmbH</t>
  </si>
  <si>
    <t>SNB994111700501</t>
  </si>
  <si>
    <t>Energienetze Bayern GmbH</t>
  </si>
  <si>
    <t>SNB929575518928</t>
  </si>
  <si>
    <t>EUROGATE Technical Services GmbH</t>
  </si>
  <si>
    <t>SNB954187049256</t>
  </si>
  <si>
    <t>Stadtwerke Springe GmbH</t>
  </si>
  <si>
    <t>SNB985729975610</t>
  </si>
  <si>
    <t>Hanau Netz GmbH</t>
  </si>
  <si>
    <t>SNB942732578894</t>
  </si>
  <si>
    <t>InfraServ Gendorf Netze GmbH</t>
  </si>
  <si>
    <t>SNB986363918520</t>
  </si>
  <si>
    <t>Energieversorgung Putzbrunn GmbH &amp; Co. KG</t>
  </si>
  <si>
    <t>SNB951835062254</t>
  </si>
  <si>
    <t>Stadtwerke Brunsbüttel GmbH</t>
  </si>
  <si>
    <t>SNB933013692798</t>
  </si>
  <si>
    <t>Stadtwerke Kaltenkirchen GmbH</t>
  </si>
  <si>
    <t>SNB985172238775</t>
  </si>
  <si>
    <t>EVE Netz GmbH</t>
  </si>
  <si>
    <t>Westnetz GmbH</t>
  </si>
  <si>
    <t>SNB916255659316</t>
  </si>
  <si>
    <t>Stadtwerke Lippe-Weser Service GmbH &amp; Co. KG</t>
  </si>
  <si>
    <t>SNB946717964085</t>
  </si>
  <si>
    <t>Stadtwerke Schwarzenbach a.d. Saale</t>
  </si>
  <si>
    <t>SNB916151866986</t>
  </si>
  <si>
    <t>Stromversorgung Pfaffenhofen a. d. Ilm GmbH &amp; Co. KG</t>
  </si>
  <si>
    <t>SNB947514936855</t>
  </si>
  <si>
    <t>Stromnetz Kulmbach GmbH &amp; Co. KG</t>
  </si>
  <si>
    <t>SNB986482940686</t>
  </si>
  <si>
    <t>Stromnetz Weiden i. d. OPf. GmbH &amp; Co. KG</t>
  </si>
  <si>
    <t>SNB946090906887</t>
  </si>
  <si>
    <t>Stadtwerke Leine-Solling GmbH</t>
  </si>
  <si>
    <t>SNB975581504646</t>
  </si>
  <si>
    <t>Stadtwerke Oldenburg in Holstein GmbH</t>
  </si>
  <si>
    <t>SNB974647435931</t>
  </si>
  <si>
    <t>Mainsite GmbH &amp; Co. KG</t>
  </si>
  <si>
    <t>SNB949124413085</t>
  </si>
  <si>
    <t>Obermaier und Gerg Grundstücksverwaltung KG</t>
  </si>
  <si>
    <t>SNB920393062051</t>
  </si>
  <si>
    <t>NordNetz GmbH</t>
  </si>
  <si>
    <t>SNB991263248615</t>
  </si>
  <si>
    <t>Stadtwerke Vlotho Stromnetz GmbH</t>
  </si>
  <si>
    <t>SNB930122681040</t>
  </si>
  <si>
    <t>werkkraft GmbH</t>
  </si>
  <si>
    <t>SNB952845016893</t>
  </si>
  <si>
    <t>LeineNetz GmbH</t>
  </si>
  <si>
    <t>SNB910395619643</t>
  </si>
  <si>
    <t>Blomberg Netz GmbH &amp; Co. KG</t>
  </si>
  <si>
    <t>SNB940478286561</t>
  </si>
  <si>
    <t>Stadtwerke Olching Stromnetz GmbH &amp; Co. KG</t>
  </si>
  <si>
    <t>SNB929262647085</t>
  </si>
  <si>
    <t>Stromnetz Weilheim GmbH &amp; Co. KG</t>
  </si>
  <si>
    <t>SNB996768145988</t>
  </si>
  <si>
    <t>Stadtwerke Elm-Lappwald GmbH</t>
  </si>
  <si>
    <t>SNB917014884420</t>
  </si>
  <si>
    <t>Regionalwerke Wolfhager Land GmbH</t>
  </si>
  <si>
    <t>SNB965692805121</t>
  </si>
  <si>
    <t>Stadtwerke Einbeck GmbH</t>
  </si>
  <si>
    <t>SNB988838479086</t>
  </si>
  <si>
    <t>Stadtwerke Rosenheim Netze GmbH</t>
  </si>
  <si>
    <t>SNB950336540445</t>
  </si>
  <si>
    <t>Stadtwerke Husum Netz GmbH</t>
  </si>
  <si>
    <t>SNB950039201827</t>
  </si>
  <si>
    <t>Stadtwerke Lehrte GmbH</t>
  </si>
  <si>
    <t>SNB965819408044</t>
  </si>
  <si>
    <t>Stadtwerke Weißenburg GmbH</t>
  </si>
  <si>
    <t>SNB932374739180</t>
  </si>
  <si>
    <t>Stadtwerke Norderney GmbH</t>
  </si>
  <si>
    <t>Regelzone TransnetBW (gesamt)</t>
  </si>
  <si>
    <t>SNB969871992015</t>
  </si>
  <si>
    <t>Albstadtwerke GmbH</t>
  </si>
  <si>
    <t>SNB926699071292</t>
  </si>
  <si>
    <t>Albwerk GmbH &amp; Co. KG</t>
  </si>
  <si>
    <t>SNB965774651691</t>
  </si>
  <si>
    <t>badenovaNETZE GmbH</t>
  </si>
  <si>
    <t>SNB925685357501</t>
  </si>
  <si>
    <t>e.wa riss Netze GmbH</t>
  </si>
  <si>
    <t>SNB979557818782</t>
  </si>
  <si>
    <t>EGT Energie GmbH</t>
  </si>
  <si>
    <t>SNB928479274794</t>
  </si>
  <si>
    <t>EHINGER ENERGIE GmbH &amp; Co. KG</t>
  </si>
  <si>
    <t>SNB946086138155</t>
  </si>
  <si>
    <t>Elektrizitäts-Genossenschaft Röthenbach eG</t>
  </si>
  <si>
    <t>SNB927462109518</t>
  </si>
  <si>
    <t>Elektrizitäts-Genossenschaft Schlachters e.G.</t>
  </si>
  <si>
    <t>SNB921631931771</t>
  </si>
  <si>
    <t>Elektrizitätsnetze Allgäu GmbH</t>
  </si>
  <si>
    <t>SNB985099151188</t>
  </si>
  <si>
    <t>Elektrizitätswerk des Kantons Schaffhausen AG</t>
  </si>
  <si>
    <t>SNB913832420338</t>
  </si>
  <si>
    <t>Elektrizitätswerk Wennenmühle Schörger GmbH &amp; Co. KG</t>
  </si>
  <si>
    <t>SNB974894111862</t>
  </si>
  <si>
    <t>Elektrizitätswerke Schönau Netze GmbH</t>
  </si>
  <si>
    <t>SNB913289502922</t>
  </si>
  <si>
    <t>eneREGIO GmbH</t>
  </si>
  <si>
    <t>SNB941042755957</t>
  </si>
  <si>
    <t>Energie- und Wasserversorgung Bruchsal GmbH (ewb)</t>
  </si>
  <si>
    <t>SNB966380208811</t>
  </si>
  <si>
    <t>Energie- und Wasserversorgung Kirchzarten GmbH</t>
  </si>
  <si>
    <t>SNB910995561328</t>
  </si>
  <si>
    <t>Energieversorgung Filstal GmbH &amp; Co. KG</t>
  </si>
  <si>
    <t>SNB962013221356</t>
  </si>
  <si>
    <t>Energieversorgung Klettgau-Rheintal GmbH &amp; Co. KG</t>
  </si>
  <si>
    <t>SNB935932937127</t>
  </si>
  <si>
    <t>Energieversorgung Rottenburg am Neckar GmbH</t>
  </si>
  <si>
    <t>SNB921611512679</t>
  </si>
  <si>
    <t>Energieversorgung Südbaar GmbH &amp; Co. KG</t>
  </si>
  <si>
    <t>SNB948468070435</t>
  </si>
  <si>
    <t>Energieversorgung Titisee-Neustadt GmbH</t>
  </si>
  <si>
    <t>SNB938624241519</t>
  </si>
  <si>
    <t>Energieversorgung Trossingen GmbH (EnTro)</t>
  </si>
  <si>
    <t>SNB951180867351</t>
  </si>
  <si>
    <t>ENRW Energieversorgung Rottweil GmbH &amp; Co. KG</t>
  </si>
  <si>
    <t>SNB923953358557</t>
  </si>
  <si>
    <t>EWR Netze GmbH</t>
  </si>
  <si>
    <t>SNB991882909515</t>
  </si>
  <si>
    <t>FairNetz GmbH</t>
  </si>
  <si>
    <t>SNB926427521488</t>
  </si>
  <si>
    <t>Gebrüder Miller, Elektrizitätsversorgung GmbH &amp; Co. KG</t>
  </si>
  <si>
    <t>SNB998167765620</t>
  </si>
  <si>
    <t>Gemeindewerke Baiersbronn</t>
  </si>
  <si>
    <t>SNB926559276683</t>
  </si>
  <si>
    <t>Gemeindewerke Gundelfingen GmbH</t>
  </si>
  <si>
    <t>SNB940436967099</t>
  </si>
  <si>
    <t>Gemeindewerke Niefern-Öschelbronn</t>
  </si>
  <si>
    <t>SNB959475630567</t>
  </si>
  <si>
    <t>Gemeindewerke Schutterwald</t>
  </si>
  <si>
    <t>SNB970879855325</t>
  </si>
  <si>
    <t>Gemeindewerke Steißlingen</t>
  </si>
  <si>
    <t>SNB933529129573</t>
  </si>
  <si>
    <t>Getreidemühle Zwiefalten eG</t>
  </si>
  <si>
    <t>SNB915686229082</t>
  </si>
  <si>
    <t>GWS Gemeindewerke Sinzheim GmbH &amp; Co. KG</t>
  </si>
  <si>
    <t>SNB924453035597</t>
  </si>
  <si>
    <t>Hellenstein-Energie-Logistik GmbH</t>
  </si>
  <si>
    <t>SNB955784827612</t>
  </si>
  <si>
    <t>Karlsruher Institut für Technologie</t>
  </si>
  <si>
    <t>SNB957361726592</t>
  </si>
  <si>
    <t>Kraftwerk Köhlgartenwiese GmbH</t>
  </si>
  <si>
    <t>SNB970253419624</t>
  </si>
  <si>
    <t>Müller-Mühle GmbH &amp; Co. KG</t>
  </si>
  <si>
    <t>SNB985472799266</t>
  </si>
  <si>
    <t>MVV Netze GmbH</t>
  </si>
  <si>
    <t>SNB945502201350</t>
  </si>
  <si>
    <t>naturenergie netze GmbH</t>
  </si>
  <si>
    <t>SNB915030239484</t>
  </si>
  <si>
    <t>Netzbetrieb Hirschberg GmbH &amp; Co. KG</t>
  </si>
  <si>
    <t>SNB976371748981</t>
  </si>
  <si>
    <t>Netze Calw GmbH</t>
  </si>
  <si>
    <t>SNB934214092950</t>
  </si>
  <si>
    <t>Netze Hechingen GmbH &amp; Co. KG</t>
  </si>
  <si>
    <t>SNB935556509052</t>
  </si>
  <si>
    <t>Netze ODR GmbH</t>
  </si>
  <si>
    <t>SNB998819299022</t>
  </si>
  <si>
    <t>NHF Netzgesellschaft Heilbronn-Franken mbH</t>
  </si>
  <si>
    <t>SNB942224012479</t>
  </si>
  <si>
    <t>OUTLETCITY AG</t>
  </si>
  <si>
    <t>SNB942274543879</t>
  </si>
  <si>
    <t>Regionalnetze Linzgau GmbH</t>
  </si>
  <si>
    <t>SNB974239978785</t>
  </si>
  <si>
    <t>Regionalwerk Bodensee Netze GmbH &amp; Co. KG</t>
  </si>
  <si>
    <t>SNB979950878543</t>
  </si>
  <si>
    <t>Remstalwerk Netzgesellschaft GmbH</t>
  </si>
  <si>
    <t>SNB993059842564</t>
  </si>
  <si>
    <t>Stadtwerk am See GmbH &amp; Co. KG</t>
  </si>
  <si>
    <t>SNB936176430474</t>
  </si>
  <si>
    <t>Stadtwerk Tauberfranken GmbH</t>
  </si>
  <si>
    <t>SNB982726407335</t>
  </si>
  <si>
    <t>Stadtwerke Aalen GmbH</t>
  </si>
  <si>
    <t>SNB947709605108</t>
  </si>
  <si>
    <t>Stadtwerke Altensteig</t>
  </si>
  <si>
    <t>SNB953975499051</t>
  </si>
  <si>
    <t>Stadtwerke Bad Herrenalb GmbH</t>
  </si>
  <si>
    <t>SNB934457029447</t>
  </si>
  <si>
    <t>Stadtwerke Bad Säckingen GmbH</t>
  </si>
  <si>
    <t>SNB943203125821</t>
  </si>
  <si>
    <t>Stadtwerke Bad Saulgau</t>
  </si>
  <si>
    <t>SNB946710442153</t>
  </si>
  <si>
    <t>Stadtwerke Bad Wildbad GmbH &amp; Co. KG</t>
  </si>
  <si>
    <t>SNB931622346583</t>
  </si>
  <si>
    <t>Stadtwerke Baden-Baden</t>
  </si>
  <si>
    <t>SNB963746327452</t>
  </si>
  <si>
    <t>Stadtwerke Balingen</t>
  </si>
  <si>
    <t>SNB910950265032</t>
  </si>
  <si>
    <t>Stadtwerke Bietigheim-Bissingen GmbH</t>
  </si>
  <si>
    <t>SNB913244202027</t>
  </si>
  <si>
    <t>Stadtwerke Bretten Gesellschaft mit beschränkter Haftung</t>
  </si>
  <si>
    <t>SNB922393870476</t>
  </si>
  <si>
    <t>Stadtwerke Buchen GmbH &amp; Co. KG</t>
  </si>
  <si>
    <t>SNB914946450877</t>
  </si>
  <si>
    <t>Stadtwerke Bühl GmbH</t>
  </si>
  <si>
    <t>SNB934532229953</t>
  </si>
  <si>
    <t>Stadtwerke Crailsheim GmbH</t>
  </si>
  <si>
    <t>SNB990892864395</t>
  </si>
  <si>
    <t>Stadtwerke Ditzingen GmbH &amp; Co. KG</t>
  </si>
  <si>
    <t>SNB943604361118</t>
  </si>
  <si>
    <t>Stadtwerke Eberbach GmbH</t>
  </si>
  <si>
    <t>SNB948068461008</t>
  </si>
  <si>
    <t>Stadtwerke Emmendingen GmbH</t>
  </si>
  <si>
    <t>SNB959959730332</t>
  </si>
  <si>
    <t>Stadtwerke Engen GmbH</t>
  </si>
  <si>
    <t>SNB964273276183</t>
  </si>
  <si>
    <t>Stadtwerke Fellbach GmbH</t>
  </si>
  <si>
    <t>SNB973733148182</t>
  </si>
  <si>
    <t>Stadtwerke Freudenstadt GmbH &amp; Co. KG</t>
  </si>
  <si>
    <t>SNB925565312521</t>
  </si>
  <si>
    <t>Stadtwerke Gaggenau</t>
  </si>
  <si>
    <t>SNB922793626642</t>
  </si>
  <si>
    <t>Stadtwerke Gengenbach</t>
  </si>
  <si>
    <t>SNB989253327099</t>
  </si>
  <si>
    <t>Stadtwerke Haslach Elektrizitäts- und Wasserwerk</t>
  </si>
  <si>
    <t>SNB938476571321</t>
  </si>
  <si>
    <t>Stadtwerke Heidelberg Netze GmbH</t>
  </si>
  <si>
    <t>SNB967127819703</t>
  </si>
  <si>
    <t>Stadtwerke Hockenheim</t>
  </si>
  <si>
    <t>SNB971087047229</t>
  </si>
  <si>
    <t>Stadtwerke Karlsruhe Netzservice GmbH</t>
  </si>
  <si>
    <t>SNB971124937612</t>
  </si>
  <si>
    <t>Stadtwerke Konstanz GmbH</t>
  </si>
  <si>
    <t>SNB949152526504</t>
  </si>
  <si>
    <t>Stadtwerke Lindau (B) GmbH &amp; Co. KG</t>
  </si>
  <si>
    <t>SNB961816584323</t>
  </si>
  <si>
    <t>Stadtwerke Mengen</t>
  </si>
  <si>
    <t>SNB961448362368</t>
  </si>
  <si>
    <t>Stadtwerke Metzingen - Eigenbetrieb der Stadt Metzingen</t>
  </si>
  <si>
    <t>SNB984863778941</t>
  </si>
  <si>
    <t>Stadtwerke Mosbach GmbH</t>
  </si>
  <si>
    <t>SNB947193557761</t>
  </si>
  <si>
    <t>Stadtwerke Mössingen</t>
  </si>
  <si>
    <t>SNB953132482766</t>
  </si>
  <si>
    <t>Stadtwerke Mühlacker GmbH</t>
  </si>
  <si>
    <t>SNB924181641435</t>
  </si>
  <si>
    <t>Stadtwerke Neuffen AG</t>
  </si>
  <si>
    <t>SNB948186469375</t>
  </si>
  <si>
    <t>Stadtwerke Nürtingen GmbH</t>
  </si>
  <si>
    <t>SNB963821222269</t>
  </si>
  <si>
    <t>Stadtwerke Oberkirch GmbH</t>
  </si>
  <si>
    <t>SNB974041045040</t>
  </si>
  <si>
    <t>Stadtwerke Radolfzell GmbH</t>
  </si>
  <si>
    <t>SNB914273329792</t>
  </si>
  <si>
    <t>Stadtwerke Rastatt GmbH</t>
  </si>
  <si>
    <t>SNB935144085258</t>
  </si>
  <si>
    <t>Stadtwerke Schorndorf GmbH</t>
  </si>
  <si>
    <t>SNB944999584793</t>
  </si>
  <si>
    <t>Stadtwerke Schramberg GmbH &amp; Co. KG</t>
  </si>
  <si>
    <t>SNB962618092306</t>
  </si>
  <si>
    <t>Stadtwerke Schwäbisch Gmünd GmbH</t>
  </si>
  <si>
    <t>SNB924431834525</t>
  </si>
  <si>
    <t>Stadtwerke Sigmaringen GmbH</t>
  </si>
  <si>
    <t>SNB953453232156</t>
  </si>
  <si>
    <t>Stadtwerke Sindelfingen GmbH</t>
  </si>
  <si>
    <t>SNB983384447602</t>
  </si>
  <si>
    <t>Stadtwerke Stockach GmbH</t>
  </si>
  <si>
    <t>SNB921695080347</t>
  </si>
  <si>
    <t>Stadtwerke Tübingen GmbH</t>
  </si>
  <si>
    <t>SNB922074927642</t>
  </si>
  <si>
    <t>Stadtwerke Tuttlingen GmbH</t>
  </si>
  <si>
    <t>SNB961283575572</t>
  </si>
  <si>
    <t>Stadtwerke Viernheim Netz GmbH</t>
  </si>
  <si>
    <t>SNB916927144072</t>
  </si>
  <si>
    <t>Stadtwerke Villingen-Schwenningen GmbH</t>
  </si>
  <si>
    <t>SNB920730809172</t>
  </si>
  <si>
    <t>Stadtwerke Waldkirch GmbH</t>
  </si>
  <si>
    <t>SNB933494191209</t>
  </si>
  <si>
    <t>Stadtwerke Waldshut-Tiengen GmbH</t>
  </si>
  <si>
    <t>SNB946790148600</t>
  </si>
  <si>
    <t>Stadtwerke Walldorf GmbH &amp; Co. KG</t>
  </si>
  <si>
    <t>SNB969708579983</t>
  </si>
  <si>
    <t>Stadtwerke Walldürn GmbH</t>
  </si>
  <si>
    <t>SNB935723521351</t>
  </si>
  <si>
    <t>Stadtwerke Weinheim GmbH</t>
  </si>
  <si>
    <t>SNB975061261090</t>
  </si>
  <si>
    <t>Stauferwerk GmbH &amp; Co. KG</t>
  </si>
  <si>
    <t>SNB948673048298</t>
  </si>
  <si>
    <t>Stromnetzgesellschaft Herrenberg mbH &amp; Co. KG</t>
  </si>
  <si>
    <t>SNB954776773166</t>
  </si>
  <si>
    <t>Stromversorgung Sulz am Neckar GmbH</t>
  </si>
  <si>
    <t>SNB947592865054</t>
  </si>
  <si>
    <t>Stuttgart Netze GmbH</t>
  </si>
  <si>
    <t>SNB968273674970</t>
  </si>
  <si>
    <t>SWE Netz GmbH</t>
  </si>
  <si>
    <t>SNB929168402344</t>
  </si>
  <si>
    <t>SWP Stadtwerke Pforzheim GmbH &amp; Co. KG</t>
  </si>
  <si>
    <t>SNB942630156484</t>
  </si>
  <si>
    <t>TauberEnergie Kuhn, Karl und Andreas Kuhn OHG</t>
  </si>
  <si>
    <t>SNB984944755380</t>
  </si>
  <si>
    <t>TransnetBW GmbH</t>
  </si>
  <si>
    <t>SNB977095880292</t>
  </si>
  <si>
    <t>TWS Netz GmbH</t>
  </si>
  <si>
    <t>SNB972264483465</t>
  </si>
  <si>
    <t>Überlandwerk Eppler GmbH</t>
  </si>
  <si>
    <t>SNB913992545742</t>
  </si>
  <si>
    <t>Überlandwerk Mittelbaden GmbH &amp; Co. KG</t>
  </si>
  <si>
    <t>SNB929840763916</t>
  </si>
  <si>
    <t>VersorgungsWerke Heddesheim GmbH &amp; Co. KG</t>
  </si>
  <si>
    <t>SNB910224319560</t>
  </si>
  <si>
    <t>Weiler Wärme eG</t>
  </si>
  <si>
    <t>Summe</t>
  </si>
  <si>
    <t>Anteil:</t>
  </si>
  <si>
    <t>Zu leistende Zuschlagszahlungen in Euro (EUR)</t>
  </si>
  <si>
    <t>KWK Zuschlagszahlungen 
nach KWKG 2009</t>
  </si>
  <si>
    <t>KWK Zuschlagszahlungen 
nach KWKG 2012</t>
  </si>
  <si>
    <t>KWK Zuschlagszahlungen 
nach KWKG 2023</t>
  </si>
  <si>
    <t>Zuschlagszahlungen nach KWKG gesamt</t>
  </si>
  <si>
    <t>[EUR]</t>
  </si>
  <si>
    <t>Abzugsbeträge*, Zahlungen bei Pflichtverstößen* sowie Bonuszahlungen in Euro (EUR)</t>
  </si>
  <si>
    <t>* Darstellung mit negativem Vorzeichen</t>
  </si>
  <si>
    <t>Abzugsbeträge</t>
  </si>
  <si>
    <t>Zahlungen bei Pflichtverstößen</t>
  </si>
  <si>
    <t>Bonuszahlungen</t>
  </si>
  <si>
    <t>Einnahmen aus Erlösen oder vermiedenen Aufwendungen aus der Verwertung des kaufmännisch
abgenommenen KWKG-Stroms / Verringerung der Zuschlagszahlung aufgrund fehlender Registrierung im Markstammdatenregister</t>
  </si>
  <si>
    <t>von Betreibern von KWK-Anlagen zu leistende Zahlungen bei Pflichtverstößen</t>
  </si>
  <si>
    <t>Bonus für innovative erneuerbare Wärme / Kohleersatzbonus</t>
  </si>
  <si>
    <t>hinsichtlich Änderungen der abzurechnenden Strommengen oder der Zahlungsansprüche</t>
  </si>
  <si>
    <t>Aufteilung pro Regelzone nach Zuschlagszahlungen, Abzugsbeträgen und Bonuszahlungen</t>
  </si>
  <si>
    <t>KWK-Strommenge und
Zuschlagszahlungen nach
KWKG 2009</t>
  </si>
  <si>
    <t>KWK-Strommenge und
Zuschlagszahlungen nach
KWKG 2012</t>
  </si>
  <si>
    <t>KWK-Strommenge und
Zuschlagszahlungen nach
KWKG 2023</t>
  </si>
  <si>
    <t>Abzugs-
beträge</t>
  </si>
  <si>
    <t>Bonus-
zahlungen</t>
  </si>
  <si>
    <t>Grund*</t>
  </si>
  <si>
    <t>Jahr</t>
  </si>
  <si>
    <t>Förder-
wirksame
KWK-Strommengen</t>
  </si>
  <si>
    <t>Zuschlags-
zahlungen</t>
  </si>
  <si>
    <t>7</t>
  </si>
  <si>
    <t>1</t>
  </si>
  <si>
    <t>Aufteilung pro Regelzone für nachträgliche Korrekturen der Zahlungen bei Pflichtverstößen nach § 52 Abs. 8 EEG 2023</t>
  </si>
  <si>
    <t>* Legende zu den Gründen für nachträgliche Korrekturen nach § 20 Abs. 1 EnFG:</t>
  </si>
  <si>
    <t xml:space="preserve">   1. Rückforderungen aufgrund von § 18 Abs. 1 EnFG (§ 20 Abs. 1 Nr. 1 EnFG) </t>
  </si>
  <si>
    <t xml:space="preserve">   2. rechtskräftige Gerichtsentscheidung im Hauptsacheverfahren (§ 20 Abs. 1 Nr. 2 EnFG)</t>
  </si>
  <si>
    <t xml:space="preserve">   3. Ergebnis eines Verfahrens bei der Clearingstelle nach § 32a Abs. 4 Satz 1 Nr. 1 oder Nr. 2 Kraft-Wärme-Kopplungsgesetz (§ 20 Abs. 1 Nr. 3 EnFG)</t>
  </si>
  <si>
    <t xml:space="preserve">   4. Entscheidungen der Bundesnetzagentur nach § 62 EnFG oder § 31b Kraft-Wärme-Kopplungsgesetz (§ 20 Abs. 1 Nr. 4 EnFG)</t>
  </si>
  <si>
    <t xml:space="preserve">   5. vollstreckbarer Titel, der erst nach der Abrechnung nach § 15 EnFG ergangen ist (§ 20 Abs. 1 Nr. 5 EnFG)</t>
  </si>
  <si>
    <t xml:space="preserve">   6. § 20 Abs. 1 Nr. 6 EnFG ist im Zusammenhang mit der vorliegenden zusammengefassten Endabrechnung nicht anwendbar</t>
  </si>
  <si>
    <t xml:space="preserve">   7. unstreitige Korrektur fehlerhafter oder unvollständiger Angaben (§ 20 Abs. 1 Nr. 7 EnFG).</t>
  </si>
  <si>
    <t>Pönalen nach § 21 Abs. 1 KWKAusV auf Basis der Prüfungsvermerke der ÜNB</t>
  </si>
  <si>
    <t>Vereinnahmte Pönale</t>
  </si>
  <si>
    <t>Zuschlagszahlungen für die Förderung von Wärme-/Kältenetzen und von Wärme-/Kältespeichern auf Basis der Prüfungsvermerke der ÜNB</t>
  </si>
  <si>
    <t>Förderung von Wärme-/Kältenetze</t>
  </si>
  <si>
    <t>Förderung von Wärme-/Kältespeicher</t>
  </si>
  <si>
    <t>Zuschlagszahlungen KWK-Anlagen, Abzüge, Boni, Pflichtverstöße, Pönalen, Zuschlagszahlungen WKNS nach Kategorien und gesetzlichen Förderbestimmungen</t>
  </si>
  <si>
    <t>Diese Tabelle gibt die Zuschlagszahlungen, Abzüge, Boni, Pflichtverstöße, Pönalen und WKNS für 2024 nach Kategorien wieder. Dies ist eine Zusammenfassung aus den Tabellenblättern 1a, 1b, 1d und 1e.</t>
  </si>
  <si>
    <t>Plausi</t>
  </si>
  <si>
    <t xml:space="preserve">
Anlagenkategorie
</t>
  </si>
  <si>
    <t>Gesetzestext</t>
  </si>
  <si>
    <t>Deutschland</t>
  </si>
  <si>
    <t>50Hertz</t>
  </si>
  <si>
    <t>Amprion</t>
  </si>
  <si>
    <t>TenneT</t>
  </si>
  <si>
    <t>TransnetBW</t>
  </si>
  <si>
    <t>kWh</t>
  </si>
  <si>
    <t>EUR</t>
  </si>
  <si>
    <t>Summe 
[kWh]</t>
  </si>
  <si>
    <t>Summe 
[EUR]</t>
  </si>
  <si>
    <t>KWK-Strommenge 
[kWh]</t>
  </si>
  <si>
    <t>KWK-Zuschläge [EUR]</t>
  </si>
  <si>
    <t>KWK-Strommenge
[kWh]</t>
  </si>
  <si>
    <t>KWK-Zuschläge 
[EUR]</t>
  </si>
  <si>
    <t>alte Bestandsanlagen</t>
  </si>
  <si>
    <t>§ 5 Abs. 1 Nr. 1 KWKG 2009</t>
  </si>
  <si>
    <t>neue Bestandsanlagen</t>
  </si>
  <si>
    <t>§ 5 Abs. 1 Nr. 2 KWKG 2009</t>
  </si>
  <si>
    <t>modernisierte Anlagen</t>
  </si>
  <si>
    <t>§ 5 Abs. 1 Nr. 3 KWKG 2009</t>
  </si>
  <si>
    <t>hocheffiziente modernisierte KWK-Anlagen</t>
  </si>
  <si>
    <t>§ 5 Abs. 1 Nr. 4 KWKG 2009</t>
  </si>
  <si>
    <t xml:space="preserve">kleine KWK-Anlagen ≤ 50 kWel mit IBN ab 01.04.2002 </t>
  </si>
  <si>
    <t>§ 5 Abs. 2 S. 1 Nr. 1 KWKG 2009</t>
  </si>
  <si>
    <t>Hocheffiziente  kleine KWK-Anlagen &gt;50 kW und ≤2 MW, IBN ab 01.01.2009</t>
  </si>
  <si>
    <t>Brennstoffzellen-Anlagen, IBN ab 01.04.2002</t>
  </si>
  <si>
    <t>§ 5 Abs. 2 S. 1 Nr. 2 KWKG 2009</t>
  </si>
  <si>
    <t>hocheffiziente Neuanlagen &gt; 2 MWel und ≤ 10 Mwel</t>
  </si>
  <si>
    <t>§ 5 Abs. 3 KWKG 2009</t>
  </si>
  <si>
    <t>Fabrikneue kleine KWK-Anlagen ≤ 2 MWel</t>
  </si>
  <si>
    <t>§ 5 Abs. 1 S. 1 Nr. 1 KWKG 2012</t>
  </si>
  <si>
    <t>Brennstoffzellen-Anlagen</t>
  </si>
  <si>
    <t>§ 5 Abs. 1 S. 1 Nr. 2 KWKG 2012</t>
  </si>
  <si>
    <t>hocheffiziente Neuanlagen &gt; 2 Mwel</t>
  </si>
  <si>
    <t>§ 5 Abs. 2 KWKG 2012</t>
  </si>
  <si>
    <t>Modernisierte hocheffiziente KWK-Anlagen</t>
  </si>
  <si>
    <t>§ 5 Abs. 3 KWKG 2012</t>
  </si>
  <si>
    <t>Hocheffiziente nachgerüstete KWK-Anlage &gt; 2 MWel</t>
  </si>
  <si>
    <t>§ 5 Abs. 4 KWKG 2012</t>
  </si>
  <si>
    <t>KWK-Anlagen ≤ 2 MWel mit pauschalierten Zuschlagszahlungen</t>
  </si>
  <si>
    <t>§ 7 Abs. 3 KWKG 2012</t>
  </si>
  <si>
    <t>KWK-Anlagen deren Zuschlagszahlungen im Rahmen einer Ausschreibung ermittelt werden (Überschussmenge)</t>
  </si>
  <si>
    <t>§§ 8a und 8b KWKG 2023</t>
  </si>
  <si>
    <t>KWK-Strom aus KWK-Anlagen, der in ein Netz der allg. Versorgung eingespeist wird</t>
  </si>
  <si>
    <t>§ 7 Abs. 1 KWKG 2023</t>
  </si>
  <si>
    <t>KWK-Strom aus KWK-Anlagen ≤ 100 kWel, der nicht in ein Netz der allg. Versorgung eingespeist wird</t>
  </si>
  <si>
    <t>§ 7 Abs. 2 Nr. 1, § 35 Abs. 17 u. 20 KWKG 2023</t>
  </si>
  <si>
    <t>KWK-Strom aus KWK-Anlagen, der an Letztverbraucher in einer Kundenanlage oder in einem geschlossenen Verteilernetz mit voller EEG-Umlage geliefert wird</t>
  </si>
  <si>
    <t>§ 7 Abs. 2 Nr. 2, § 35 Abs. 17 u. 20 KWKG 2023</t>
  </si>
  <si>
    <t>KWK-Strom aus KWK-Anlagen, die in stromkostenintensiven Unternehmen eingesetzt werden und deren KWK-Strom von diesem Unternehmen selbst verbraucht wird</t>
  </si>
  <si>
    <t>§ 7 Abs. 2 Nr. 3, § 35 Abs. 17 u.20 KWKG 2023</t>
  </si>
  <si>
    <t>KWK-Anlagen mit elektr. Leistung ≤ 50 kWel</t>
  </si>
  <si>
    <t>§ 7 Abs. 3a KWKG 2023</t>
  </si>
  <si>
    <t>neue KWK-Anlagen mit einer KWK-Leistung ≤ 2 kWel mit pauschalierten Zuschlagszahlungen</t>
  </si>
  <si>
    <t>§ 9 Abs. 1 KWKG 2023</t>
  </si>
  <si>
    <t>Anspruchsverringerung um 5 % pro Kalendertag bei fehlender Jahresmeldung der nach § 7 Abs. 7 KWKG sanktionierten Mengen</t>
  </si>
  <si>
    <t>§ 15 Abs 4 KWKG 2023</t>
  </si>
  <si>
    <t>etwaige Erlöse oder vermiedene Aufwendungen aus der Verwertung des kaufmännisch abgenommenen KWKG-Stroms</t>
  </si>
  <si>
    <t>§ 14 Nr. 2 EnFG i.V.m. § 4 Abs. 2 S. 4 KWKG</t>
  </si>
  <si>
    <t>Verringerung der Zuschlagszahlung um 20 % bei Nichtmeldung im Marktstammdatenregister</t>
  </si>
  <si>
    <t>§ 13a KWKG 2023</t>
  </si>
  <si>
    <t>Bonus für innovative erneuerbare Wärme</t>
  </si>
  <si>
    <t>§ 7a KWKG 2023</t>
  </si>
  <si>
    <t>Kohleersatzbonus</t>
  </si>
  <si>
    <t>§ 7c KWKG 2023</t>
  </si>
  <si>
    <t>Summe KWKG 2009</t>
  </si>
  <si>
    <t>Summe KWKG 2012</t>
  </si>
  <si>
    <t>Summe KWKG 2023</t>
  </si>
  <si>
    <t>Summe Abzugsbetrag</t>
  </si>
  <si>
    <t>Summe Boni</t>
  </si>
  <si>
    <t>Zahlungen bei Pflichtverstößen bei Verstoß gegen technische Vorgaben</t>
  </si>
  <si>
    <t>§ 52 Abs. 8 EEG 2023</t>
  </si>
  <si>
    <t>An Übertragungsnetzbetreiber geleistete Pönalen (negative Darstellung)</t>
  </si>
  <si>
    <t>§ 21 KWKAusV</t>
  </si>
  <si>
    <t>Zuschlagszahlungen an Betreiber von Wärme-/Kältenetzen</t>
  </si>
  <si>
    <t>§§ 18, 19 u. 35 Abs. 7 KWKG 2023</t>
  </si>
  <si>
    <t>Zuschlagszahlungen an Betreiber von Wärme-/Kältenetzspeicher</t>
  </si>
  <si>
    <t>§§ 22, 23 u. 35 Abs. 8 KWKG 2023</t>
  </si>
  <si>
    <t>Summe WKNS</t>
  </si>
  <si>
    <t>Diese Tabelle gibt die Korrekturbeträge aus dem Tabellenblatt 1c für KWK-Anlagen sowie aus dem Tabellenblatt 1e WKNS für Vorjahre in einer anderen Darstellung wieder.</t>
  </si>
  <si>
    <t>Zuschlagszahlungen, Abzugsbeträge, Boni*</t>
  </si>
  <si>
    <t>Förderung Wärme-/ Kältenetze und -speicher</t>
  </si>
  <si>
    <t>Zahlung bei Pflichtverstoß</t>
  </si>
  <si>
    <t>Umlagepflichtige Netzentnahmen in kWh (KWKG-Umlage / Offshore-Netzumlage)</t>
  </si>
  <si>
    <t>nicht privilegierte Netzentnahmen 
(100 % der Umlage)
(I)</t>
  </si>
  <si>
    <t>Wärmepumpen § 22 EnFG
(0,00 ct/ kWh)
(II)</t>
  </si>
  <si>
    <t>Anlagen zur Verstromung von Kuppelgasen § 23 EnFG
(15 % der Umlage)
(III)</t>
  </si>
  <si>
    <t>Herstellung von Grünem Wasserstoff 
§ 25 EnFG
(0,00 ct/kWh)
(IV)</t>
  </si>
  <si>
    <t>Schienenbahnen § 37 EnFG
(10% der Umlage)
(V)</t>
  </si>
  <si>
    <t>E-Busse § 38 EnFG
(20% der Umlage)
(VI)</t>
  </si>
  <si>
    <t>Landstromanlagen § 39 EnFG
(20% der Umlage)
(VII)</t>
  </si>
  <si>
    <t>Summe
(VIII) = Summe (I) bis (VII)</t>
  </si>
  <si>
    <t>SNB918100919279</t>
  </si>
  <si>
    <t>SNB919985327685</t>
  </si>
  <si>
    <t>SNB939548785561</t>
  </si>
  <si>
    <t>SNB959492463384</t>
  </si>
  <si>
    <t>SNB974693983233</t>
  </si>
  <si>
    <t>SNB985414225433</t>
  </si>
  <si>
    <t>SNB990792528632</t>
  </si>
  <si>
    <t>SNB921080203146</t>
  </si>
  <si>
    <t>Elektrizitätswerk Rohmund GmbH</t>
  </si>
  <si>
    <t>SNB987795519491</t>
  </si>
  <si>
    <t>Gemeindliche Stromversorgung Röttenbach</t>
  </si>
  <si>
    <t>SNB951232597106</t>
  </si>
  <si>
    <t>Gemeindewerke Cadolzburg</t>
  </si>
  <si>
    <t>SNB955872978110</t>
  </si>
  <si>
    <t>Gemeinde Partenstein</t>
  </si>
  <si>
    <t>SNB945322307522</t>
  </si>
  <si>
    <t>Elektrizitätsgenossenschaft Karlstein eG</t>
  </si>
  <si>
    <t>SNB936468720238</t>
  </si>
  <si>
    <t>ew-schmid gmbh</t>
  </si>
  <si>
    <t>SNB968325295962</t>
  </si>
  <si>
    <t>Gemeinde Glattbach</t>
  </si>
  <si>
    <t>SNB985979481190</t>
  </si>
  <si>
    <t>Elektrizitäts- und Wasserversorgungsgenossenschaft Vagen  eG</t>
  </si>
  <si>
    <t>SNB943806148289</t>
  </si>
  <si>
    <t>Eichenmüller GmbH &amp; Co. KG</t>
  </si>
  <si>
    <t>SNB977966674678</t>
  </si>
  <si>
    <t>EW Geiger GmbH</t>
  </si>
  <si>
    <t>SNB982597073882</t>
  </si>
  <si>
    <t>Elektrizitätswerk Oberwössen e.G.</t>
  </si>
  <si>
    <t>SNB945186990991</t>
  </si>
  <si>
    <t>E-Werk Wanfried von Scharfenberg GmbH &amp; Co. KG</t>
  </si>
  <si>
    <t>SNB974959002937</t>
  </si>
  <si>
    <t>Elektrizitätsgenossenschaft Wolkersdorf und Umgebung e.G.</t>
  </si>
  <si>
    <t>SNB917593691679</t>
  </si>
  <si>
    <t>Elektrizitätswerk Unterwössen Döllerer &amp; Greimel Netz GmbH &amp; Co. KG</t>
  </si>
  <si>
    <t>SNB923242117018</t>
  </si>
  <si>
    <t>Markt Thüngen</t>
  </si>
  <si>
    <t>SNB966494112844</t>
  </si>
  <si>
    <t>Raiffeisenbank Altmühl-Jura eG</t>
  </si>
  <si>
    <t>SNB979973883449</t>
  </si>
  <si>
    <t>Westenthanner Energieversorgung GmbH</t>
  </si>
  <si>
    <t>SNB954239007623</t>
  </si>
  <si>
    <t>Gemeindewerke Gangkofen</t>
  </si>
  <si>
    <t>SNB930329896650</t>
  </si>
  <si>
    <t>Gemeindewerke Langenpreising GmbH &amp; Co. KG</t>
  </si>
  <si>
    <t>SNB983973032059</t>
  </si>
  <si>
    <t>Elektra-Genossenschaft Effeltrich e.G.</t>
  </si>
  <si>
    <t>SNB970340354654</t>
  </si>
  <si>
    <t>Elektrizitätswerk Georg Grandl e.K.</t>
  </si>
  <si>
    <t>SNB981336194529</t>
  </si>
  <si>
    <t>Gemeindewerke Nüdlingen</t>
  </si>
  <si>
    <t>SNB925831583235</t>
  </si>
  <si>
    <t>Energieversorgung - Schmid</t>
  </si>
  <si>
    <t>SNB981887803796</t>
  </si>
  <si>
    <t>Elektrizitätsgenossenschaft Engelsberg e.G.</t>
  </si>
  <si>
    <t>SNB917783023525</t>
  </si>
  <si>
    <t>Niedersachsen Ports GmbH &amp; Co. KG</t>
  </si>
  <si>
    <t>SNB916027833432</t>
  </si>
  <si>
    <t>Elektrizitätsvereinigung Böbing eG</t>
  </si>
  <si>
    <t>SNB945187645647</t>
  </si>
  <si>
    <t>Gemeindewerke Wildeck</t>
  </si>
  <si>
    <t>SNB985498109605</t>
  </si>
  <si>
    <t>Elektrizitätsgenossenschaft Nordhalben und Umgebung eG</t>
  </si>
  <si>
    <t>SNB980126228475</t>
  </si>
  <si>
    <t>Elektrizitätswerk Mainbernheim GmbH</t>
  </si>
  <si>
    <t>SNB960098459084</t>
  </si>
  <si>
    <t>FischerStrom GmbH &amp; Co. KG</t>
  </si>
  <si>
    <t>SNB962011640685</t>
  </si>
  <si>
    <t>EGF EnergieGesellschaft Frankenberg mbH</t>
  </si>
  <si>
    <t>SNB913085272050</t>
  </si>
  <si>
    <t>Elektra-Genossenschaft Pinzberg e.G.</t>
  </si>
  <si>
    <t>SNB919526009605</t>
  </si>
  <si>
    <t>Flughafen München GmbH</t>
  </si>
  <si>
    <t>SNB922722422505</t>
  </si>
  <si>
    <t>AlzChem Netz GmbH</t>
  </si>
  <si>
    <t>SNB952566530197</t>
  </si>
  <si>
    <t>EnBW Mainfrankenpark GmbH</t>
  </si>
  <si>
    <t>SNB958060904298</t>
  </si>
  <si>
    <t>Elektrizitätswerk Josef Haimmerer</t>
  </si>
  <si>
    <t>SNBFIKTIV000010</t>
  </si>
  <si>
    <t>E.-Werk J. Schauer</t>
  </si>
  <si>
    <t>SNB982034089728</t>
  </si>
  <si>
    <t>Netz &amp; Energie Betriebsgesellschaft mbH</t>
  </si>
  <si>
    <t>SNB975268997129</t>
  </si>
  <si>
    <t>Covestro Brunsbüttel Energie GmbH</t>
  </si>
  <si>
    <t>SNB910066952147</t>
  </si>
  <si>
    <t>Brücken-Center Ansbach GmbH</t>
  </si>
  <si>
    <t>SNB938180557147</t>
  </si>
  <si>
    <t>Flughafen Nürnberg Energie GmbH</t>
  </si>
  <si>
    <t>SNB971573473594</t>
  </si>
  <si>
    <t>Pharmaserv GmbH</t>
  </si>
  <si>
    <t>SNB903808877785</t>
  </si>
  <si>
    <t>Stromnetz Pullach GmbH</t>
  </si>
  <si>
    <t>SNBFIKTIV000008</t>
  </si>
  <si>
    <t>Reußenköge Netz &amp; Infrastruktur GmbH</t>
  </si>
  <si>
    <t>SNBFIKTIV000006</t>
  </si>
  <si>
    <t>enercity Flughafen Netz GmbH</t>
  </si>
  <si>
    <t>SNB938413573104</t>
  </si>
  <si>
    <t>QuartiersNetz Bayern GmbH</t>
  </si>
  <si>
    <t>SNB956411704207</t>
  </si>
  <si>
    <t>C. Ensinger GmbH &amp; Co. KG</t>
  </si>
  <si>
    <t>SNB952385093224</t>
  </si>
  <si>
    <t>Elektrizitätswerk Leitlein GmbH &amp; Co. KG</t>
  </si>
  <si>
    <t>SNB946934291780</t>
  </si>
  <si>
    <t>Flughafen Stuttgart Energie GmbH</t>
  </si>
  <si>
    <t>SNB931677334054</t>
  </si>
  <si>
    <t>Freudenberg Service KG</t>
  </si>
  <si>
    <t>SNB953422913031</t>
  </si>
  <si>
    <t>Gebrüder Eirich GmbH &amp; Co KG</t>
  </si>
  <si>
    <t>SNB975462731697</t>
  </si>
  <si>
    <t>Heinzelmann Stromhandels- und Vertriebs-GmbH &amp; Co. KG</t>
  </si>
  <si>
    <t>SNB970179850242</t>
  </si>
  <si>
    <t>Hermann Geuder e.K. Elektrizitätswerk</t>
  </si>
  <si>
    <t>SNB942908692218</t>
  </si>
  <si>
    <t>Karl Stengle GmbH &amp; Co KG</t>
  </si>
  <si>
    <t>MVE Eurokom Gesellschaft für Energie und Kommunikationsleistungen mbH</t>
  </si>
  <si>
    <t>SNB960349538834</t>
  </si>
  <si>
    <t>Power Supply Systems GmbH</t>
  </si>
  <si>
    <t>SNB911104987275</t>
  </si>
  <si>
    <t>Versorgungsbetriebe Röttingen</t>
  </si>
  <si>
    <t>Soll-Umlageeinnahmen in Euro aus der KWKG-Umlage für umlagepflichtige Netzentnahmen</t>
  </si>
  <si>
    <t>nicht privilegierte Netzentnahmen 
(100 % der Umlage)
(1)</t>
  </si>
  <si>
    <t>Wärmepumpen § 22 EnFG
(0,00 ct/ kWh)
(2)</t>
  </si>
  <si>
    <t>Anlagen zur Verstromung von Kuppelgasen § 23 EnFG
(15 % der Umlage)
(3)</t>
  </si>
  <si>
    <t>Herstellung von Grünem Wasserstoff § 25 EnFG
(0,00 ct/kWh)
(4)</t>
  </si>
  <si>
    <t>Schienenbahnen § 37 EnFG
(10% der Umlage)
(5)</t>
  </si>
  <si>
    <t>E-Busse § 38 EnFG
(20% der Umlage)
(6)</t>
  </si>
  <si>
    <t>Landstromanlagen § 39 EnFG
(20% der Umlage)
(7)</t>
  </si>
  <si>
    <t>Summe
(8) = Summe (1) bis (7)</t>
  </si>
  <si>
    <t>Soll-Umlageeinnahmen in Euro aus der Offshore-Netzumlage für umlagepflichtige Netzentnahmen</t>
  </si>
  <si>
    <t>Verringerung der KWKG-Umlage / Offshore-Netzumlage aufgrund von § 21 EnFG</t>
  </si>
  <si>
    <t>elektrische, chemische, mechanische oder physikalische Stromspeicher</t>
  </si>
  <si>
    <t>Ladepunkte für Elektromobile</t>
  </si>
  <si>
    <t>Erzeugung von Speichergas</t>
  </si>
  <si>
    <t>Netzentnahmen von Strom</t>
  </si>
  <si>
    <t>Saldierungsbetrag hinsichtlich der 
KWKG-Umlage</t>
  </si>
  <si>
    <t>Saldierungsbetrag hinsichtlich der 
Offshore-Netzumlage</t>
  </si>
  <si>
    <t>Sanktionen gem. § 53 EnFG aufgrund eines Verstoßes gegen die Mitteilungspflichten nach § 52 EnFG</t>
  </si>
  <si>
    <t>Verstoß nach § 53 Abs. 1 EnFG
(Erhöhung der Umlage auf 100%)</t>
  </si>
  <si>
    <t>Verstoß nach § 53 Abs. 2 EnFG
(Erhöhung der Umlage um 20%-Punkte)</t>
  </si>
  <si>
    <t>sanktionierte Netzentnahmen 
von Strom</t>
  </si>
  <si>
    <t>Sanktion hinsichtlich der 
KWKG-Umlage</t>
  </si>
  <si>
    <t>Sanktion hinsichtlich der 
Offshore-Netzumlage</t>
  </si>
  <si>
    <t>Sanktion hinsichtlich der 
Offshore-Netzumlage 
in Euro</t>
  </si>
  <si>
    <t>Umlagepflichtige Netzentnahmen von aus dem Netz entnommenen und selbst verbrauchten Strommengen von stromkostenintensiven Unternehmen</t>
  </si>
  <si>
    <t>aus dem Netz bezogene und selbst verbrauchte Strommenge</t>
  </si>
  <si>
    <t xml:space="preserve">KWKG-Umlage </t>
  </si>
  <si>
    <t xml:space="preserve">Offshore-Netzumlage </t>
  </si>
  <si>
    <t>Umlagepflichtige Netzentnahmen von aus dem Netz entnommenen und weitergeleiteten Strommengen von stromkostenintensiven Unternehmen in kWh (KWKG-Umlage / Offshore-Netzumlage)</t>
  </si>
  <si>
    <t>Soll-Umlageeinnahmen in Euro aus der KWKG-Umlage für umlagepflichtige Netzentnahmen von aus dem Netz entnommenen und weitergeleiteten Strommengen von stromkostenintensiven Unternehmen</t>
  </si>
  <si>
    <t>Soll-Umlageeinnahmen in Euro aus der Offshore-Netzumlage für umlagepflichtige Netzentnahmen von aus dem Netz entnommenen und weitergeleiteten Strommengen von stromkostenintensiven Unternehmen</t>
  </si>
  <si>
    <t>Verringerung der KWKG-Umlage / Offshore-Netzumlage aufgrund von § 21 EnFG - stromkostenintensive Unternehmen</t>
  </si>
  <si>
    <t>Saldierungsbetrag hinsichtlich der KWKG-Umlage</t>
  </si>
  <si>
    <t>Saldierungsbetrag hinsichtlich der Offshore-Netzumlage</t>
  </si>
  <si>
    <t>Sanktionen gem. § 53 EnFG aufgrund eines Verstoßes gegen die Mitteilungspflichten nach § 52 EnFG - stromkostenintensive Unternehmen</t>
  </si>
  <si>
    <t>Nachträgliche Angaben zur KWKG-Umlage und Offshore-Netzumlage auf Basis der Prüfungsvermerke der ÜNB</t>
  </si>
  <si>
    <t>Angaben zu Korrekturen in der Regelzone von 50Hertz</t>
  </si>
  <si>
    <t>VNB</t>
  </si>
  <si>
    <t>Umlageart</t>
  </si>
  <si>
    <t>Änderung der umlagepflichtigen Strommengen</t>
  </si>
  <si>
    <t>Änderungen im Hinblick auf die erhaltene KWKG-Umlage</t>
  </si>
  <si>
    <t>Änderungen im Hinblick auf die erhaltene Offshore-Netzumlage (bzw. Offshore-Haftungsumlage)</t>
  </si>
  <si>
    <t>nicht privilegierter Letztverbrauch</t>
  </si>
  <si>
    <t>Schienenbahnen</t>
  </si>
  <si>
    <t>Stromspeicher</t>
  </si>
  <si>
    <t>Industrienetzgesellschaft Schkopau mbH</t>
  </si>
  <si>
    <t>Flughafen Energie und Wasser GmbH</t>
  </si>
  <si>
    <t>EVIP GmbH</t>
  </si>
  <si>
    <t>stromintensive Schienenbahnen</t>
  </si>
  <si>
    <t>Summe 50Hertz</t>
  </si>
  <si>
    <t>Angaben zu Korrekturen in der Regelzone von Amprion</t>
  </si>
  <si>
    <t>Letztverbrauch der Kategorie A</t>
  </si>
  <si>
    <t>-</t>
  </si>
  <si>
    <t>Letztverbrauch der Kategorie A'</t>
  </si>
  <si>
    <t>Stromintensive Schienenbahnen</t>
  </si>
  <si>
    <t>Kuppelgase</t>
  </si>
  <si>
    <t>Sanktion 100</t>
  </si>
  <si>
    <t>Summe Amprion</t>
  </si>
  <si>
    <t>Angaben zu Korrekturen in der Regelzone von TenneT</t>
  </si>
  <si>
    <t>Versorgungsbetriebe Elbe GmbH</t>
  </si>
  <si>
    <t>Gemeindewerke Schönkirchen</t>
  </si>
  <si>
    <t>ews-Netz GmbH (Wahlstedt/Bad Segeberg)</t>
  </si>
  <si>
    <t>NRM Netzdienste Rhein-Main GmbH (Frankfurt)</t>
  </si>
  <si>
    <t>EVE Netz GmbH (EVE Energieversorgung Elbtalaue GmbH)</t>
  </si>
  <si>
    <t>gKU oberes Egertal (ehem. Stadtwerke Weißenstadt)</t>
  </si>
  <si>
    <t>Schleswig-Holstein Netz GmbH (vormals: Schleswig-Holstein Netz AG)</t>
  </si>
  <si>
    <t>Stadtwerke Hameln Weserbergland GmbH (vormals: GWS Stadtwerke Hameln GmbH)</t>
  </si>
  <si>
    <t>Mainfranken Netze GmbH (ehem. SW Würzburg)</t>
  </si>
  <si>
    <t>stromintensive Schienenbahn</t>
  </si>
  <si>
    <t>Sanktion 20</t>
  </si>
  <si>
    <t>Summe TenneT</t>
  </si>
  <si>
    <t>Angaben zu Korrekturen in der Regelzone von TransnetBW</t>
  </si>
  <si>
    <t>Summe TransnetBW</t>
  </si>
  <si>
    <t>Korrekturen für Umlagepflichtige Netzentnahmen von aus dem Netz entnommenen und selbst verbrauchten Strommengen von stromkostenintensiven Unternehmen</t>
  </si>
  <si>
    <t>KWKG-Umlage</t>
  </si>
  <si>
    <t>Korrekturen für umlagepflichtige Netzentnahmen von aus dem Netz entnommenen und weitergeleiteten Strommengen von stromkostenintensiven Unternehmen</t>
  </si>
  <si>
    <t>stromintensive Schienenbahnenen</t>
  </si>
  <si>
    <t>Strompeicher</t>
  </si>
  <si>
    <t>Ladepunkte</t>
  </si>
  <si>
    <t>Speichergas</t>
  </si>
  <si>
    <t>Zusammenfassung nachträglicher Korrekturen hinsichtlich Änderungen der abzurechnenden KWKG- und Offshore-Netzumlage je Jahr in Euro</t>
  </si>
  <si>
    <t>Offshore-Netzumlage (bzw. Offshore-Haftungsumlage</t>
  </si>
  <si>
    <t xml:space="preserve">Zusammenfassung der KWKG-Jahresendabrechnungen </t>
  </si>
  <si>
    <t>Zusammenfassung der Zuschlagszahlungen sowie Abzugsbeträge, Pflichtverstoßzahlungen und Bonuszahlungen nach KWKG in Euro (EUR)</t>
  </si>
  <si>
    <t>Zuschlagszahlungen
gesamt
(1)</t>
  </si>
  <si>
    <t>Abzugsbeträge
(2)</t>
  </si>
  <si>
    <t>Zahlungen bei Pflichtverstößen
(3)</t>
  </si>
  <si>
    <t>Bonuszahlungen
gesamt
(4)</t>
  </si>
  <si>
    <t xml:space="preserve">Zwischenergebnis
(5) = (1) + (2) + (3) + (4) </t>
  </si>
  <si>
    <t>Nachträgliche Korrekturen nach § 20 Abs. 1 EnFG ohne Zahlungen bei Pflichtverstößen nach § 52 Abs. 8 EEG 2023
(6)</t>
  </si>
  <si>
    <t xml:space="preserve">Nachträgliche Korrekturen nach § 20 Abs. 1 EnFG von Zahlungen bei Pflichtverstößen nach § 52 Abs. 8 EEG 2023
(7) </t>
  </si>
  <si>
    <t>Gesamtsumme
(8) = (5) + (6) +  (7)</t>
  </si>
  <si>
    <t>Zusammenfassung der im Rahmen der Zuschlagszahlungen förderwirksamen Strommengen in Kilowattstunden (kWh)</t>
  </si>
  <si>
    <t xml:space="preserve">Im Rahmen der Zuschlagszahlungen förderwirksamen Strommengen
(I)
</t>
  </si>
  <si>
    <t xml:space="preserve">Nachträgliche Korrekturen der im Rahmen der Zuschlagszahlung förderwirksamen 
Strommengen
(II)
</t>
  </si>
  <si>
    <t xml:space="preserve">Gesamtsumme
(III) = (I) + (II)
</t>
  </si>
  <si>
    <t>SNB999912340406</t>
  </si>
  <si>
    <t>Stadtwerke Südholstein GmbH</t>
  </si>
  <si>
    <t>Zusammenfassung für die vereinnahmten Pönalen nach § 21 Abs.  1 KWKAusV</t>
  </si>
  <si>
    <t>Zusammenfassung für die Förderung von Wärme-/Kältenetzen und von Wärme-/Kältespeichern (WKNS)</t>
  </si>
  <si>
    <t>Zuschlagszahlungen für WKNS 2024
(1)</t>
  </si>
  <si>
    <t>Zuschlagszahlungen für WKNS für Vorjahre
(2)</t>
  </si>
  <si>
    <t>Gesamtsumme
(3) = (1) + (2)</t>
  </si>
  <si>
    <t>Zusammenfassung der umlagepflichtigen Netzentnahmen zwischen den Netzbetreibern in Euro (EUR; KWKG-Umlage)</t>
  </si>
  <si>
    <t>Umlagepflichtige Netzentnahmen
gesamt
(1)</t>
  </si>
  <si>
    <t>Verringerung der KWKG-Umlage
(2)</t>
  </si>
  <si>
    <t>Sanktionen
(3)</t>
  </si>
  <si>
    <t>Zwischenergebnis
(4) = (1) + (2) + (3)</t>
  </si>
  <si>
    <t>Nachträgliche Korrekturen nach § 20 Abs. 2 EnFG
(5)</t>
  </si>
  <si>
    <t>Gesamtsumme
(6) = (4) + (5)</t>
  </si>
  <si>
    <t xml:space="preserve">EGC Energie und Gebäudetechnik Control GmbH &amp; Co. </t>
  </si>
  <si>
    <t>SWS Netze GmbH (Teilnetz Barth)</t>
  </si>
  <si>
    <t>GIG energy services GmbH</t>
  </si>
  <si>
    <t>Stadt- und Überlandwerke GmbH Luckau - Lübbenau</t>
  </si>
  <si>
    <t>Stadtwerke Schönebeck GmbH</t>
  </si>
  <si>
    <t>Elektrizitätswerk Max Peißker</t>
  </si>
  <si>
    <t>Energie- und Wasserwerke Bautzen GmbH</t>
  </si>
  <si>
    <t>Stadtwerke - Altmärkische Gas-, Wasser- und Elektrizitätswerke GmbH Stendal</t>
  </si>
  <si>
    <t>EWN Entsorgungswerk für Nuklearanlagen GmbH</t>
  </si>
  <si>
    <t>Stadtwerke Reichenbach/Vogtl. GmbH</t>
  </si>
  <si>
    <t>Stadtwerke Gotha NETZ GmbH</t>
  </si>
  <si>
    <t>Strom-und Gasnetz Wismar GmbH</t>
  </si>
  <si>
    <t>Infrastrukturbetrieb der Stadt Arneburg Eigenbetrieb</t>
  </si>
  <si>
    <t>HALBERSTADTWERKE GmbH</t>
  </si>
  <si>
    <t>TRIDELTA Energieversorgungs GmbH</t>
  </si>
  <si>
    <t>Flughafen Leipzig/Halle GmbH</t>
  </si>
  <si>
    <t>Zusammenfassung der umlagepflichtigen Strommengen zwischen den Netzbetreibern in kWh</t>
  </si>
  <si>
    <t xml:space="preserve">Umlagepflichtige Strommengen
(I)
</t>
  </si>
  <si>
    <t>Nachträgliche Korrekturen der umlagepflichtigen 
Strommengen
(II)</t>
  </si>
  <si>
    <t>Gesamtsumme
(III) = (I) + (II)</t>
  </si>
  <si>
    <t>DB Energie GmbH (Bahnstromnetz)</t>
  </si>
  <si>
    <t>Versorgungsbetriebe Elbe GmbH (Lauenburg)</t>
  </si>
  <si>
    <t>Kommunale Energienetze Inn-Salzach GmbH &amp; Co. KG (Mühldorf, EVIS)</t>
  </si>
  <si>
    <t>Gemeinde Heroldsbach - Stromversorgung -</t>
  </si>
  <si>
    <t>Elektrizitätsgenossenschaft Karlstein e.G.</t>
  </si>
  <si>
    <t>Stadtwerke Pinneberg GmbH</t>
  </si>
  <si>
    <t>Gemeindewerke Lam</t>
  </si>
  <si>
    <t>Energie Waldeck-Frankenberg GmbH (EWF)</t>
  </si>
  <si>
    <t>Gemeindewerke Bayerisch Gmain</t>
  </si>
  <si>
    <t>SWN Stadtwerke Neustadt GmbH (Coburg)</t>
  </si>
  <si>
    <t>HEWA, Hersbrucker Energie- und Wasserversorgung GmbH</t>
  </si>
  <si>
    <t>TraveNetz GmbH (ehem. Netz Lübeck)</t>
  </si>
  <si>
    <t>e-werk Sachsenwald GmbH (Reinbek-Wentorf)</t>
  </si>
  <si>
    <t>Elektrizitäts- und Wasserversorgungsgenossenschaft Vagen eG</t>
  </si>
  <si>
    <t>E-Werke Haniel Haimhausen OHG</t>
  </si>
  <si>
    <t>Stromversorgung Inzell e.G.</t>
  </si>
  <si>
    <t>Stadtwerke Tornesch-Netz GmbH</t>
  </si>
  <si>
    <t>Braunschweiger Netz GmbH (BS|Netz) (BS Energy Netz GmbH)</t>
  </si>
  <si>
    <t>strotög GmbH Strom für Töging</t>
  </si>
  <si>
    <t>Celle-Uelzen Netz GmbH (SVO Energie GmbH)</t>
  </si>
  <si>
    <t>Gemeinde Gochsheim</t>
  </si>
  <si>
    <t>Elektrizitätsgenossenschaft Wolkersdorf und Umgebung eG</t>
  </si>
  <si>
    <t>enwag energie- und wassergesellschaft mbh</t>
  </si>
  <si>
    <t>Raiffeisenbank Altmühl-Jura eG (vormals: Raiffeisenbank Greding- Thalmässing eG)</t>
  </si>
  <si>
    <t>SWR Energie GmbH (Rödental)</t>
  </si>
  <si>
    <t>SVI - Stromversorgung Ismaning GmbH</t>
  </si>
  <si>
    <t>Stadtwerke Schwentinental GmbH (Raisdorf)</t>
  </si>
  <si>
    <t>EVU Langenpreising</t>
  </si>
  <si>
    <t>Elektrizitäts-Versorgungs-Genossenschaft Perlesreut eG</t>
  </si>
  <si>
    <t>Aschaffenburger Versorgungs GmbH</t>
  </si>
  <si>
    <t>Energieversorgung Schmid Josef</t>
  </si>
  <si>
    <t>Elektrizitätswerk Wörth/Donau Rupert Heider &amp; Co.</t>
  </si>
  <si>
    <t>Kreiswerke Main-Kinzig GmbH (Gelnhausen)</t>
  </si>
  <si>
    <t>OsthessenNetz GmbH (ÜWAG Netz GmbH)</t>
  </si>
  <si>
    <t>FischerStrom KG</t>
  </si>
  <si>
    <t>Elektra Genossenschaft Pinzberg e.G.</t>
  </si>
  <si>
    <t>EnBW Mainfrankenpark GmbH (vorm. Utility Service Center Main-Franken-Park GmbH)</t>
  </si>
  <si>
    <t>Raubling Papier GmbH</t>
  </si>
  <si>
    <t>E-Werke Reutte GmbH &amp; Co. KG (Netz Buching-Trauchgau)</t>
  </si>
  <si>
    <t>Zusammenfassung der umlagepflichtige Netzentnahmen von aus dem Netz entnommenen und selbst verbrauchten Strommengen von stromkostenintensiven Unternehmen</t>
  </si>
  <si>
    <t>aus dem Netz bezogene und selbst verbrauchte Strommenge
(I)</t>
  </si>
  <si>
    <t>KWKG-Umlage inkl. Saldierungsbeträge
(1)</t>
  </si>
  <si>
    <t>Sanktionen
(2)</t>
  </si>
  <si>
    <t>Nachträgliche Korrekturen der umlagepflichtigen 
Strommengen
(II)</t>
  </si>
  <si>
    <t>nachträgliche Korrekturen der KWKG-Umlage 
(3)</t>
  </si>
  <si>
    <t>Gesamtsumme aus dem Netz bezogene und selbst verbrauchte Strommenge
(III) = (I) + (II)</t>
  </si>
  <si>
    <t>Gesamtsumme
KWKG-Umlage 
(4) = (1) + (2) + (3)</t>
  </si>
  <si>
    <t>Zusammenfassung der umlagepflichtige Netzentnahmen von aus dem Netz entnommenen und weitergeleiteten Strommengen von stromkostenintensiven Unternehmen</t>
  </si>
  <si>
    <t>aus dem Netz bezogene und weitergeleitete Strommenge
(I)</t>
  </si>
  <si>
    <t>KWKG-Umlage 
(1)</t>
  </si>
  <si>
    <t>Nachträgliche Korrekturen der aus dem Netz bezogenen und weitergeleitete Strommenge
(II)</t>
  </si>
  <si>
    <t>nachträgliche Korrekturen 
der KWKG-Umlage 
(2)</t>
  </si>
  <si>
    <t>Gesamtsumme aus dem Netz bezogene und weitergeleitete  Strommenge
(III) = (I) + (II)</t>
  </si>
  <si>
    <t>Gesamtsumme
KWKG-Umlage 
(3) = (1) + (2)</t>
  </si>
  <si>
    <t xml:space="preserve">Zusammenfassung der ONU-Jahresendabrechnungen </t>
  </si>
  <si>
    <t>Zusammenfassung der umlagepflichtigen Netzentnahmen zwischen den Netzbetreibern in Euro (EUR; Offshore-Netzumlage)</t>
  </si>
  <si>
    <t>Verringerung der Offshore-Netzumlage 
(2)</t>
  </si>
  <si>
    <t>Sanktionen
(3)</t>
  </si>
  <si>
    <t>Zwischen-
ergebnis
(4) = (1) + (2) + (3)</t>
  </si>
  <si>
    <t>Nachträgliche Korrekturen nach 
§ 20 Abs. 2 EnFG
(5)</t>
  </si>
  <si>
    <t>Zusammenfassung der umlagepflichtigen Strommengen zwischen den Netzbetreibern in Kilowattstunden (kWh)</t>
  </si>
  <si>
    <t>Umlagepflichtige Strommengen
(I)</t>
  </si>
  <si>
    <t>Offshore-Netzumlage inkl. Saldierungsbeträge
(1)</t>
  </si>
  <si>
    <t>Sanktionen
(2)</t>
  </si>
  <si>
    <t xml:space="preserve">nachträgliche Korrekturen der Offshore-Netzumlage 
(3)
</t>
  </si>
  <si>
    <t>Gesamtsumme aus dem Netz bezogene und selbst verbrauchte Strommenge
(III) = (I) + (II)</t>
  </si>
  <si>
    <t>Gesamtsumme Offshore-Netzumlage 
(4) = (1) + (2) + (3)</t>
  </si>
  <si>
    <t>Offshore-Netzumlage 
(1)</t>
  </si>
  <si>
    <t>nachträgliche Korrekturen der Offshore-Netzumlage 
(2)</t>
  </si>
  <si>
    <t>Gesamtsumme
Offshore-Netzumlage 
(3) = (1) + (2)</t>
  </si>
  <si>
    <t>KWK-Schlüssel für das Kalenderjahr 2024</t>
  </si>
  <si>
    <t>Summe 2024</t>
  </si>
  <si>
    <t>Schlüssel</t>
  </si>
  <si>
    <t>testierter Gesamt-LV gem. VNB-Meldung</t>
  </si>
  <si>
    <t>%</t>
  </si>
  <si>
    <t>Regelzone 50Hertz</t>
  </si>
  <si>
    <t>Regelzone Amprion</t>
  </si>
  <si>
    <t>Regelzone TenneT</t>
  </si>
  <si>
    <t>Regelzone TransnetBW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</si>
</sst>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\-#,##0\ "/>
    <numFmt numFmtId="167" formatCode="#,##0.00_ ;\-#,##0.00\ "/>
    <numFmt numFmtId="168" formatCode="#,##0.00_ ;[Red]\-#,##0.00;\-"/>
    <numFmt numFmtId="169" formatCode="_(* #,##0.00_);_(* \(#,##0.00\);_(* &quot;-&quot;??_);_(@_)"/>
    <numFmt numFmtId="170" formatCode="#,##0.0"/>
    <numFmt numFmtId="171" formatCode="_-* #,##0\ _€_-;\-* #,##0\ _€_-;_-* &quot;-&quot;??\ _€_-;_-@_-"/>
    <numFmt numFmtId="172" formatCode="0.000"/>
    <numFmt numFmtId="173" formatCode="_-* #,##0_-;\-* #,##0_-;_-* &quot;-&quot;??_-;_-@_-"/>
  </numFmts>
  <fonts count="81">
    <font>
      <sz val="10"/>
      <name val="Arial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venirNext LT Com Regular"/>
      <family val="2"/>
    </font>
    <font>
      <sz val="11"/>
      <color theme="1"/>
      <name val="AvenirNext LT Com Regular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0"/>
      <color indexed="8"/>
      <name val="Arial"/>
      <family val="2"/>
    </font>
    <font>
      <b/>
      <sz val="9"/>
      <name val="Univers"/>
      <family val="2"/>
    </font>
    <font>
      <sz val="9"/>
      <name val="Univers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10"/>
      <color rgb="FF9C0006"/>
      <name val="Arial"/>
      <family val="2"/>
    </font>
    <font>
      <u/>
      <sz val="10"/>
      <color theme="10"/>
      <name val="Arial"/>
      <family val="2"/>
    </font>
    <font>
      <sz val="11"/>
      <color theme="1"/>
      <name val="Trebuchet MS"/>
      <family val="2"/>
    </font>
    <font>
      <sz val="8"/>
      <name val="Arial"/>
      <family val="2"/>
    </font>
    <font>
      <strike/>
      <sz val="8"/>
      <color rgb="FFFF0000"/>
      <name val="Arial"/>
      <family val="2"/>
    </font>
    <font>
      <strike/>
      <sz val="10"/>
      <name val="Arial"/>
      <family val="2"/>
    </font>
    <font>
      <strike/>
      <sz val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0"/>
      <color indexed="8"/>
      <name val="Arial"/>
      <family val="2"/>
    </font>
    <font>
      <sz val="10"/>
      <color theme="0"/>
      <name val="Arial"/>
      <family val="2"/>
    </font>
    <font>
      <b/>
      <sz val="10"/>
      <color theme="5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0"/>
      <color theme="0" tint="-0.249977111117893"/>
      <name val="Arial"/>
      <family val="2"/>
    </font>
    <font>
      <sz val="8"/>
      <color theme="0" tint="-0.249977111117893"/>
      <name val="Arial"/>
      <family val="2"/>
    </font>
    <font>
      <sz val="9"/>
      <color theme="0" tint="-0.249977111117893"/>
      <name val="Arial"/>
      <family val="2"/>
    </font>
    <font>
      <strike/>
      <sz val="10"/>
      <color rgb="FFFF0000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0"/>
      <color rgb="FF7030A0"/>
      <name val="Arial"/>
      <family val="2"/>
    </font>
    <font>
      <b/>
      <sz val="10"/>
      <color theme="1"/>
      <name val="Arial"/>
      <family val="2"/>
    </font>
    <font>
      <sz val="10"/>
      <name val="Roboto"/>
      <family val="2"/>
      <charset val="1"/>
    </font>
  </fonts>
  <fills count="6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indexed="45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</patternFill>
    </fill>
    <fill>
      <patternFill patternType="solid">
        <fgColor indexed="53"/>
        <bgColor indexed="53"/>
      </patternFill>
    </fill>
    <fill>
      <patternFill patternType="solid">
        <fgColor indexed="22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99"/>
        <bgColor rgb="FF000000"/>
      </patternFill>
    </fill>
  </fills>
  <borders count="186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thin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indexed="64"/>
      </top>
      <bottom style="medium">
        <color indexed="64"/>
      </bottom>
      <diagonal/>
    </border>
  </borders>
  <cellStyleXfs count="1157">
    <xf numFmtId="0" fontId="0" fillId="0" borderId="0"/>
    <xf numFmtId="168" fontId="15" fillId="2" borderId="1"/>
    <xf numFmtId="169" fontId="2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4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30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8" fillId="0" borderId="0"/>
    <xf numFmtId="0" fontId="30" fillId="0" borderId="0"/>
    <xf numFmtId="0" fontId="31" fillId="0" borderId="0"/>
    <xf numFmtId="0" fontId="14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9" fontId="27" fillId="0" borderId="0" applyFill="0" applyBorder="0" applyProtection="0">
      <protection locked="0"/>
    </xf>
    <xf numFmtId="49" fontId="26" fillId="0" borderId="0" applyFill="0" applyBorder="0" applyProtection="0">
      <alignment horizontal="center" vertical="top" wrapText="1"/>
      <protection locked="0"/>
    </xf>
    <xf numFmtId="3" fontId="23" fillId="0" borderId="0" applyFill="0" applyBorder="0" applyProtection="0">
      <protection locked="0"/>
    </xf>
    <xf numFmtId="3" fontId="27" fillId="0" borderId="0" applyFill="0" applyBorder="0" applyProtection="0">
      <protection locked="0"/>
    </xf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0" fillId="0" borderId="0" applyFont="0" applyFill="0" applyBorder="0" applyAlignment="0" applyProtection="0"/>
    <xf numFmtId="166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5" fillId="0" borderId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5" fillId="0" borderId="0">
      <alignment wrapText="1"/>
      <protection locked="0"/>
    </xf>
    <xf numFmtId="14" fontId="21" fillId="0" borderId="0" applyFill="0" applyBorder="0" applyProtection="0">
      <alignment horizontal="center" vertical="top" wrapText="1"/>
      <protection locked="0"/>
    </xf>
    <xf numFmtId="14" fontId="17" fillId="0" borderId="0" applyFill="0" applyBorder="0" applyProtection="0">
      <alignment horizontal="center" vertical="top" wrapText="1"/>
      <protection locked="0"/>
    </xf>
    <xf numFmtId="14" fontId="16" fillId="0" borderId="0" applyFill="0" applyBorder="0" applyProtection="0">
      <alignment horizontal="center" vertical="top" wrapText="1"/>
      <protection locked="0"/>
    </xf>
    <xf numFmtId="14" fontId="18" fillId="0" borderId="0" applyFill="0" applyBorder="0" applyProtection="0">
      <alignment horizontal="center" vertical="top" wrapText="1"/>
      <protection locked="0"/>
    </xf>
    <xf numFmtId="14" fontId="22" fillId="0" borderId="0" applyFill="0" applyBorder="0" applyProtection="0">
      <alignment horizontal="center" vertical="top" wrapText="1"/>
      <protection locked="0"/>
    </xf>
    <xf numFmtId="49" fontId="15" fillId="0" borderId="0" applyFill="0" applyBorder="0" applyProtection="0">
      <protection locked="0"/>
    </xf>
    <xf numFmtId="49" fontId="15" fillId="0" borderId="0" applyFill="0" applyBorder="0" applyProtection="0">
      <alignment wrapText="1"/>
      <protection locked="0"/>
    </xf>
    <xf numFmtId="49" fontId="20" fillId="0" borderId="0" applyFill="0" applyBorder="0" applyProtection="0">
      <protection locked="0"/>
    </xf>
    <xf numFmtId="49" fontId="20" fillId="0" borderId="0" applyFill="0" applyBorder="0" applyProtection="0">
      <alignment wrapText="1"/>
      <protection locked="0"/>
    </xf>
    <xf numFmtId="49" fontId="24" fillId="0" borderId="0" applyFill="0" applyBorder="0" applyProtection="0">
      <protection locked="0"/>
    </xf>
    <xf numFmtId="49" fontId="24" fillId="0" borderId="0" applyFill="0" applyBorder="0" applyProtection="0">
      <alignment wrapText="1"/>
      <protection locked="0"/>
    </xf>
    <xf numFmtId="49" fontId="19" fillId="0" borderId="0" applyFill="0" applyBorder="0" applyProtection="0">
      <protection locked="0"/>
    </xf>
    <xf numFmtId="49" fontId="19" fillId="0" borderId="0" applyFill="0" applyBorder="0" applyProtection="0">
      <alignment wrapText="1"/>
      <protection locked="0"/>
    </xf>
    <xf numFmtId="49" fontId="23" fillId="0" borderId="0" applyFill="0" applyBorder="0" applyProtection="0">
      <protection locked="0"/>
    </xf>
    <xf numFmtId="49" fontId="23" fillId="0" borderId="0" applyFill="0" applyBorder="0" applyProtection="0">
      <alignment wrapText="1"/>
      <protection locked="0"/>
    </xf>
    <xf numFmtId="49" fontId="21" fillId="0" borderId="0" applyFill="0" applyBorder="0" applyProtection="0">
      <alignment horizontal="center" vertical="top" wrapText="1"/>
      <protection locked="0"/>
    </xf>
    <xf numFmtId="49" fontId="17" fillId="0" borderId="0" applyFill="0" applyBorder="0" applyProtection="0">
      <alignment horizontal="center" vertical="top" wrapText="1"/>
      <protection locked="0"/>
    </xf>
    <xf numFmtId="49" fontId="16" fillId="0" borderId="0" applyFill="0" applyBorder="0" applyProtection="0">
      <alignment horizontal="center" vertical="top" wrapText="1"/>
      <protection locked="0"/>
    </xf>
    <xf numFmtId="49" fontId="18" fillId="0" borderId="0" applyFill="0" applyBorder="0" applyProtection="0">
      <alignment horizontal="center" vertical="top" wrapText="1"/>
      <protection locked="0"/>
    </xf>
    <xf numFmtId="49" fontId="22" fillId="0" borderId="0" applyFill="0" applyBorder="0" applyProtection="0">
      <alignment horizontal="center" vertical="top" wrapText="1"/>
      <protection locked="0"/>
    </xf>
    <xf numFmtId="3" fontId="15" fillId="0" borderId="0" applyFill="0" applyBorder="0" applyProtection="0">
      <protection locked="0"/>
    </xf>
    <xf numFmtId="3" fontId="20" fillId="0" borderId="0" applyFill="0" applyBorder="0" applyProtection="0">
      <protection locked="0"/>
    </xf>
    <xf numFmtId="3" fontId="24" fillId="0" borderId="0" applyFill="0" applyBorder="0" applyProtection="0">
      <protection locked="0"/>
    </xf>
    <xf numFmtId="3" fontId="19" fillId="0" borderId="0" applyFill="0" applyBorder="0" applyProtection="0">
      <protection locked="0"/>
    </xf>
    <xf numFmtId="170" fontId="15" fillId="0" borderId="0" applyFill="0" applyBorder="0" applyProtection="0">
      <protection locked="0"/>
    </xf>
    <xf numFmtId="170" fontId="20" fillId="0" borderId="0" applyFill="0" applyBorder="0" applyProtection="0">
      <protection locked="0"/>
    </xf>
    <xf numFmtId="170" fontId="24" fillId="0" borderId="0" applyFill="0" applyBorder="0" applyProtection="0">
      <protection locked="0"/>
    </xf>
    <xf numFmtId="170" fontId="19" fillId="0" borderId="0" applyFill="0" applyBorder="0" applyProtection="0">
      <protection locked="0"/>
    </xf>
    <xf numFmtId="170" fontId="23" fillId="0" borderId="0" applyFill="0" applyBorder="0" applyProtection="0">
      <protection locked="0"/>
    </xf>
    <xf numFmtId="4" fontId="15" fillId="0" borderId="0" applyFill="0" applyBorder="0" applyProtection="0">
      <protection locked="0"/>
    </xf>
    <xf numFmtId="4" fontId="20" fillId="0" borderId="0" applyFill="0" applyBorder="0" applyProtection="0">
      <protection locked="0"/>
    </xf>
    <xf numFmtId="4" fontId="24" fillId="0" borderId="0" applyFill="0" applyBorder="0" applyProtection="0">
      <protection locked="0"/>
    </xf>
    <xf numFmtId="4" fontId="19" fillId="0" borderId="0" applyFill="0" applyBorder="0" applyProtection="0">
      <protection locked="0"/>
    </xf>
    <xf numFmtId="4" fontId="23" fillId="0" borderId="0" applyFill="0" applyBorder="0" applyProtection="0">
      <protection locked="0"/>
    </xf>
    <xf numFmtId="0" fontId="12" fillId="0" borderId="0"/>
    <xf numFmtId="0" fontId="31" fillId="0" borderId="0"/>
    <xf numFmtId="0" fontId="11" fillId="0" borderId="0"/>
    <xf numFmtId="164" fontId="11" fillId="0" borderId="0" applyFont="0" applyFill="0" applyBorder="0" applyAlignment="0" applyProtection="0"/>
    <xf numFmtId="0" fontId="10" fillId="0" borderId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6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6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6" fillId="22" borderId="0" applyNumberFormat="0" applyBorder="0" applyAlignment="0" applyProtection="0"/>
    <xf numFmtId="0" fontId="35" fillId="17" borderId="0" applyNumberFormat="0" applyBorder="0" applyAlignment="0" applyProtection="0"/>
    <xf numFmtId="0" fontId="35" fillId="23" borderId="0" applyNumberFormat="0" applyBorder="0" applyAlignment="0" applyProtection="0"/>
    <xf numFmtId="0" fontId="36" fillId="18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6" fillId="1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9" fillId="38" borderId="13" applyNumberFormat="0" applyAlignment="0" applyProtection="0"/>
    <xf numFmtId="0" fontId="39" fillId="38" borderId="13" applyNumberFormat="0" applyAlignment="0" applyProtection="0"/>
    <xf numFmtId="0" fontId="46" fillId="38" borderId="14" applyNumberFormat="0" applyAlignment="0" applyProtection="0"/>
    <xf numFmtId="0" fontId="46" fillId="38" borderId="14" applyNumberFormat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4" fillId="7" borderId="12" applyNumberFormat="0" applyAlignment="0" applyProtection="0"/>
    <xf numFmtId="0" fontId="50" fillId="27" borderId="14" applyNumberFormat="0" applyAlignment="0" applyProtection="0"/>
    <xf numFmtId="0" fontId="34" fillId="7" borderId="12" applyNumberFormat="0" applyAlignment="0" applyProtection="0"/>
    <xf numFmtId="0" fontId="50" fillId="27" borderId="14" applyNumberFormat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32" fillId="4" borderId="0" applyNumberFormat="0" applyBorder="0" applyAlignment="0" applyProtection="0"/>
    <xf numFmtId="0" fontId="35" fillId="21" borderId="0" applyNumberFormat="0" applyBorder="0" applyAlignment="0" applyProtection="0"/>
    <xf numFmtId="0" fontId="32" fillId="4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165" fontId="14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33" fillId="6" borderId="0" applyNumberFormat="0" applyBorder="0" applyAlignment="0" applyProtection="0"/>
    <xf numFmtId="0" fontId="38" fillId="27" borderId="0" applyNumberFormat="0" applyBorder="0" applyAlignment="0" applyProtection="0"/>
    <xf numFmtId="0" fontId="33" fillId="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19" fillId="26" borderId="14" applyNumberFormat="0" applyFont="0" applyAlignment="0" applyProtection="0"/>
    <xf numFmtId="0" fontId="19" fillId="26" borderId="14" applyNumberFormat="0" applyFon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4" fontId="19" fillId="42" borderId="14" applyNumberFormat="0" applyProtection="0">
      <alignment vertical="center"/>
    </xf>
    <xf numFmtId="4" fontId="19" fillId="42" borderId="14" applyNumberFormat="0" applyProtection="0">
      <alignment vertical="center"/>
    </xf>
    <xf numFmtId="4" fontId="19" fillId="42" borderId="14" applyNumberFormat="0" applyProtection="0">
      <alignment vertical="center"/>
    </xf>
    <xf numFmtId="4" fontId="53" fillId="3" borderId="14" applyNumberFormat="0" applyProtection="0">
      <alignment vertical="center"/>
    </xf>
    <xf numFmtId="4" fontId="19" fillId="3" borderId="14" applyNumberFormat="0" applyProtection="0">
      <alignment horizontal="left" vertical="center" indent="1"/>
    </xf>
    <xf numFmtId="4" fontId="19" fillId="3" borderId="14" applyNumberFormat="0" applyProtection="0">
      <alignment horizontal="left" vertical="center" indent="1"/>
    </xf>
    <xf numFmtId="4" fontId="19" fillId="3" borderId="14" applyNumberFormat="0" applyProtection="0">
      <alignment horizontal="left" vertical="center" indent="1"/>
    </xf>
    <xf numFmtId="0" fontId="42" fillId="42" borderId="16" applyNumberFormat="0" applyProtection="0">
      <alignment horizontal="left" vertical="top" indent="1"/>
    </xf>
    <xf numFmtId="4" fontId="19" fillId="12" borderId="14" applyNumberFormat="0" applyProtection="0">
      <alignment horizontal="left" vertical="center" indent="1"/>
    </xf>
    <xf numFmtId="4" fontId="19" fillId="12" borderId="14" applyNumberFormat="0" applyProtection="0">
      <alignment horizontal="left" vertical="center" indent="1"/>
    </xf>
    <xf numFmtId="4" fontId="19" fillId="12" borderId="14" applyNumberFormat="0" applyProtection="0">
      <alignment horizontal="left" vertical="center" indent="1"/>
    </xf>
    <xf numFmtId="4" fontId="19" fillId="8" borderId="14" applyNumberFormat="0" applyProtection="0">
      <alignment horizontal="right" vertical="center"/>
    </xf>
    <xf numFmtId="4" fontId="19" fillId="8" borderId="14" applyNumberFormat="0" applyProtection="0">
      <alignment horizontal="right" vertical="center"/>
    </xf>
    <xf numFmtId="4" fontId="19" fillId="8" borderId="14" applyNumberFormat="0" applyProtection="0">
      <alignment horizontal="right" vertical="center"/>
    </xf>
    <xf numFmtId="4" fontId="19" fillId="44" borderId="14" applyNumberFormat="0" applyProtection="0">
      <alignment horizontal="right" vertical="center"/>
    </xf>
    <xf numFmtId="4" fontId="19" fillId="44" borderId="14" applyNumberFormat="0" applyProtection="0">
      <alignment horizontal="right" vertical="center"/>
    </xf>
    <xf numFmtId="4" fontId="19" fillId="44" borderId="14" applyNumberFormat="0" applyProtection="0">
      <alignment horizontal="right" vertical="center"/>
    </xf>
    <xf numFmtId="4" fontId="19" fillId="30" borderId="17" applyNumberFormat="0" applyProtection="0">
      <alignment horizontal="right" vertical="center"/>
    </xf>
    <xf numFmtId="4" fontId="19" fillId="30" borderId="17" applyNumberFormat="0" applyProtection="0">
      <alignment horizontal="right" vertical="center"/>
    </xf>
    <xf numFmtId="4" fontId="19" fillId="30" borderId="17" applyNumberFormat="0" applyProtection="0">
      <alignment horizontal="right" vertical="center"/>
    </xf>
    <xf numFmtId="4" fontId="19" fillId="11" borderId="14" applyNumberFormat="0" applyProtection="0">
      <alignment horizontal="right" vertical="center"/>
    </xf>
    <xf numFmtId="4" fontId="19" fillId="11" borderId="14" applyNumberFormat="0" applyProtection="0">
      <alignment horizontal="right" vertical="center"/>
    </xf>
    <xf numFmtId="4" fontId="19" fillId="11" borderId="14" applyNumberFormat="0" applyProtection="0">
      <alignment horizontal="right" vertical="center"/>
    </xf>
    <xf numFmtId="4" fontId="19" fillId="13" borderId="14" applyNumberFormat="0" applyProtection="0">
      <alignment horizontal="right" vertical="center"/>
    </xf>
    <xf numFmtId="4" fontId="19" fillId="13" borderId="14" applyNumberFormat="0" applyProtection="0">
      <alignment horizontal="right" vertical="center"/>
    </xf>
    <xf numFmtId="4" fontId="19" fillId="13" borderId="14" applyNumberFormat="0" applyProtection="0">
      <alignment horizontal="right" vertical="center"/>
    </xf>
    <xf numFmtId="4" fontId="19" fillId="35" borderId="14" applyNumberFormat="0" applyProtection="0">
      <alignment horizontal="right" vertical="center"/>
    </xf>
    <xf numFmtId="4" fontId="19" fillId="35" borderId="14" applyNumberFormat="0" applyProtection="0">
      <alignment horizontal="right" vertical="center"/>
    </xf>
    <xf numFmtId="4" fontId="19" fillId="35" borderId="14" applyNumberFormat="0" applyProtection="0">
      <alignment horizontal="right" vertical="center"/>
    </xf>
    <xf numFmtId="4" fontId="19" fillId="32" borderId="14" applyNumberFormat="0" applyProtection="0">
      <alignment horizontal="right" vertical="center"/>
    </xf>
    <xf numFmtId="4" fontId="19" fillId="32" borderId="14" applyNumberFormat="0" applyProtection="0">
      <alignment horizontal="right" vertical="center"/>
    </xf>
    <xf numFmtId="4" fontId="19" fillId="32" borderId="14" applyNumberFormat="0" applyProtection="0">
      <alignment horizontal="right" vertical="center"/>
    </xf>
    <xf numFmtId="4" fontId="19" fillId="45" borderId="14" applyNumberFormat="0" applyProtection="0">
      <alignment horizontal="right" vertical="center"/>
    </xf>
    <xf numFmtId="4" fontId="19" fillId="45" borderId="14" applyNumberFormat="0" applyProtection="0">
      <alignment horizontal="right" vertical="center"/>
    </xf>
    <xf numFmtId="4" fontId="19" fillId="45" borderId="14" applyNumberFormat="0" applyProtection="0">
      <alignment horizontal="right" vertical="center"/>
    </xf>
    <xf numFmtId="4" fontId="19" fillId="10" borderId="14" applyNumberFormat="0" applyProtection="0">
      <alignment horizontal="right" vertical="center"/>
    </xf>
    <xf numFmtId="4" fontId="19" fillId="10" borderId="14" applyNumberFormat="0" applyProtection="0">
      <alignment horizontal="right" vertical="center"/>
    </xf>
    <xf numFmtId="4" fontId="19" fillId="10" borderId="14" applyNumberFormat="0" applyProtection="0">
      <alignment horizontal="right" vertical="center"/>
    </xf>
    <xf numFmtId="4" fontId="19" fillId="46" borderId="17" applyNumberFormat="0" applyProtection="0">
      <alignment horizontal="left" vertical="center" indent="1"/>
    </xf>
    <xf numFmtId="4" fontId="19" fillId="46" borderId="17" applyNumberFormat="0" applyProtection="0">
      <alignment horizontal="left" vertical="center" indent="1"/>
    </xf>
    <xf numFmtId="4" fontId="19" fillId="46" borderId="17" applyNumberFormat="0" applyProtection="0">
      <alignment horizontal="left" vertical="center" indent="1"/>
    </xf>
    <xf numFmtId="4" fontId="14" fillId="47" borderId="17" applyNumberFormat="0" applyProtection="0">
      <alignment horizontal="left" vertical="center" indent="1"/>
    </xf>
    <xf numFmtId="4" fontId="14" fillId="47" borderId="17" applyNumberFormat="0" applyProtection="0">
      <alignment horizontal="left" vertical="center" indent="1"/>
    </xf>
    <xf numFmtId="4" fontId="14" fillId="47" borderId="17" applyNumberFormat="0" applyProtection="0">
      <alignment horizontal="left" vertical="center" indent="1"/>
    </xf>
    <xf numFmtId="4" fontId="14" fillId="47" borderId="17" applyNumberFormat="0" applyProtection="0">
      <alignment horizontal="left" vertical="center" indent="1"/>
    </xf>
    <xf numFmtId="4" fontId="19" fillId="48" borderId="14" applyNumberFormat="0" applyProtection="0">
      <alignment horizontal="right" vertical="center"/>
    </xf>
    <xf numFmtId="4" fontId="19" fillId="48" borderId="14" applyNumberFormat="0" applyProtection="0">
      <alignment horizontal="right" vertical="center"/>
    </xf>
    <xf numFmtId="4" fontId="19" fillId="48" borderId="14" applyNumberFormat="0" applyProtection="0">
      <alignment horizontal="right" vertical="center"/>
    </xf>
    <xf numFmtId="4" fontId="19" fillId="49" borderId="17" applyNumberFormat="0" applyProtection="0">
      <alignment horizontal="left" vertical="center" indent="1"/>
    </xf>
    <xf numFmtId="4" fontId="19" fillId="49" borderId="17" applyNumberFormat="0" applyProtection="0">
      <alignment horizontal="left" vertical="center" indent="1"/>
    </xf>
    <xf numFmtId="4" fontId="19" fillId="49" borderId="17" applyNumberFormat="0" applyProtection="0">
      <alignment horizontal="left" vertical="center" indent="1"/>
    </xf>
    <xf numFmtId="4" fontId="19" fillId="48" borderId="17" applyNumberFormat="0" applyProtection="0">
      <alignment horizontal="left" vertical="center" indent="1"/>
    </xf>
    <xf numFmtId="4" fontId="19" fillId="48" borderId="17" applyNumberFormat="0" applyProtection="0">
      <alignment horizontal="left" vertical="center" indent="1"/>
    </xf>
    <xf numFmtId="4" fontId="19" fillId="48" borderId="17" applyNumberFormat="0" applyProtection="0">
      <alignment horizontal="left" vertical="center" indent="1"/>
    </xf>
    <xf numFmtId="0" fontId="19" fillId="37" borderId="14" applyNumberFormat="0" applyProtection="0">
      <alignment horizontal="left" vertical="center" indent="1"/>
    </xf>
    <xf numFmtId="0" fontId="19" fillId="37" borderId="14" applyNumberFormat="0" applyProtection="0">
      <alignment horizontal="left" vertical="center" indent="1"/>
    </xf>
    <xf numFmtId="0" fontId="19" fillId="37" borderId="14" applyNumberFormat="0" applyProtection="0">
      <alignment horizontal="left" vertical="center" indent="1"/>
    </xf>
    <xf numFmtId="0" fontId="19" fillId="47" borderId="16" applyNumberFormat="0" applyProtection="0">
      <alignment horizontal="left" vertical="top" indent="1"/>
    </xf>
    <xf numFmtId="0" fontId="19" fillId="50" borderId="14" applyNumberFormat="0" applyProtection="0">
      <alignment horizontal="left" vertical="center" indent="1"/>
    </xf>
    <xf numFmtId="0" fontId="19" fillId="50" borderId="14" applyNumberFormat="0" applyProtection="0">
      <alignment horizontal="left" vertical="center" indent="1"/>
    </xf>
    <xf numFmtId="0" fontId="19" fillId="50" borderId="14" applyNumberFormat="0" applyProtection="0">
      <alignment horizontal="left" vertical="center" indent="1"/>
    </xf>
    <xf numFmtId="0" fontId="19" fillId="48" borderId="16" applyNumberFormat="0" applyProtection="0">
      <alignment horizontal="left" vertical="top" indent="1"/>
    </xf>
    <xf numFmtId="0" fontId="19" fillId="9" borderId="14" applyNumberFormat="0" applyProtection="0">
      <alignment horizontal="left" vertical="center" indent="1"/>
    </xf>
    <xf numFmtId="0" fontId="19" fillId="9" borderId="14" applyNumberFormat="0" applyProtection="0">
      <alignment horizontal="left" vertical="center" indent="1"/>
    </xf>
    <xf numFmtId="0" fontId="19" fillId="9" borderId="14" applyNumberFormat="0" applyProtection="0">
      <alignment horizontal="left" vertical="center" indent="1"/>
    </xf>
    <xf numFmtId="0" fontId="19" fillId="9" borderId="16" applyNumberFormat="0" applyProtection="0">
      <alignment horizontal="left" vertical="top" indent="1"/>
    </xf>
    <xf numFmtId="0" fontId="19" fillId="49" borderId="14" applyNumberFormat="0" applyProtection="0">
      <alignment horizontal="left" vertical="center" indent="1"/>
    </xf>
    <xf numFmtId="0" fontId="19" fillId="49" borderId="14" applyNumberFormat="0" applyProtection="0">
      <alignment horizontal="left" vertical="center" indent="1"/>
    </xf>
    <xf numFmtId="0" fontId="19" fillId="49" borderId="14" applyNumberFormat="0" applyProtection="0">
      <alignment horizontal="left" vertical="center" indent="1"/>
    </xf>
    <xf numFmtId="0" fontId="19" fillId="49" borderId="16" applyNumberFormat="0" applyProtection="0">
      <alignment horizontal="left" vertical="top" indent="1"/>
    </xf>
    <xf numFmtId="0" fontId="19" fillId="51" borderId="18" applyNumberFormat="0">
      <protection locked="0"/>
    </xf>
    <xf numFmtId="0" fontId="18" fillId="47" borderId="19" applyBorder="0"/>
    <xf numFmtId="4" fontId="41" fillId="43" borderId="16" applyNumberFormat="0" applyProtection="0">
      <alignment vertical="center"/>
    </xf>
    <xf numFmtId="4" fontId="53" fillId="2" borderId="5" applyNumberFormat="0" applyProtection="0">
      <alignment vertical="center"/>
    </xf>
    <xf numFmtId="4" fontId="41" fillId="37" borderId="16" applyNumberFormat="0" applyProtection="0">
      <alignment horizontal="left" vertical="center" indent="1"/>
    </xf>
    <xf numFmtId="0" fontId="41" fillId="43" borderId="16" applyNumberFormat="0" applyProtection="0">
      <alignment horizontal="left" vertical="top" indent="1"/>
    </xf>
    <xf numFmtId="4" fontId="19" fillId="0" borderId="14" applyNumberFormat="0" applyProtection="0">
      <alignment horizontal="right" vertical="center"/>
    </xf>
    <xf numFmtId="4" fontId="19" fillId="0" borderId="14" applyNumberFormat="0" applyProtection="0">
      <alignment horizontal="right" vertical="center"/>
    </xf>
    <xf numFmtId="4" fontId="19" fillId="0" borderId="14" applyNumberFormat="0" applyProtection="0">
      <alignment horizontal="right" vertical="center"/>
    </xf>
    <xf numFmtId="4" fontId="53" fillId="52" borderId="14" applyNumberFormat="0" applyProtection="0">
      <alignment horizontal="right" vertical="center"/>
    </xf>
    <xf numFmtId="4" fontId="19" fillId="12" borderId="14" applyNumberFormat="0" applyProtection="0">
      <alignment horizontal="left" vertical="center" indent="1"/>
    </xf>
    <xf numFmtId="4" fontId="19" fillId="12" borderId="14" applyNumberFormat="0" applyProtection="0">
      <alignment horizontal="left" vertical="center" indent="1"/>
    </xf>
    <xf numFmtId="4" fontId="19" fillId="12" borderId="14" applyNumberFormat="0" applyProtection="0">
      <alignment horizontal="left" vertical="center" indent="1"/>
    </xf>
    <xf numFmtId="0" fontId="41" fillId="48" borderId="16" applyNumberFormat="0" applyProtection="0">
      <alignment horizontal="left" vertical="top" indent="1"/>
    </xf>
    <xf numFmtId="4" fontId="43" fillId="53" borderId="17" applyNumberFormat="0" applyProtection="0">
      <alignment horizontal="left" vertical="center" indent="1"/>
    </xf>
    <xf numFmtId="0" fontId="19" fillId="54" borderId="5"/>
    <xf numFmtId="0" fontId="19" fillId="54" borderId="5"/>
    <xf numFmtId="0" fontId="19" fillId="54" borderId="5"/>
    <xf numFmtId="4" fontId="44" fillId="51" borderId="14" applyNumberFormat="0" applyProtection="0">
      <alignment horizontal="right" vertical="center"/>
    </xf>
    <xf numFmtId="0" fontId="54" fillId="5" borderId="0" applyNumberFormat="0" applyBorder="0" applyAlignment="0" applyProtection="0"/>
    <xf numFmtId="0" fontId="45" fillId="26" borderId="0" applyNumberFormat="0" applyBorder="0" applyAlignment="0" applyProtection="0"/>
    <xf numFmtId="0" fontId="54" fillId="5" borderId="0" applyNumberFormat="0" applyBorder="0" applyAlignment="0" applyProtection="0"/>
    <xf numFmtId="0" fontId="45" fillId="26" borderId="0" applyNumberFormat="0" applyBorder="0" applyAlignment="0" applyProtection="0"/>
    <xf numFmtId="0" fontId="51" fillId="0" borderId="0" applyNumberFormat="0" applyFill="0" applyBorder="0" applyAlignment="0" applyProtection="0"/>
    <xf numFmtId="0" fontId="10" fillId="0" borderId="0"/>
    <xf numFmtId="0" fontId="10" fillId="0" borderId="0"/>
    <xf numFmtId="0" fontId="19" fillId="55" borderId="0"/>
    <xf numFmtId="0" fontId="19" fillId="55" borderId="0"/>
    <xf numFmtId="0" fontId="14" fillId="0" borderId="0"/>
    <xf numFmtId="0" fontId="19" fillId="55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9" fillId="55" borderId="0"/>
    <xf numFmtId="0" fontId="19" fillId="55" borderId="0"/>
    <xf numFmtId="0" fontId="19" fillId="55" borderId="0"/>
    <xf numFmtId="0" fontId="19" fillId="55" borderId="0"/>
    <xf numFmtId="0" fontId="19" fillId="55" borderId="0"/>
    <xf numFmtId="0" fontId="19" fillId="55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55" borderId="0"/>
    <xf numFmtId="0" fontId="13" fillId="0" borderId="0"/>
    <xf numFmtId="0" fontId="14" fillId="0" borderId="0"/>
    <xf numFmtId="0" fontId="14" fillId="0" borderId="0"/>
    <xf numFmtId="0" fontId="19" fillId="55" borderId="0"/>
    <xf numFmtId="0" fontId="14" fillId="0" borderId="0"/>
    <xf numFmtId="0" fontId="10" fillId="0" borderId="0"/>
    <xf numFmtId="0" fontId="14" fillId="0" borderId="0"/>
    <xf numFmtId="0" fontId="13" fillId="0" borderId="0"/>
    <xf numFmtId="0" fontId="13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7" fillId="34" borderId="24" applyNumberFormat="0" applyAlignment="0" applyProtection="0"/>
    <xf numFmtId="0" fontId="37" fillId="34" borderId="24" applyNumberFormat="0" applyAlignment="0" applyProtection="0"/>
    <xf numFmtId="168" fontId="14" fillId="2" borderId="1"/>
    <xf numFmtId="165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5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9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14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4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14" fillId="0" borderId="0">
      <alignment wrapText="1"/>
      <protection locked="0"/>
    </xf>
    <xf numFmtId="49" fontId="14" fillId="0" borderId="0" applyFill="0" applyBorder="0" applyProtection="0">
      <protection locked="0"/>
    </xf>
    <xf numFmtId="49" fontId="14" fillId="0" borderId="0" applyFill="0" applyBorder="0" applyProtection="0">
      <alignment wrapText="1"/>
      <protection locked="0"/>
    </xf>
    <xf numFmtId="3" fontId="14" fillId="0" borderId="0" applyFill="0" applyBorder="0" applyProtection="0">
      <protection locked="0"/>
    </xf>
    <xf numFmtId="170" fontId="14" fillId="0" borderId="0" applyFill="0" applyBorder="0" applyProtection="0">
      <protection locked="0"/>
    </xf>
    <xf numFmtId="4" fontId="14" fillId="0" borderId="0" applyFill="0" applyBorder="0" applyProtection="0">
      <protection locked="0"/>
    </xf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" fillId="0" borderId="0"/>
    <xf numFmtId="165" fontId="6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29" fillId="0" borderId="0"/>
    <xf numFmtId="0" fontId="7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6" fillId="0" borderId="0"/>
    <xf numFmtId="0" fontId="5" fillId="0" borderId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4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4" fillId="0" borderId="0"/>
    <xf numFmtId="44" fontId="14" fillId="0" borderId="0" applyFont="0" applyFill="0" applyBorder="0" applyAlignment="0" applyProtection="0"/>
    <xf numFmtId="4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" fontId="14" fillId="47" borderId="42" applyNumberFormat="0" applyProtection="0">
      <alignment horizontal="left" vertical="center" indent="1"/>
    </xf>
    <xf numFmtId="4" fontId="19" fillId="0" borderId="44" applyNumberFormat="0" applyProtection="0">
      <alignment horizontal="right" vertical="center"/>
    </xf>
    <xf numFmtId="0" fontId="41" fillId="43" borderId="46" applyNumberFormat="0" applyProtection="0">
      <alignment horizontal="left" vertical="top" indent="1"/>
    </xf>
    <xf numFmtId="4" fontId="43" fillId="53" borderId="42" applyNumberFormat="0" applyProtection="0">
      <alignment horizontal="left" vertical="center" indent="1"/>
    </xf>
    <xf numFmtId="4" fontId="19" fillId="12" borderId="39" applyNumberFormat="0" applyProtection="0">
      <alignment horizontal="left" vertical="center" indent="1"/>
    </xf>
    <xf numFmtId="0" fontId="19" fillId="50" borderId="39" applyNumberFormat="0" applyProtection="0">
      <alignment horizontal="left" vertical="center" indent="1"/>
    </xf>
    <xf numFmtId="4" fontId="14" fillId="47" borderId="42" applyNumberFormat="0" applyProtection="0">
      <alignment horizontal="left" vertical="center" indent="1"/>
    </xf>
    <xf numFmtId="4" fontId="19" fillId="46" borderId="42" applyNumberFormat="0" applyProtection="0">
      <alignment horizontal="left" vertical="center" indent="1"/>
    </xf>
    <xf numFmtId="0" fontId="3" fillId="0" borderId="0"/>
    <xf numFmtId="4" fontId="19" fillId="30" borderId="42" applyNumberFormat="0" applyProtection="0">
      <alignment horizontal="right" vertical="center"/>
    </xf>
    <xf numFmtId="4" fontId="19" fillId="44" borderId="39" applyNumberFormat="0" applyProtection="0">
      <alignment horizontal="right" vertical="center"/>
    </xf>
    <xf numFmtId="4" fontId="19" fillId="44" borderId="39" applyNumberFormat="0" applyProtection="0">
      <alignment horizontal="right" vertical="center"/>
    </xf>
    <xf numFmtId="4" fontId="19" fillId="12" borderId="39" applyNumberFormat="0" applyProtection="0">
      <alignment horizontal="left" vertical="center" indent="1"/>
    </xf>
    <xf numFmtId="0" fontId="18" fillId="47" borderId="48" applyBorder="0"/>
    <xf numFmtId="0" fontId="19" fillId="49" borderId="44" applyNumberFormat="0" applyProtection="0">
      <alignment horizontal="left" vertical="center" indent="1"/>
    </xf>
    <xf numFmtId="0" fontId="50" fillId="27" borderId="39" applyNumberFormat="0" applyAlignment="0" applyProtection="0"/>
    <xf numFmtId="0" fontId="19" fillId="37" borderId="44" applyNumberFormat="0" applyProtection="0">
      <alignment horizontal="left" vertical="center" indent="1"/>
    </xf>
    <xf numFmtId="4" fontId="53" fillId="52" borderId="39" applyNumberFormat="0" applyProtection="0">
      <alignment horizontal="right" vertical="center"/>
    </xf>
    <xf numFmtId="4" fontId="14" fillId="47" borderId="42" applyNumberFormat="0" applyProtection="0">
      <alignment horizontal="left" vertical="center" indent="1"/>
    </xf>
    <xf numFmtId="4" fontId="19" fillId="46" borderId="42" applyNumberFormat="0" applyProtection="0">
      <alignment horizontal="left" vertical="center" indent="1"/>
    </xf>
    <xf numFmtId="4" fontId="19" fillId="35" borderId="39" applyNumberFormat="0" applyProtection="0">
      <alignment horizontal="right" vertical="center"/>
    </xf>
    <xf numFmtId="4" fontId="19" fillId="3" borderId="39" applyNumberFormat="0" applyProtection="0">
      <alignment horizontal="left" vertical="center" indent="1"/>
    </xf>
    <xf numFmtId="4" fontId="19" fillId="48" borderId="44" applyNumberFormat="0" applyProtection="0">
      <alignment horizontal="right" vertical="center"/>
    </xf>
    <xf numFmtId="4" fontId="14" fillId="47" borderId="47" applyNumberFormat="0" applyProtection="0">
      <alignment horizontal="left" vertical="center" indent="1"/>
    </xf>
    <xf numFmtId="0" fontId="19" fillId="48" borderId="46" applyNumberFormat="0" applyProtection="0">
      <alignment horizontal="left" vertical="top" indent="1"/>
    </xf>
    <xf numFmtId="4" fontId="19" fillId="13" borderId="39" applyNumberFormat="0" applyProtection="0">
      <alignment horizontal="right" vertical="center"/>
    </xf>
    <xf numFmtId="0" fontId="3" fillId="0" borderId="0"/>
    <xf numFmtId="4" fontId="19" fillId="11" borderId="39" applyNumberFormat="0" applyProtection="0">
      <alignment horizontal="right" vertical="center"/>
    </xf>
    <xf numFmtId="0" fontId="3" fillId="0" borderId="0"/>
    <xf numFmtId="0" fontId="19" fillId="49" borderId="44" applyNumberFormat="0" applyProtection="0">
      <alignment horizontal="left" vertical="center" indent="1"/>
    </xf>
    <xf numFmtId="0" fontId="19" fillId="50" borderId="44" applyNumberFormat="0" applyProtection="0">
      <alignment horizontal="left" vertical="center" indent="1"/>
    </xf>
    <xf numFmtId="4" fontId="19" fillId="46" borderId="47" applyNumberFormat="0" applyProtection="0">
      <alignment horizontal="left" vertical="center" indent="1"/>
    </xf>
    <xf numFmtId="4" fontId="19" fillId="46" borderId="47" applyNumberFormat="0" applyProtection="0">
      <alignment horizontal="left" vertical="center" indent="1"/>
    </xf>
    <xf numFmtId="0" fontId="39" fillId="38" borderId="32" applyNumberFormat="0" applyAlignment="0" applyProtection="0"/>
    <xf numFmtId="0" fontId="39" fillId="38" borderId="32" applyNumberFormat="0" applyAlignment="0" applyProtection="0"/>
    <xf numFmtId="0" fontId="46" fillId="38" borderId="33" applyNumberFormat="0" applyAlignment="0" applyProtection="0"/>
    <xf numFmtId="0" fontId="46" fillId="38" borderId="33" applyNumberFormat="0" applyAlignment="0" applyProtection="0"/>
    <xf numFmtId="0" fontId="50" fillId="27" borderId="33" applyNumberFormat="0" applyAlignment="0" applyProtection="0"/>
    <xf numFmtId="0" fontId="50" fillId="27" borderId="33" applyNumberFormat="0" applyAlignment="0" applyProtection="0"/>
    <xf numFmtId="0" fontId="40" fillId="0" borderId="34" applyNumberFormat="0" applyFill="0" applyAlignment="0" applyProtection="0"/>
    <xf numFmtId="0" fontId="40" fillId="0" borderId="34" applyNumberFormat="0" applyFill="0" applyAlignment="0" applyProtection="0"/>
    <xf numFmtId="4" fontId="19" fillId="12" borderId="44" applyNumberFormat="0" applyProtection="0">
      <alignment horizontal="left" vertical="center" indent="1"/>
    </xf>
    <xf numFmtId="4" fontId="19" fillId="12" borderId="44" applyNumberFormat="0" applyProtection="0">
      <alignment horizontal="left" vertical="center" indent="1"/>
    </xf>
    <xf numFmtId="4" fontId="19" fillId="12" borderId="44" applyNumberFormat="0" applyProtection="0">
      <alignment horizontal="left" vertical="center" indent="1"/>
    </xf>
    <xf numFmtId="4" fontId="53" fillId="52" borderId="44" applyNumberFormat="0" applyProtection="0">
      <alignment horizontal="right" vertical="center"/>
    </xf>
    <xf numFmtId="4" fontId="19" fillId="0" borderId="44" applyNumberFormat="0" applyProtection="0">
      <alignment horizontal="right" vertical="center"/>
    </xf>
    <xf numFmtId="4" fontId="44" fillId="51" borderId="39" applyNumberFormat="0" applyProtection="0">
      <alignment horizontal="right" vertical="center"/>
    </xf>
    <xf numFmtId="4" fontId="19" fillId="12" borderId="39" applyNumberFormat="0" applyProtection="0">
      <alignment horizontal="left" vertical="center" indent="1"/>
    </xf>
    <xf numFmtId="0" fontId="41" fillId="48" borderId="41" applyNumberFormat="0" applyProtection="0">
      <alignment horizontal="left" vertical="top" indent="1"/>
    </xf>
    <xf numFmtId="4" fontId="19" fillId="12" borderId="39" applyNumberFormat="0" applyProtection="0">
      <alignment horizontal="left" vertical="center" indent="1"/>
    </xf>
    <xf numFmtId="4" fontId="41" fillId="37" borderId="41" applyNumberFormat="0" applyProtection="0">
      <alignment horizontal="left" vertical="center" indent="1"/>
    </xf>
    <xf numFmtId="4" fontId="19" fillId="0" borderId="39" applyNumberFormat="0" applyProtection="0">
      <alignment horizontal="right" vertical="center"/>
    </xf>
    <xf numFmtId="0" fontId="19" fillId="49" borderId="39" applyNumberFormat="0" applyProtection="0">
      <alignment horizontal="left" vertical="center" indent="1"/>
    </xf>
    <xf numFmtId="0" fontId="19" fillId="9" borderId="41" applyNumberFormat="0" applyProtection="0">
      <alignment horizontal="left" vertical="top" indent="1"/>
    </xf>
    <xf numFmtId="0" fontId="19" fillId="9" borderId="39" applyNumberFormat="0" applyProtection="0">
      <alignment horizontal="left" vertical="center" indent="1"/>
    </xf>
    <xf numFmtId="0" fontId="19" fillId="9" borderId="39" applyNumberFormat="0" applyProtection="0">
      <alignment horizontal="left" vertical="center" indent="1"/>
    </xf>
    <xf numFmtId="0" fontId="19" fillId="9" borderId="39" applyNumberFormat="0" applyProtection="0">
      <alignment horizontal="left" vertical="center" indent="1"/>
    </xf>
    <xf numFmtId="0" fontId="19" fillId="48" borderId="41" applyNumberFormat="0" applyProtection="0">
      <alignment horizontal="left" vertical="top" indent="1"/>
    </xf>
    <xf numFmtId="0" fontId="19" fillId="26" borderId="33" applyNumberFormat="0" applyFont="0" applyAlignment="0" applyProtection="0"/>
    <xf numFmtId="0" fontId="19" fillId="26" borderId="33" applyNumberFormat="0" applyFont="0" applyAlignment="0" applyProtection="0"/>
    <xf numFmtId="0" fontId="19" fillId="50" borderId="39" applyNumberFormat="0" applyProtection="0">
      <alignment horizontal="left" vertical="center" indent="1"/>
    </xf>
    <xf numFmtId="0" fontId="19" fillId="37" borderId="39" applyNumberFormat="0" applyProtection="0">
      <alignment horizontal="left" vertical="center" indent="1"/>
    </xf>
    <xf numFmtId="0" fontId="19" fillId="37" borderId="39" applyNumberFormat="0" applyProtection="0">
      <alignment horizontal="left" vertical="center" indent="1"/>
    </xf>
    <xf numFmtId="4" fontId="19" fillId="42" borderId="33" applyNumberFormat="0" applyProtection="0">
      <alignment vertical="center"/>
    </xf>
    <xf numFmtId="4" fontId="19" fillId="42" borderId="33" applyNumberFormat="0" applyProtection="0">
      <alignment vertical="center"/>
    </xf>
    <xf numFmtId="4" fontId="19" fillId="42" borderId="33" applyNumberFormat="0" applyProtection="0">
      <alignment vertical="center"/>
    </xf>
    <xf numFmtId="4" fontId="53" fillId="3" borderId="33" applyNumberFormat="0" applyProtection="0">
      <alignment vertical="center"/>
    </xf>
    <xf numFmtId="4" fontId="19" fillId="3" borderId="33" applyNumberFormat="0" applyProtection="0">
      <alignment horizontal="left" vertical="center" indent="1"/>
    </xf>
    <xf numFmtId="4" fontId="19" fillId="3" borderId="33" applyNumberFormat="0" applyProtection="0">
      <alignment horizontal="left" vertical="center" indent="1"/>
    </xf>
    <xf numFmtId="4" fontId="19" fillId="3" borderId="33" applyNumberFormat="0" applyProtection="0">
      <alignment horizontal="left" vertical="center" indent="1"/>
    </xf>
    <xf numFmtId="0" fontId="42" fillId="42" borderId="35" applyNumberFormat="0" applyProtection="0">
      <alignment horizontal="left" vertical="top" indent="1"/>
    </xf>
    <xf numFmtId="4" fontId="19" fillId="12" borderId="33" applyNumberFormat="0" applyProtection="0">
      <alignment horizontal="left" vertical="center" indent="1"/>
    </xf>
    <xf numFmtId="4" fontId="19" fillId="12" borderId="33" applyNumberFormat="0" applyProtection="0">
      <alignment horizontal="left" vertical="center" indent="1"/>
    </xf>
    <xf numFmtId="4" fontId="19" fillId="12" borderId="33" applyNumberFormat="0" applyProtection="0">
      <alignment horizontal="left" vertical="center" indent="1"/>
    </xf>
    <xf numFmtId="4" fontId="19" fillId="8" borderId="33" applyNumberFormat="0" applyProtection="0">
      <alignment horizontal="right" vertical="center"/>
    </xf>
    <xf numFmtId="4" fontId="19" fillId="8" borderId="33" applyNumberFormat="0" applyProtection="0">
      <alignment horizontal="right" vertical="center"/>
    </xf>
    <xf numFmtId="4" fontId="19" fillId="8" borderId="33" applyNumberFormat="0" applyProtection="0">
      <alignment horizontal="right" vertical="center"/>
    </xf>
    <xf numFmtId="4" fontId="19" fillId="44" borderId="33" applyNumberFormat="0" applyProtection="0">
      <alignment horizontal="right" vertical="center"/>
    </xf>
    <xf numFmtId="4" fontId="19" fillId="44" borderId="33" applyNumberFormat="0" applyProtection="0">
      <alignment horizontal="right" vertical="center"/>
    </xf>
    <xf numFmtId="4" fontId="19" fillId="44" borderId="33" applyNumberFormat="0" applyProtection="0">
      <alignment horizontal="right" vertical="center"/>
    </xf>
    <xf numFmtId="4" fontId="19" fillId="30" borderId="36" applyNumberFormat="0" applyProtection="0">
      <alignment horizontal="right" vertical="center"/>
    </xf>
    <xf numFmtId="4" fontId="19" fillId="30" borderId="36" applyNumberFormat="0" applyProtection="0">
      <alignment horizontal="right" vertical="center"/>
    </xf>
    <xf numFmtId="4" fontId="19" fillId="30" borderId="36" applyNumberFormat="0" applyProtection="0">
      <alignment horizontal="right" vertical="center"/>
    </xf>
    <xf numFmtId="4" fontId="19" fillId="11" borderId="33" applyNumberFormat="0" applyProtection="0">
      <alignment horizontal="right" vertical="center"/>
    </xf>
    <xf numFmtId="4" fontId="19" fillId="11" borderId="33" applyNumberFormat="0" applyProtection="0">
      <alignment horizontal="right" vertical="center"/>
    </xf>
    <xf numFmtId="4" fontId="19" fillId="11" borderId="33" applyNumberFormat="0" applyProtection="0">
      <alignment horizontal="right" vertical="center"/>
    </xf>
    <xf numFmtId="4" fontId="19" fillId="13" borderId="33" applyNumberFormat="0" applyProtection="0">
      <alignment horizontal="right" vertical="center"/>
    </xf>
    <xf numFmtId="4" fontId="19" fillId="13" borderId="33" applyNumberFormat="0" applyProtection="0">
      <alignment horizontal="right" vertical="center"/>
    </xf>
    <xf numFmtId="4" fontId="19" fillId="13" borderId="33" applyNumberFormat="0" applyProtection="0">
      <alignment horizontal="right" vertical="center"/>
    </xf>
    <xf numFmtId="4" fontId="19" fillId="35" borderId="33" applyNumberFormat="0" applyProtection="0">
      <alignment horizontal="right" vertical="center"/>
    </xf>
    <xf numFmtId="4" fontId="19" fillId="35" borderId="33" applyNumberFormat="0" applyProtection="0">
      <alignment horizontal="right" vertical="center"/>
    </xf>
    <xf numFmtId="4" fontId="19" fillId="35" borderId="33" applyNumberFormat="0" applyProtection="0">
      <alignment horizontal="right" vertical="center"/>
    </xf>
    <xf numFmtId="4" fontId="19" fillId="32" borderId="33" applyNumberFormat="0" applyProtection="0">
      <alignment horizontal="right" vertical="center"/>
    </xf>
    <xf numFmtId="4" fontId="19" fillId="32" borderId="33" applyNumberFormat="0" applyProtection="0">
      <alignment horizontal="right" vertical="center"/>
    </xf>
    <xf numFmtId="4" fontId="19" fillId="32" borderId="33" applyNumberFormat="0" applyProtection="0">
      <alignment horizontal="right" vertical="center"/>
    </xf>
    <xf numFmtId="4" fontId="19" fillId="45" borderId="33" applyNumberFormat="0" applyProtection="0">
      <alignment horizontal="right" vertical="center"/>
    </xf>
    <xf numFmtId="4" fontId="19" fillId="45" borderId="33" applyNumberFormat="0" applyProtection="0">
      <alignment horizontal="right" vertical="center"/>
    </xf>
    <xf numFmtId="4" fontId="19" fillId="45" borderId="33" applyNumberFormat="0" applyProtection="0">
      <alignment horizontal="right" vertical="center"/>
    </xf>
    <xf numFmtId="4" fontId="19" fillId="10" borderId="33" applyNumberFormat="0" applyProtection="0">
      <alignment horizontal="right" vertical="center"/>
    </xf>
    <xf numFmtId="4" fontId="19" fillId="10" borderId="33" applyNumberFormat="0" applyProtection="0">
      <alignment horizontal="right" vertical="center"/>
    </xf>
    <xf numFmtId="4" fontId="19" fillId="10" borderId="33" applyNumberFormat="0" applyProtection="0">
      <alignment horizontal="right" vertical="center"/>
    </xf>
    <xf numFmtId="4" fontId="19" fillId="46" borderId="36" applyNumberFormat="0" applyProtection="0">
      <alignment horizontal="left" vertical="center" indent="1"/>
    </xf>
    <xf numFmtId="4" fontId="19" fillId="46" borderId="36" applyNumberFormat="0" applyProtection="0">
      <alignment horizontal="left" vertical="center" indent="1"/>
    </xf>
    <xf numFmtId="4" fontId="19" fillId="46" borderId="36" applyNumberFormat="0" applyProtection="0">
      <alignment horizontal="left" vertical="center" indent="1"/>
    </xf>
    <xf numFmtId="4" fontId="14" fillId="47" borderId="36" applyNumberFormat="0" applyProtection="0">
      <alignment horizontal="left" vertical="center" indent="1"/>
    </xf>
    <xf numFmtId="4" fontId="14" fillId="47" borderId="36" applyNumberFormat="0" applyProtection="0">
      <alignment horizontal="left" vertical="center" indent="1"/>
    </xf>
    <xf numFmtId="4" fontId="14" fillId="47" borderId="36" applyNumberFormat="0" applyProtection="0">
      <alignment horizontal="left" vertical="center" indent="1"/>
    </xf>
    <xf numFmtId="4" fontId="14" fillId="47" borderId="36" applyNumberFormat="0" applyProtection="0">
      <alignment horizontal="left" vertical="center" indent="1"/>
    </xf>
    <xf numFmtId="4" fontId="19" fillId="48" borderId="33" applyNumberFormat="0" applyProtection="0">
      <alignment horizontal="right" vertical="center"/>
    </xf>
    <xf numFmtId="4" fontId="19" fillId="48" borderId="33" applyNumberFormat="0" applyProtection="0">
      <alignment horizontal="right" vertical="center"/>
    </xf>
    <xf numFmtId="4" fontId="19" fillId="48" borderId="33" applyNumberFormat="0" applyProtection="0">
      <alignment horizontal="right" vertical="center"/>
    </xf>
    <xf numFmtId="4" fontId="19" fillId="49" borderId="36" applyNumberFormat="0" applyProtection="0">
      <alignment horizontal="left" vertical="center" indent="1"/>
    </xf>
    <xf numFmtId="4" fontId="19" fillId="49" borderId="36" applyNumberFormat="0" applyProtection="0">
      <alignment horizontal="left" vertical="center" indent="1"/>
    </xf>
    <xf numFmtId="4" fontId="19" fillId="49" borderId="36" applyNumberFormat="0" applyProtection="0">
      <alignment horizontal="left" vertical="center" indent="1"/>
    </xf>
    <xf numFmtId="4" fontId="19" fillId="48" borderId="36" applyNumberFormat="0" applyProtection="0">
      <alignment horizontal="left" vertical="center" indent="1"/>
    </xf>
    <xf numFmtId="4" fontId="19" fillId="48" borderId="36" applyNumberFormat="0" applyProtection="0">
      <alignment horizontal="left" vertical="center" indent="1"/>
    </xf>
    <xf numFmtId="4" fontId="19" fillId="48" borderId="36" applyNumberFormat="0" applyProtection="0">
      <alignment horizontal="left" vertical="center" indent="1"/>
    </xf>
    <xf numFmtId="0" fontId="19" fillId="37" borderId="33" applyNumberFormat="0" applyProtection="0">
      <alignment horizontal="left" vertical="center" indent="1"/>
    </xf>
    <xf numFmtId="0" fontId="19" fillId="37" borderId="33" applyNumberFormat="0" applyProtection="0">
      <alignment horizontal="left" vertical="center" indent="1"/>
    </xf>
    <xf numFmtId="0" fontId="19" fillId="37" borderId="33" applyNumberFormat="0" applyProtection="0">
      <alignment horizontal="left" vertical="center" indent="1"/>
    </xf>
    <xf numFmtId="0" fontId="19" fillId="47" borderId="35" applyNumberFormat="0" applyProtection="0">
      <alignment horizontal="left" vertical="top" indent="1"/>
    </xf>
    <xf numFmtId="0" fontId="19" fillId="50" borderId="33" applyNumberFormat="0" applyProtection="0">
      <alignment horizontal="left" vertical="center" indent="1"/>
    </xf>
    <xf numFmtId="0" fontId="19" fillId="50" borderId="33" applyNumberFormat="0" applyProtection="0">
      <alignment horizontal="left" vertical="center" indent="1"/>
    </xf>
    <xf numFmtId="0" fontId="19" fillId="50" borderId="33" applyNumberFormat="0" applyProtection="0">
      <alignment horizontal="left" vertical="center" indent="1"/>
    </xf>
    <xf numFmtId="0" fontId="19" fillId="48" borderId="35" applyNumberFormat="0" applyProtection="0">
      <alignment horizontal="left" vertical="top" indent="1"/>
    </xf>
    <xf numFmtId="0" fontId="19" fillId="9" borderId="33" applyNumberFormat="0" applyProtection="0">
      <alignment horizontal="left" vertical="center" indent="1"/>
    </xf>
    <xf numFmtId="0" fontId="19" fillId="9" borderId="33" applyNumberFormat="0" applyProtection="0">
      <alignment horizontal="left" vertical="center" indent="1"/>
    </xf>
    <xf numFmtId="0" fontId="19" fillId="9" borderId="33" applyNumberFormat="0" applyProtection="0">
      <alignment horizontal="left" vertical="center" indent="1"/>
    </xf>
    <xf numFmtId="0" fontId="19" fillId="9" borderId="35" applyNumberFormat="0" applyProtection="0">
      <alignment horizontal="left" vertical="top" indent="1"/>
    </xf>
    <xf numFmtId="0" fontId="19" fillId="49" borderId="33" applyNumberFormat="0" applyProtection="0">
      <alignment horizontal="left" vertical="center" indent="1"/>
    </xf>
    <xf numFmtId="0" fontId="19" fillId="49" borderId="33" applyNumberFormat="0" applyProtection="0">
      <alignment horizontal="left" vertical="center" indent="1"/>
    </xf>
    <xf numFmtId="0" fontId="19" fillId="49" borderId="33" applyNumberFormat="0" applyProtection="0">
      <alignment horizontal="left" vertical="center" indent="1"/>
    </xf>
    <xf numFmtId="0" fontId="19" fillId="49" borderId="35" applyNumberFormat="0" applyProtection="0">
      <alignment horizontal="left" vertical="top" indent="1"/>
    </xf>
    <xf numFmtId="0" fontId="19" fillId="37" borderId="39" applyNumberFormat="0" applyProtection="0">
      <alignment horizontal="left" vertical="center" indent="1"/>
    </xf>
    <xf numFmtId="0" fontId="18" fillId="47" borderId="37" applyBorder="0"/>
    <xf numFmtId="4" fontId="41" fillId="43" borderId="35" applyNumberFormat="0" applyProtection="0">
      <alignment vertical="center"/>
    </xf>
    <xf numFmtId="4" fontId="19" fillId="48" borderId="42" applyNumberFormat="0" applyProtection="0">
      <alignment horizontal="left" vertical="center" indent="1"/>
    </xf>
    <xf numFmtId="4" fontId="41" fillId="37" borderId="35" applyNumberFormat="0" applyProtection="0">
      <alignment horizontal="left" vertical="center" indent="1"/>
    </xf>
    <xf numFmtId="0" fontId="41" fillId="43" borderId="35" applyNumberFormat="0" applyProtection="0">
      <alignment horizontal="left" vertical="top" indent="1"/>
    </xf>
    <xf numFmtId="4" fontId="19" fillId="0" borderId="33" applyNumberFormat="0" applyProtection="0">
      <alignment horizontal="right" vertical="center"/>
    </xf>
    <xf numFmtId="4" fontId="19" fillId="0" borderId="33" applyNumberFormat="0" applyProtection="0">
      <alignment horizontal="right" vertical="center"/>
    </xf>
    <xf numFmtId="4" fontId="19" fillId="0" borderId="33" applyNumberFormat="0" applyProtection="0">
      <alignment horizontal="right" vertical="center"/>
    </xf>
    <xf numFmtId="4" fontId="53" fillId="52" borderId="33" applyNumberFormat="0" applyProtection="0">
      <alignment horizontal="right" vertical="center"/>
    </xf>
    <xf numFmtId="4" fontId="19" fillId="12" borderId="33" applyNumberFormat="0" applyProtection="0">
      <alignment horizontal="left" vertical="center" indent="1"/>
    </xf>
    <xf numFmtId="4" fontId="19" fillId="12" borderId="33" applyNumberFormat="0" applyProtection="0">
      <alignment horizontal="left" vertical="center" indent="1"/>
    </xf>
    <xf numFmtId="4" fontId="19" fillId="12" borderId="33" applyNumberFormat="0" applyProtection="0">
      <alignment horizontal="left" vertical="center" indent="1"/>
    </xf>
    <xf numFmtId="0" fontId="41" fillId="48" borderId="35" applyNumberFormat="0" applyProtection="0">
      <alignment horizontal="left" vertical="top" indent="1"/>
    </xf>
    <xf numFmtId="4" fontId="43" fillId="53" borderId="36" applyNumberFormat="0" applyProtection="0">
      <alignment horizontal="left" vertical="center" indent="1"/>
    </xf>
    <xf numFmtId="4" fontId="19" fillId="48" borderId="42" applyNumberFormat="0" applyProtection="0">
      <alignment horizontal="left" vertical="center" indent="1"/>
    </xf>
    <xf numFmtId="4" fontId="19" fillId="48" borderId="42" applyNumberFormat="0" applyProtection="0">
      <alignment horizontal="left" vertical="center" indent="1"/>
    </xf>
    <xf numFmtId="4" fontId="19" fillId="49" borderId="42" applyNumberFormat="0" applyProtection="0">
      <alignment horizontal="left" vertical="center" indent="1"/>
    </xf>
    <xf numFmtId="4" fontId="44" fillId="51" borderId="33" applyNumberFormat="0" applyProtection="0">
      <alignment horizontal="right" vertical="center"/>
    </xf>
    <xf numFmtId="4" fontId="19" fillId="49" borderId="42" applyNumberFormat="0" applyProtection="0">
      <alignment horizontal="left" vertical="center" indent="1"/>
    </xf>
    <xf numFmtId="4" fontId="19" fillId="49" borderId="42" applyNumberFormat="0" applyProtection="0">
      <alignment horizontal="left" vertical="center" indent="1"/>
    </xf>
    <xf numFmtId="4" fontId="19" fillId="48" borderId="39" applyNumberFormat="0" applyProtection="0">
      <alignment horizontal="right" vertical="center"/>
    </xf>
    <xf numFmtId="4" fontId="19" fillId="48" borderId="39" applyNumberFormat="0" applyProtection="0">
      <alignment horizontal="right" vertical="center"/>
    </xf>
    <xf numFmtId="4" fontId="19" fillId="48" borderId="39" applyNumberFormat="0" applyProtection="0">
      <alignment horizontal="right" vertical="center"/>
    </xf>
    <xf numFmtId="0" fontId="3" fillId="0" borderId="0"/>
    <xf numFmtId="0" fontId="3" fillId="0" borderId="0"/>
    <xf numFmtId="4" fontId="19" fillId="45" borderId="39" applyNumberFormat="0" applyProtection="0">
      <alignment horizontal="right" vertical="center"/>
    </xf>
    <xf numFmtId="4" fontId="19" fillId="32" borderId="39" applyNumberFormat="0" applyProtection="0">
      <alignment horizontal="right" vertical="center"/>
    </xf>
    <xf numFmtId="4" fontId="19" fillId="35" borderId="39" applyNumberFormat="0" applyProtection="0">
      <alignment horizontal="right" vertical="center"/>
    </xf>
    <xf numFmtId="4" fontId="19" fillId="30" borderId="42" applyNumberFormat="0" applyProtection="0">
      <alignment horizontal="right" vertical="center"/>
    </xf>
    <xf numFmtId="4" fontId="19" fillId="30" borderId="42" applyNumberFormat="0" applyProtection="0">
      <alignment horizontal="right" vertical="center"/>
    </xf>
    <xf numFmtId="4" fontId="19" fillId="8" borderId="39" applyNumberFormat="0" applyProtection="0">
      <alignment horizontal="right" vertical="center"/>
    </xf>
    <xf numFmtId="4" fontId="19" fillId="8" borderId="39" applyNumberFormat="0" applyProtection="0">
      <alignment horizontal="right" vertical="center"/>
    </xf>
    <xf numFmtId="4" fontId="19" fillId="44" borderId="39" applyNumberFormat="0" applyProtection="0">
      <alignment horizontal="right" vertical="center"/>
    </xf>
    <xf numFmtId="4" fontId="19" fillId="8" borderId="39" applyNumberFormat="0" applyProtection="0">
      <alignment horizontal="right" vertical="center"/>
    </xf>
    <xf numFmtId="4" fontId="19" fillId="12" borderId="39" applyNumberFormat="0" applyProtection="0">
      <alignment horizontal="left" vertical="center" indent="1"/>
    </xf>
    <xf numFmtId="0" fontId="42" fillId="42" borderId="41" applyNumberFormat="0" applyProtection="0">
      <alignment horizontal="left" vertical="top" indent="1"/>
    </xf>
    <xf numFmtId="4" fontId="19" fillId="12" borderId="39" applyNumberFormat="0" applyProtection="0">
      <alignment horizontal="left" vertical="center" indent="1"/>
    </xf>
    <xf numFmtId="4" fontId="19" fillId="3" borderId="39" applyNumberFormat="0" applyProtection="0">
      <alignment horizontal="left" vertical="center" indent="1"/>
    </xf>
    <xf numFmtId="4" fontId="53" fillId="3" borderId="39" applyNumberFormat="0" applyProtection="0">
      <alignment vertical="center"/>
    </xf>
    <xf numFmtId="4" fontId="19" fillId="42" borderId="39" applyNumberFormat="0" applyProtection="0">
      <alignment vertical="center"/>
    </xf>
    <xf numFmtId="4" fontId="19" fillId="42" borderId="39" applyNumberFormat="0" applyProtection="0">
      <alignment vertical="center"/>
    </xf>
    <xf numFmtId="4" fontId="19" fillId="42" borderId="39" applyNumberFormat="0" applyProtection="0">
      <alignment vertical="center"/>
    </xf>
    <xf numFmtId="4" fontId="41" fillId="43" borderId="46" applyNumberFormat="0" applyProtection="0">
      <alignment vertical="center"/>
    </xf>
    <xf numFmtId="0" fontId="19" fillId="26" borderId="39" applyNumberFormat="0" applyFont="0" applyAlignment="0" applyProtection="0"/>
    <xf numFmtId="0" fontId="19" fillId="26" borderId="39" applyNumberFormat="0" applyFont="0" applyAlignment="0" applyProtection="0"/>
    <xf numFmtId="4" fontId="19" fillId="32" borderId="44" applyNumberFormat="0" applyProtection="0">
      <alignment horizontal="right" vertical="center"/>
    </xf>
    <xf numFmtId="4" fontId="19" fillId="13" borderId="44" applyNumberFormat="0" applyProtection="0">
      <alignment horizontal="right" vertical="center"/>
    </xf>
    <xf numFmtId="4" fontId="19" fillId="13" borderId="44" applyNumberFormat="0" applyProtection="0">
      <alignment horizontal="right" vertical="center"/>
    </xf>
    <xf numFmtId="0" fontId="39" fillId="38" borderId="38" applyNumberFormat="0" applyAlignment="0" applyProtection="0"/>
    <xf numFmtId="4" fontId="19" fillId="49" borderId="47" applyNumberFormat="0" applyProtection="0">
      <alignment horizontal="left" vertical="center" indent="1"/>
    </xf>
    <xf numFmtId="0" fontId="19" fillId="50" borderId="44" applyNumberFormat="0" applyProtection="0">
      <alignment horizontal="left" vertical="center" indent="1"/>
    </xf>
    <xf numFmtId="0" fontId="3" fillId="0" borderId="0"/>
    <xf numFmtId="0" fontId="19" fillId="9" borderId="46" applyNumberFormat="0" applyProtection="0">
      <alignment horizontal="left" vertical="top" indent="1"/>
    </xf>
    <xf numFmtId="4" fontId="14" fillId="47" borderId="47" applyNumberFormat="0" applyProtection="0">
      <alignment horizontal="left" vertical="center" inden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26" borderId="44" applyNumberFormat="0" applyFont="0" applyAlignment="0" applyProtection="0"/>
    <xf numFmtId="4" fontId="19" fillId="44" borderId="44" applyNumberFormat="0" applyProtection="0">
      <alignment horizontal="right" vertical="center"/>
    </xf>
    <xf numFmtId="4" fontId="19" fillId="48" borderId="47" applyNumberFormat="0" applyProtection="0">
      <alignment horizontal="left" vertical="center" indent="1"/>
    </xf>
    <xf numFmtId="4" fontId="19" fillId="11" borderId="44" applyNumberFormat="0" applyProtection="0">
      <alignment horizontal="right" vertical="center"/>
    </xf>
    <xf numFmtId="0" fontId="40" fillId="0" borderId="45" applyNumberFormat="0" applyFill="0" applyAlignment="0" applyProtection="0"/>
    <xf numFmtId="0" fontId="41" fillId="48" borderId="46" applyNumberFormat="0" applyProtection="0">
      <alignment horizontal="left" vertical="top" indent="1"/>
    </xf>
    <xf numFmtId="4" fontId="41" fillId="37" borderId="46" applyNumberFormat="0" applyProtection="0">
      <alignment horizontal="left" vertical="center" indent="1"/>
    </xf>
    <xf numFmtId="0" fontId="19" fillId="47" borderId="41" applyNumberFormat="0" applyProtection="0">
      <alignment horizontal="left" vertical="top" indent="1"/>
    </xf>
    <xf numFmtId="4" fontId="19" fillId="46" borderId="42" applyNumberFormat="0" applyProtection="0">
      <alignment horizontal="left" vertical="center" indent="1"/>
    </xf>
    <xf numFmtId="4" fontId="19" fillId="45" borderId="39" applyNumberFormat="0" applyProtection="0">
      <alignment horizontal="right" vertical="center"/>
    </xf>
    <xf numFmtId="0" fontId="3" fillId="0" borderId="0"/>
    <xf numFmtId="0" fontId="46" fillId="38" borderId="39" applyNumberFormat="0" applyAlignment="0" applyProtection="0"/>
    <xf numFmtId="4" fontId="19" fillId="8" borderId="44" applyNumberFormat="0" applyProtection="0">
      <alignment horizontal="right" vertical="center"/>
    </xf>
    <xf numFmtId="0" fontId="19" fillId="49" borderId="41" applyNumberFormat="0" applyProtection="0">
      <alignment horizontal="left" vertical="top" indent="1"/>
    </xf>
    <xf numFmtId="4" fontId="19" fillId="0" borderId="39" applyNumberFormat="0" applyProtection="0">
      <alignment horizontal="right" vertical="center"/>
    </xf>
    <xf numFmtId="4" fontId="14" fillId="47" borderId="42" applyNumberFormat="0" applyProtection="0">
      <alignment horizontal="left" vertical="center" indent="1"/>
    </xf>
    <xf numFmtId="4" fontId="19" fillId="10" borderId="39" applyNumberFormat="0" applyProtection="0">
      <alignment horizontal="right" vertical="center"/>
    </xf>
    <xf numFmtId="4" fontId="43" fillId="53" borderId="47" applyNumberFormat="0" applyProtection="0">
      <alignment horizontal="left" vertical="center" indent="1"/>
    </xf>
    <xf numFmtId="4" fontId="19" fillId="35" borderId="39" applyNumberFormat="0" applyProtection="0">
      <alignment horizontal="right" vertical="center"/>
    </xf>
    <xf numFmtId="4" fontId="19" fillId="3" borderId="39" applyNumberFormat="0" applyProtection="0">
      <alignment horizontal="left" vertical="center" indent="1"/>
    </xf>
    <xf numFmtId="4" fontId="19" fillId="30" borderId="47" applyNumberFormat="0" applyProtection="0">
      <alignment horizontal="right" vertical="center"/>
    </xf>
    <xf numFmtId="4" fontId="19" fillId="11" borderId="39" applyNumberFormat="0" applyProtection="0">
      <alignment horizontal="right" vertical="center"/>
    </xf>
    <xf numFmtId="0" fontId="3" fillId="0" borderId="0"/>
    <xf numFmtId="4" fontId="19" fillId="35" borderId="44" applyNumberFormat="0" applyProtection="0">
      <alignment horizontal="right" vertical="center"/>
    </xf>
    <xf numFmtId="0" fontId="42" fillId="42" borderId="46" applyNumberFormat="0" applyProtection="0">
      <alignment horizontal="left" vertical="top" indent="1"/>
    </xf>
    <xf numFmtId="0" fontId="39" fillId="38" borderId="38" applyNumberFormat="0" applyAlignment="0" applyProtection="0"/>
    <xf numFmtId="4" fontId="19" fillId="44" borderId="44" applyNumberFormat="0" applyProtection="0">
      <alignment horizontal="right" vertical="center"/>
    </xf>
    <xf numFmtId="0" fontId="3" fillId="0" borderId="0"/>
    <xf numFmtId="0" fontId="3" fillId="0" borderId="0"/>
    <xf numFmtId="4" fontId="19" fillId="11" borderId="39" applyNumberFormat="0" applyProtection="0">
      <alignment horizontal="right" vertical="center"/>
    </xf>
    <xf numFmtId="0" fontId="19" fillId="49" borderId="39" applyNumberFormat="0" applyProtection="0">
      <alignment horizontal="left" vertical="center" indent="1"/>
    </xf>
    <xf numFmtId="4" fontId="19" fillId="0" borderId="44" applyNumberFormat="0" applyProtection="0">
      <alignment horizontal="right" vertical="center"/>
    </xf>
    <xf numFmtId="0" fontId="19" fillId="50" borderId="39" applyNumberFormat="0" applyProtection="0">
      <alignment horizontal="left" vertical="center" indent="1"/>
    </xf>
    <xf numFmtId="0" fontId="3" fillId="0" borderId="0"/>
    <xf numFmtId="0" fontId="19" fillId="49" borderId="39" applyNumberFormat="0" applyProtection="0">
      <alignment horizontal="left" vertical="center" indent="1"/>
    </xf>
    <xf numFmtId="4" fontId="19" fillId="32" borderId="39" applyNumberFormat="0" applyProtection="0">
      <alignment horizontal="right" vertical="center"/>
    </xf>
    <xf numFmtId="0" fontId="3" fillId="0" borderId="0"/>
    <xf numFmtId="43" fontId="3" fillId="0" borderId="0" applyFont="0" applyFill="0" applyBorder="0" applyAlignment="0" applyProtection="0"/>
    <xf numFmtId="0" fontId="18" fillId="47" borderId="43" applyBorder="0"/>
    <xf numFmtId="4" fontId="19" fillId="32" borderId="39" applyNumberFormat="0" applyProtection="0">
      <alignment horizontal="right" vertical="center"/>
    </xf>
    <xf numFmtId="0" fontId="3" fillId="0" borderId="0"/>
    <xf numFmtId="0" fontId="41" fillId="43" borderId="41" applyNumberFormat="0" applyProtection="0">
      <alignment horizontal="left" vertical="top" indent="1"/>
    </xf>
    <xf numFmtId="4" fontId="19" fillId="10" borderId="39" applyNumberFormat="0" applyProtection="0">
      <alignment horizontal="right" vertical="center"/>
    </xf>
    <xf numFmtId="0" fontId="19" fillId="26" borderId="44" applyNumberFormat="0" applyFont="0" applyAlignment="0" applyProtection="0"/>
    <xf numFmtId="4" fontId="19" fillId="13" borderId="39" applyNumberFormat="0" applyProtection="0">
      <alignment horizontal="righ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4" fontId="19" fillId="11" borderId="44" applyNumberFormat="0" applyProtection="0">
      <alignment horizontal="right" vertical="center"/>
    </xf>
    <xf numFmtId="0" fontId="19" fillId="9" borderId="44" applyNumberFormat="0" applyProtection="0">
      <alignment horizontal="left" vertical="center" indent="1"/>
    </xf>
    <xf numFmtId="0" fontId="50" fillId="27" borderId="39" applyNumberFormat="0" applyAlignment="0" applyProtection="0"/>
    <xf numFmtId="0" fontId="40" fillId="0" borderId="40" applyNumberFormat="0" applyFill="0" applyAlignment="0" applyProtection="0"/>
    <xf numFmtId="0" fontId="46" fillId="38" borderId="39" applyNumberFormat="0" applyAlignment="0" applyProtection="0"/>
    <xf numFmtId="0" fontId="3" fillId="0" borderId="0"/>
    <xf numFmtId="4" fontId="19" fillId="46" borderId="47" applyNumberFormat="0" applyProtection="0">
      <alignment horizontal="left" vertical="center" inden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41" fillId="43" borderId="41" applyNumberFormat="0" applyProtection="0">
      <alignment vertical="center"/>
    </xf>
    <xf numFmtId="4" fontId="19" fillId="45" borderId="39" applyNumberFormat="0" applyProtection="0">
      <alignment horizontal="right" vertical="center"/>
    </xf>
    <xf numFmtId="0" fontId="3" fillId="0" borderId="0"/>
    <xf numFmtId="4" fontId="19" fillId="0" borderId="39" applyNumberFormat="0" applyProtection="0">
      <alignment horizontal="right" vertical="center"/>
    </xf>
    <xf numFmtId="4" fontId="19" fillId="10" borderId="39" applyNumberFormat="0" applyProtection="0">
      <alignment horizontal="right" vertical="center"/>
    </xf>
    <xf numFmtId="0" fontId="19" fillId="37" borderId="44" applyNumberFormat="0" applyProtection="0">
      <alignment horizontal="left" vertical="center" indent="1"/>
    </xf>
    <xf numFmtId="4" fontId="19" fillId="13" borderId="39" applyNumberFormat="0" applyProtection="0">
      <alignment horizontal="right" vertical="center"/>
    </xf>
    <xf numFmtId="0" fontId="3" fillId="0" borderId="0"/>
    <xf numFmtId="4" fontId="19" fillId="13" borderId="44" applyNumberFormat="0" applyProtection="0">
      <alignment horizontal="right" vertical="center"/>
    </xf>
    <xf numFmtId="0" fontId="40" fillId="0" borderId="4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4" fillId="0" borderId="0">
      <alignment wrapText="1"/>
      <protection locked="0"/>
    </xf>
    <xf numFmtId="0" fontId="14" fillId="0" borderId="0">
      <alignment wrapText="1"/>
      <protection locked="0"/>
    </xf>
    <xf numFmtId="0" fontId="14" fillId="0" borderId="0">
      <alignment wrapText="1"/>
      <protection locked="0"/>
    </xf>
    <xf numFmtId="0" fontId="3" fillId="0" borderId="0"/>
    <xf numFmtId="4" fontId="19" fillId="12" borderId="44" applyNumberFormat="0" applyProtection="0">
      <alignment horizontal="left" vertical="center" indent="1"/>
    </xf>
    <xf numFmtId="0" fontId="19" fillId="9" borderId="44" applyNumberFormat="0" applyProtection="0">
      <alignment horizontal="left" vertical="center" indent="1"/>
    </xf>
    <xf numFmtId="4" fontId="19" fillId="35" borderId="44" applyNumberFormat="0" applyProtection="0">
      <alignment horizontal="right" vertical="center"/>
    </xf>
    <xf numFmtId="4" fontId="19" fillId="30" borderId="47" applyNumberFormat="0" applyProtection="0">
      <alignment horizontal="right" vertical="center"/>
    </xf>
    <xf numFmtId="4" fontId="44" fillId="51" borderId="44" applyNumberFormat="0" applyProtection="0">
      <alignment horizontal="right" vertical="center"/>
    </xf>
    <xf numFmtId="0" fontId="19" fillId="49" borderId="46" applyNumberFormat="0" applyProtection="0">
      <alignment horizontal="left" vertical="top" indent="1"/>
    </xf>
    <xf numFmtId="4" fontId="19" fillId="30" borderId="47" applyNumberFormat="0" applyProtection="0">
      <alignment horizontal="right" vertical="center"/>
    </xf>
    <xf numFmtId="0" fontId="50" fillId="27" borderId="44" applyNumberFormat="0" applyAlignment="0" applyProtection="0"/>
    <xf numFmtId="4" fontId="19" fillId="32" borderId="44" applyNumberFormat="0" applyProtection="0">
      <alignment horizontal="right" vertical="center"/>
    </xf>
    <xf numFmtId="4" fontId="19" fillId="11" borderId="44" applyNumberFormat="0" applyProtection="0">
      <alignment horizontal="right" vertical="center"/>
    </xf>
    <xf numFmtId="4" fontId="19" fillId="48" borderId="44" applyNumberFormat="0" applyProtection="0">
      <alignment horizontal="right" vertical="center"/>
    </xf>
    <xf numFmtId="4" fontId="19" fillId="12" borderId="44" applyNumberFormat="0" applyProtection="0">
      <alignment horizontal="left" vertical="center" indent="1"/>
    </xf>
    <xf numFmtId="4" fontId="19" fillId="42" borderId="44" applyNumberFormat="0" applyProtection="0">
      <alignment vertical="center"/>
    </xf>
    <xf numFmtId="4" fontId="19" fillId="32" borderId="44" applyNumberFormat="0" applyProtection="0">
      <alignment horizontal="right" vertical="center"/>
    </xf>
    <xf numFmtId="4" fontId="19" fillId="44" borderId="44" applyNumberFormat="0" applyProtection="0">
      <alignment horizontal="right" vertical="center"/>
    </xf>
    <xf numFmtId="4" fontId="19" fillId="42" borderId="44" applyNumberFormat="0" applyProtection="0">
      <alignment vertical="center"/>
    </xf>
    <xf numFmtId="4" fontId="19" fillId="12" borderId="44" applyNumberFormat="0" applyProtection="0">
      <alignment horizontal="left" vertical="center" indent="1"/>
    </xf>
    <xf numFmtId="4" fontId="19" fillId="35" borderId="44" applyNumberFormat="0" applyProtection="0">
      <alignment horizontal="right" vertical="center"/>
    </xf>
    <xf numFmtId="4" fontId="19" fillId="49" borderId="47" applyNumberFormat="0" applyProtection="0">
      <alignment horizontal="left" vertical="center" indent="1"/>
    </xf>
    <xf numFmtId="0" fontId="46" fillId="38" borderId="44" applyNumberFormat="0" applyAlignment="0" applyProtection="0"/>
    <xf numFmtId="4" fontId="19" fillId="10" borderId="44" applyNumberFormat="0" applyProtection="0">
      <alignment horizontal="right" vertical="center"/>
    </xf>
    <xf numFmtId="4" fontId="19" fillId="45" borderId="44" applyNumberFormat="0" applyProtection="0">
      <alignment horizontal="right" vertical="center"/>
    </xf>
    <xf numFmtId="4" fontId="19" fillId="45" borderId="44" applyNumberFormat="0" applyProtection="0">
      <alignment horizontal="right" vertical="center"/>
    </xf>
    <xf numFmtId="4" fontId="19" fillId="48" borderId="47" applyNumberFormat="0" applyProtection="0">
      <alignment horizontal="left" vertical="center" indent="1"/>
    </xf>
    <xf numFmtId="4" fontId="19" fillId="48" borderId="47" applyNumberFormat="0" applyProtection="0">
      <alignment horizontal="left" vertical="center" indent="1"/>
    </xf>
    <xf numFmtId="4" fontId="19" fillId="48" borderId="44" applyNumberFormat="0" applyProtection="0">
      <alignment horizontal="right" vertical="center"/>
    </xf>
    <xf numFmtId="0" fontId="19" fillId="47" borderId="46" applyNumberFormat="0" applyProtection="0">
      <alignment horizontal="left" vertical="top" indent="1"/>
    </xf>
    <xf numFmtId="4" fontId="14" fillId="47" borderId="47" applyNumberFormat="0" applyProtection="0">
      <alignment horizontal="left" vertical="center" indent="1"/>
    </xf>
    <xf numFmtId="4" fontId="19" fillId="8" borderId="44" applyNumberFormat="0" applyProtection="0">
      <alignment horizontal="right" vertical="center"/>
    </xf>
    <xf numFmtId="4" fontId="19" fillId="10" borderId="44" applyNumberFormat="0" applyProtection="0">
      <alignment horizontal="right" vertical="center"/>
    </xf>
    <xf numFmtId="0" fontId="19" fillId="9" borderId="44" applyNumberFormat="0" applyProtection="0">
      <alignment horizontal="left" vertical="center" indent="1"/>
    </xf>
    <xf numFmtId="0" fontId="19" fillId="49" borderId="44" applyNumberFormat="0" applyProtection="0">
      <alignment horizontal="left" vertical="center" indent="1"/>
    </xf>
    <xf numFmtId="0" fontId="19" fillId="37" borderId="44" applyNumberFormat="0" applyProtection="0">
      <alignment horizontal="left" vertical="center" indent="1"/>
    </xf>
    <xf numFmtId="4" fontId="19" fillId="49" borderId="47" applyNumberFormat="0" applyProtection="0">
      <alignment horizontal="left" vertical="center" indent="1"/>
    </xf>
    <xf numFmtId="0" fontId="19" fillId="50" borderId="44" applyNumberFormat="0" applyProtection="0">
      <alignment horizontal="left" vertical="center" indent="1"/>
    </xf>
    <xf numFmtId="4" fontId="14" fillId="47" borderId="47" applyNumberFormat="0" applyProtection="0">
      <alignment horizontal="left" vertical="center" indent="1"/>
    </xf>
    <xf numFmtId="4" fontId="19" fillId="8" borderId="44" applyNumberFormat="0" applyProtection="0">
      <alignment horizontal="right" vertical="center"/>
    </xf>
    <xf numFmtId="0" fontId="40" fillId="0" borderId="45" applyNumberFormat="0" applyFill="0" applyAlignment="0" applyProtection="0"/>
    <xf numFmtId="0" fontId="50" fillId="27" borderId="44" applyNumberFormat="0" applyAlignment="0" applyProtection="0"/>
    <xf numFmtId="0" fontId="46" fillId="38" borderId="44" applyNumberFormat="0" applyAlignment="0" applyProtection="0"/>
    <xf numFmtId="4" fontId="19" fillId="10" borderId="44" applyNumberFormat="0" applyProtection="0">
      <alignment horizontal="right" vertical="center"/>
    </xf>
    <xf numFmtId="4" fontId="19" fillId="45" borderId="44" applyNumberFormat="0" applyProtection="0">
      <alignment horizontal="right" vertical="center"/>
    </xf>
    <xf numFmtId="4" fontId="19" fillId="3" borderId="44" applyNumberFormat="0" applyProtection="0">
      <alignment horizontal="left" vertical="center" indent="1"/>
    </xf>
    <xf numFmtId="4" fontId="19" fillId="3" borderId="44" applyNumberFormat="0" applyProtection="0">
      <alignment horizontal="left" vertical="center" indent="1"/>
    </xf>
    <xf numFmtId="4" fontId="53" fillId="3" borderId="44" applyNumberFormat="0" applyProtection="0">
      <alignment vertical="center"/>
    </xf>
    <xf numFmtId="4" fontId="19" fillId="3" borderId="44" applyNumberFormat="0" applyProtection="0">
      <alignment horizontal="left" vertical="center" indent="1"/>
    </xf>
    <xf numFmtId="4" fontId="19" fillId="42" borderId="44" applyNumberFormat="0" applyProtection="0">
      <alignment vertical="center"/>
    </xf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44" fontId="1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44" fontId="1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" fontId="14" fillId="47" borderId="53" applyNumberFormat="0" applyProtection="0">
      <alignment horizontal="left" vertical="center" indent="1"/>
    </xf>
    <xf numFmtId="4" fontId="19" fillId="0" borderId="50" applyNumberFormat="0" applyProtection="0">
      <alignment horizontal="right" vertical="center"/>
    </xf>
    <xf numFmtId="0" fontId="41" fillId="43" borderId="52" applyNumberFormat="0" applyProtection="0">
      <alignment horizontal="left" vertical="top" indent="1"/>
    </xf>
    <xf numFmtId="4" fontId="43" fillId="53" borderId="53" applyNumberFormat="0" applyProtection="0">
      <alignment horizontal="left" vertical="center" indent="1"/>
    </xf>
    <xf numFmtId="4" fontId="19" fillId="12" borderId="50" applyNumberFormat="0" applyProtection="0">
      <alignment horizontal="left" vertical="center" indent="1"/>
    </xf>
    <xf numFmtId="0" fontId="19" fillId="50" borderId="50" applyNumberFormat="0" applyProtection="0">
      <alignment horizontal="left" vertical="center" indent="1"/>
    </xf>
    <xf numFmtId="4" fontId="14" fillId="47" borderId="53" applyNumberFormat="0" applyProtection="0">
      <alignment horizontal="left" vertical="center" indent="1"/>
    </xf>
    <xf numFmtId="4" fontId="19" fillId="46" borderId="53" applyNumberFormat="0" applyProtection="0">
      <alignment horizontal="left" vertical="center" indent="1"/>
    </xf>
    <xf numFmtId="0" fontId="2" fillId="0" borderId="0"/>
    <xf numFmtId="4" fontId="19" fillId="30" borderId="53" applyNumberFormat="0" applyProtection="0">
      <alignment horizontal="right" vertical="center"/>
    </xf>
    <xf numFmtId="4" fontId="19" fillId="44" borderId="50" applyNumberFormat="0" applyProtection="0">
      <alignment horizontal="right" vertical="center"/>
    </xf>
    <xf numFmtId="4" fontId="19" fillId="44" borderId="50" applyNumberFormat="0" applyProtection="0">
      <alignment horizontal="right" vertical="center"/>
    </xf>
    <xf numFmtId="4" fontId="19" fillId="12" borderId="50" applyNumberFormat="0" applyProtection="0">
      <alignment horizontal="left" vertical="center" indent="1"/>
    </xf>
    <xf numFmtId="0" fontId="18" fillId="47" borderId="54" applyBorder="0"/>
    <xf numFmtId="0" fontId="19" fillId="49" borderId="50" applyNumberFormat="0" applyProtection="0">
      <alignment horizontal="left" vertical="center" indent="1"/>
    </xf>
    <xf numFmtId="0" fontId="50" fillId="27" borderId="50" applyNumberFormat="0" applyAlignment="0" applyProtection="0"/>
    <xf numFmtId="0" fontId="19" fillId="37" borderId="50" applyNumberFormat="0" applyProtection="0">
      <alignment horizontal="left" vertical="center" indent="1"/>
    </xf>
    <xf numFmtId="4" fontId="53" fillId="52" borderId="50" applyNumberFormat="0" applyProtection="0">
      <alignment horizontal="right" vertical="center"/>
    </xf>
    <xf numFmtId="4" fontId="14" fillId="47" borderId="53" applyNumberFormat="0" applyProtection="0">
      <alignment horizontal="left" vertical="center" indent="1"/>
    </xf>
    <xf numFmtId="4" fontId="19" fillId="46" borderId="53" applyNumberFormat="0" applyProtection="0">
      <alignment horizontal="left" vertical="center" indent="1"/>
    </xf>
    <xf numFmtId="4" fontId="19" fillId="35" borderId="50" applyNumberFormat="0" applyProtection="0">
      <alignment horizontal="right" vertical="center"/>
    </xf>
    <xf numFmtId="4" fontId="19" fillId="3" borderId="50" applyNumberFormat="0" applyProtection="0">
      <alignment horizontal="left" vertical="center" indent="1"/>
    </xf>
    <xf numFmtId="4" fontId="19" fillId="48" borderId="50" applyNumberFormat="0" applyProtection="0">
      <alignment horizontal="right" vertical="center"/>
    </xf>
    <xf numFmtId="4" fontId="14" fillId="47" borderId="53" applyNumberFormat="0" applyProtection="0">
      <alignment horizontal="left" vertical="center" indent="1"/>
    </xf>
    <xf numFmtId="0" fontId="19" fillId="48" borderId="52" applyNumberFormat="0" applyProtection="0">
      <alignment horizontal="left" vertical="top" indent="1"/>
    </xf>
    <xf numFmtId="4" fontId="19" fillId="13" borderId="50" applyNumberFormat="0" applyProtection="0">
      <alignment horizontal="right" vertical="center"/>
    </xf>
    <xf numFmtId="0" fontId="2" fillId="0" borderId="0"/>
    <xf numFmtId="4" fontId="19" fillId="11" borderId="50" applyNumberFormat="0" applyProtection="0">
      <alignment horizontal="right" vertical="center"/>
    </xf>
    <xf numFmtId="0" fontId="2" fillId="0" borderId="0"/>
    <xf numFmtId="0" fontId="19" fillId="49" borderId="50" applyNumberFormat="0" applyProtection="0">
      <alignment horizontal="left" vertical="center" indent="1"/>
    </xf>
    <xf numFmtId="0" fontId="19" fillId="50" borderId="50" applyNumberFormat="0" applyProtection="0">
      <alignment horizontal="left" vertical="center" indent="1"/>
    </xf>
    <xf numFmtId="4" fontId="19" fillId="46" borderId="53" applyNumberFormat="0" applyProtection="0">
      <alignment horizontal="left" vertical="center" indent="1"/>
    </xf>
    <xf numFmtId="4" fontId="19" fillId="46" borderId="53" applyNumberFormat="0" applyProtection="0">
      <alignment horizontal="left" vertical="center" indent="1"/>
    </xf>
    <xf numFmtId="0" fontId="39" fillId="38" borderId="49" applyNumberFormat="0" applyAlignment="0" applyProtection="0"/>
    <xf numFmtId="0" fontId="39" fillId="38" borderId="49" applyNumberFormat="0" applyAlignment="0" applyProtection="0"/>
    <xf numFmtId="0" fontId="46" fillId="38" borderId="50" applyNumberFormat="0" applyAlignment="0" applyProtection="0"/>
    <xf numFmtId="0" fontId="46" fillId="38" borderId="50" applyNumberFormat="0" applyAlignment="0" applyProtection="0"/>
    <xf numFmtId="0" fontId="50" fillId="27" borderId="50" applyNumberFormat="0" applyAlignment="0" applyProtection="0"/>
    <xf numFmtId="0" fontId="50" fillId="27" borderId="50" applyNumberFormat="0" applyAlignment="0" applyProtection="0"/>
    <xf numFmtId="0" fontId="40" fillId="0" borderId="51" applyNumberFormat="0" applyFill="0" applyAlignment="0" applyProtection="0"/>
    <xf numFmtId="0" fontId="40" fillId="0" borderId="51" applyNumberFormat="0" applyFill="0" applyAlignment="0" applyProtection="0"/>
    <xf numFmtId="4" fontId="19" fillId="12" borderId="50" applyNumberFormat="0" applyProtection="0">
      <alignment horizontal="left" vertical="center" indent="1"/>
    </xf>
    <xf numFmtId="4" fontId="19" fillId="12" borderId="50" applyNumberFormat="0" applyProtection="0">
      <alignment horizontal="left" vertical="center" indent="1"/>
    </xf>
    <xf numFmtId="4" fontId="19" fillId="12" borderId="50" applyNumberFormat="0" applyProtection="0">
      <alignment horizontal="left" vertical="center" indent="1"/>
    </xf>
    <xf numFmtId="4" fontId="53" fillId="52" borderId="50" applyNumberFormat="0" applyProtection="0">
      <alignment horizontal="right" vertical="center"/>
    </xf>
    <xf numFmtId="4" fontId="19" fillId="0" borderId="50" applyNumberFormat="0" applyProtection="0">
      <alignment horizontal="right" vertical="center"/>
    </xf>
    <xf numFmtId="4" fontId="44" fillId="51" borderId="50" applyNumberFormat="0" applyProtection="0">
      <alignment horizontal="right" vertical="center"/>
    </xf>
    <xf numFmtId="4" fontId="19" fillId="12" borderId="50" applyNumberFormat="0" applyProtection="0">
      <alignment horizontal="left" vertical="center" indent="1"/>
    </xf>
    <xf numFmtId="0" fontId="41" fillId="48" borderId="52" applyNumberFormat="0" applyProtection="0">
      <alignment horizontal="left" vertical="top" indent="1"/>
    </xf>
    <xf numFmtId="4" fontId="19" fillId="12" borderId="50" applyNumberFormat="0" applyProtection="0">
      <alignment horizontal="left" vertical="center" indent="1"/>
    </xf>
    <xf numFmtId="4" fontId="41" fillId="37" borderId="52" applyNumberFormat="0" applyProtection="0">
      <alignment horizontal="left" vertical="center" indent="1"/>
    </xf>
    <xf numFmtId="4" fontId="19" fillId="0" borderId="50" applyNumberFormat="0" applyProtection="0">
      <alignment horizontal="right" vertical="center"/>
    </xf>
    <xf numFmtId="0" fontId="19" fillId="49" borderId="50" applyNumberFormat="0" applyProtection="0">
      <alignment horizontal="left" vertical="center" indent="1"/>
    </xf>
    <xf numFmtId="0" fontId="19" fillId="9" borderId="52" applyNumberFormat="0" applyProtection="0">
      <alignment horizontal="left" vertical="top" indent="1"/>
    </xf>
    <xf numFmtId="0" fontId="19" fillId="9" borderId="50" applyNumberFormat="0" applyProtection="0">
      <alignment horizontal="left" vertical="center" indent="1"/>
    </xf>
    <xf numFmtId="0" fontId="19" fillId="9" borderId="50" applyNumberFormat="0" applyProtection="0">
      <alignment horizontal="left" vertical="center" indent="1"/>
    </xf>
    <xf numFmtId="0" fontId="19" fillId="9" borderId="50" applyNumberFormat="0" applyProtection="0">
      <alignment horizontal="left" vertical="center" indent="1"/>
    </xf>
    <xf numFmtId="0" fontId="19" fillId="48" borderId="52" applyNumberFormat="0" applyProtection="0">
      <alignment horizontal="left" vertical="top" indent="1"/>
    </xf>
    <xf numFmtId="0" fontId="19" fillId="26" borderId="50" applyNumberFormat="0" applyFont="0" applyAlignment="0" applyProtection="0"/>
    <xf numFmtId="0" fontId="19" fillId="26" borderId="50" applyNumberFormat="0" applyFont="0" applyAlignment="0" applyProtection="0"/>
    <xf numFmtId="0" fontId="19" fillId="50" borderId="50" applyNumberFormat="0" applyProtection="0">
      <alignment horizontal="left" vertical="center" indent="1"/>
    </xf>
    <xf numFmtId="0" fontId="19" fillId="37" borderId="50" applyNumberFormat="0" applyProtection="0">
      <alignment horizontal="left" vertical="center" indent="1"/>
    </xf>
    <xf numFmtId="0" fontId="19" fillId="37" borderId="50" applyNumberFormat="0" applyProtection="0">
      <alignment horizontal="left" vertical="center" indent="1"/>
    </xf>
    <xf numFmtId="4" fontId="19" fillId="42" borderId="50" applyNumberFormat="0" applyProtection="0">
      <alignment vertical="center"/>
    </xf>
    <xf numFmtId="4" fontId="19" fillId="42" borderId="50" applyNumberFormat="0" applyProtection="0">
      <alignment vertical="center"/>
    </xf>
    <xf numFmtId="4" fontId="19" fillId="42" borderId="50" applyNumberFormat="0" applyProtection="0">
      <alignment vertical="center"/>
    </xf>
    <xf numFmtId="4" fontId="53" fillId="3" borderId="50" applyNumberFormat="0" applyProtection="0">
      <alignment vertical="center"/>
    </xf>
    <xf numFmtId="4" fontId="19" fillId="3" borderId="50" applyNumberFormat="0" applyProtection="0">
      <alignment horizontal="left" vertical="center" indent="1"/>
    </xf>
    <xf numFmtId="4" fontId="19" fillId="3" borderId="50" applyNumberFormat="0" applyProtection="0">
      <alignment horizontal="left" vertical="center" indent="1"/>
    </xf>
    <xf numFmtId="4" fontId="19" fillId="3" borderId="50" applyNumberFormat="0" applyProtection="0">
      <alignment horizontal="left" vertical="center" indent="1"/>
    </xf>
    <xf numFmtId="0" fontId="42" fillId="42" borderId="52" applyNumberFormat="0" applyProtection="0">
      <alignment horizontal="left" vertical="top" indent="1"/>
    </xf>
    <xf numFmtId="4" fontId="19" fillId="12" borderId="50" applyNumberFormat="0" applyProtection="0">
      <alignment horizontal="left" vertical="center" indent="1"/>
    </xf>
    <xf numFmtId="4" fontId="19" fillId="12" borderId="50" applyNumberFormat="0" applyProtection="0">
      <alignment horizontal="left" vertical="center" indent="1"/>
    </xf>
    <xf numFmtId="4" fontId="19" fillId="12" borderId="50" applyNumberFormat="0" applyProtection="0">
      <alignment horizontal="left" vertical="center" indent="1"/>
    </xf>
    <xf numFmtId="4" fontId="19" fillId="8" borderId="50" applyNumberFormat="0" applyProtection="0">
      <alignment horizontal="right" vertical="center"/>
    </xf>
    <xf numFmtId="4" fontId="19" fillId="8" borderId="50" applyNumberFormat="0" applyProtection="0">
      <alignment horizontal="right" vertical="center"/>
    </xf>
    <xf numFmtId="4" fontId="19" fillId="8" borderId="50" applyNumberFormat="0" applyProtection="0">
      <alignment horizontal="right" vertical="center"/>
    </xf>
    <xf numFmtId="4" fontId="19" fillId="44" borderId="50" applyNumberFormat="0" applyProtection="0">
      <alignment horizontal="right" vertical="center"/>
    </xf>
    <xf numFmtId="4" fontId="19" fillId="44" borderId="50" applyNumberFormat="0" applyProtection="0">
      <alignment horizontal="right" vertical="center"/>
    </xf>
    <xf numFmtId="4" fontId="19" fillId="44" borderId="50" applyNumberFormat="0" applyProtection="0">
      <alignment horizontal="right" vertical="center"/>
    </xf>
    <xf numFmtId="4" fontId="19" fillId="30" borderId="53" applyNumberFormat="0" applyProtection="0">
      <alignment horizontal="right" vertical="center"/>
    </xf>
    <xf numFmtId="4" fontId="19" fillId="30" borderId="53" applyNumberFormat="0" applyProtection="0">
      <alignment horizontal="right" vertical="center"/>
    </xf>
    <xf numFmtId="4" fontId="19" fillId="30" borderId="53" applyNumberFormat="0" applyProtection="0">
      <alignment horizontal="right" vertical="center"/>
    </xf>
    <xf numFmtId="4" fontId="19" fillId="11" borderId="50" applyNumberFormat="0" applyProtection="0">
      <alignment horizontal="right" vertical="center"/>
    </xf>
    <xf numFmtId="4" fontId="19" fillId="11" borderId="50" applyNumberFormat="0" applyProtection="0">
      <alignment horizontal="right" vertical="center"/>
    </xf>
    <xf numFmtId="4" fontId="19" fillId="11" borderId="50" applyNumberFormat="0" applyProtection="0">
      <alignment horizontal="right" vertical="center"/>
    </xf>
    <xf numFmtId="4" fontId="19" fillId="13" borderId="50" applyNumberFormat="0" applyProtection="0">
      <alignment horizontal="right" vertical="center"/>
    </xf>
    <xf numFmtId="4" fontId="19" fillId="13" borderId="50" applyNumberFormat="0" applyProtection="0">
      <alignment horizontal="right" vertical="center"/>
    </xf>
    <xf numFmtId="4" fontId="19" fillId="13" borderId="50" applyNumberFormat="0" applyProtection="0">
      <alignment horizontal="right" vertical="center"/>
    </xf>
    <xf numFmtId="4" fontId="19" fillId="35" borderId="50" applyNumberFormat="0" applyProtection="0">
      <alignment horizontal="right" vertical="center"/>
    </xf>
    <xf numFmtId="4" fontId="19" fillId="35" borderId="50" applyNumberFormat="0" applyProtection="0">
      <alignment horizontal="right" vertical="center"/>
    </xf>
    <xf numFmtId="4" fontId="19" fillId="35" borderId="50" applyNumberFormat="0" applyProtection="0">
      <alignment horizontal="right" vertical="center"/>
    </xf>
    <xf numFmtId="4" fontId="19" fillId="32" borderId="50" applyNumberFormat="0" applyProtection="0">
      <alignment horizontal="right" vertical="center"/>
    </xf>
    <xf numFmtId="4" fontId="19" fillId="32" borderId="50" applyNumberFormat="0" applyProtection="0">
      <alignment horizontal="right" vertical="center"/>
    </xf>
    <xf numFmtId="4" fontId="19" fillId="32" borderId="50" applyNumberFormat="0" applyProtection="0">
      <alignment horizontal="right" vertical="center"/>
    </xf>
    <xf numFmtId="4" fontId="19" fillId="45" borderId="50" applyNumberFormat="0" applyProtection="0">
      <alignment horizontal="right" vertical="center"/>
    </xf>
    <xf numFmtId="4" fontId="19" fillId="45" borderId="50" applyNumberFormat="0" applyProtection="0">
      <alignment horizontal="right" vertical="center"/>
    </xf>
    <xf numFmtId="4" fontId="19" fillId="45" borderId="50" applyNumberFormat="0" applyProtection="0">
      <alignment horizontal="right" vertical="center"/>
    </xf>
    <xf numFmtId="4" fontId="19" fillId="10" borderId="50" applyNumberFormat="0" applyProtection="0">
      <alignment horizontal="right" vertical="center"/>
    </xf>
    <xf numFmtId="4" fontId="19" fillId="10" borderId="50" applyNumberFormat="0" applyProtection="0">
      <alignment horizontal="right" vertical="center"/>
    </xf>
    <xf numFmtId="4" fontId="19" fillId="10" borderId="50" applyNumberFormat="0" applyProtection="0">
      <alignment horizontal="right" vertical="center"/>
    </xf>
    <xf numFmtId="4" fontId="19" fillId="46" borderId="53" applyNumberFormat="0" applyProtection="0">
      <alignment horizontal="left" vertical="center" indent="1"/>
    </xf>
    <xf numFmtId="4" fontId="19" fillId="46" borderId="53" applyNumberFormat="0" applyProtection="0">
      <alignment horizontal="left" vertical="center" indent="1"/>
    </xf>
    <xf numFmtId="4" fontId="19" fillId="46" borderId="53" applyNumberFormat="0" applyProtection="0">
      <alignment horizontal="left" vertical="center" indent="1"/>
    </xf>
    <xf numFmtId="4" fontId="14" fillId="47" borderId="53" applyNumberFormat="0" applyProtection="0">
      <alignment horizontal="left" vertical="center" indent="1"/>
    </xf>
    <xf numFmtId="4" fontId="14" fillId="47" borderId="53" applyNumberFormat="0" applyProtection="0">
      <alignment horizontal="left" vertical="center" indent="1"/>
    </xf>
    <xf numFmtId="4" fontId="14" fillId="47" borderId="53" applyNumberFormat="0" applyProtection="0">
      <alignment horizontal="left" vertical="center" indent="1"/>
    </xf>
    <xf numFmtId="4" fontId="14" fillId="47" borderId="53" applyNumberFormat="0" applyProtection="0">
      <alignment horizontal="left" vertical="center" indent="1"/>
    </xf>
    <xf numFmtId="4" fontId="19" fillId="48" borderId="50" applyNumberFormat="0" applyProtection="0">
      <alignment horizontal="right" vertical="center"/>
    </xf>
    <xf numFmtId="4" fontId="19" fillId="48" borderId="50" applyNumberFormat="0" applyProtection="0">
      <alignment horizontal="right" vertical="center"/>
    </xf>
    <xf numFmtId="4" fontId="19" fillId="48" borderId="50" applyNumberFormat="0" applyProtection="0">
      <alignment horizontal="right" vertical="center"/>
    </xf>
    <xf numFmtId="4" fontId="19" fillId="49" borderId="53" applyNumberFormat="0" applyProtection="0">
      <alignment horizontal="left" vertical="center" indent="1"/>
    </xf>
    <xf numFmtId="4" fontId="19" fillId="49" borderId="53" applyNumberFormat="0" applyProtection="0">
      <alignment horizontal="left" vertical="center" indent="1"/>
    </xf>
    <xf numFmtId="4" fontId="19" fillId="49" borderId="53" applyNumberFormat="0" applyProtection="0">
      <alignment horizontal="left" vertical="center" indent="1"/>
    </xf>
    <xf numFmtId="4" fontId="19" fillId="48" borderId="53" applyNumberFormat="0" applyProtection="0">
      <alignment horizontal="left" vertical="center" indent="1"/>
    </xf>
    <xf numFmtId="4" fontId="19" fillId="48" borderId="53" applyNumberFormat="0" applyProtection="0">
      <alignment horizontal="left" vertical="center" indent="1"/>
    </xf>
    <xf numFmtId="4" fontId="19" fillId="48" borderId="53" applyNumberFormat="0" applyProtection="0">
      <alignment horizontal="left" vertical="center" indent="1"/>
    </xf>
    <xf numFmtId="0" fontId="19" fillId="37" borderId="50" applyNumberFormat="0" applyProtection="0">
      <alignment horizontal="left" vertical="center" indent="1"/>
    </xf>
    <xf numFmtId="0" fontId="19" fillId="37" borderId="50" applyNumberFormat="0" applyProtection="0">
      <alignment horizontal="left" vertical="center" indent="1"/>
    </xf>
    <xf numFmtId="0" fontId="19" fillId="37" borderId="50" applyNumberFormat="0" applyProtection="0">
      <alignment horizontal="left" vertical="center" indent="1"/>
    </xf>
    <xf numFmtId="0" fontId="19" fillId="47" borderId="52" applyNumberFormat="0" applyProtection="0">
      <alignment horizontal="left" vertical="top" indent="1"/>
    </xf>
    <xf numFmtId="0" fontId="19" fillId="50" borderId="50" applyNumberFormat="0" applyProtection="0">
      <alignment horizontal="left" vertical="center" indent="1"/>
    </xf>
    <xf numFmtId="0" fontId="19" fillId="50" borderId="50" applyNumberFormat="0" applyProtection="0">
      <alignment horizontal="left" vertical="center" indent="1"/>
    </xf>
    <xf numFmtId="0" fontId="19" fillId="50" borderId="50" applyNumberFormat="0" applyProtection="0">
      <alignment horizontal="left" vertical="center" indent="1"/>
    </xf>
    <xf numFmtId="0" fontId="19" fillId="48" borderId="52" applyNumberFormat="0" applyProtection="0">
      <alignment horizontal="left" vertical="top" indent="1"/>
    </xf>
    <xf numFmtId="0" fontId="19" fillId="9" borderId="50" applyNumberFormat="0" applyProtection="0">
      <alignment horizontal="left" vertical="center" indent="1"/>
    </xf>
    <xf numFmtId="0" fontId="19" fillId="9" borderId="50" applyNumberFormat="0" applyProtection="0">
      <alignment horizontal="left" vertical="center" indent="1"/>
    </xf>
    <xf numFmtId="0" fontId="19" fillId="9" borderId="50" applyNumberFormat="0" applyProtection="0">
      <alignment horizontal="left" vertical="center" indent="1"/>
    </xf>
    <xf numFmtId="0" fontId="19" fillId="9" borderId="52" applyNumberFormat="0" applyProtection="0">
      <alignment horizontal="left" vertical="top" indent="1"/>
    </xf>
    <xf numFmtId="0" fontId="19" fillId="49" borderId="50" applyNumberFormat="0" applyProtection="0">
      <alignment horizontal="left" vertical="center" indent="1"/>
    </xf>
    <xf numFmtId="0" fontId="19" fillId="49" borderId="50" applyNumberFormat="0" applyProtection="0">
      <alignment horizontal="left" vertical="center" indent="1"/>
    </xf>
    <xf numFmtId="0" fontId="19" fillId="49" borderId="50" applyNumberFormat="0" applyProtection="0">
      <alignment horizontal="left" vertical="center" indent="1"/>
    </xf>
    <xf numFmtId="0" fontId="19" fillId="49" borderId="52" applyNumberFormat="0" applyProtection="0">
      <alignment horizontal="left" vertical="top" indent="1"/>
    </xf>
    <xf numFmtId="0" fontId="19" fillId="37" borderId="50" applyNumberFormat="0" applyProtection="0">
      <alignment horizontal="left" vertical="center" indent="1"/>
    </xf>
    <xf numFmtId="0" fontId="18" fillId="47" borderId="54" applyBorder="0"/>
    <xf numFmtId="4" fontId="41" fillId="43" borderId="52" applyNumberFormat="0" applyProtection="0">
      <alignment vertical="center"/>
    </xf>
    <xf numFmtId="4" fontId="19" fillId="48" borderId="53" applyNumberFormat="0" applyProtection="0">
      <alignment horizontal="left" vertical="center" indent="1"/>
    </xf>
    <xf numFmtId="4" fontId="41" fillId="37" borderId="52" applyNumberFormat="0" applyProtection="0">
      <alignment horizontal="left" vertical="center" indent="1"/>
    </xf>
    <xf numFmtId="0" fontId="41" fillId="43" borderId="52" applyNumberFormat="0" applyProtection="0">
      <alignment horizontal="left" vertical="top" indent="1"/>
    </xf>
    <xf numFmtId="4" fontId="19" fillId="0" borderId="50" applyNumberFormat="0" applyProtection="0">
      <alignment horizontal="right" vertical="center"/>
    </xf>
    <xf numFmtId="4" fontId="19" fillId="0" borderId="50" applyNumberFormat="0" applyProtection="0">
      <alignment horizontal="right" vertical="center"/>
    </xf>
    <xf numFmtId="4" fontId="19" fillId="0" borderId="50" applyNumberFormat="0" applyProtection="0">
      <alignment horizontal="right" vertical="center"/>
    </xf>
    <xf numFmtId="4" fontId="53" fillId="52" borderId="50" applyNumberFormat="0" applyProtection="0">
      <alignment horizontal="right" vertical="center"/>
    </xf>
    <xf numFmtId="4" fontId="19" fillId="12" borderId="50" applyNumberFormat="0" applyProtection="0">
      <alignment horizontal="left" vertical="center" indent="1"/>
    </xf>
    <xf numFmtId="4" fontId="19" fillId="12" borderId="50" applyNumberFormat="0" applyProtection="0">
      <alignment horizontal="left" vertical="center" indent="1"/>
    </xf>
    <xf numFmtId="4" fontId="19" fillId="12" borderId="50" applyNumberFormat="0" applyProtection="0">
      <alignment horizontal="left" vertical="center" indent="1"/>
    </xf>
    <xf numFmtId="0" fontId="41" fillId="48" borderId="52" applyNumberFormat="0" applyProtection="0">
      <alignment horizontal="left" vertical="top" indent="1"/>
    </xf>
    <xf numFmtId="4" fontId="43" fillId="53" borderId="53" applyNumberFormat="0" applyProtection="0">
      <alignment horizontal="left" vertical="center" indent="1"/>
    </xf>
    <xf numFmtId="4" fontId="19" fillId="48" borderId="53" applyNumberFormat="0" applyProtection="0">
      <alignment horizontal="left" vertical="center" indent="1"/>
    </xf>
    <xf numFmtId="4" fontId="19" fillId="48" borderId="53" applyNumberFormat="0" applyProtection="0">
      <alignment horizontal="left" vertical="center" indent="1"/>
    </xf>
    <xf numFmtId="4" fontId="19" fillId="49" borderId="53" applyNumberFormat="0" applyProtection="0">
      <alignment horizontal="left" vertical="center" indent="1"/>
    </xf>
    <xf numFmtId="4" fontId="44" fillId="51" borderId="50" applyNumberFormat="0" applyProtection="0">
      <alignment horizontal="right" vertical="center"/>
    </xf>
    <xf numFmtId="4" fontId="19" fillId="49" borderId="53" applyNumberFormat="0" applyProtection="0">
      <alignment horizontal="left" vertical="center" indent="1"/>
    </xf>
    <xf numFmtId="4" fontId="19" fillId="49" borderId="53" applyNumberFormat="0" applyProtection="0">
      <alignment horizontal="left" vertical="center" indent="1"/>
    </xf>
    <xf numFmtId="4" fontId="19" fillId="48" borderId="50" applyNumberFormat="0" applyProtection="0">
      <alignment horizontal="right" vertical="center"/>
    </xf>
    <xf numFmtId="4" fontId="19" fillId="48" borderId="50" applyNumberFormat="0" applyProtection="0">
      <alignment horizontal="right" vertical="center"/>
    </xf>
    <xf numFmtId="4" fontId="19" fillId="48" borderId="50" applyNumberFormat="0" applyProtection="0">
      <alignment horizontal="right" vertical="center"/>
    </xf>
    <xf numFmtId="0" fontId="2" fillId="0" borderId="0"/>
    <xf numFmtId="0" fontId="2" fillId="0" borderId="0"/>
    <xf numFmtId="4" fontId="19" fillId="45" borderId="50" applyNumberFormat="0" applyProtection="0">
      <alignment horizontal="right" vertical="center"/>
    </xf>
    <xf numFmtId="4" fontId="19" fillId="32" borderId="50" applyNumberFormat="0" applyProtection="0">
      <alignment horizontal="right" vertical="center"/>
    </xf>
    <xf numFmtId="4" fontId="19" fillId="35" borderId="50" applyNumberFormat="0" applyProtection="0">
      <alignment horizontal="right" vertical="center"/>
    </xf>
    <xf numFmtId="4" fontId="19" fillId="30" borderId="53" applyNumberFormat="0" applyProtection="0">
      <alignment horizontal="right" vertical="center"/>
    </xf>
    <xf numFmtId="4" fontId="19" fillId="30" borderId="53" applyNumberFormat="0" applyProtection="0">
      <alignment horizontal="right" vertical="center"/>
    </xf>
    <xf numFmtId="4" fontId="19" fillId="8" borderId="50" applyNumberFormat="0" applyProtection="0">
      <alignment horizontal="right" vertical="center"/>
    </xf>
    <xf numFmtId="4" fontId="19" fillId="8" borderId="50" applyNumberFormat="0" applyProtection="0">
      <alignment horizontal="right" vertical="center"/>
    </xf>
    <xf numFmtId="4" fontId="19" fillId="44" borderId="50" applyNumberFormat="0" applyProtection="0">
      <alignment horizontal="right" vertical="center"/>
    </xf>
    <xf numFmtId="4" fontId="19" fillId="8" borderId="50" applyNumberFormat="0" applyProtection="0">
      <alignment horizontal="right" vertical="center"/>
    </xf>
    <xf numFmtId="4" fontId="19" fillId="12" borderId="50" applyNumberFormat="0" applyProtection="0">
      <alignment horizontal="left" vertical="center" indent="1"/>
    </xf>
    <xf numFmtId="0" fontId="42" fillId="42" borderId="52" applyNumberFormat="0" applyProtection="0">
      <alignment horizontal="left" vertical="top" indent="1"/>
    </xf>
    <xf numFmtId="4" fontId="19" fillId="12" borderId="50" applyNumberFormat="0" applyProtection="0">
      <alignment horizontal="left" vertical="center" indent="1"/>
    </xf>
    <xf numFmtId="4" fontId="19" fillId="3" borderId="50" applyNumberFormat="0" applyProtection="0">
      <alignment horizontal="left" vertical="center" indent="1"/>
    </xf>
    <xf numFmtId="4" fontId="53" fillId="3" borderId="50" applyNumberFormat="0" applyProtection="0">
      <alignment vertical="center"/>
    </xf>
    <xf numFmtId="4" fontId="19" fillId="42" borderId="50" applyNumberFormat="0" applyProtection="0">
      <alignment vertical="center"/>
    </xf>
    <xf numFmtId="4" fontId="19" fillId="42" borderId="50" applyNumberFormat="0" applyProtection="0">
      <alignment vertical="center"/>
    </xf>
    <xf numFmtId="4" fontId="19" fillId="42" borderId="50" applyNumberFormat="0" applyProtection="0">
      <alignment vertical="center"/>
    </xf>
    <xf numFmtId="4" fontId="41" fillId="43" borderId="52" applyNumberFormat="0" applyProtection="0">
      <alignment vertical="center"/>
    </xf>
    <xf numFmtId="0" fontId="19" fillId="26" borderId="50" applyNumberFormat="0" applyFont="0" applyAlignment="0" applyProtection="0"/>
    <xf numFmtId="0" fontId="19" fillId="26" borderId="50" applyNumberFormat="0" applyFont="0" applyAlignment="0" applyProtection="0"/>
    <xf numFmtId="4" fontId="19" fillId="32" borderId="50" applyNumberFormat="0" applyProtection="0">
      <alignment horizontal="right" vertical="center"/>
    </xf>
    <xf numFmtId="4" fontId="19" fillId="13" borderId="50" applyNumberFormat="0" applyProtection="0">
      <alignment horizontal="right" vertical="center"/>
    </xf>
    <xf numFmtId="4" fontId="19" fillId="13" borderId="50" applyNumberFormat="0" applyProtection="0">
      <alignment horizontal="right" vertical="center"/>
    </xf>
    <xf numFmtId="0" fontId="39" fillId="38" borderId="49" applyNumberFormat="0" applyAlignment="0" applyProtection="0"/>
    <xf numFmtId="4" fontId="19" fillId="49" borderId="53" applyNumberFormat="0" applyProtection="0">
      <alignment horizontal="left" vertical="center" indent="1"/>
    </xf>
    <xf numFmtId="0" fontId="19" fillId="50" borderId="50" applyNumberFormat="0" applyProtection="0">
      <alignment horizontal="left" vertical="center" indent="1"/>
    </xf>
    <xf numFmtId="0" fontId="2" fillId="0" borderId="0"/>
    <xf numFmtId="0" fontId="19" fillId="9" borderId="52" applyNumberFormat="0" applyProtection="0">
      <alignment horizontal="left" vertical="top" indent="1"/>
    </xf>
    <xf numFmtId="4" fontId="14" fillId="47" borderId="5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26" borderId="50" applyNumberFormat="0" applyFont="0" applyAlignment="0" applyProtection="0"/>
    <xf numFmtId="4" fontId="19" fillId="44" borderId="50" applyNumberFormat="0" applyProtection="0">
      <alignment horizontal="right" vertical="center"/>
    </xf>
    <xf numFmtId="4" fontId="19" fillId="48" borderId="53" applyNumberFormat="0" applyProtection="0">
      <alignment horizontal="left" vertical="center" indent="1"/>
    </xf>
    <xf numFmtId="4" fontId="19" fillId="11" borderId="50" applyNumberFormat="0" applyProtection="0">
      <alignment horizontal="right" vertical="center"/>
    </xf>
    <xf numFmtId="0" fontId="40" fillId="0" borderId="51" applyNumberFormat="0" applyFill="0" applyAlignment="0" applyProtection="0"/>
    <xf numFmtId="0" fontId="41" fillId="48" borderId="52" applyNumberFormat="0" applyProtection="0">
      <alignment horizontal="left" vertical="top" indent="1"/>
    </xf>
    <xf numFmtId="4" fontId="41" fillId="37" borderId="52" applyNumberFormat="0" applyProtection="0">
      <alignment horizontal="left" vertical="center" indent="1"/>
    </xf>
    <xf numFmtId="0" fontId="19" fillId="47" borderId="52" applyNumberFormat="0" applyProtection="0">
      <alignment horizontal="left" vertical="top" indent="1"/>
    </xf>
    <xf numFmtId="4" fontId="19" fillId="46" borderId="53" applyNumberFormat="0" applyProtection="0">
      <alignment horizontal="left" vertical="center" indent="1"/>
    </xf>
    <xf numFmtId="4" fontId="19" fillId="45" borderId="50" applyNumberFormat="0" applyProtection="0">
      <alignment horizontal="right" vertical="center"/>
    </xf>
    <xf numFmtId="0" fontId="2" fillId="0" borderId="0"/>
    <xf numFmtId="0" fontId="46" fillId="38" borderId="50" applyNumberFormat="0" applyAlignment="0" applyProtection="0"/>
    <xf numFmtId="4" fontId="19" fillId="8" borderId="50" applyNumberFormat="0" applyProtection="0">
      <alignment horizontal="right" vertical="center"/>
    </xf>
    <xf numFmtId="0" fontId="19" fillId="49" borderId="52" applyNumberFormat="0" applyProtection="0">
      <alignment horizontal="left" vertical="top" indent="1"/>
    </xf>
    <xf numFmtId="4" fontId="19" fillId="0" borderId="50" applyNumberFormat="0" applyProtection="0">
      <alignment horizontal="right" vertical="center"/>
    </xf>
    <xf numFmtId="4" fontId="14" fillId="47" borderId="53" applyNumberFormat="0" applyProtection="0">
      <alignment horizontal="left" vertical="center" indent="1"/>
    </xf>
    <xf numFmtId="4" fontId="19" fillId="10" borderId="50" applyNumberFormat="0" applyProtection="0">
      <alignment horizontal="right" vertical="center"/>
    </xf>
    <xf numFmtId="4" fontId="43" fillId="53" borderId="53" applyNumberFormat="0" applyProtection="0">
      <alignment horizontal="left" vertical="center" indent="1"/>
    </xf>
    <xf numFmtId="4" fontId="19" fillId="35" borderId="50" applyNumberFormat="0" applyProtection="0">
      <alignment horizontal="right" vertical="center"/>
    </xf>
    <xf numFmtId="4" fontId="19" fillId="3" borderId="50" applyNumberFormat="0" applyProtection="0">
      <alignment horizontal="left" vertical="center" indent="1"/>
    </xf>
    <xf numFmtId="4" fontId="19" fillId="30" borderId="53" applyNumberFormat="0" applyProtection="0">
      <alignment horizontal="right" vertical="center"/>
    </xf>
    <xf numFmtId="4" fontId="19" fillId="11" borderId="50" applyNumberFormat="0" applyProtection="0">
      <alignment horizontal="right" vertical="center"/>
    </xf>
    <xf numFmtId="0" fontId="2" fillId="0" borderId="0"/>
    <xf numFmtId="4" fontId="19" fillId="35" borderId="50" applyNumberFormat="0" applyProtection="0">
      <alignment horizontal="right" vertical="center"/>
    </xf>
    <xf numFmtId="0" fontId="42" fillId="42" borderId="52" applyNumberFormat="0" applyProtection="0">
      <alignment horizontal="left" vertical="top" indent="1"/>
    </xf>
    <xf numFmtId="0" fontId="39" fillId="38" borderId="49" applyNumberFormat="0" applyAlignment="0" applyProtection="0"/>
    <xf numFmtId="4" fontId="19" fillId="44" borderId="50" applyNumberFormat="0" applyProtection="0">
      <alignment horizontal="right" vertical="center"/>
    </xf>
    <xf numFmtId="0" fontId="2" fillId="0" borderId="0"/>
    <xf numFmtId="0" fontId="2" fillId="0" borderId="0"/>
    <xf numFmtId="4" fontId="19" fillId="11" borderId="50" applyNumberFormat="0" applyProtection="0">
      <alignment horizontal="right" vertical="center"/>
    </xf>
    <xf numFmtId="0" fontId="19" fillId="49" borderId="50" applyNumberFormat="0" applyProtection="0">
      <alignment horizontal="left" vertical="center" indent="1"/>
    </xf>
    <xf numFmtId="4" fontId="19" fillId="0" borderId="50" applyNumberFormat="0" applyProtection="0">
      <alignment horizontal="right" vertical="center"/>
    </xf>
    <xf numFmtId="0" fontId="19" fillId="50" borderId="50" applyNumberFormat="0" applyProtection="0">
      <alignment horizontal="left" vertical="center" indent="1"/>
    </xf>
    <xf numFmtId="0" fontId="2" fillId="0" borderId="0"/>
    <xf numFmtId="0" fontId="19" fillId="49" borderId="50" applyNumberFormat="0" applyProtection="0">
      <alignment horizontal="left" vertical="center" indent="1"/>
    </xf>
    <xf numFmtId="4" fontId="19" fillId="32" borderId="50" applyNumberFormat="0" applyProtection="0">
      <alignment horizontal="right" vertical="center"/>
    </xf>
    <xf numFmtId="0" fontId="2" fillId="0" borderId="0"/>
    <xf numFmtId="43" fontId="2" fillId="0" borderId="0" applyFont="0" applyFill="0" applyBorder="0" applyAlignment="0" applyProtection="0"/>
    <xf numFmtId="0" fontId="18" fillId="47" borderId="54" applyBorder="0"/>
    <xf numFmtId="4" fontId="19" fillId="32" borderId="50" applyNumberFormat="0" applyProtection="0">
      <alignment horizontal="right" vertical="center"/>
    </xf>
    <xf numFmtId="0" fontId="2" fillId="0" borderId="0"/>
    <xf numFmtId="0" fontId="41" fillId="43" borderId="52" applyNumberFormat="0" applyProtection="0">
      <alignment horizontal="left" vertical="top" indent="1"/>
    </xf>
    <xf numFmtId="4" fontId="19" fillId="10" borderId="50" applyNumberFormat="0" applyProtection="0">
      <alignment horizontal="right" vertical="center"/>
    </xf>
    <xf numFmtId="0" fontId="19" fillId="26" borderId="50" applyNumberFormat="0" applyFont="0" applyAlignment="0" applyProtection="0"/>
    <xf numFmtId="4" fontId="19" fillId="13" borderId="5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19" fillId="11" borderId="50" applyNumberFormat="0" applyProtection="0">
      <alignment horizontal="right" vertical="center"/>
    </xf>
    <xf numFmtId="0" fontId="19" fillId="9" borderId="50" applyNumberFormat="0" applyProtection="0">
      <alignment horizontal="left" vertical="center" indent="1"/>
    </xf>
    <xf numFmtId="0" fontId="50" fillId="27" borderId="50" applyNumberFormat="0" applyAlignment="0" applyProtection="0"/>
    <xf numFmtId="0" fontId="40" fillId="0" borderId="51" applyNumberFormat="0" applyFill="0" applyAlignment="0" applyProtection="0"/>
    <xf numFmtId="0" fontId="46" fillId="38" borderId="50" applyNumberFormat="0" applyAlignment="0" applyProtection="0"/>
    <xf numFmtId="0" fontId="2" fillId="0" borderId="0"/>
    <xf numFmtId="4" fontId="19" fillId="46" borderId="53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43" borderId="52" applyNumberFormat="0" applyProtection="0">
      <alignment vertical="center"/>
    </xf>
    <xf numFmtId="4" fontId="19" fillId="45" borderId="50" applyNumberFormat="0" applyProtection="0">
      <alignment horizontal="right" vertical="center"/>
    </xf>
    <xf numFmtId="0" fontId="2" fillId="0" borderId="0"/>
    <xf numFmtId="4" fontId="19" fillId="0" borderId="50" applyNumberFormat="0" applyProtection="0">
      <alignment horizontal="right" vertical="center"/>
    </xf>
    <xf numFmtId="4" fontId="19" fillId="10" borderId="50" applyNumberFormat="0" applyProtection="0">
      <alignment horizontal="right" vertical="center"/>
    </xf>
    <xf numFmtId="0" fontId="19" fillId="37" borderId="50" applyNumberFormat="0" applyProtection="0">
      <alignment horizontal="left" vertical="center" indent="1"/>
    </xf>
    <xf numFmtId="4" fontId="19" fillId="13" borderId="50" applyNumberFormat="0" applyProtection="0">
      <alignment horizontal="right" vertical="center"/>
    </xf>
    <xf numFmtId="0" fontId="2" fillId="0" borderId="0"/>
    <xf numFmtId="4" fontId="19" fillId="13" borderId="50" applyNumberFormat="0" applyProtection="0">
      <alignment horizontal="right" vertical="center"/>
    </xf>
    <xf numFmtId="0" fontId="40" fillId="0" borderId="5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" fontId="19" fillId="12" borderId="50" applyNumberFormat="0" applyProtection="0">
      <alignment horizontal="left" vertical="center" indent="1"/>
    </xf>
    <xf numFmtId="0" fontId="19" fillId="9" borderId="50" applyNumberFormat="0" applyProtection="0">
      <alignment horizontal="left" vertical="center" indent="1"/>
    </xf>
    <xf numFmtId="4" fontId="19" fillId="35" borderId="50" applyNumberFormat="0" applyProtection="0">
      <alignment horizontal="right" vertical="center"/>
    </xf>
    <xf numFmtId="4" fontId="19" fillId="30" borderId="53" applyNumberFormat="0" applyProtection="0">
      <alignment horizontal="right" vertical="center"/>
    </xf>
    <xf numFmtId="4" fontId="44" fillId="51" borderId="50" applyNumberFormat="0" applyProtection="0">
      <alignment horizontal="right" vertical="center"/>
    </xf>
    <xf numFmtId="0" fontId="19" fillId="49" borderId="52" applyNumberFormat="0" applyProtection="0">
      <alignment horizontal="left" vertical="top" indent="1"/>
    </xf>
    <xf numFmtId="4" fontId="19" fillId="30" borderId="53" applyNumberFormat="0" applyProtection="0">
      <alignment horizontal="right" vertical="center"/>
    </xf>
    <xf numFmtId="0" fontId="50" fillId="27" borderId="50" applyNumberFormat="0" applyAlignment="0" applyProtection="0"/>
    <xf numFmtId="4" fontId="19" fillId="32" borderId="50" applyNumberFormat="0" applyProtection="0">
      <alignment horizontal="right" vertical="center"/>
    </xf>
    <xf numFmtId="4" fontId="19" fillId="11" borderId="50" applyNumberFormat="0" applyProtection="0">
      <alignment horizontal="right" vertical="center"/>
    </xf>
    <xf numFmtId="4" fontId="19" fillId="48" borderId="50" applyNumberFormat="0" applyProtection="0">
      <alignment horizontal="right" vertical="center"/>
    </xf>
    <xf numFmtId="4" fontId="19" fillId="12" borderId="50" applyNumberFormat="0" applyProtection="0">
      <alignment horizontal="left" vertical="center" indent="1"/>
    </xf>
    <xf numFmtId="4" fontId="19" fillId="42" borderId="50" applyNumberFormat="0" applyProtection="0">
      <alignment vertical="center"/>
    </xf>
    <xf numFmtId="4" fontId="19" fillId="32" borderId="50" applyNumberFormat="0" applyProtection="0">
      <alignment horizontal="right" vertical="center"/>
    </xf>
    <xf numFmtId="4" fontId="19" fillId="44" borderId="50" applyNumberFormat="0" applyProtection="0">
      <alignment horizontal="right" vertical="center"/>
    </xf>
    <xf numFmtId="4" fontId="19" fillId="42" borderId="50" applyNumberFormat="0" applyProtection="0">
      <alignment vertical="center"/>
    </xf>
    <xf numFmtId="4" fontId="19" fillId="12" borderId="50" applyNumberFormat="0" applyProtection="0">
      <alignment horizontal="left" vertical="center" indent="1"/>
    </xf>
    <xf numFmtId="4" fontId="19" fillId="35" borderId="50" applyNumberFormat="0" applyProtection="0">
      <alignment horizontal="right" vertical="center"/>
    </xf>
    <xf numFmtId="4" fontId="19" fillId="49" borderId="53" applyNumberFormat="0" applyProtection="0">
      <alignment horizontal="left" vertical="center" indent="1"/>
    </xf>
    <xf numFmtId="0" fontId="46" fillId="38" borderId="50" applyNumberFormat="0" applyAlignment="0" applyProtection="0"/>
    <xf numFmtId="4" fontId="19" fillId="10" borderId="50" applyNumberFormat="0" applyProtection="0">
      <alignment horizontal="right" vertical="center"/>
    </xf>
    <xf numFmtId="4" fontId="19" fillId="45" borderId="50" applyNumberFormat="0" applyProtection="0">
      <alignment horizontal="right" vertical="center"/>
    </xf>
    <xf numFmtId="4" fontId="19" fillId="45" borderId="50" applyNumberFormat="0" applyProtection="0">
      <alignment horizontal="right" vertical="center"/>
    </xf>
    <xf numFmtId="4" fontId="19" fillId="48" borderId="53" applyNumberFormat="0" applyProtection="0">
      <alignment horizontal="left" vertical="center" indent="1"/>
    </xf>
    <xf numFmtId="4" fontId="19" fillId="48" borderId="53" applyNumberFormat="0" applyProtection="0">
      <alignment horizontal="left" vertical="center" indent="1"/>
    </xf>
    <xf numFmtId="4" fontId="19" fillId="48" borderId="50" applyNumberFormat="0" applyProtection="0">
      <alignment horizontal="right" vertical="center"/>
    </xf>
    <xf numFmtId="0" fontId="19" fillId="47" borderId="52" applyNumberFormat="0" applyProtection="0">
      <alignment horizontal="left" vertical="top" indent="1"/>
    </xf>
    <xf numFmtId="4" fontId="14" fillId="47" borderId="53" applyNumberFormat="0" applyProtection="0">
      <alignment horizontal="left" vertical="center" indent="1"/>
    </xf>
    <xf numFmtId="4" fontId="19" fillId="8" borderId="50" applyNumberFormat="0" applyProtection="0">
      <alignment horizontal="right" vertical="center"/>
    </xf>
    <xf numFmtId="4" fontId="19" fillId="10" borderId="50" applyNumberFormat="0" applyProtection="0">
      <alignment horizontal="right" vertical="center"/>
    </xf>
    <xf numFmtId="0" fontId="19" fillId="9" borderId="50" applyNumberFormat="0" applyProtection="0">
      <alignment horizontal="left" vertical="center" indent="1"/>
    </xf>
    <xf numFmtId="0" fontId="19" fillId="49" borderId="50" applyNumberFormat="0" applyProtection="0">
      <alignment horizontal="left" vertical="center" indent="1"/>
    </xf>
    <xf numFmtId="0" fontId="19" fillId="37" borderId="50" applyNumberFormat="0" applyProtection="0">
      <alignment horizontal="left" vertical="center" indent="1"/>
    </xf>
    <xf numFmtId="4" fontId="19" fillId="49" borderId="53" applyNumberFormat="0" applyProtection="0">
      <alignment horizontal="left" vertical="center" indent="1"/>
    </xf>
    <xf numFmtId="0" fontId="19" fillId="50" borderId="50" applyNumberFormat="0" applyProtection="0">
      <alignment horizontal="left" vertical="center" indent="1"/>
    </xf>
    <xf numFmtId="4" fontId="14" fillId="47" borderId="53" applyNumberFormat="0" applyProtection="0">
      <alignment horizontal="left" vertical="center" indent="1"/>
    </xf>
    <xf numFmtId="4" fontId="19" fillId="8" borderId="50" applyNumberFormat="0" applyProtection="0">
      <alignment horizontal="right" vertical="center"/>
    </xf>
    <xf numFmtId="0" fontId="40" fillId="0" borderId="51" applyNumberFormat="0" applyFill="0" applyAlignment="0" applyProtection="0"/>
    <xf numFmtId="0" fontId="50" fillId="27" borderId="50" applyNumberFormat="0" applyAlignment="0" applyProtection="0"/>
    <xf numFmtId="0" fontId="46" fillId="38" borderId="50" applyNumberFormat="0" applyAlignment="0" applyProtection="0"/>
    <xf numFmtId="4" fontId="19" fillId="10" borderId="50" applyNumberFormat="0" applyProtection="0">
      <alignment horizontal="right" vertical="center"/>
    </xf>
    <xf numFmtId="4" fontId="19" fillId="45" borderId="50" applyNumberFormat="0" applyProtection="0">
      <alignment horizontal="right" vertical="center"/>
    </xf>
    <xf numFmtId="4" fontId="19" fillId="3" borderId="50" applyNumberFormat="0" applyProtection="0">
      <alignment horizontal="left" vertical="center" indent="1"/>
    </xf>
    <xf numFmtId="4" fontId="19" fillId="3" borderId="50" applyNumberFormat="0" applyProtection="0">
      <alignment horizontal="left" vertical="center" indent="1"/>
    </xf>
    <xf numFmtId="4" fontId="53" fillId="3" borderId="50" applyNumberFormat="0" applyProtection="0">
      <alignment vertical="center"/>
    </xf>
    <xf numFmtId="4" fontId="19" fillId="3" borderId="50" applyNumberFormat="0" applyProtection="0">
      <alignment horizontal="left" vertical="center" indent="1"/>
    </xf>
    <xf numFmtId="4" fontId="19" fillId="42" borderId="50" applyNumberFormat="0" applyProtection="0">
      <alignment vertical="center"/>
    </xf>
    <xf numFmtId="44" fontId="6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7" fillId="0" borderId="0"/>
  </cellStyleXfs>
  <cellXfs count="1208">
    <xf numFmtId="0" fontId="0" fillId="0" borderId="0" xfId="0"/>
    <xf numFmtId="166" fontId="22" fillId="0" borderId="0" xfId="0" applyNumberFormat="1" applyFont="1"/>
    <xf numFmtId="166" fontId="21" fillId="0" borderId="0" xfId="0" applyNumberFormat="1" applyFont="1"/>
    <xf numFmtId="0" fontId="21" fillId="0" borderId="0" xfId="0" applyFont="1" applyAlignment="1">
      <alignment horizontal="center" vertical="top" wrapText="1"/>
    </xf>
    <xf numFmtId="167" fontId="21" fillId="0" borderId="0" xfId="0" applyNumberFormat="1" applyFont="1"/>
    <xf numFmtId="166" fontId="0" fillId="0" borderId="0" xfId="0" applyNumberFormat="1"/>
    <xf numFmtId="0" fontId="21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14" fillId="0" borderId="0" xfId="0" applyFont="1"/>
    <xf numFmtId="166" fontId="21" fillId="0" borderId="0" xfId="0" applyNumberFormat="1" applyFont="1" applyAlignment="1">
      <alignment horizontal="left" indent="1"/>
    </xf>
    <xf numFmtId="3" fontId="21" fillId="0" borderId="0" xfId="0" applyNumberFormat="1" applyFont="1"/>
    <xf numFmtId="0" fontId="21" fillId="0" borderId="0" xfId="0" applyFont="1" applyAlignment="1">
      <alignment horizontal="left"/>
    </xf>
    <xf numFmtId="167" fontId="0" fillId="0" borderId="0" xfId="0" applyNumberFormat="1"/>
    <xf numFmtId="0" fontId="21" fillId="0" borderId="0" xfId="0" quotePrefix="1" applyFont="1" applyAlignment="1">
      <alignment horizontal="left"/>
    </xf>
    <xf numFmtId="0" fontId="14" fillId="3" borderId="2" xfId="0" applyFont="1" applyFill="1" applyBorder="1" applyAlignment="1">
      <alignment horizontal="center" vertical="top" wrapText="1"/>
    </xf>
    <xf numFmtId="166" fontId="22" fillId="0" borderId="0" xfId="8" applyFont="1" applyFill="1" applyBorder="1" applyAlignment="1" applyProtection="1">
      <alignment horizontal="right" vertical="top" wrapText="1" indent="1"/>
    </xf>
    <xf numFmtId="0" fontId="14" fillId="0" borderId="0" xfId="0" applyFont="1" applyAlignment="1">
      <alignment horizontal="left"/>
    </xf>
    <xf numFmtId="166" fontId="14" fillId="0" borderId="0" xfId="0" applyNumberFormat="1" applyFont="1"/>
    <xf numFmtId="3" fontId="14" fillId="0" borderId="0" xfId="0" applyNumberFormat="1" applyFont="1"/>
    <xf numFmtId="0" fontId="14" fillId="0" borderId="0" xfId="0" quotePrefix="1" applyFont="1" applyAlignment="1">
      <alignment horizontal="left"/>
    </xf>
    <xf numFmtId="167" fontId="14" fillId="0" borderId="0" xfId="8" applyNumberFormat="1" applyFont="1" applyFill="1" applyBorder="1" applyProtection="1"/>
    <xf numFmtId="14" fontId="14" fillId="0" borderId="0" xfId="0" quotePrefix="1" applyNumberFormat="1" applyFont="1" applyAlignment="1">
      <alignment horizontal="right"/>
    </xf>
    <xf numFmtId="0" fontId="14" fillId="0" borderId="0" xfId="0" applyFont="1" applyAlignment="1">
      <alignment horizontal="right"/>
    </xf>
    <xf numFmtId="10" fontId="14" fillId="0" borderId="0" xfId="0" applyNumberFormat="1" applyFont="1"/>
    <xf numFmtId="10" fontId="14" fillId="0" borderId="0" xfId="8" applyNumberFormat="1" applyFont="1" applyFill="1" applyBorder="1" applyProtection="1"/>
    <xf numFmtId="166" fontId="14" fillId="0" borderId="0" xfId="8" applyFont="1" applyFill="1" applyBorder="1" applyProtection="1"/>
    <xf numFmtId="166" fontId="14" fillId="0" borderId="0" xfId="4" applyFont="1" applyFill="1" applyBorder="1" applyProtection="1"/>
    <xf numFmtId="167" fontId="14" fillId="0" borderId="0" xfId="0" applyNumberFormat="1" applyFont="1"/>
    <xf numFmtId="0" fontId="21" fillId="0" borderId="0" xfId="0" applyFont="1"/>
    <xf numFmtId="14" fontId="0" fillId="0" borderId="0" xfId="0" applyNumberFormat="1"/>
    <xf numFmtId="166" fontId="14" fillId="57" borderId="5" xfId="8" applyFont="1" applyFill="1" applyBorder="1" applyAlignment="1" applyProtection="1">
      <alignment horizontal="left" vertical="center" wrapText="1"/>
    </xf>
    <xf numFmtId="0" fontId="14" fillId="57" borderId="5" xfId="0" applyFont="1" applyFill="1" applyBorder="1" applyAlignment="1">
      <alignment horizontal="left" vertical="center" wrapText="1"/>
    </xf>
    <xf numFmtId="0" fontId="14" fillId="57" borderId="4" xfId="0" applyFont="1" applyFill="1" applyBorder="1" applyAlignment="1">
      <alignment horizontal="left" vertical="center" wrapText="1"/>
    </xf>
    <xf numFmtId="0" fontId="14" fillId="57" borderId="25" xfId="0" applyFont="1" applyFill="1" applyBorder="1" applyAlignment="1">
      <alignment horizontal="left" vertical="center" wrapText="1"/>
    </xf>
    <xf numFmtId="0" fontId="14" fillId="57" borderId="29" xfId="0" applyFont="1" applyFill="1" applyBorder="1" applyAlignment="1">
      <alignment horizontal="left" vertical="center" wrapText="1"/>
    </xf>
    <xf numFmtId="0" fontId="21" fillId="0" borderId="0" xfId="359" quotePrefix="1" applyFont="1" applyAlignment="1">
      <alignment horizontal="left"/>
    </xf>
    <xf numFmtId="0" fontId="14" fillId="57" borderId="0" xfId="0" applyFont="1" applyFill="1"/>
    <xf numFmtId="166" fontId="19" fillId="0" borderId="0" xfId="8" applyFont="1"/>
    <xf numFmtId="0" fontId="59" fillId="0" borderId="0" xfId="0" applyFont="1"/>
    <xf numFmtId="166" fontId="60" fillId="0" borderId="0" xfId="8" applyFont="1"/>
    <xf numFmtId="167" fontId="60" fillId="0" borderId="0" xfId="8" applyNumberFormat="1" applyFont="1"/>
    <xf numFmtId="166" fontId="59" fillId="0" borderId="0" xfId="0" applyNumberFormat="1" applyFont="1"/>
    <xf numFmtId="166" fontId="58" fillId="0" borderId="0" xfId="8" applyFont="1"/>
    <xf numFmtId="167" fontId="58" fillId="0" borderId="0" xfId="8" applyNumberFormat="1" applyFont="1"/>
    <xf numFmtId="0" fontId="61" fillId="0" borderId="0" xfId="0" applyFont="1"/>
    <xf numFmtId="0" fontId="19" fillId="0" borderId="0" xfId="0" quotePrefix="1" applyFont="1" applyAlignment="1">
      <alignment horizontal="left"/>
    </xf>
    <xf numFmtId="0" fontId="61" fillId="0" borderId="0" xfId="0" applyFont="1" applyAlignment="1">
      <alignment horizontal="left" vertical="top"/>
    </xf>
    <xf numFmtId="166" fontId="14" fillId="56" borderId="27" xfId="8" applyFont="1" applyFill="1" applyBorder="1" applyAlignment="1" applyProtection="1">
      <alignment horizontal="right" vertical="center" wrapText="1"/>
    </xf>
    <xf numFmtId="166" fontId="14" fillId="56" borderId="5" xfId="8" applyFont="1" applyFill="1" applyBorder="1" applyAlignment="1" applyProtection="1">
      <alignment horizontal="right" vertical="center" wrapText="1"/>
    </xf>
    <xf numFmtId="166" fontId="14" fillId="56" borderId="25" xfId="8" applyFont="1" applyFill="1" applyBorder="1" applyAlignment="1" applyProtection="1">
      <alignment horizontal="right" vertical="center" wrapText="1"/>
    </xf>
    <xf numFmtId="166" fontId="14" fillId="56" borderId="30" xfId="8" applyFont="1" applyFill="1" applyBorder="1" applyAlignment="1" applyProtection="1">
      <alignment horizontal="right" vertical="center" wrapText="1"/>
    </xf>
    <xf numFmtId="10" fontId="14" fillId="0" borderId="0" xfId="0" applyNumberFormat="1" applyFont="1" applyAlignment="1">
      <alignment wrapText="1"/>
    </xf>
    <xf numFmtId="2" fontId="14" fillId="0" borderId="0" xfId="1153" applyNumberFormat="1" applyFont="1" applyBorder="1"/>
    <xf numFmtId="2" fontId="21" fillId="0" borderId="0" xfId="1153" applyNumberFormat="1" applyFont="1" applyFill="1" applyBorder="1" applyProtection="1"/>
    <xf numFmtId="167" fontId="61" fillId="0" borderId="0" xfId="0" applyNumberFormat="1" applyFont="1"/>
    <xf numFmtId="166" fontId="14" fillId="56" borderId="8" xfId="8" applyFont="1" applyFill="1" applyBorder="1" applyAlignment="1" applyProtection="1">
      <alignment horizontal="right" vertical="center" wrapText="1"/>
    </xf>
    <xf numFmtId="166" fontId="14" fillId="56" borderId="26" xfId="8" applyFont="1" applyFill="1" applyBorder="1" applyAlignment="1" applyProtection="1">
      <alignment horizontal="right" vertical="center" wrapText="1"/>
    </xf>
    <xf numFmtId="166" fontId="14" fillId="56" borderId="9" xfId="8" applyFont="1" applyFill="1" applyBorder="1" applyAlignment="1" applyProtection="1">
      <alignment horizontal="right" vertical="center" wrapText="1"/>
    </xf>
    <xf numFmtId="166" fontId="14" fillId="56" borderId="2" xfId="8" applyFont="1" applyFill="1" applyBorder="1" applyAlignment="1" applyProtection="1">
      <alignment horizontal="right" vertical="center" wrapText="1"/>
    </xf>
    <xf numFmtId="0" fontId="14" fillId="57" borderId="75" xfId="0" applyFont="1" applyFill="1" applyBorder="1" applyAlignment="1">
      <alignment horizontal="left" vertical="center" wrapText="1"/>
    </xf>
    <xf numFmtId="0" fontId="14" fillId="57" borderId="11" xfId="0" applyFont="1" applyFill="1" applyBorder="1" applyAlignment="1">
      <alignment horizontal="left" vertical="center" wrapText="1"/>
    </xf>
    <xf numFmtId="0" fontId="14" fillId="57" borderId="56" xfId="0" applyFont="1" applyFill="1" applyBorder="1" applyAlignment="1">
      <alignment horizontal="center" vertical="center"/>
    </xf>
    <xf numFmtId="0" fontId="14" fillId="0" borderId="73" xfId="0" applyFont="1" applyBorder="1"/>
    <xf numFmtId="0" fontId="14" fillId="57" borderId="57" xfId="0" applyFont="1" applyFill="1" applyBorder="1" applyAlignment="1">
      <alignment horizontal="center" vertical="top"/>
    </xf>
    <xf numFmtId="0" fontId="14" fillId="57" borderId="59" xfId="0" applyFont="1" applyFill="1" applyBorder="1" applyAlignment="1">
      <alignment horizontal="center" vertical="top"/>
    </xf>
    <xf numFmtId="0" fontId="20" fillId="0" borderId="0" xfId="0" applyFont="1" applyAlignment="1">
      <alignment horizontal="left"/>
    </xf>
    <xf numFmtId="0" fontId="14" fillId="57" borderId="56" xfId="0" applyFont="1" applyFill="1" applyBorder="1" applyAlignment="1">
      <alignment horizontal="center" vertical="top"/>
    </xf>
    <xf numFmtId="166" fontId="14" fillId="58" borderId="7" xfId="8" applyFont="1" applyFill="1" applyBorder="1" applyProtection="1"/>
    <xf numFmtId="166" fontId="14" fillId="58" borderId="7" xfId="4" applyFont="1" applyFill="1" applyBorder="1" applyProtection="1"/>
    <xf numFmtId="0" fontId="14" fillId="58" borderId="2" xfId="0" applyFont="1" applyFill="1" applyBorder="1" applyAlignment="1">
      <alignment horizontal="center" vertical="top" wrapText="1"/>
    </xf>
    <xf numFmtId="166" fontId="14" fillId="56" borderId="7" xfId="8" applyFont="1" applyFill="1" applyBorder="1" applyProtection="1"/>
    <xf numFmtId="0" fontId="14" fillId="56" borderId="2" xfId="0" applyFont="1" applyFill="1" applyBorder="1" applyAlignment="1">
      <alignment horizontal="center" vertical="top" wrapText="1"/>
    </xf>
    <xf numFmtId="3" fontId="14" fillId="0" borderId="0" xfId="8" applyNumberFormat="1" applyFont="1" applyFill="1" applyBorder="1" applyProtection="1"/>
    <xf numFmtId="166" fontId="21" fillId="0" borderId="0" xfId="8" applyFont="1" applyFill="1" applyBorder="1" applyAlignment="1" applyProtection="1">
      <alignment horizontal="right" vertical="top" wrapText="1" indent="1"/>
    </xf>
    <xf numFmtId="166" fontId="14" fillId="56" borderId="72" xfId="8" applyFont="1" applyFill="1" applyBorder="1" applyAlignment="1" applyProtection="1">
      <alignment horizontal="right" vertical="center" wrapText="1"/>
    </xf>
    <xf numFmtId="0" fontId="14" fillId="57" borderId="5" xfId="0" applyFont="1" applyFill="1" applyBorder="1" applyAlignment="1">
      <alignment horizontal="left" vertical="center"/>
    </xf>
    <xf numFmtId="0" fontId="14" fillId="57" borderId="25" xfId="0" applyFont="1" applyFill="1" applyBorder="1" applyAlignment="1">
      <alignment horizontal="left" vertical="center"/>
    </xf>
    <xf numFmtId="0" fontId="14" fillId="57" borderId="27" xfId="0" applyFont="1" applyFill="1" applyBorder="1" applyAlignment="1">
      <alignment horizontal="left" vertical="center"/>
    </xf>
    <xf numFmtId="0" fontId="14" fillId="57" borderId="27" xfId="0" applyFont="1" applyFill="1" applyBorder="1" applyAlignment="1">
      <alignment horizontal="left" vertical="center" wrapText="1"/>
    </xf>
    <xf numFmtId="166" fontId="14" fillId="56" borderId="67" xfId="8" applyFont="1" applyFill="1" applyBorder="1" applyAlignment="1" applyProtection="1">
      <alignment horizontal="right" vertical="center" wrapText="1"/>
    </xf>
    <xf numFmtId="0" fontId="14" fillId="57" borderId="8" xfId="0" applyFont="1" applyFill="1" applyBorder="1" applyAlignment="1">
      <alignment horizontal="left" vertical="center"/>
    </xf>
    <xf numFmtId="166" fontId="14" fillId="56" borderId="68" xfId="8" applyFont="1" applyFill="1" applyBorder="1" applyAlignment="1" applyProtection="1">
      <alignment horizontal="right" vertical="center" wrapText="1"/>
    </xf>
    <xf numFmtId="0" fontId="14" fillId="57" borderId="90" xfId="0" applyFont="1" applyFill="1" applyBorder="1" applyAlignment="1">
      <alignment horizontal="center" vertical="top"/>
    </xf>
    <xf numFmtId="0" fontId="14" fillId="0" borderId="27" xfId="0" applyFont="1" applyBorder="1"/>
    <xf numFmtId="0" fontId="14" fillId="0" borderId="5" xfId="0" applyFont="1" applyBorder="1"/>
    <xf numFmtId="0" fontId="14" fillId="57" borderId="9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4" fillId="57" borderId="90" xfId="0" applyFont="1" applyFill="1" applyBorder="1" applyAlignment="1">
      <alignment horizontal="center" vertical="center"/>
    </xf>
    <xf numFmtId="0" fontId="14" fillId="57" borderId="57" xfId="0" applyFont="1" applyFill="1" applyBorder="1" applyAlignment="1">
      <alignment horizontal="center" vertical="center"/>
    </xf>
    <xf numFmtId="166" fontId="14" fillId="3" borderId="7" xfId="8" applyFont="1" applyFill="1" applyBorder="1" applyProtection="1"/>
    <xf numFmtId="0" fontId="21" fillId="0" borderId="66" xfId="0" applyFont="1" applyBorder="1" applyAlignment="1">
      <alignment horizontal="center" vertical="center"/>
    </xf>
    <xf numFmtId="4" fontId="14" fillId="0" borderId="0" xfId="8" applyNumberFormat="1" applyFont="1" applyFill="1" applyBorder="1" applyProtection="1"/>
    <xf numFmtId="0" fontId="21" fillId="0" borderId="91" xfId="0" applyFont="1" applyBorder="1" applyAlignment="1">
      <alignment horizontal="center" vertical="center"/>
    </xf>
    <xf numFmtId="3" fontId="14" fillId="0" borderId="2" xfId="8" applyNumberFormat="1" applyFont="1" applyFill="1" applyBorder="1" applyProtection="1"/>
    <xf numFmtId="3" fontId="0" fillId="0" borderId="2" xfId="8" applyNumberFormat="1" applyFont="1" applyBorder="1"/>
    <xf numFmtId="3" fontId="0" fillId="0" borderId="0" xfId="0" applyNumberFormat="1"/>
    <xf numFmtId="3" fontId="21" fillId="0" borderId="0" xfId="0" applyNumberFormat="1" applyFont="1" applyAlignment="1">
      <alignment horizontal="center" vertical="top" wrapText="1"/>
    </xf>
    <xf numFmtId="167" fontId="0" fillId="0" borderId="0" xfId="8" applyNumberFormat="1" applyFont="1"/>
    <xf numFmtId="3" fontId="0" fillId="0" borderId="0" xfId="8" applyNumberFormat="1" applyFont="1"/>
    <xf numFmtId="166" fontId="0" fillId="56" borderId="5" xfId="8" applyFont="1" applyFill="1" applyBorder="1" applyAlignment="1">
      <alignment horizontal="right" vertical="center" wrapText="1"/>
    </xf>
    <xf numFmtId="166" fontId="0" fillId="56" borderId="68" xfId="8" applyFont="1" applyFill="1" applyBorder="1" applyAlignment="1">
      <alignment horizontal="right" vertical="center" wrapText="1"/>
    </xf>
    <xf numFmtId="166" fontId="0" fillId="56" borderId="7" xfId="8" applyFont="1" applyFill="1" applyBorder="1"/>
    <xf numFmtId="0" fontId="0" fillId="0" borderId="0" xfId="0" applyAlignment="1">
      <alignment wrapText="1"/>
    </xf>
    <xf numFmtId="10" fontId="0" fillId="0" borderId="0" xfId="0" applyNumberFormat="1"/>
    <xf numFmtId="4" fontId="0" fillId="0" borderId="0" xfId="8" applyNumberFormat="1" applyFont="1"/>
    <xf numFmtId="10" fontId="0" fillId="0" borderId="0" xfId="8" applyNumberFormat="1" applyFont="1"/>
    <xf numFmtId="14" fontId="14" fillId="0" borderId="0" xfId="0" applyNumberFormat="1" applyFont="1" applyAlignment="1">
      <alignment horizontal="right"/>
    </xf>
    <xf numFmtId="3" fontId="21" fillId="0" borderId="30" xfId="0" applyNumberFormat="1" applyFont="1" applyBorder="1" applyAlignment="1">
      <alignment horizontal="center" vertical="top" wrapText="1"/>
    </xf>
    <xf numFmtId="3" fontId="21" fillId="0" borderId="94" xfId="0" applyNumberFormat="1" applyFont="1" applyBorder="1" applyAlignment="1">
      <alignment horizontal="center" vertical="top" wrapText="1"/>
    </xf>
    <xf numFmtId="3" fontId="21" fillId="0" borderId="64" xfId="0" applyNumberFormat="1" applyFont="1" applyBorder="1" applyAlignment="1">
      <alignment horizontal="center" vertical="top" wrapText="1"/>
    </xf>
    <xf numFmtId="0" fontId="14" fillId="0" borderId="6" xfId="0" quotePrefix="1" applyFont="1" applyBorder="1"/>
    <xf numFmtId="166" fontId="0" fillId="0" borderId="0" xfId="4" applyFont="1" applyBorder="1"/>
    <xf numFmtId="10" fontId="14" fillId="0" borderId="8" xfId="0" applyNumberFormat="1" applyFont="1" applyBorder="1"/>
    <xf numFmtId="10" fontId="14" fillId="0" borderId="10" xfId="0" applyNumberFormat="1" applyFont="1" applyBorder="1"/>
    <xf numFmtId="10" fontId="14" fillId="0" borderId="8" xfId="8" applyNumberFormat="1" applyFont="1" applyFill="1" applyBorder="1" applyProtection="1"/>
    <xf numFmtId="0" fontId="21" fillId="0" borderId="96" xfId="0" quotePrefix="1" applyFont="1" applyBorder="1" applyAlignment="1">
      <alignment horizontal="center" vertical="center" wrapText="1"/>
    </xf>
    <xf numFmtId="0" fontId="21" fillId="0" borderId="92" xfId="0" quotePrefix="1" applyFont="1" applyBorder="1" applyAlignment="1">
      <alignment horizontal="center" vertical="center" wrapText="1"/>
    </xf>
    <xf numFmtId="0" fontId="21" fillId="0" borderId="91" xfId="0" applyFont="1" applyBorder="1" applyAlignment="1">
      <alignment horizontal="center" vertical="center" wrapText="1"/>
    </xf>
    <xf numFmtId="166" fontId="14" fillId="58" borderId="56" xfId="8" applyFont="1" applyFill="1" applyBorder="1" applyProtection="1"/>
    <xf numFmtId="166" fontId="14" fillId="0" borderId="81" xfId="8" applyFont="1" applyFill="1" applyBorder="1" applyProtection="1"/>
    <xf numFmtId="166" fontId="14" fillId="3" borderId="56" xfId="8" applyFont="1" applyFill="1" applyBorder="1" applyProtection="1"/>
    <xf numFmtId="166" fontId="14" fillId="56" borderId="56" xfId="8" applyFont="1" applyFill="1" applyBorder="1" applyProtection="1"/>
    <xf numFmtId="166" fontId="14" fillId="58" borderId="56" xfId="4" applyFont="1" applyFill="1" applyBorder="1" applyProtection="1"/>
    <xf numFmtId="166" fontId="0" fillId="56" borderId="56" xfId="8" applyFont="1" applyFill="1" applyBorder="1"/>
    <xf numFmtId="0" fontId="14" fillId="0" borderId="6" xfId="0" quotePrefix="1" applyFont="1" applyBorder="1" applyAlignment="1">
      <alignment horizontal="left"/>
    </xf>
    <xf numFmtId="0" fontId="14" fillId="59" borderId="11" xfId="0" applyFont="1" applyFill="1" applyBorder="1"/>
    <xf numFmtId="4" fontId="0" fillId="0" borderId="0" xfId="0" applyNumberFormat="1"/>
    <xf numFmtId="166" fontId="14" fillId="58" borderId="57" xfId="4" applyFont="1" applyFill="1" applyBorder="1" applyProtection="1"/>
    <xf numFmtId="166" fontId="14" fillId="58" borderId="2" xfId="4" applyFont="1" applyFill="1" applyBorder="1" applyProtection="1"/>
    <xf numFmtId="0" fontId="21" fillId="0" borderId="27" xfId="0" quotePrefix="1" applyFont="1" applyBorder="1" applyAlignment="1">
      <alignment horizontal="center" vertical="center" wrapText="1"/>
    </xf>
    <xf numFmtId="166" fontId="14" fillId="58" borderId="2" xfId="8" applyFont="1" applyFill="1" applyBorder="1" applyProtection="1"/>
    <xf numFmtId="166" fontId="14" fillId="3" borderId="2" xfId="8" applyFont="1" applyFill="1" applyBorder="1" applyProtection="1"/>
    <xf numFmtId="166" fontId="14" fillId="56" borderId="2" xfId="8" applyFont="1" applyFill="1" applyBorder="1" applyProtection="1"/>
    <xf numFmtId="166" fontId="0" fillId="58" borderId="2" xfId="4" applyFont="1" applyFill="1" applyBorder="1"/>
    <xf numFmtId="166" fontId="0" fillId="56" borderId="2" xfId="8" applyFont="1" applyFill="1" applyBorder="1"/>
    <xf numFmtId="0" fontId="63" fillId="0" borderId="0" xfId="0" quotePrefix="1" applyFont="1" applyAlignment="1">
      <alignment horizontal="left"/>
    </xf>
    <xf numFmtId="3" fontId="64" fillId="0" borderId="0" xfId="0" applyNumberFormat="1" applyFont="1"/>
    <xf numFmtId="0" fontId="64" fillId="0" borderId="0" xfId="0" applyFont="1"/>
    <xf numFmtId="0" fontId="14" fillId="0" borderId="57" xfId="0" quotePrefix="1" applyFont="1" applyBorder="1" applyAlignment="1">
      <alignment horizontal="left" vertical="top" wrapText="1" indent="1"/>
    </xf>
    <xf numFmtId="0" fontId="14" fillId="0" borderId="57" xfId="0" applyFont="1" applyBorder="1" applyAlignment="1">
      <alignment horizontal="left" vertical="top" wrapText="1" indent="1"/>
    </xf>
    <xf numFmtId="0" fontId="14" fillId="3" borderId="58" xfId="0" applyFont="1" applyFill="1" applyBorder="1" applyAlignment="1">
      <alignment horizontal="center" vertical="top" wrapText="1"/>
    </xf>
    <xf numFmtId="0" fontId="14" fillId="0" borderId="56" xfId="0" quotePrefix="1" applyFont="1" applyBorder="1" applyAlignment="1">
      <alignment horizontal="left" vertical="top" wrapText="1" indent="1"/>
    </xf>
    <xf numFmtId="3" fontId="0" fillId="0" borderId="0" xfId="8" applyNumberFormat="1" applyFont="1" applyBorder="1"/>
    <xf numFmtId="3" fontId="14" fillId="0" borderId="58" xfId="8" applyNumberFormat="1" applyFont="1" applyFill="1" applyBorder="1" applyProtection="1"/>
    <xf numFmtId="3" fontId="0" fillId="0" borderId="58" xfId="8" applyNumberFormat="1" applyFont="1" applyBorder="1"/>
    <xf numFmtId="3" fontId="21" fillId="0" borderId="25" xfId="0" applyNumberFormat="1" applyFont="1" applyBorder="1"/>
    <xf numFmtId="3" fontId="21" fillId="0" borderId="69" xfId="0" applyNumberFormat="1" applyFont="1" applyBorder="1"/>
    <xf numFmtId="3" fontId="14" fillId="0" borderId="26" xfId="8" applyNumberFormat="1" applyFont="1" applyFill="1" applyBorder="1" applyProtection="1"/>
    <xf numFmtId="3" fontId="14" fillId="0" borderId="60" xfId="8" applyNumberFormat="1" applyFont="1" applyFill="1" applyBorder="1" applyProtection="1"/>
    <xf numFmtId="3" fontId="21" fillId="0" borderId="65" xfId="0" applyNumberFormat="1" applyFont="1" applyBorder="1" applyAlignment="1">
      <alignment horizontal="center" vertical="top" wrapText="1"/>
    </xf>
    <xf numFmtId="3" fontId="0" fillId="0" borderId="30" xfId="8" applyNumberFormat="1" applyFont="1" applyBorder="1"/>
    <xf numFmtId="3" fontId="0" fillId="0" borderId="94" xfId="8" applyNumberFormat="1" applyFont="1" applyBorder="1"/>
    <xf numFmtId="3" fontId="0" fillId="0" borderId="26" xfId="8" applyNumberFormat="1" applyFont="1" applyBorder="1"/>
    <xf numFmtId="3" fontId="0" fillId="0" borderId="60" xfId="8" applyNumberFormat="1" applyFont="1" applyBorder="1"/>
    <xf numFmtId="166" fontId="21" fillId="57" borderId="55" xfId="0" applyNumberFormat="1" applyFont="1" applyFill="1" applyBorder="1" applyAlignment="1">
      <alignment horizontal="left"/>
    </xf>
    <xf numFmtId="166" fontId="21" fillId="57" borderId="61" xfId="0" applyNumberFormat="1" applyFont="1" applyFill="1" applyBorder="1" applyAlignment="1">
      <alignment horizontal="left"/>
    </xf>
    <xf numFmtId="3" fontId="14" fillId="3" borderId="82" xfId="4" applyNumberFormat="1" applyFont="1" applyFill="1" applyBorder="1" applyProtection="1"/>
    <xf numFmtId="3" fontId="14" fillId="56" borderId="82" xfId="8" applyNumberFormat="1" applyFont="1" applyFill="1" applyBorder="1" applyProtection="1"/>
    <xf numFmtId="3" fontId="14" fillId="58" borderId="56" xfId="8" applyNumberFormat="1" applyFont="1" applyFill="1" applyBorder="1" applyProtection="1"/>
    <xf numFmtId="3" fontId="14" fillId="58" borderId="82" xfId="4" applyNumberFormat="1" applyFont="1" applyFill="1" applyBorder="1" applyProtection="1"/>
    <xf numFmtId="3" fontId="0" fillId="58" borderId="56" xfId="8" applyNumberFormat="1" applyFont="1" applyFill="1" applyBorder="1"/>
    <xf numFmtId="3" fontId="0" fillId="58" borderId="82" xfId="4" applyNumberFormat="1" applyFont="1" applyFill="1" applyBorder="1"/>
    <xf numFmtId="3" fontId="0" fillId="56" borderId="56" xfId="8" applyNumberFormat="1" applyFont="1" applyFill="1" applyBorder="1"/>
    <xf numFmtId="3" fontId="0" fillId="56" borderId="82" xfId="8" applyNumberFormat="1" applyFont="1" applyFill="1" applyBorder="1"/>
    <xf numFmtId="3" fontId="0" fillId="56" borderId="81" xfId="1153" applyNumberFormat="1" applyFont="1" applyFill="1" applyBorder="1"/>
    <xf numFmtId="3" fontId="21" fillId="0" borderId="83" xfId="0" applyNumberFormat="1" applyFont="1" applyBorder="1"/>
    <xf numFmtId="3" fontId="14" fillId="58" borderId="7" xfId="8" applyNumberFormat="1" applyFont="1" applyFill="1" applyBorder="1" applyProtection="1"/>
    <xf numFmtId="3" fontId="14" fillId="3" borderId="56" xfId="8" applyNumberFormat="1" applyFont="1" applyFill="1" applyBorder="1" applyProtection="1"/>
    <xf numFmtId="3" fontId="14" fillId="3" borderId="7" xfId="8" applyNumberFormat="1" applyFont="1" applyFill="1" applyBorder="1" applyProtection="1"/>
    <xf numFmtId="3" fontId="14" fillId="56" borderId="57" xfId="8" applyNumberFormat="1" applyFont="1" applyFill="1" applyBorder="1" applyProtection="1"/>
    <xf numFmtId="3" fontId="14" fillId="56" borderId="2" xfId="8" applyNumberFormat="1" applyFont="1" applyFill="1" applyBorder="1" applyProtection="1"/>
    <xf numFmtId="3" fontId="14" fillId="56" borderId="7" xfId="8" applyNumberFormat="1" applyFont="1" applyFill="1" applyBorder="1" applyProtection="1"/>
    <xf numFmtId="3" fontId="14" fillId="58" borderId="57" xfId="8" applyNumberFormat="1" applyFont="1" applyFill="1" applyBorder="1" applyProtection="1"/>
    <xf numFmtId="3" fontId="14" fillId="58" borderId="2" xfId="8" applyNumberFormat="1" applyFont="1" applyFill="1" applyBorder="1" applyProtection="1"/>
    <xf numFmtId="3" fontId="14" fillId="58" borderId="57" xfId="4" applyNumberFormat="1" applyFont="1" applyFill="1" applyBorder="1" applyProtection="1"/>
    <xf numFmtId="3" fontId="14" fillId="58" borderId="2" xfId="4" applyNumberFormat="1" applyFont="1" applyFill="1" applyBorder="1" applyProtection="1"/>
    <xf numFmtId="3" fontId="0" fillId="58" borderId="2" xfId="4" applyNumberFormat="1" applyFont="1" applyFill="1" applyBorder="1"/>
    <xf numFmtId="3" fontId="0" fillId="56" borderId="7" xfId="8" applyNumberFormat="1" applyFont="1" applyFill="1" applyBorder="1"/>
    <xf numFmtId="3" fontId="0" fillId="56" borderId="2" xfId="8" applyNumberFormat="1" applyFont="1" applyFill="1" applyBorder="1"/>
    <xf numFmtId="3" fontId="0" fillId="58" borderId="57" xfId="8" applyNumberFormat="1" applyFont="1" applyFill="1" applyBorder="1"/>
    <xf numFmtId="3" fontId="0" fillId="58" borderId="2" xfId="8" applyNumberFormat="1" applyFont="1" applyFill="1" applyBorder="1"/>
    <xf numFmtId="3" fontId="0" fillId="58" borderId="6" xfId="8" applyNumberFormat="1" applyFont="1" applyFill="1" applyBorder="1"/>
    <xf numFmtId="3" fontId="14" fillId="0" borderId="72" xfId="8" applyNumberFormat="1" applyFont="1" applyFill="1" applyBorder="1" applyProtection="1"/>
    <xf numFmtId="0" fontId="14" fillId="3" borderId="8" xfId="0" applyFont="1" applyFill="1" applyBorder="1" applyAlignment="1">
      <alignment horizontal="center" vertical="top" wrapText="1"/>
    </xf>
    <xf numFmtId="166" fontId="0" fillId="0" borderId="0" xfId="8" applyFont="1"/>
    <xf numFmtId="166" fontId="22" fillId="0" borderId="0" xfId="8" applyFont="1"/>
    <xf numFmtId="166" fontId="21" fillId="0" borderId="0" xfId="8" applyFont="1"/>
    <xf numFmtId="166" fontId="14" fillId="58" borderId="81" xfId="8" applyFont="1" applyFill="1" applyBorder="1" applyAlignment="1">
      <alignment vertical="top" wrapText="1"/>
    </xf>
    <xf numFmtId="166" fontId="14" fillId="58" borderId="57" xfId="8" applyFont="1" applyFill="1" applyBorder="1" applyAlignment="1">
      <alignment vertical="top" wrapText="1"/>
    </xf>
    <xf numFmtId="166" fontId="14" fillId="58" borderId="82" xfId="8" applyFont="1" applyFill="1" applyBorder="1" applyAlignment="1">
      <alignment vertical="top" wrapText="1"/>
    </xf>
    <xf numFmtId="166" fontId="14" fillId="58" borderId="82" xfId="8" applyFont="1" applyFill="1" applyBorder="1" applyAlignment="1" applyProtection="1">
      <alignment vertical="top" wrapText="1"/>
    </xf>
    <xf numFmtId="166" fontId="14" fillId="3" borderId="81" xfId="8" applyFont="1" applyFill="1" applyBorder="1" applyAlignment="1">
      <alignment vertical="top" wrapText="1"/>
    </xf>
    <xf numFmtId="166" fontId="14" fillId="3" borderId="57" xfId="8" applyFont="1" applyFill="1" applyBorder="1" applyAlignment="1">
      <alignment vertical="top" wrapText="1"/>
    </xf>
    <xf numFmtId="166" fontId="14" fillId="3" borderId="82" xfId="8" applyFont="1" applyFill="1" applyBorder="1" applyAlignment="1">
      <alignment vertical="top" wrapText="1"/>
    </xf>
    <xf numFmtId="166" fontId="14" fillId="3" borderId="82" xfId="8" applyFont="1" applyFill="1" applyBorder="1" applyAlignment="1" applyProtection="1">
      <alignment vertical="top" wrapText="1"/>
    </xf>
    <xf numFmtId="166" fontId="14" fillId="57" borderId="82" xfId="8" applyFont="1" applyFill="1" applyBorder="1" applyAlignment="1" applyProtection="1">
      <alignment vertical="top" wrapText="1"/>
    </xf>
    <xf numFmtId="166" fontId="14" fillId="56" borderId="81" xfId="8" applyFont="1" applyFill="1" applyBorder="1" applyAlignment="1">
      <alignment vertical="top" wrapText="1"/>
    </xf>
    <xf numFmtId="166" fontId="14" fillId="56" borderId="57" xfId="8" applyFont="1" applyFill="1" applyBorder="1" applyAlignment="1">
      <alignment vertical="top" wrapText="1"/>
    </xf>
    <xf numFmtId="166" fontId="14" fillId="56" borderId="82" xfId="8" applyFont="1" applyFill="1" applyBorder="1" applyAlignment="1">
      <alignment vertical="top" wrapText="1"/>
    </xf>
    <xf numFmtId="166" fontId="14" fillId="56" borderId="82" xfId="8" applyFont="1" applyFill="1" applyBorder="1" applyAlignment="1" applyProtection="1">
      <alignment vertical="top" wrapText="1"/>
    </xf>
    <xf numFmtId="166" fontId="0" fillId="58" borderId="82" xfId="8" applyFont="1" applyFill="1" applyBorder="1" applyAlignment="1">
      <alignment vertical="top" wrapText="1"/>
    </xf>
    <xf numFmtId="166" fontId="0" fillId="57" borderId="82" xfId="8" applyFont="1" applyFill="1" applyBorder="1" applyAlignment="1">
      <alignment vertical="top" wrapText="1"/>
    </xf>
    <xf numFmtId="166" fontId="14" fillId="0" borderId="0" xfId="8" applyFont="1"/>
    <xf numFmtId="166" fontId="21" fillId="0" borderId="102" xfId="8" applyFont="1" applyBorder="1" applyAlignment="1">
      <alignment horizontal="center" vertical="top" wrapText="1"/>
    </xf>
    <xf numFmtId="166" fontId="21" fillId="0" borderId="64" xfId="8" applyFont="1" applyBorder="1" applyAlignment="1">
      <alignment horizontal="center" vertical="top" wrapText="1"/>
    </xf>
    <xf numFmtId="166" fontId="14" fillId="58" borderId="6" xfId="8" applyFont="1" applyFill="1" applyBorder="1"/>
    <xf numFmtId="166" fontId="14" fillId="58" borderId="2" xfId="8" applyFont="1" applyFill="1" applyBorder="1"/>
    <xf numFmtId="166" fontId="14" fillId="3" borderId="6" xfId="8" applyFont="1" applyFill="1" applyBorder="1"/>
    <xf numFmtId="166" fontId="14" fillId="3" borderId="2" xfId="8" applyFont="1" applyFill="1" applyBorder="1"/>
    <xf numFmtId="166" fontId="14" fillId="56" borderId="6" xfId="8" applyFont="1" applyFill="1" applyBorder="1"/>
    <xf numFmtId="166" fontId="14" fillId="56" borderId="2" xfId="8" applyFont="1" applyFill="1" applyBorder="1"/>
    <xf numFmtId="166" fontId="14" fillId="58" borderId="104" xfId="8" applyFont="1" applyFill="1" applyBorder="1"/>
    <xf numFmtId="166" fontId="14" fillId="58" borderId="26" xfId="8" applyFont="1" applyFill="1" applyBorder="1"/>
    <xf numFmtId="166" fontId="21" fillId="0" borderId="74" xfId="8" applyFont="1" applyBorder="1"/>
    <xf numFmtId="166" fontId="21" fillId="0" borderId="105" xfId="8" applyFont="1" applyBorder="1"/>
    <xf numFmtId="166" fontId="21" fillId="0" borderId="60" xfId="8" applyFont="1" applyBorder="1"/>
    <xf numFmtId="166" fontId="14" fillId="58" borderId="28" xfId="8" applyFont="1" applyFill="1" applyBorder="1"/>
    <xf numFmtId="166" fontId="14" fillId="58" borderId="30" xfId="8" applyFont="1" applyFill="1" applyBorder="1"/>
    <xf numFmtId="166" fontId="14" fillId="58" borderId="94" xfId="8" applyFont="1" applyFill="1" applyBorder="1"/>
    <xf numFmtId="166" fontId="0" fillId="56" borderId="6" xfId="8" applyFont="1" applyFill="1" applyBorder="1"/>
    <xf numFmtId="166" fontId="14" fillId="58" borderId="57" xfId="8" applyFont="1" applyFill="1" applyBorder="1"/>
    <xf numFmtId="166" fontId="14" fillId="56" borderId="58" xfId="8" applyFont="1" applyFill="1" applyBorder="1"/>
    <xf numFmtId="166" fontId="14" fillId="56" borderId="57" xfId="8" applyFont="1" applyFill="1" applyBorder="1"/>
    <xf numFmtId="166" fontId="14" fillId="58" borderId="0" xfId="8" applyFont="1" applyFill="1" applyBorder="1"/>
    <xf numFmtId="166" fontId="0" fillId="58" borderId="2" xfId="8" applyFont="1" applyFill="1" applyBorder="1"/>
    <xf numFmtId="166" fontId="0" fillId="56" borderId="58" xfId="8" applyFont="1" applyFill="1" applyBorder="1"/>
    <xf numFmtId="166" fontId="0" fillId="56" borderId="57" xfId="8" applyFont="1" applyFill="1" applyBorder="1"/>
    <xf numFmtId="166" fontId="14" fillId="0" borderId="0" xfId="8" applyFont="1" applyAlignment="1">
      <alignment vertical="top"/>
    </xf>
    <xf numFmtId="166" fontId="14" fillId="58" borderId="90" xfId="8" applyFont="1" applyFill="1" applyBorder="1"/>
    <xf numFmtId="166" fontId="14" fillId="0" borderId="0" xfId="8" applyFont="1" applyFill="1" applyBorder="1" applyAlignment="1">
      <alignment horizontal="left" vertical="top" wrapText="1"/>
    </xf>
    <xf numFmtId="166" fontId="0" fillId="58" borderId="81" xfId="8" applyFont="1" applyFill="1" applyBorder="1"/>
    <xf numFmtId="166" fontId="21" fillId="0" borderId="26" xfId="8" applyFont="1" applyBorder="1"/>
    <xf numFmtId="166" fontId="21" fillId="0" borderId="28" xfId="8" applyFont="1" applyBorder="1" applyAlignment="1">
      <alignment horizontal="center" vertical="top" wrapText="1"/>
    </xf>
    <xf numFmtId="166" fontId="21" fillId="0" borderId="30" xfId="8" applyFont="1" applyBorder="1" applyAlignment="1">
      <alignment horizontal="center" vertical="top" wrapText="1"/>
    </xf>
    <xf numFmtId="166" fontId="21" fillId="0" borderId="94" xfId="8" applyFont="1" applyBorder="1" applyAlignment="1">
      <alignment horizontal="center" vertical="top" wrapText="1"/>
    </xf>
    <xf numFmtId="166" fontId="14" fillId="58" borderId="94" xfId="8" applyFont="1" applyFill="1" applyBorder="1" applyProtection="1"/>
    <xf numFmtId="166" fontId="14" fillId="58" borderId="58" xfId="8" applyFont="1" applyFill="1" applyBorder="1" applyProtection="1"/>
    <xf numFmtId="166" fontId="14" fillId="58" borderId="26" xfId="8" applyFont="1" applyFill="1" applyBorder="1" applyProtection="1"/>
    <xf numFmtId="166" fontId="14" fillId="58" borderId="60" xfId="8" applyFont="1" applyFill="1" applyBorder="1" applyProtection="1"/>
    <xf numFmtId="166" fontId="17" fillId="0" borderId="60" xfId="8" applyFont="1" applyBorder="1"/>
    <xf numFmtId="166" fontId="0" fillId="58" borderId="26" xfId="8" applyFont="1" applyFill="1" applyBorder="1"/>
    <xf numFmtId="166" fontId="0" fillId="58" borderId="80" xfId="8" applyFont="1" applyFill="1" applyBorder="1"/>
    <xf numFmtId="166" fontId="21" fillId="0" borderId="61" xfId="8" applyFont="1" applyBorder="1"/>
    <xf numFmtId="166" fontId="21" fillId="0" borderId="79" xfId="8" applyFont="1" applyBorder="1"/>
    <xf numFmtId="166" fontId="21" fillId="0" borderId="64" xfId="8" applyFont="1" applyBorder="1"/>
    <xf numFmtId="166" fontId="21" fillId="0" borderId="65" xfId="8" applyFont="1" applyBorder="1"/>
    <xf numFmtId="166" fontId="21" fillId="0" borderId="64" xfId="8" applyFont="1" applyBorder="1" applyAlignment="1">
      <alignment horizontal="center" vertical="center" wrapText="1"/>
    </xf>
    <xf numFmtId="166" fontId="21" fillId="0" borderId="65" xfId="8" applyFont="1" applyBorder="1" applyAlignment="1">
      <alignment horizontal="center" vertical="center" wrapText="1"/>
    </xf>
    <xf numFmtId="166" fontId="14" fillId="3" borderId="27" xfId="8" applyFont="1" applyFill="1" applyBorder="1" applyAlignment="1" applyProtection="1">
      <alignment horizontal="right" vertical="center" wrapText="1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 wrapText="1"/>
    </xf>
    <xf numFmtId="166" fontId="14" fillId="0" borderId="0" xfId="8" applyFont="1" applyBorder="1"/>
    <xf numFmtId="0" fontId="14" fillId="57" borderId="10" xfId="0" applyFont="1" applyFill="1" applyBorder="1" applyAlignment="1">
      <alignment horizontal="left" vertical="center"/>
    </xf>
    <xf numFmtId="0" fontId="14" fillId="59" borderId="106" xfId="0" applyFont="1" applyFill="1" applyBorder="1"/>
    <xf numFmtId="166" fontId="14" fillId="56" borderId="11" xfId="8" applyFont="1" applyFill="1" applyBorder="1" applyAlignment="1" applyProtection="1">
      <alignment horizontal="right" vertical="center" wrapText="1"/>
    </xf>
    <xf numFmtId="14" fontId="0" fillId="0" borderId="0" xfId="8" applyNumberFormat="1" applyFont="1"/>
    <xf numFmtId="166" fontId="14" fillId="58" borderId="11" xfId="8" applyFont="1" applyFill="1" applyBorder="1"/>
    <xf numFmtId="166" fontId="0" fillId="58" borderId="56" xfId="8" applyFont="1" applyFill="1" applyBorder="1"/>
    <xf numFmtId="166" fontId="14" fillId="58" borderId="107" xfId="8" applyFont="1" applyFill="1" applyBorder="1"/>
    <xf numFmtId="166" fontId="14" fillId="58" borderId="7" xfId="8" applyFont="1" applyFill="1" applyBorder="1"/>
    <xf numFmtId="166" fontId="0" fillId="58" borderId="0" xfId="8" applyFont="1" applyFill="1" applyBorder="1"/>
    <xf numFmtId="166" fontId="14" fillId="58" borderId="76" xfId="8" applyFont="1" applyFill="1" applyBorder="1"/>
    <xf numFmtId="166" fontId="14" fillId="58" borderId="108" xfId="8" applyFont="1" applyFill="1" applyBorder="1"/>
    <xf numFmtId="166" fontId="0" fillId="58" borderId="78" xfId="8" applyFont="1" applyFill="1" applyBorder="1"/>
    <xf numFmtId="166" fontId="14" fillId="56" borderId="7" xfId="8" applyFont="1" applyFill="1" applyBorder="1"/>
    <xf numFmtId="166" fontId="21" fillId="0" borderId="55" xfId="8" applyFont="1" applyBorder="1"/>
    <xf numFmtId="166" fontId="21" fillId="0" borderId="59" xfId="8" applyFont="1" applyBorder="1"/>
    <xf numFmtId="10" fontId="14" fillId="0" borderId="109" xfId="8" applyNumberFormat="1" applyFont="1" applyFill="1" applyBorder="1" applyProtection="1"/>
    <xf numFmtId="0" fontId="14" fillId="0" borderId="0" xfId="0" applyFont="1" applyAlignment="1">
      <alignment wrapText="1"/>
    </xf>
    <xf numFmtId="0" fontId="21" fillId="0" borderId="0" xfId="0" applyFont="1" applyAlignment="1">
      <alignment horizontal="center" vertical="center"/>
    </xf>
    <xf numFmtId="3" fontId="14" fillId="0" borderId="0" xfId="4" applyNumberFormat="1" applyFont="1" applyFill="1" applyBorder="1" applyProtection="1"/>
    <xf numFmtId="0" fontId="19" fillId="0" borderId="101" xfId="0" quotePrefix="1" applyFont="1" applyBorder="1" applyAlignment="1">
      <alignment horizontal="left"/>
    </xf>
    <xf numFmtId="0" fontId="21" fillId="0" borderId="70" xfId="0" applyFont="1" applyBorder="1" applyAlignment="1">
      <alignment horizontal="center" vertical="center"/>
    </xf>
    <xf numFmtId="0" fontId="14" fillId="0" borderId="82" xfId="0" quotePrefix="1" applyFont="1" applyBorder="1"/>
    <xf numFmtId="166" fontId="21" fillId="0" borderId="56" xfId="8" applyFont="1" applyBorder="1" applyAlignment="1">
      <alignment horizontal="center" vertical="top" wrapText="1"/>
    </xf>
    <xf numFmtId="166" fontId="21" fillId="0" borderId="0" xfId="8" applyFont="1" applyBorder="1" applyAlignment="1">
      <alignment horizontal="center" vertical="top" wrapText="1"/>
    </xf>
    <xf numFmtId="166" fontId="17" fillId="0" borderId="0" xfId="8" applyFont="1" applyBorder="1"/>
    <xf numFmtId="166" fontId="21" fillId="0" borderId="0" xfId="8" applyFont="1" applyBorder="1"/>
    <xf numFmtId="0" fontId="0" fillId="0" borderId="0" xfId="0" applyAlignment="1">
      <alignment vertical="center"/>
    </xf>
    <xf numFmtId="0" fontId="21" fillId="0" borderId="0" xfId="0" applyFont="1" applyAlignment="1">
      <alignment horizontal="center" vertical="center" wrapText="1"/>
    </xf>
    <xf numFmtId="0" fontId="25" fillId="0" borderId="66" xfId="15" applyFont="1" applyBorder="1" applyAlignment="1">
      <alignment horizontal="left" vertical="top" wrapText="1"/>
    </xf>
    <xf numFmtId="0" fontId="25" fillId="0" borderId="67" xfId="15" applyFont="1" applyBorder="1" applyAlignment="1">
      <alignment horizontal="center" vertical="top" wrapText="1"/>
    </xf>
    <xf numFmtId="3" fontId="25" fillId="58" borderId="75" xfId="8" applyNumberFormat="1" applyFont="1" applyFill="1" applyBorder="1" applyAlignment="1">
      <alignment horizontal="right" vertical="center"/>
    </xf>
    <xf numFmtId="3" fontId="25" fillId="58" borderId="67" xfId="8" applyNumberFormat="1" applyFont="1" applyFill="1" applyBorder="1" applyAlignment="1">
      <alignment horizontal="right" vertical="center"/>
    </xf>
    <xf numFmtId="3" fontId="14" fillId="58" borderId="66" xfId="8" applyNumberFormat="1" applyFont="1" applyFill="1" applyBorder="1" applyAlignment="1">
      <alignment horizontal="right" vertical="center"/>
    </xf>
    <xf numFmtId="3" fontId="14" fillId="58" borderId="67" xfId="8" applyNumberFormat="1" applyFont="1" applyFill="1" applyBorder="1" applyAlignment="1">
      <alignment horizontal="right" vertical="center"/>
    </xf>
    <xf numFmtId="3" fontId="25" fillId="58" borderId="66" xfId="8" applyNumberFormat="1" applyFont="1" applyFill="1" applyBorder="1" applyAlignment="1">
      <alignment horizontal="right" vertical="center"/>
    </xf>
    <xf numFmtId="0" fontId="25" fillId="0" borderId="110" xfId="15" applyFont="1" applyBorder="1" applyAlignment="1">
      <alignment horizontal="left" vertical="top" wrapText="1"/>
    </xf>
    <xf numFmtId="0" fontId="25" fillId="0" borderId="68" xfId="15" applyFont="1" applyBorder="1" applyAlignment="1">
      <alignment horizontal="center" vertical="top" wrapText="1"/>
    </xf>
    <xf numFmtId="3" fontId="25" fillId="58" borderId="4" xfId="8" applyNumberFormat="1" applyFont="1" applyFill="1" applyBorder="1" applyAlignment="1">
      <alignment horizontal="right" vertical="center"/>
    </xf>
    <xf numFmtId="3" fontId="25" fillId="58" borderId="68" xfId="8" applyNumberFormat="1" applyFont="1" applyFill="1" applyBorder="1" applyAlignment="1">
      <alignment horizontal="right" vertical="center"/>
    </xf>
    <xf numFmtId="3" fontId="14" fillId="58" borderId="110" xfId="8" applyNumberFormat="1" applyFont="1" applyFill="1" applyBorder="1" applyAlignment="1">
      <alignment horizontal="right" vertical="center"/>
    </xf>
    <xf numFmtId="3" fontId="14" fillId="58" borderId="68" xfId="8" applyNumberFormat="1" applyFont="1" applyFill="1" applyBorder="1" applyAlignment="1">
      <alignment horizontal="right" vertical="center"/>
    </xf>
    <xf numFmtId="3" fontId="25" fillId="58" borderId="110" xfId="8" applyNumberFormat="1" applyFont="1" applyFill="1" applyBorder="1" applyAlignment="1">
      <alignment horizontal="right" vertical="center"/>
    </xf>
    <xf numFmtId="0" fontId="25" fillId="0" borderId="110" xfId="15" applyFont="1" applyBorder="1" applyAlignment="1">
      <alignment vertical="top" wrapText="1"/>
    </xf>
    <xf numFmtId="0" fontId="25" fillId="0" borderId="103" xfId="15" applyFont="1" applyBorder="1" applyAlignment="1">
      <alignment vertical="top" wrapText="1"/>
    </xf>
    <xf numFmtId="0" fontId="25" fillId="0" borderId="69" xfId="15" applyFont="1" applyBorder="1" applyAlignment="1">
      <alignment horizontal="center" vertical="top" wrapText="1"/>
    </xf>
    <xf numFmtId="0" fontId="25" fillId="0" borderId="66" xfId="15" applyFont="1" applyBorder="1" applyAlignment="1">
      <alignment vertical="top" wrapText="1"/>
    </xf>
    <xf numFmtId="3" fontId="14" fillId="61" borderId="103" xfId="8" applyNumberFormat="1" applyFont="1" applyFill="1" applyBorder="1" applyAlignment="1">
      <alignment horizontal="right" vertical="center"/>
    </xf>
    <xf numFmtId="0" fontId="14" fillId="0" borderId="110" xfId="15" applyBorder="1" applyAlignment="1">
      <alignment vertical="top" wrapText="1"/>
    </xf>
    <xf numFmtId="3" fontId="61" fillId="61" borderId="66" xfId="8" applyNumberFormat="1" applyFont="1" applyFill="1" applyBorder="1" applyAlignment="1">
      <alignment horizontal="right" vertical="center"/>
    </xf>
    <xf numFmtId="3" fontId="14" fillId="61" borderId="66" xfId="8" applyNumberFormat="1" applyFont="1" applyFill="1" applyBorder="1" applyAlignment="1">
      <alignment horizontal="right" vertical="center"/>
    </xf>
    <xf numFmtId="3" fontId="14" fillId="0" borderId="110" xfId="8" applyNumberFormat="1" applyFont="1" applyFill="1" applyBorder="1" applyAlignment="1">
      <alignment horizontal="right" vertical="center"/>
    </xf>
    <xf numFmtId="0" fontId="25" fillId="0" borderId="86" xfId="15" applyFont="1" applyBorder="1" applyAlignment="1">
      <alignment vertical="top" wrapText="1"/>
    </xf>
    <xf numFmtId="0" fontId="25" fillId="0" borderId="77" xfId="15" applyFont="1" applyBorder="1" applyAlignment="1">
      <alignment horizontal="center" vertical="top" wrapText="1"/>
    </xf>
    <xf numFmtId="3" fontId="61" fillId="61" borderId="103" xfId="8" applyNumberFormat="1" applyFont="1" applyFill="1" applyBorder="1" applyAlignment="1">
      <alignment horizontal="right" vertical="center"/>
    </xf>
    <xf numFmtId="3" fontId="61" fillId="61" borderId="29" xfId="8" applyNumberFormat="1" applyFont="1" applyFill="1" applyBorder="1" applyAlignment="1">
      <alignment horizontal="right" vertical="center"/>
    </xf>
    <xf numFmtId="0" fontId="25" fillId="0" borderId="95" xfId="15" applyFont="1" applyBorder="1" applyAlignment="1">
      <alignment vertical="top" wrapText="1"/>
    </xf>
    <xf numFmtId="0" fontId="25" fillId="0" borderId="72" xfId="15" applyFont="1" applyBorder="1" applyAlignment="1">
      <alignment horizontal="center" vertical="top" wrapText="1"/>
    </xf>
    <xf numFmtId="0" fontId="14" fillId="61" borderId="78" xfId="15" applyFill="1" applyBorder="1" applyAlignment="1">
      <alignment vertical="center"/>
    </xf>
    <xf numFmtId="0" fontId="65" fillId="61" borderId="74" xfId="15" quotePrefix="1" applyFont="1" applyFill="1" applyBorder="1" applyAlignment="1">
      <alignment horizontal="right" vertical="center" wrapText="1"/>
    </xf>
    <xf numFmtId="4" fontId="14" fillId="0" borderId="69" xfId="8" applyNumberFormat="1" applyFont="1" applyFill="1" applyBorder="1" applyAlignment="1">
      <alignment horizontal="right" vertical="center"/>
    </xf>
    <xf numFmtId="4" fontId="14" fillId="0" borderId="67" xfId="8" applyNumberFormat="1" applyFont="1" applyFill="1" applyBorder="1" applyAlignment="1">
      <alignment horizontal="right" vertical="center"/>
    </xf>
    <xf numFmtId="3" fontId="14" fillId="0" borderId="103" xfId="8" applyNumberFormat="1" applyFont="1" applyFill="1" applyBorder="1" applyAlignment="1">
      <alignment horizontal="right" vertical="center"/>
    </xf>
    <xf numFmtId="4" fontId="14" fillId="0" borderId="65" xfId="8" applyNumberFormat="1" applyFont="1" applyFill="1" applyBorder="1" applyAlignment="1">
      <alignment horizontal="right" vertical="center"/>
    </xf>
    <xf numFmtId="0" fontId="14" fillId="0" borderId="66" xfId="15" applyBorder="1" applyAlignment="1">
      <alignment vertical="top" wrapText="1"/>
    </xf>
    <xf numFmtId="3" fontId="61" fillId="61" borderId="75" xfId="8" applyNumberFormat="1" applyFont="1" applyFill="1" applyBorder="1" applyAlignment="1">
      <alignment horizontal="right" vertical="center"/>
    </xf>
    <xf numFmtId="0" fontId="25" fillId="0" borderId="63" xfId="15" applyFont="1" applyBorder="1" applyAlignment="1">
      <alignment vertical="top" wrapText="1"/>
    </xf>
    <xf numFmtId="0" fontId="25" fillId="0" borderId="65" xfId="15" applyFont="1" applyBorder="1" applyAlignment="1">
      <alignment horizontal="center" vertical="top" wrapText="1"/>
    </xf>
    <xf numFmtId="3" fontId="61" fillId="61" borderId="102" xfId="8" applyNumberFormat="1" applyFont="1" applyFill="1" applyBorder="1" applyAlignment="1">
      <alignment horizontal="right" vertical="center"/>
    </xf>
    <xf numFmtId="3" fontId="14" fillId="61" borderId="63" xfId="8" applyNumberFormat="1" applyFont="1" applyFill="1" applyBorder="1" applyAlignment="1">
      <alignment horizontal="right" vertical="center"/>
    </xf>
    <xf numFmtId="3" fontId="61" fillId="61" borderId="63" xfId="8" applyNumberFormat="1" applyFont="1" applyFill="1" applyBorder="1" applyAlignment="1">
      <alignment horizontal="right" vertical="center"/>
    </xf>
    <xf numFmtId="0" fontId="14" fillId="0" borderId="110" xfId="0" applyFont="1" applyBorder="1" applyAlignment="1">
      <alignment vertical="top" wrapText="1"/>
    </xf>
    <xf numFmtId="0" fontId="14" fillId="0" borderId="110" xfId="15" applyBorder="1" applyAlignment="1">
      <alignment wrapText="1"/>
    </xf>
    <xf numFmtId="0" fontId="14" fillId="0" borderId="103" xfId="15" applyBorder="1" applyAlignment="1">
      <alignment vertical="top" wrapText="1"/>
    </xf>
    <xf numFmtId="3" fontId="25" fillId="58" borderId="91" xfId="8" applyNumberFormat="1" applyFont="1" applyFill="1" applyBorder="1" applyAlignment="1">
      <alignment horizontal="right" vertical="center"/>
    </xf>
    <xf numFmtId="3" fontId="25" fillId="58" borderId="112" xfId="8" applyNumberFormat="1" applyFont="1" applyFill="1" applyBorder="1" applyAlignment="1">
      <alignment horizontal="right" vertical="center"/>
    </xf>
    <xf numFmtId="3" fontId="25" fillId="58" borderId="70" xfId="8" applyNumberFormat="1" applyFont="1" applyFill="1" applyBorder="1" applyAlignment="1">
      <alignment horizontal="right" vertical="center"/>
    </xf>
    <xf numFmtId="3" fontId="25" fillId="58" borderId="113" xfId="8" applyNumberFormat="1" applyFont="1" applyFill="1" applyBorder="1" applyAlignment="1">
      <alignment horizontal="right" vertical="center"/>
    </xf>
    <xf numFmtId="0" fontId="25" fillId="0" borderId="86" xfId="15" applyFont="1" applyBorder="1" applyAlignment="1">
      <alignment horizontal="left" vertical="top" wrapText="1"/>
    </xf>
    <xf numFmtId="3" fontId="25" fillId="58" borderId="89" xfId="8" applyNumberFormat="1" applyFont="1" applyFill="1" applyBorder="1" applyAlignment="1">
      <alignment horizontal="right" vertical="center"/>
    </xf>
    <xf numFmtId="3" fontId="25" fillId="58" borderId="77" xfId="8" applyNumberFormat="1" applyFont="1" applyFill="1" applyBorder="1" applyAlignment="1">
      <alignment horizontal="right" vertical="center"/>
    </xf>
    <xf numFmtId="3" fontId="14" fillId="58" borderId="86" xfId="8" applyNumberFormat="1" applyFont="1" applyFill="1" applyBorder="1" applyAlignment="1">
      <alignment horizontal="right" vertical="center"/>
    </xf>
    <xf numFmtId="3" fontId="14" fillId="58" borderId="77" xfId="8" applyNumberFormat="1" applyFont="1" applyFill="1" applyBorder="1" applyAlignment="1">
      <alignment horizontal="right" vertical="center"/>
    </xf>
    <xf numFmtId="3" fontId="25" fillId="58" borderId="86" xfId="8" applyNumberFormat="1" applyFont="1" applyFill="1" applyBorder="1" applyAlignment="1">
      <alignment horizontal="right" vertical="center"/>
    </xf>
    <xf numFmtId="3" fontId="25" fillId="58" borderId="88" xfId="8" applyNumberFormat="1" applyFont="1" applyFill="1" applyBorder="1" applyAlignment="1">
      <alignment horizontal="right" vertical="center"/>
    </xf>
    <xf numFmtId="4" fontId="25" fillId="58" borderId="85" xfId="8" applyNumberFormat="1" applyFont="1" applyFill="1" applyBorder="1" applyAlignment="1">
      <alignment horizontal="right" vertical="center"/>
    </xf>
    <xf numFmtId="3" fontId="14" fillId="0" borderId="66" xfId="8" applyNumberFormat="1" applyFont="1" applyFill="1" applyBorder="1" applyAlignment="1">
      <alignment horizontal="right" vertical="center"/>
    </xf>
    <xf numFmtId="3" fontId="14" fillId="0" borderId="82" xfId="4" applyNumberFormat="1" applyFont="1" applyFill="1" applyBorder="1" applyProtection="1"/>
    <xf numFmtId="3" fontId="14" fillId="0" borderId="81" xfId="4" applyNumberFormat="1" applyFont="1" applyFill="1" applyBorder="1" applyProtection="1"/>
    <xf numFmtId="3" fontId="0" fillId="0" borderId="8" xfId="0" applyNumberFormat="1" applyBorder="1" applyAlignment="1">
      <alignment horizontal="right"/>
    </xf>
    <xf numFmtId="3" fontId="21" fillId="0" borderId="0" xfId="0" applyNumberFormat="1" applyFont="1" applyAlignment="1">
      <alignment horizontal="right" vertical="top" wrapText="1"/>
    </xf>
    <xf numFmtId="166" fontId="17" fillId="0" borderId="0" xfId="8" applyFont="1" applyBorder="1" applyAlignment="1">
      <alignment horizontal="right"/>
    </xf>
    <xf numFmtId="0" fontId="0" fillId="0" borderId="0" xfId="0" applyAlignment="1">
      <alignment horizontal="left"/>
    </xf>
    <xf numFmtId="3" fontId="0" fillId="0" borderId="0" xfId="0" applyNumberFormat="1" applyAlignment="1">
      <alignment horizontal="right"/>
    </xf>
    <xf numFmtId="3" fontId="21" fillId="0" borderId="0" xfId="0" applyNumberFormat="1" applyFont="1" applyAlignment="1">
      <alignment horizontal="right"/>
    </xf>
    <xf numFmtId="166" fontId="21" fillId="0" borderId="0" xfId="8" applyFont="1" applyFill="1" applyBorder="1" applyAlignment="1">
      <alignment horizontal="center" vertical="top" wrapText="1"/>
    </xf>
    <xf numFmtId="166" fontId="17" fillId="0" borderId="0" xfId="8" applyFont="1" applyFill="1" applyBorder="1" applyAlignment="1">
      <alignment horizontal="right"/>
    </xf>
    <xf numFmtId="166" fontId="21" fillId="0" borderId="0" xfId="8" applyFont="1" applyFill="1" applyBorder="1"/>
    <xf numFmtId="166" fontId="17" fillId="0" borderId="0" xfId="8" applyFont="1" applyFill="1" applyBorder="1"/>
    <xf numFmtId="0" fontId="21" fillId="0" borderId="0" xfId="0" applyFont="1" applyAlignment="1">
      <alignment vertical="center"/>
    </xf>
    <xf numFmtId="4" fontId="21" fillId="0" borderId="65" xfId="0" applyNumberFormat="1" applyFont="1" applyBorder="1"/>
    <xf numFmtId="0" fontId="21" fillId="0" borderId="55" xfId="0" applyFont="1" applyBorder="1"/>
    <xf numFmtId="4" fontId="21" fillId="0" borderId="61" xfId="0" applyNumberFormat="1" applyFont="1" applyBorder="1"/>
    <xf numFmtId="4" fontId="21" fillId="0" borderId="62" xfId="0" applyNumberFormat="1" applyFont="1" applyBorder="1"/>
    <xf numFmtId="3" fontId="21" fillId="0" borderId="63" xfId="0" applyNumberFormat="1" applyFont="1" applyBorder="1"/>
    <xf numFmtId="3" fontId="21" fillId="0" borderId="100" xfId="0" applyNumberFormat="1" applyFont="1" applyBorder="1"/>
    <xf numFmtId="3" fontId="21" fillId="0" borderId="62" xfId="0" applyNumberFormat="1" applyFont="1" applyBorder="1"/>
    <xf numFmtId="0" fontId="0" fillId="62" borderId="0" xfId="0" applyFill="1"/>
    <xf numFmtId="0" fontId="21" fillId="62" borderId="0" xfId="0" applyFont="1" applyFill="1"/>
    <xf numFmtId="0" fontId="21" fillId="62" borderId="0" xfId="0" applyFont="1" applyFill="1" applyAlignment="1">
      <alignment vertical="center"/>
    </xf>
    <xf numFmtId="3" fontId="14" fillId="58" borderId="56" xfId="4" applyNumberFormat="1" applyFont="1" applyFill="1" applyBorder="1" applyProtection="1"/>
    <xf numFmtId="3" fontId="14" fillId="0" borderId="30" xfId="0" applyNumberFormat="1" applyFont="1" applyBorder="1" applyAlignment="1">
      <alignment horizontal="right" vertical="top" wrapText="1"/>
    </xf>
    <xf numFmtId="3" fontId="14" fillId="0" borderId="2" xfId="0" applyNumberFormat="1" applyFont="1" applyBorder="1" applyAlignment="1">
      <alignment horizontal="right" vertical="top" wrapText="1"/>
    </xf>
    <xf numFmtId="3" fontId="14" fillId="0" borderId="26" xfId="0" applyNumberFormat="1" applyFont="1" applyBorder="1" applyAlignment="1">
      <alignment horizontal="right" vertical="top" wrapText="1"/>
    </xf>
    <xf numFmtId="0" fontId="16" fillId="0" borderId="101" xfId="0" applyFont="1" applyBorder="1" applyAlignment="1">
      <alignment horizontal="center"/>
    </xf>
    <xf numFmtId="0" fontId="24" fillId="0" borderId="76" xfId="0" applyFont="1" applyBorder="1"/>
    <xf numFmtId="0" fontId="24" fillId="0" borderId="101" xfId="0" applyFont="1" applyBorder="1"/>
    <xf numFmtId="0" fontId="16" fillId="0" borderId="82" xfId="0" applyFont="1" applyBorder="1" applyAlignment="1">
      <alignment horizontal="center"/>
    </xf>
    <xf numFmtId="0" fontId="24" fillId="0" borderId="56" xfId="0" applyFont="1" applyBorder="1"/>
    <xf numFmtId="0" fontId="16" fillId="0" borderId="83" xfId="0" applyFont="1" applyBorder="1" applyAlignment="1">
      <alignment horizontal="center"/>
    </xf>
    <xf numFmtId="0" fontId="24" fillId="0" borderId="78" xfId="0" applyFont="1" applyBorder="1"/>
    <xf numFmtId="0" fontId="16" fillId="0" borderId="101" xfId="0" applyFont="1" applyBorder="1"/>
    <xf numFmtId="172" fontId="16" fillId="0" borderId="101" xfId="0" applyNumberFormat="1" applyFont="1" applyBorder="1"/>
    <xf numFmtId="0" fontId="16" fillId="0" borderId="82" xfId="0" applyFont="1" applyBorder="1"/>
    <xf numFmtId="172" fontId="16" fillId="0" borderId="82" xfId="0" applyNumberFormat="1" applyFont="1" applyBorder="1"/>
    <xf numFmtId="0" fontId="16" fillId="0" borderId="114" xfId="0" applyFont="1" applyBorder="1"/>
    <xf numFmtId="0" fontId="16" fillId="0" borderId="71" xfId="0" applyFont="1" applyBorder="1"/>
    <xf numFmtId="172" fontId="16" fillId="0" borderId="71" xfId="0" applyNumberFormat="1" applyFont="1" applyBorder="1"/>
    <xf numFmtId="171" fontId="24" fillId="60" borderId="81" xfId="0" applyNumberFormat="1" applyFont="1" applyFill="1" applyBorder="1"/>
    <xf numFmtId="171" fontId="24" fillId="0" borderId="99" xfId="0" applyNumberFormat="1" applyFont="1" applyBorder="1"/>
    <xf numFmtId="166" fontId="17" fillId="0" borderId="0" xfId="0" applyNumberFormat="1" applyFont="1"/>
    <xf numFmtId="166" fontId="0" fillId="0" borderId="0" xfId="8" applyFont="1" applyFill="1" applyBorder="1"/>
    <xf numFmtId="0" fontId="66" fillId="0" borderId="0" xfId="0" applyFont="1"/>
    <xf numFmtId="14" fontId="66" fillId="0" borderId="0" xfId="0" quotePrefix="1" applyNumberFormat="1" applyFont="1" applyAlignment="1">
      <alignment horizontal="right"/>
    </xf>
    <xf numFmtId="166" fontId="21" fillId="58" borderId="58" xfId="8" applyFont="1" applyFill="1" applyBorder="1"/>
    <xf numFmtId="166" fontId="14" fillId="0" borderId="0" xfId="8" applyFont="1" applyFill="1"/>
    <xf numFmtId="3" fontId="21" fillId="0" borderId="0" xfId="0" applyNumberFormat="1" applyFont="1" applyAlignment="1">
      <alignment horizontal="center" vertical="center" wrapText="1"/>
    </xf>
    <xf numFmtId="0" fontId="61" fillId="0" borderId="0" xfId="0" applyFont="1" applyAlignment="1">
      <alignment horizontal="center" vertical="center"/>
    </xf>
    <xf numFmtId="0" fontId="21" fillId="0" borderId="0" xfId="0" quotePrefix="1" applyFont="1"/>
    <xf numFmtId="3" fontId="0" fillId="0" borderId="2" xfId="0" applyNumberFormat="1" applyBorder="1" applyAlignment="1">
      <alignment horizontal="right"/>
    </xf>
    <xf numFmtId="3" fontId="21" fillId="0" borderId="55" xfId="8" applyNumberFormat="1" applyFont="1" applyFill="1" applyBorder="1" applyAlignment="1">
      <alignment horizontal="right" vertical="center"/>
    </xf>
    <xf numFmtId="4" fontId="21" fillId="0" borderId="65" xfId="8" applyNumberFormat="1" applyFont="1" applyFill="1" applyBorder="1" applyAlignment="1">
      <alignment horizontal="right" vertical="center"/>
    </xf>
    <xf numFmtId="3" fontId="14" fillId="61" borderId="84" xfId="8" applyNumberFormat="1" applyFont="1" applyFill="1" applyBorder="1" applyAlignment="1">
      <alignment horizontal="right" vertical="center"/>
    </xf>
    <xf numFmtId="3" fontId="14" fillId="61" borderId="110" xfId="8" applyNumberFormat="1" applyFont="1" applyFill="1" applyBorder="1" applyAlignment="1">
      <alignment horizontal="right" vertical="center"/>
    </xf>
    <xf numFmtId="4" fontId="21" fillId="0" borderId="79" xfId="0" applyNumberFormat="1" applyFont="1" applyBorder="1"/>
    <xf numFmtId="0" fontId="25" fillId="0" borderId="57" xfId="15" applyFont="1" applyBorder="1" applyAlignment="1">
      <alignment vertical="top" wrapText="1"/>
    </xf>
    <xf numFmtId="3" fontId="61" fillId="61" borderId="57" xfId="8" applyNumberFormat="1" applyFont="1" applyFill="1" applyBorder="1" applyAlignment="1">
      <alignment horizontal="right" vertical="center"/>
    </xf>
    <xf numFmtId="0" fontId="25" fillId="0" borderId="92" xfId="15" applyFont="1" applyBorder="1" applyAlignment="1">
      <alignment horizontal="center" vertical="top" wrapText="1"/>
    </xf>
    <xf numFmtId="0" fontId="25" fillId="0" borderId="7" xfId="15" applyFont="1" applyBorder="1" applyAlignment="1">
      <alignment horizontal="center" vertical="top" wrapText="1"/>
    </xf>
    <xf numFmtId="0" fontId="14" fillId="0" borderId="92" xfId="15" applyBorder="1" applyAlignment="1">
      <alignment horizontal="center" vertical="top" wrapText="1"/>
    </xf>
    <xf numFmtId="0" fontId="14" fillId="0" borderId="97" xfId="15" applyBorder="1" applyAlignment="1">
      <alignment horizontal="center" vertical="top" wrapText="1"/>
    </xf>
    <xf numFmtId="0" fontId="25" fillId="0" borderId="3" xfId="15" applyFont="1" applyBorder="1" applyAlignment="1">
      <alignment horizontal="center" vertical="top" wrapText="1"/>
    </xf>
    <xf numFmtId="0" fontId="14" fillId="0" borderId="3" xfId="15" applyBorder="1" applyAlignment="1">
      <alignment horizontal="center" vertical="top" wrapText="1"/>
    </xf>
    <xf numFmtId="0" fontId="25" fillId="0" borderId="97" xfId="15" applyFont="1" applyBorder="1" applyAlignment="1">
      <alignment horizontal="center" vertical="top" wrapText="1"/>
    </xf>
    <xf numFmtId="3" fontId="61" fillId="61" borderId="59" xfId="8" applyNumberFormat="1" applyFont="1" applyFill="1" applyBorder="1" applyAlignment="1">
      <alignment horizontal="right" vertical="center"/>
    </xf>
    <xf numFmtId="4" fontId="21" fillId="0" borderId="55" xfId="0" applyNumberFormat="1" applyFont="1" applyBorder="1"/>
    <xf numFmtId="3" fontId="21" fillId="0" borderId="55" xfId="0" applyNumberFormat="1" applyFont="1" applyBorder="1"/>
    <xf numFmtId="3" fontId="21" fillId="0" borderId="102" xfId="0" applyNumberFormat="1" applyFont="1" applyBorder="1"/>
    <xf numFmtId="3" fontId="21" fillId="0" borderId="61" xfId="0" applyNumberFormat="1" applyFont="1" applyBorder="1"/>
    <xf numFmtId="167" fontId="65" fillId="0" borderId="80" xfId="8" applyNumberFormat="1" applyFont="1" applyBorder="1" applyAlignment="1">
      <alignment horizontal="right" vertical="center"/>
    </xf>
    <xf numFmtId="166" fontId="65" fillId="0" borderId="63" xfId="8" applyFont="1" applyBorder="1" applyAlignment="1">
      <alignment horizontal="right" vertical="center"/>
    </xf>
    <xf numFmtId="3" fontId="21" fillId="62" borderId="0" xfId="0" applyNumberFormat="1" applyFont="1" applyFill="1"/>
    <xf numFmtId="49" fontId="21" fillId="0" borderId="0" xfId="0" applyNumberFormat="1" applyFont="1" applyAlignment="1">
      <alignment horizontal="left" vertical="top"/>
    </xf>
    <xf numFmtId="166" fontId="14" fillId="0" borderId="0" xfId="8" quotePrefix="1" applyFont="1" applyFill="1" applyBorder="1" applyAlignment="1">
      <alignment horizontal="center" vertical="top" wrapText="1"/>
    </xf>
    <xf numFmtId="166" fontId="14" fillId="0" borderId="0" xfId="8" applyFont="1" applyFill="1" applyBorder="1" applyAlignment="1">
      <alignment vertical="top" wrapText="1"/>
    </xf>
    <xf numFmtId="0" fontId="19" fillId="0" borderId="0" xfId="0" applyFont="1"/>
    <xf numFmtId="0" fontId="14" fillId="0" borderId="82" xfId="0" quotePrefix="1" applyFont="1" applyBorder="1" applyAlignment="1">
      <alignment horizontal="left"/>
    </xf>
    <xf numFmtId="166" fontId="21" fillId="0" borderId="100" xfId="0" applyNumberFormat="1" applyFont="1" applyBorder="1"/>
    <xf numFmtId="0" fontId="21" fillId="0" borderId="96" xfId="0" applyFont="1" applyBorder="1" applyAlignment="1">
      <alignment horizontal="center" vertical="center"/>
    </xf>
    <xf numFmtId="0" fontId="21" fillId="0" borderId="100" xfId="0" applyFont="1" applyBorder="1" applyAlignment="1">
      <alignment horizontal="left" vertical="top" wrapText="1"/>
    </xf>
    <xf numFmtId="0" fontId="14" fillId="58" borderId="82" xfId="0" quotePrefix="1" applyFont="1" applyFill="1" applyBorder="1" applyAlignment="1">
      <alignment horizontal="left" vertical="top" wrapText="1"/>
    </xf>
    <xf numFmtId="0" fontId="14" fillId="0" borderId="82" xfId="0" quotePrefix="1" applyFont="1" applyBorder="1" applyAlignment="1">
      <alignment horizontal="left" vertical="top" wrapText="1"/>
    </xf>
    <xf numFmtId="0" fontId="14" fillId="0" borderId="82" xfId="0" applyFont="1" applyBorder="1" applyAlignment="1">
      <alignment horizontal="left" vertical="top" wrapText="1"/>
    </xf>
    <xf numFmtId="0" fontId="0" fillId="0" borderId="82" xfId="0" quotePrefix="1" applyBorder="1" applyAlignment="1">
      <alignment horizontal="left" vertical="top" wrapText="1"/>
    </xf>
    <xf numFmtId="0" fontId="14" fillId="58" borderId="83" xfId="0" quotePrefix="1" applyFont="1" applyFill="1" applyBorder="1" applyAlignment="1">
      <alignment horizontal="left" vertical="top" wrapText="1"/>
    </xf>
    <xf numFmtId="0" fontId="21" fillId="0" borderId="71" xfId="0" applyFont="1" applyBorder="1" applyAlignment="1">
      <alignment horizontal="left" vertical="top" wrapText="1"/>
    </xf>
    <xf numFmtId="0" fontId="21" fillId="0" borderId="101" xfId="0" applyFont="1" applyBorder="1" applyAlignment="1">
      <alignment horizontal="left" vertical="top" wrapText="1"/>
    </xf>
    <xf numFmtId="0" fontId="14" fillId="58" borderId="101" xfId="0" quotePrefix="1" applyFont="1" applyFill="1" applyBorder="1" applyAlignment="1">
      <alignment horizontal="left" vertical="top" wrapText="1"/>
    </xf>
    <xf numFmtId="0" fontId="14" fillId="58" borderId="82" xfId="0" applyFont="1" applyFill="1" applyBorder="1" applyAlignment="1">
      <alignment horizontal="left" vertical="top" wrapText="1"/>
    </xf>
    <xf numFmtId="0" fontId="0" fillId="58" borderId="83" xfId="0" applyFill="1" applyBorder="1" applyAlignment="1">
      <alignment horizontal="left" vertical="top" wrapText="1"/>
    </xf>
    <xf numFmtId="0" fontId="14" fillId="58" borderId="101" xfId="0" applyFont="1" applyFill="1" applyBorder="1" applyAlignment="1">
      <alignment horizontal="left" vertical="top" wrapText="1"/>
    </xf>
    <xf numFmtId="0" fontId="0" fillId="0" borderId="82" xfId="0" applyBorder="1"/>
    <xf numFmtId="0" fontId="0" fillId="58" borderId="82" xfId="0" applyFill="1" applyBorder="1" applyAlignment="1">
      <alignment horizontal="left" vertical="top" wrapText="1"/>
    </xf>
    <xf numFmtId="0" fontId="0" fillId="0" borderId="82" xfId="0" applyBorder="1" applyAlignment="1">
      <alignment horizontal="left" vertical="top" wrapText="1"/>
    </xf>
    <xf numFmtId="0" fontId="0" fillId="58" borderId="114" xfId="0" applyFill="1" applyBorder="1" applyAlignment="1">
      <alignment horizontal="left" vertical="top" wrapText="1"/>
    </xf>
    <xf numFmtId="166" fontId="0" fillId="58" borderId="6" xfId="8" applyFont="1" applyFill="1" applyBorder="1"/>
    <xf numFmtId="166" fontId="14" fillId="58" borderId="8" xfId="8" applyFont="1" applyFill="1" applyBorder="1"/>
    <xf numFmtId="166" fontId="14" fillId="58" borderId="10" xfId="8" applyFont="1" applyFill="1" applyBorder="1"/>
    <xf numFmtId="166" fontId="14" fillId="58" borderId="95" xfId="8" applyFont="1" applyFill="1" applyBorder="1"/>
    <xf numFmtId="166" fontId="14" fillId="58" borderId="72" xfId="8" applyFont="1" applyFill="1" applyBorder="1"/>
    <xf numFmtId="166" fontId="21" fillId="0" borderId="63" xfId="8" applyFont="1" applyBorder="1"/>
    <xf numFmtId="0" fontId="14" fillId="58" borderId="101" xfId="0" applyFont="1" applyFill="1" applyBorder="1" applyAlignment="1">
      <alignment horizontal="left"/>
    </xf>
    <xf numFmtId="0" fontId="14" fillId="58" borderId="82" xfId="0" applyFont="1" applyFill="1" applyBorder="1" applyAlignment="1">
      <alignment horizontal="left"/>
    </xf>
    <xf numFmtId="0" fontId="0" fillId="58" borderId="82" xfId="0" applyFill="1" applyBorder="1" applyAlignment="1">
      <alignment horizontal="left"/>
    </xf>
    <xf numFmtId="0" fontId="0" fillId="58" borderId="83" xfId="0" applyFill="1" applyBorder="1" applyAlignment="1">
      <alignment horizontal="left"/>
    </xf>
    <xf numFmtId="166" fontId="17" fillId="0" borderId="83" xfId="0" applyNumberFormat="1" applyFont="1" applyBorder="1"/>
    <xf numFmtId="0" fontId="21" fillId="0" borderId="83" xfId="0" applyFont="1" applyBorder="1" applyAlignment="1">
      <alignment horizontal="left" vertical="top" wrapText="1"/>
    </xf>
    <xf numFmtId="0" fontId="14" fillId="0" borderId="83" xfId="0" applyFont="1" applyBorder="1"/>
    <xf numFmtId="166" fontId="21" fillId="0" borderId="78" xfId="8" applyFont="1" applyBorder="1"/>
    <xf numFmtId="3" fontId="14" fillId="0" borderId="6" xfId="8" applyNumberFormat="1" applyFont="1" applyFill="1" applyBorder="1" applyProtection="1"/>
    <xf numFmtId="3" fontId="0" fillId="0" borderId="6" xfId="8" applyNumberFormat="1" applyFont="1" applyBorder="1"/>
    <xf numFmtId="3" fontId="21" fillId="0" borderId="29" xfId="0" applyNumberFormat="1" applyFont="1" applyBorder="1"/>
    <xf numFmtId="0" fontId="0" fillId="0" borderId="82" xfId="0" quotePrefix="1" applyBorder="1" applyAlignment="1">
      <alignment horizontal="left"/>
    </xf>
    <xf numFmtId="0" fontId="14" fillId="0" borderId="83" xfId="0" quotePrefix="1" applyFont="1" applyBorder="1" applyAlignment="1">
      <alignment horizontal="left"/>
    </xf>
    <xf numFmtId="0" fontId="21" fillId="0" borderId="71" xfId="0" quotePrefix="1" applyFont="1" applyBorder="1" applyAlignment="1">
      <alignment horizontal="left"/>
    </xf>
    <xf numFmtId="3" fontId="21" fillId="0" borderId="102" xfId="0" applyNumberFormat="1" applyFont="1" applyBorder="1" applyAlignment="1">
      <alignment horizontal="center" vertical="top" wrapText="1"/>
    </xf>
    <xf numFmtId="3" fontId="0" fillId="0" borderId="28" xfId="8" applyNumberFormat="1" applyFont="1" applyBorder="1"/>
    <xf numFmtId="3" fontId="0" fillId="0" borderId="104" xfId="8" applyNumberFormat="1" applyFont="1" applyBorder="1"/>
    <xf numFmtId="0" fontId="14" fillId="0" borderId="88" xfId="0" quotePrefix="1" applyFont="1" applyBorder="1" applyAlignment="1">
      <alignment horizontal="left"/>
    </xf>
    <xf numFmtId="166" fontId="21" fillId="0" borderId="71" xfId="0" applyNumberFormat="1" applyFont="1" applyBorder="1"/>
    <xf numFmtId="0" fontId="14" fillId="0" borderId="101" xfId="0" quotePrefix="1" applyFont="1" applyBorder="1" applyAlignment="1">
      <alignment horizontal="left"/>
    </xf>
    <xf numFmtId="0" fontId="21" fillId="0" borderId="83" xfId="0" applyFont="1" applyBorder="1"/>
    <xf numFmtId="0" fontId="0" fillId="0" borderId="101" xfId="0" applyBorder="1" applyAlignment="1">
      <alignment horizontal="left"/>
    </xf>
    <xf numFmtId="0" fontId="0" fillId="0" borderId="82" xfId="0" applyBorder="1" applyAlignment="1">
      <alignment horizontal="left"/>
    </xf>
    <xf numFmtId="0" fontId="0" fillId="0" borderId="83" xfId="0" applyBorder="1" applyAlignment="1">
      <alignment horizontal="left"/>
    </xf>
    <xf numFmtId="0" fontId="0" fillId="0" borderId="82" xfId="0" applyBorder="1" applyAlignment="1">
      <alignment wrapText="1"/>
    </xf>
    <xf numFmtId="0" fontId="14" fillId="0" borderId="101" xfId="0" quotePrefix="1" applyFont="1" applyBorder="1" applyAlignment="1">
      <alignment horizontal="center"/>
    </xf>
    <xf numFmtId="3" fontId="0" fillId="0" borderId="28" xfId="0" applyNumberFormat="1" applyBorder="1" applyAlignment="1">
      <alignment horizontal="right"/>
    </xf>
    <xf numFmtId="3" fontId="0" fillId="0" borderId="6" xfId="0" applyNumberFormat="1" applyBorder="1" applyAlignment="1">
      <alignment horizontal="right"/>
    </xf>
    <xf numFmtId="3" fontId="0" fillId="0" borderId="104" xfId="0" applyNumberFormat="1" applyBorder="1" applyAlignment="1">
      <alignment horizontal="right"/>
    </xf>
    <xf numFmtId="3" fontId="0" fillId="0" borderId="11" xfId="0" applyNumberFormat="1" applyBorder="1" applyAlignment="1">
      <alignment horizontal="right"/>
    </xf>
    <xf numFmtId="3" fontId="14" fillId="0" borderId="28" xfId="0" applyNumberFormat="1" applyFont="1" applyBorder="1" applyAlignment="1">
      <alignment horizontal="right" vertical="top" wrapText="1"/>
    </xf>
    <xf numFmtId="3" fontId="14" fillId="0" borderId="6" xfId="0" applyNumberFormat="1" applyFont="1" applyBorder="1" applyAlignment="1">
      <alignment horizontal="right" vertical="top" wrapText="1"/>
    </xf>
    <xf numFmtId="3" fontId="14" fillId="0" borderId="104" xfId="0" applyNumberFormat="1" applyFont="1" applyBorder="1" applyAlignment="1">
      <alignment horizontal="right" vertical="top" wrapText="1"/>
    </xf>
    <xf numFmtId="0" fontId="16" fillId="0" borderId="82" xfId="0" applyFont="1" applyBorder="1" applyAlignment="1">
      <alignment horizontal="center" wrapText="1"/>
    </xf>
    <xf numFmtId="3" fontId="14" fillId="58" borderId="82" xfId="8" applyNumberFormat="1" applyFont="1" applyFill="1" applyBorder="1" applyProtection="1"/>
    <xf numFmtId="3" fontId="0" fillId="58" borderId="82" xfId="8" applyNumberFormat="1" applyFont="1" applyFill="1" applyBorder="1"/>
    <xf numFmtId="3" fontId="14" fillId="58" borderId="114" xfId="8" applyNumberFormat="1" applyFont="1" applyFill="1" applyBorder="1" applyProtection="1"/>
    <xf numFmtId="3" fontId="14" fillId="3" borderId="82" xfId="1153" applyNumberFormat="1" applyFont="1" applyFill="1" applyBorder="1" applyProtection="1"/>
    <xf numFmtId="3" fontId="14" fillId="56" borderId="82" xfId="1153" applyNumberFormat="1" applyFont="1" applyFill="1" applyBorder="1" applyProtection="1"/>
    <xf numFmtId="3" fontId="0" fillId="56" borderId="82" xfId="1153" applyNumberFormat="1" applyFont="1" applyFill="1" applyBorder="1"/>
    <xf numFmtId="3" fontId="14" fillId="58" borderId="83" xfId="8" applyNumberFormat="1" applyFont="1" applyFill="1" applyBorder="1" applyProtection="1"/>
    <xf numFmtId="0" fontId="14" fillId="0" borderId="70" xfId="0" applyFont="1" applyBorder="1" applyAlignment="1">
      <alignment horizontal="center" vertical="top" wrapText="1"/>
    </xf>
    <xf numFmtId="0" fontId="21" fillId="0" borderId="59" xfId="0" applyFont="1" applyBorder="1" applyAlignment="1">
      <alignment horizontal="center" vertical="top" wrapText="1"/>
    </xf>
    <xf numFmtId="0" fontId="21" fillId="0" borderId="26" xfId="0" applyFont="1" applyBorder="1" applyAlignment="1">
      <alignment horizontal="center" vertical="top" wrapText="1"/>
    </xf>
    <xf numFmtId="0" fontId="21" fillId="0" borderId="80" xfId="0" applyFont="1" applyBorder="1" applyAlignment="1">
      <alignment horizontal="center" vertical="top" wrapText="1"/>
    </xf>
    <xf numFmtId="0" fontId="14" fillId="0" borderId="114" xfId="0" applyFont="1" applyBorder="1" applyAlignment="1">
      <alignment horizontal="center" vertical="top" wrapText="1"/>
    </xf>
    <xf numFmtId="3" fontId="21" fillId="0" borderId="64" xfId="0" applyNumberFormat="1" applyFont="1" applyBorder="1"/>
    <xf numFmtId="3" fontId="21" fillId="0" borderId="65" xfId="0" applyNumberFormat="1" applyFont="1" applyBorder="1"/>
    <xf numFmtId="166" fontId="21" fillId="0" borderId="55" xfId="0" applyNumberFormat="1" applyFont="1" applyBorder="1"/>
    <xf numFmtId="166" fontId="21" fillId="0" borderId="79" xfId="0" applyNumberFormat="1" applyFont="1" applyBorder="1"/>
    <xf numFmtId="166" fontId="21" fillId="0" borderId="65" xfId="0" applyNumberFormat="1" applyFont="1" applyBorder="1"/>
    <xf numFmtId="0" fontId="14" fillId="3" borderId="7" xfId="0" applyFont="1" applyFill="1" applyBorder="1" applyAlignment="1">
      <alignment horizontal="center" vertical="top" wrapText="1"/>
    </xf>
    <xf numFmtId="166" fontId="0" fillId="57" borderId="81" xfId="8" applyFont="1" applyFill="1" applyBorder="1" applyAlignment="1">
      <alignment vertical="top" wrapText="1"/>
    </xf>
    <xf numFmtId="166" fontId="14" fillId="0" borderId="96" xfId="8" quotePrefix="1" applyFont="1" applyBorder="1" applyAlignment="1">
      <alignment horizontal="center" vertical="top" wrapText="1"/>
    </xf>
    <xf numFmtId="166" fontId="14" fillId="0" borderId="67" xfId="8" quotePrefix="1" applyFont="1" applyBorder="1" applyAlignment="1">
      <alignment horizontal="center" vertical="top" wrapText="1"/>
    </xf>
    <xf numFmtId="166" fontId="14" fillId="0" borderId="66" xfId="8" quotePrefix="1" applyFont="1" applyBorder="1" applyAlignment="1">
      <alignment horizontal="center" vertical="top" wrapText="1"/>
    </xf>
    <xf numFmtId="166" fontId="14" fillId="0" borderId="91" xfId="8" quotePrefix="1" applyFont="1" applyBorder="1" applyAlignment="1">
      <alignment horizontal="center" vertical="top" wrapText="1"/>
    </xf>
    <xf numFmtId="166" fontId="14" fillId="0" borderId="70" xfId="8" quotePrefix="1" applyFont="1" applyBorder="1" applyAlignment="1">
      <alignment horizontal="center" vertical="top" wrapText="1"/>
    </xf>
    <xf numFmtId="3" fontId="0" fillId="0" borderId="0" xfId="4" applyNumberFormat="1" applyFont="1" applyFill="1" applyBorder="1"/>
    <xf numFmtId="3" fontId="14" fillId="0" borderId="82" xfId="8" applyNumberFormat="1" applyFont="1" applyFill="1" applyBorder="1" applyProtection="1"/>
    <xf numFmtId="3" fontId="0" fillId="0" borderId="82" xfId="8" applyNumberFormat="1" applyFont="1" applyFill="1" applyBorder="1"/>
    <xf numFmtId="3" fontId="14" fillId="0" borderId="114" xfId="8" applyNumberFormat="1" applyFont="1" applyFill="1" applyBorder="1" applyProtection="1"/>
    <xf numFmtId="166" fontId="21" fillId="0" borderId="100" xfId="8" applyFont="1" applyBorder="1"/>
    <xf numFmtId="0" fontId="14" fillId="0" borderId="95" xfId="0" quotePrefix="1" applyFont="1" applyBorder="1" applyAlignment="1">
      <alignment horizontal="left" vertical="top" wrapText="1" indent="1"/>
    </xf>
    <xf numFmtId="0" fontId="14" fillId="58" borderId="8" xfId="0" applyFont="1" applyFill="1" applyBorder="1" applyAlignment="1">
      <alignment horizontal="center" vertical="top" wrapText="1"/>
    </xf>
    <xf numFmtId="166" fontId="21" fillId="0" borderId="10" xfId="0" applyNumberFormat="1" applyFont="1" applyBorder="1" applyAlignment="1">
      <alignment horizontal="left" indent="1"/>
    </xf>
    <xf numFmtId="166" fontId="21" fillId="0" borderId="106" xfId="0" applyNumberFormat="1" applyFont="1" applyBorder="1"/>
    <xf numFmtId="166" fontId="21" fillId="0" borderId="115" xfId="0" applyNumberFormat="1" applyFont="1" applyBorder="1"/>
    <xf numFmtId="0" fontId="14" fillId="0" borderId="87" xfId="0" quotePrefix="1" applyFont="1" applyBorder="1" applyAlignment="1">
      <alignment horizontal="left" vertical="top" wrapText="1" indent="1"/>
    </xf>
    <xf numFmtId="0" fontId="14" fillId="3" borderId="115" xfId="0" applyFont="1" applyFill="1" applyBorder="1" applyAlignment="1">
      <alignment horizontal="center" vertical="top" wrapText="1"/>
    </xf>
    <xf numFmtId="166" fontId="21" fillId="0" borderId="116" xfId="0" applyNumberFormat="1" applyFont="1" applyBorder="1" applyAlignment="1">
      <alignment horizontal="left" indent="1"/>
    </xf>
    <xf numFmtId="166" fontId="21" fillId="0" borderId="117" xfId="0" applyNumberFormat="1" applyFont="1" applyBorder="1"/>
    <xf numFmtId="166" fontId="21" fillId="0" borderId="112" xfId="0" applyNumberFormat="1" applyFont="1" applyBorder="1"/>
    <xf numFmtId="166" fontId="14" fillId="58" borderId="83" xfId="8" applyFont="1" applyFill="1" applyBorder="1" applyAlignment="1">
      <alignment vertical="top" wrapText="1"/>
    </xf>
    <xf numFmtId="0" fontId="0" fillId="0" borderId="8" xfId="0" applyBorder="1"/>
    <xf numFmtId="0" fontId="14" fillId="57" borderId="2" xfId="0" applyFont="1" applyFill="1" applyBorder="1" applyAlignment="1">
      <alignment horizontal="center" vertical="top" wrapText="1"/>
    </xf>
    <xf numFmtId="166" fontId="14" fillId="57" borderId="57" xfId="8" applyFont="1" applyFill="1" applyBorder="1" applyAlignment="1">
      <alignment vertical="top" wrapText="1"/>
    </xf>
    <xf numFmtId="166" fontId="14" fillId="57" borderId="81" xfId="8" applyFont="1" applyFill="1" applyBorder="1" applyAlignment="1">
      <alignment vertical="top" wrapText="1"/>
    </xf>
    <xf numFmtId="166" fontId="14" fillId="57" borderId="82" xfId="8" applyFont="1" applyFill="1" applyBorder="1" applyAlignment="1">
      <alignment vertical="top" wrapText="1"/>
    </xf>
    <xf numFmtId="0" fontId="14" fillId="57" borderId="57" xfId="0" quotePrefix="1" applyFont="1" applyFill="1" applyBorder="1" applyAlignment="1">
      <alignment horizontal="left" vertical="top" wrapText="1" indent="1"/>
    </xf>
    <xf numFmtId="0" fontId="14" fillId="57" borderId="95" xfId="0" quotePrefix="1" applyFont="1" applyFill="1" applyBorder="1" applyAlignment="1">
      <alignment horizontal="left" vertical="top" wrapText="1" indent="1"/>
    </xf>
    <xf numFmtId="0" fontId="14" fillId="57" borderId="72" xfId="0" applyFont="1" applyFill="1" applyBorder="1" applyAlignment="1">
      <alignment horizontal="center" vertical="top" wrapText="1"/>
    </xf>
    <xf numFmtId="0" fontId="0" fillId="57" borderId="57" xfId="0" quotePrefix="1" applyFill="1" applyBorder="1" applyAlignment="1">
      <alignment horizontal="left" vertical="top" wrapText="1" indent="1"/>
    </xf>
    <xf numFmtId="166" fontId="14" fillId="58" borderId="95" xfId="8" applyFont="1" applyFill="1" applyBorder="1" applyAlignment="1">
      <alignment vertical="top" wrapText="1"/>
    </xf>
    <xf numFmtId="166" fontId="14" fillId="58" borderId="115" xfId="8" applyFont="1" applyFill="1" applyBorder="1" applyAlignment="1">
      <alignment vertical="top" wrapText="1"/>
    </xf>
    <xf numFmtId="166" fontId="0" fillId="58" borderId="114" xfId="8" applyFont="1" applyFill="1" applyBorder="1" applyAlignment="1">
      <alignment vertical="top" wrapText="1"/>
    </xf>
    <xf numFmtId="166" fontId="14" fillId="58" borderId="114" xfId="8" applyFont="1" applyFill="1" applyBorder="1" applyAlignment="1" applyProtection="1">
      <alignment vertical="top" wrapText="1"/>
    </xf>
    <xf numFmtId="166" fontId="14" fillId="58" borderId="114" xfId="8" applyFont="1" applyFill="1" applyBorder="1" applyAlignment="1">
      <alignment vertical="top" wrapText="1"/>
    </xf>
    <xf numFmtId="0" fontId="14" fillId="57" borderId="10" xfId="0" applyFont="1" applyFill="1" applyBorder="1" applyAlignment="1">
      <alignment horizontal="center" vertical="top" wrapText="1"/>
    </xf>
    <xf numFmtId="0" fontId="21" fillId="0" borderId="78" xfId="0" quotePrefix="1" applyFont="1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top" wrapText="1"/>
    </xf>
    <xf numFmtId="0" fontId="21" fillId="0" borderId="83" xfId="0" applyFont="1" applyBorder="1" applyAlignment="1">
      <alignment horizontal="center" vertical="top" wrapText="1"/>
    </xf>
    <xf numFmtId="0" fontId="14" fillId="57" borderId="7" xfId="0" applyFont="1" applyFill="1" applyBorder="1" applyAlignment="1">
      <alignment horizontal="center" vertical="top" wrapText="1"/>
    </xf>
    <xf numFmtId="166" fontId="21" fillId="0" borderId="8" xfId="0" applyNumberFormat="1" applyFont="1" applyBorder="1"/>
    <xf numFmtId="166" fontId="21" fillId="0" borderId="100" xfId="8" quotePrefix="1" applyFont="1" applyBorder="1" applyAlignment="1">
      <alignment horizontal="center" vertical="top" wrapText="1"/>
    </xf>
    <xf numFmtId="3" fontId="21" fillId="0" borderId="27" xfId="0" applyNumberFormat="1" applyFont="1" applyBorder="1" applyAlignment="1">
      <alignment horizontal="center" vertical="center" wrapText="1"/>
    </xf>
    <xf numFmtId="3" fontId="21" fillId="0" borderId="67" xfId="0" applyNumberFormat="1" applyFont="1" applyBorder="1" applyAlignment="1">
      <alignment horizontal="center" vertical="center" wrapText="1"/>
    </xf>
    <xf numFmtId="3" fontId="21" fillId="0" borderId="66" xfId="0" applyNumberFormat="1" applyFont="1" applyBorder="1" applyAlignment="1">
      <alignment horizontal="center" vertical="center" wrapText="1"/>
    </xf>
    <xf numFmtId="0" fontId="21" fillId="0" borderId="83" xfId="0" quotePrefix="1" applyFont="1" applyBorder="1" applyAlignment="1">
      <alignment horizontal="left"/>
    </xf>
    <xf numFmtId="0" fontId="21" fillId="0" borderId="101" xfId="0" applyFont="1" applyBorder="1" applyAlignment="1">
      <alignment horizontal="right" vertical="center" wrapText="1"/>
    </xf>
    <xf numFmtId="3" fontId="14" fillId="0" borderId="57" xfId="8" applyNumberFormat="1" applyFont="1" applyFill="1" applyBorder="1" applyProtection="1"/>
    <xf numFmtId="3" fontId="0" fillId="0" borderId="57" xfId="8" applyNumberFormat="1" applyFont="1" applyBorder="1"/>
    <xf numFmtId="3" fontId="21" fillId="0" borderId="103" xfId="0" applyNumberFormat="1" applyFont="1" applyBorder="1"/>
    <xf numFmtId="3" fontId="21" fillId="0" borderId="66" xfId="0" applyNumberFormat="1" applyFont="1" applyBorder="1" applyAlignment="1">
      <alignment horizontal="center" vertical="top" wrapText="1"/>
    </xf>
    <xf numFmtId="3" fontId="0" fillId="0" borderId="90" xfId="8" applyNumberFormat="1" applyFont="1" applyBorder="1"/>
    <xf numFmtId="3" fontId="0" fillId="0" borderId="59" xfId="8" applyNumberFormat="1" applyFont="1" applyBorder="1"/>
    <xf numFmtId="4" fontId="0" fillId="0" borderId="60" xfId="8" applyNumberFormat="1" applyFont="1" applyBorder="1"/>
    <xf numFmtId="3" fontId="21" fillId="0" borderId="27" xfId="0" applyNumberFormat="1" applyFont="1" applyBorder="1" applyAlignment="1">
      <alignment horizontal="center" vertical="top" wrapText="1"/>
    </xf>
    <xf numFmtId="3" fontId="21" fillId="0" borderId="67" xfId="0" applyNumberFormat="1" applyFont="1" applyBorder="1" applyAlignment="1">
      <alignment horizontal="center" vertical="top" wrapText="1"/>
    </xf>
    <xf numFmtId="166" fontId="21" fillId="0" borderId="66" xfId="8" applyFont="1" applyBorder="1" applyAlignment="1">
      <alignment horizontal="center" vertical="top" wrapText="1"/>
    </xf>
    <xf numFmtId="166" fontId="21" fillId="0" borderId="27" xfId="8" applyFont="1" applyBorder="1" applyAlignment="1">
      <alignment horizontal="center" vertical="center" wrapText="1"/>
    </xf>
    <xf numFmtId="166" fontId="21" fillId="0" borderId="67" xfId="8" applyFont="1" applyBorder="1" applyAlignment="1">
      <alignment horizontal="center" vertical="center" wrapText="1"/>
    </xf>
    <xf numFmtId="0" fontId="14" fillId="0" borderId="59" xfId="0" quotePrefix="1" applyFont="1" applyBorder="1" applyAlignment="1">
      <alignment horizontal="left"/>
    </xf>
    <xf numFmtId="0" fontId="14" fillId="0" borderId="26" xfId="0" quotePrefix="1" applyFont="1" applyBorder="1" applyAlignment="1">
      <alignment horizontal="left"/>
    </xf>
    <xf numFmtId="166" fontId="22" fillId="0" borderId="26" xfId="0" applyNumberFormat="1" applyFont="1" applyBorder="1"/>
    <xf numFmtId="0" fontId="21" fillId="0" borderId="90" xfId="0" applyFont="1" applyBorder="1" applyAlignment="1">
      <alignment horizontal="center" vertical="center"/>
    </xf>
    <xf numFmtId="0" fontId="21" fillId="0" borderId="107" xfId="0" applyFont="1" applyBorder="1" applyAlignment="1">
      <alignment horizontal="center" vertical="center" wrapText="1"/>
    </xf>
    <xf numFmtId="166" fontId="22" fillId="0" borderId="105" xfId="0" applyNumberFormat="1" applyFont="1" applyBorder="1"/>
    <xf numFmtId="166" fontId="21" fillId="0" borderId="27" xfId="8" applyFont="1" applyBorder="1" applyAlignment="1">
      <alignment horizontal="center" vertical="top" wrapText="1"/>
    </xf>
    <xf numFmtId="166" fontId="21" fillId="0" borderId="67" xfId="8" applyFont="1" applyBorder="1" applyAlignment="1">
      <alignment horizontal="center" vertical="top" wrapText="1"/>
    </xf>
    <xf numFmtId="166" fontId="21" fillId="0" borderId="92" xfId="8" applyFont="1" applyBorder="1" applyAlignment="1">
      <alignment horizontal="center" vertical="top" wrapText="1"/>
    </xf>
    <xf numFmtId="0" fontId="21" fillId="0" borderId="82" xfId="0" quotePrefix="1" applyFont="1" applyBorder="1" applyAlignment="1">
      <alignment horizontal="left"/>
    </xf>
    <xf numFmtId="166" fontId="14" fillId="0" borderId="66" xfId="8" applyFont="1" applyBorder="1" applyAlignment="1">
      <alignment horizontal="center" vertical="top" wrapText="1"/>
    </xf>
    <xf numFmtId="166" fontId="14" fillId="0" borderId="27" xfId="8" applyFont="1" applyBorder="1" applyAlignment="1">
      <alignment horizontal="center" vertical="top" wrapText="1"/>
    </xf>
    <xf numFmtId="166" fontId="14" fillId="0" borderId="92" xfId="8" applyFont="1" applyBorder="1" applyAlignment="1">
      <alignment horizontal="center" vertical="top" wrapText="1"/>
    </xf>
    <xf numFmtId="166" fontId="14" fillId="0" borderId="67" xfId="8" applyFont="1" applyBorder="1" applyAlignment="1">
      <alignment horizontal="center" vertical="top" wrapText="1"/>
    </xf>
    <xf numFmtId="166" fontId="14" fillId="0" borderId="96" xfId="8" applyFont="1" applyBorder="1" applyAlignment="1">
      <alignment horizontal="center" vertical="top" wrapText="1"/>
    </xf>
    <xf numFmtId="166" fontId="14" fillId="0" borderId="91" xfId="8" applyFont="1" applyBorder="1" applyAlignment="1">
      <alignment horizontal="center" vertical="top" wrapText="1"/>
    </xf>
    <xf numFmtId="0" fontId="21" fillId="0" borderId="86" xfId="15" applyFont="1" applyBorder="1" applyAlignment="1">
      <alignment horizontal="center" vertical="center" wrapText="1"/>
    </xf>
    <xf numFmtId="0" fontId="21" fillId="0" borderId="77" xfId="15" applyFont="1" applyBorder="1" applyAlignment="1">
      <alignment horizontal="center" vertical="center" wrapText="1"/>
    </xf>
    <xf numFmtId="0" fontId="14" fillId="0" borderId="89" xfId="15" applyBorder="1" applyAlignment="1">
      <alignment horizontal="center" vertical="center" wrapText="1"/>
    </xf>
    <xf numFmtId="0" fontId="14" fillId="0" borderId="77" xfId="15" applyBorder="1" applyAlignment="1">
      <alignment horizontal="center" vertical="center" wrapText="1"/>
    </xf>
    <xf numFmtId="0" fontId="14" fillId="0" borderId="86" xfId="15" applyBorder="1" applyAlignment="1">
      <alignment horizontal="center" vertical="center" wrapText="1"/>
    </xf>
    <xf numFmtId="0" fontId="14" fillId="0" borderId="103" xfId="15" applyBorder="1" applyAlignment="1">
      <alignment horizontal="center" vertical="center" wrapText="1"/>
    </xf>
    <xf numFmtId="0" fontId="14" fillId="0" borderId="69" xfId="15" applyBorder="1" applyAlignment="1">
      <alignment horizontal="center" vertical="center" wrapText="1"/>
    </xf>
    <xf numFmtId="14" fontId="14" fillId="0" borderId="0" xfId="0" applyNumberFormat="1" applyFont="1"/>
    <xf numFmtId="0" fontId="14" fillId="62" borderId="0" xfId="0" applyFont="1" applyFill="1"/>
    <xf numFmtId="3" fontId="21" fillId="0" borderId="25" xfId="0" applyNumberFormat="1" applyFont="1" applyBorder="1" applyAlignment="1">
      <alignment horizontal="center"/>
    </xf>
    <xf numFmtId="3" fontId="21" fillId="0" borderId="78" xfId="0" applyNumberFormat="1" applyFont="1" applyBorder="1" applyAlignment="1">
      <alignment horizontal="center"/>
    </xf>
    <xf numFmtId="3" fontId="21" fillId="0" borderId="59" xfId="0" applyNumberFormat="1" applyFont="1" applyBorder="1" applyAlignment="1">
      <alignment horizontal="center"/>
    </xf>
    <xf numFmtId="3" fontId="21" fillId="0" borderId="26" xfId="0" applyNumberFormat="1" applyFont="1" applyBorder="1" applyAlignment="1">
      <alignment horizontal="center"/>
    </xf>
    <xf numFmtId="3" fontId="21" fillId="0" borderId="105" xfId="0" applyNumberFormat="1" applyFont="1" applyBorder="1" applyAlignment="1">
      <alignment horizontal="center"/>
    </xf>
    <xf numFmtId="3" fontId="21" fillId="0" borderId="60" xfId="0" applyNumberFormat="1" applyFont="1" applyBorder="1" applyAlignment="1">
      <alignment horizontal="center"/>
    </xf>
    <xf numFmtId="3" fontId="21" fillId="0" borderId="69" xfId="0" applyNumberFormat="1" applyFont="1" applyBorder="1" applyAlignment="1">
      <alignment horizontal="center"/>
    </xf>
    <xf numFmtId="3" fontId="21" fillId="0" borderId="83" xfId="0" applyNumberFormat="1" applyFont="1" applyBorder="1" applyAlignment="1">
      <alignment horizontal="center"/>
    </xf>
    <xf numFmtId="166" fontId="21" fillId="0" borderId="65" xfId="8" applyFont="1" applyBorder="1" applyAlignment="1">
      <alignment horizontal="center" vertical="top" wrapText="1"/>
    </xf>
    <xf numFmtId="166" fontId="21" fillId="58" borderId="60" xfId="8" applyFont="1" applyFill="1" applyBorder="1"/>
    <xf numFmtId="0" fontId="21" fillId="0" borderId="83" xfId="0" applyFont="1" applyBorder="1" applyAlignment="1">
      <alignment horizontal="left" vertical="center" wrapText="1"/>
    </xf>
    <xf numFmtId="3" fontId="21" fillId="0" borderId="59" xfId="0" applyNumberFormat="1" applyFont="1" applyBorder="1" applyAlignment="1">
      <alignment horizontal="center" vertical="center"/>
    </xf>
    <xf numFmtId="3" fontId="21" fillId="0" borderId="26" xfId="0" applyNumberFormat="1" applyFont="1" applyBorder="1" applyAlignment="1">
      <alignment horizontal="center" vertical="center"/>
    </xf>
    <xf numFmtId="3" fontId="21" fillId="0" borderId="105" xfId="0" applyNumberFormat="1" applyFont="1" applyBorder="1" applyAlignment="1">
      <alignment horizontal="center" vertical="center"/>
    </xf>
    <xf numFmtId="3" fontId="21" fillId="0" borderId="60" xfId="0" applyNumberFormat="1" applyFont="1" applyBorder="1" applyAlignment="1">
      <alignment horizontal="center" vertical="center"/>
    </xf>
    <xf numFmtId="166" fontId="21" fillId="0" borderId="0" xfId="8" applyFont="1" applyAlignment="1">
      <alignment vertical="center"/>
    </xf>
    <xf numFmtId="166" fontId="14" fillId="0" borderId="0" xfId="8" applyFont="1" applyAlignment="1">
      <alignment vertical="center"/>
    </xf>
    <xf numFmtId="0" fontId="14" fillId="0" borderId="0" xfId="0" applyFont="1" applyAlignment="1">
      <alignment vertical="center"/>
    </xf>
    <xf numFmtId="166" fontId="14" fillId="0" borderId="56" xfId="8" applyFont="1" applyFill="1" applyBorder="1" applyProtection="1"/>
    <xf numFmtId="166" fontId="0" fillId="0" borderId="56" xfId="8" applyFont="1" applyFill="1" applyBorder="1"/>
    <xf numFmtId="166" fontId="17" fillId="0" borderId="56" xfId="8" applyFont="1" applyFill="1" applyBorder="1"/>
    <xf numFmtId="166" fontId="14" fillId="58" borderId="59" xfId="8" applyFont="1" applyFill="1" applyBorder="1"/>
    <xf numFmtId="3" fontId="21" fillId="0" borderId="56" xfId="0" applyNumberFormat="1" applyFont="1" applyBorder="1" applyAlignment="1">
      <alignment horizontal="center" vertical="center"/>
    </xf>
    <xf numFmtId="166" fontId="21" fillId="0" borderId="7" xfId="8" applyFont="1" applyFill="1" applyBorder="1" applyAlignment="1">
      <alignment horizontal="center" vertical="top" wrapText="1"/>
    </xf>
    <xf numFmtId="3" fontId="67" fillId="0" borderId="7" xfId="0" applyNumberFormat="1" applyFont="1" applyBorder="1" applyAlignment="1">
      <alignment horizontal="center"/>
    </xf>
    <xf numFmtId="166" fontId="17" fillId="0" borderId="7" xfId="8" applyFont="1" applyFill="1" applyBorder="1"/>
    <xf numFmtId="0" fontId="21" fillId="0" borderId="83" xfId="0" quotePrefix="1" applyFont="1" applyBorder="1" applyAlignment="1">
      <alignment horizontal="left" vertical="center"/>
    </xf>
    <xf numFmtId="3" fontId="21" fillId="0" borderId="25" xfId="0" applyNumberFormat="1" applyFont="1" applyBorder="1" applyAlignment="1">
      <alignment horizontal="center" vertical="center"/>
    </xf>
    <xf numFmtId="3" fontId="21" fillId="0" borderId="69" xfId="0" applyNumberFormat="1" applyFont="1" applyBorder="1" applyAlignment="1">
      <alignment horizontal="center" vertical="center"/>
    </xf>
    <xf numFmtId="0" fontId="14" fillId="57" borderId="11" xfId="0" applyFont="1" applyFill="1" applyBorder="1" applyAlignment="1">
      <alignment horizontal="left" vertical="center"/>
    </xf>
    <xf numFmtId="0" fontId="14" fillId="57" borderId="59" xfId="0" applyFont="1" applyFill="1" applyBorder="1" applyAlignment="1">
      <alignment horizontal="center" vertical="center"/>
    </xf>
    <xf numFmtId="0" fontId="14" fillId="0" borderId="76" xfId="0" applyFont="1" applyBorder="1" applyAlignment="1">
      <alignment horizontal="left"/>
    </xf>
    <xf numFmtId="0" fontId="14" fillId="0" borderId="56" xfId="0" applyFont="1" applyBorder="1" applyAlignment="1">
      <alignment horizontal="left"/>
    </xf>
    <xf numFmtId="0" fontId="14" fillId="0" borderId="78" xfId="0" applyFont="1" applyBorder="1" applyAlignment="1">
      <alignment horizontal="left"/>
    </xf>
    <xf numFmtId="3" fontId="21" fillId="0" borderId="103" xfId="0" applyNumberFormat="1" applyFont="1" applyBorder="1" applyAlignment="1">
      <alignment horizontal="center" vertical="center"/>
    </xf>
    <xf numFmtId="166" fontId="14" fillId="0" borderId="0" xfId="8" applyFont="1" applyFill="1" applyBorder="1"/>
    <xf numFmtId="166" fontId="21" fillId="0" borderId="0" xfId="8" applyFont="1" applyFill="1" applyBorder="1" applyAlignment="1">
      <alignment horizontal="center" vertical="center" wrapText="1"/>
    </xf>
    <xf numFmtId="166" fontId="21" fillId="57" borderId="100" xfId="0" applyNumberFormat="1" applyFont="1" applyFill="1" applyBorder="1" applyAlignment="1">
      <alignment horizontal="right"/>
    </xf>
    <xf numFmtId="166" fontId="21" fillId="0" borderId="63" xfId="8" applyFont="1" applyBorder="1" applyAlignment="1">
      <alignment horizontal="center" vertical="center" wrapText="1"/>
    </xf>
    <xf numFmtId="166" fontId="21" fillId="57" borderId="100" xfId="0" applyNumberFormat="1" applyFont="1" applyFill="1" applyBorder="1" applyAlignment="1">
      <alignment horizontal="left"/>
    </xf>
    <xf numFmtId="0" fontId="21" fillId="0" borderId="101" xfId="0" applyFont="1" applyBorder="1" applyAlignment="1">
      <alignment horizontal="center" vertical="center"/>
    </xf>
    <xf numFmtId="0" fontId="14" fillId="0" borderId="101" xfId="0" applyFont="1" applyBorder="1" applyAlignment="1">
      <alignment horizontal="center"/>
    </xf>
    <xf numFmtId="0" fontId="14" fillId="0" borderId="82" xfId="0" applyFont="1" applyBorder="1" applyAlignment="1">
      <alignment horizontal="center"/>
    </xf>
    <xf numFmtId="0" fontId="14" fillId="0" borderId="83" xfId="0" applyFont="1" applyBorder="1" applyAlignment="1">
      <alignment horizontal="center"/>
    </xf>
    <xf numFmtId="0" fontId="14" fillId="57" borderId="106" xfId="0" applyFont="1" applyFill="1" applyBorder="1" applyAlignment="1">
      <alignment horizontal="left" vertical="center"/>
    </xf>
    <xf numFmtId="0" fontId="14" fillId="0" borderId="8" xfId="0" applyFont="1" applyBorder="1"/>
    <xf numFmtId="14" fontId="14" fillId="0" borderId="0" xfId="8" applyNumberFormat="1" applyFont="1"/>
    <xf numFmtId="0" fontId="21" fillId="0" borderId="60" xfId="0" applyFont="1" applyBorder="1" applyAlignment="1">
      <alignment horizontal="center" vertical="center" wrapText="1"/>
    </xf>
    <xf numFmtId="0" fontId="21" fillId="0" borderId="83" xfId="0" applyFont="1" applyBorder="1" applyAlignment="1">
      <alignment horizontal="center" vertical="center" wrapText="1"/>
    </xf>
    <xf numFmtId="0" fontId="69" fillId="62" borderId="0" xfId="0" applyFont="1" applyFill="1"/>
    <xf numFmtId="0" fontId="68" fillId="0" borderId="0" xfId="0" quotePrefix="1" applyFont="1" applyAlignment="1">
      <alignment horizontal="left" vertical="center" wrapText="1"/>
    </xf>
    <xf numFmtId="3" fontId="14" fillId="0" borderId="90" xfId="0" applyNumberFormat="1" applyFont="1" applyBorder="1" applyAlignment="1">
      <alignment horizontal="right" vertical="top" wrapText="1"/>
    </xf>
    <xf numFmtId="3" fontId="14" fillId="0" borderId="57" xfId="0" applyNumberFormat="1" applyFont="1" applyBorder="1" applyAlignment="1">
      <alignment horizontal="right" vertical="top" wrapText="1"/>
    </xf>
    <xf numFmtId="3" fontId="14" fillId="0" borderId="59" xfId="0" applyNumberFormat="1" applyFont="1" applyBorder="1" applyAlignment="1">
      <alignment horizontal="right" vertical="top" wrapText="1"/>
    </xf>
    <xf numFmtId="3" fontId="21" fillId="0" borderId="78" xfId="0" applyNumberFormat="1" applyFont="1" applyBorder="1" applyAlignment="1">
      <alignment horizontal="center" vertical="center"/>
    </xf>
    <xf numFmtId="0" fontId="21" fillId="0" borderId="105" xfId="0" quotePrefix="1" applyFont="1" applyBorder="1" applyAlignment="1">
      <alignment horizontal="center" vertical="center" wrapText="1"/>
    </xf>
    <xf numFmtId="0" fontId="21" fillId="0" borderId="26" xfId="0" quotePrefix="1" applyFont="1" applyBorder="1" applyAlignment="1">
      <alignment horizontal="center" vertical="center" wrapText="1"/>
    </xf>
    <xf numFmtId="0" fontId="21" fillId="0" borderId="80" xfId="0" applyFont="1" applyBorder="1" applyAlignment="1">
      <alignment horizontal="center" vertical="center" wrapText="1"/>
    </xf>
    <xf numFmtId="166" fontId="14" fillId="0" borderId="0" xfId="4" applyFont="1" applyBorder="1"/>
    <xf numFmtId="10" fontId="21" fillId="0" borderId="71" xfId="0" applyNumberFormat="1" applyFont="1" applyBorder="1" applyAlignment="1">
      <alignment horizontal="center"/>
    </xf>
    <xf numFmtId="49" fontId="70" fillId="0" borderId="0" xfId="0" applyNumberFormat="1" applyFont="1" applyAlignment="1">
      <alignment horizontal="left" vertical="top"/>
    </xf>
    <xf numFmtId="0" fontId="70" fillId="0" borderId="83" xfId="0" applyFont="1" applyBorder="1" applyAlignment="1">
      <alignment horizontal="center" vertical="top" wrapText="1"/>
    </xf>
    <xf numFmtId="3" fontId="14" fillId="56" borderId="96" xfId="8" applyNumberFormat="1" applyFont="1" applyFill="1" applyBorder="1" applyAlignment="1">
      <alignment horizontal="right" vertical="center"/>
    </xf>
    <xf numFmtId="4" fontId="14" fillId="56" borderId="67" xfId="8" applyNumberFormat="1" applyFont="1" applyFill="1" applyBorder="1" applyAlignment="1">
      <alignment horizontal="right" vertical="center"/>
    </xf>
    <xf numFmtId="3" fontId="14" fillId="56" borderId="116" xfId="8" applyNumberFormat="1" applyFont="1" applyFill="1" applyBorder="1" applyAlignment="1">
      <alignment horizontal="right" vertical="center"/>
    </xf>
    <xf numFmtId="4" fontId="14" fillId="56" borderId="68" xfId="8" applyNumberFormat="1" applyFont="1" applyFill="1" applyBorder="1" applyAlignment="1">
      <alignment horizontal="right" vertical="center"/>
    </xf>
    <xf numFmtId="3" fontId="14" fillId="56" borderId="93" xfId="8" applyNumberFormat="1" applyFont="1" applyFill="1" applyBorder="1" applyAlignment="1">
      <alignment horizontal="right" vertical="center"/>
    </xf>
    <xf numFmtId="4" fontId="14" fillId="56" borderId="69" xfId="8" applyNumberFormat="1" applyFont="1" applyFill="1" applyBorder="1" applyAlignment="1">
      <alignment horizontal="right" vertical="center"/>
    </xf>
    <xf numFmtId="3" fontId="14" fillId="56" borderId="87" xfId="8" applyNumberFormat="1" applyFont="1" applyFill="1" applyBorder="1" applyAlignment="1">
      <alignment horizontal="right" vertical="center"/>
    </xf>
    <xf numFmtId="4" fontId="14" fillId="56" borderId="72" xfId="8" applyNumberFormat="1" applyFont="1" applyFill="1" applyBorder="1" applyAlignment="1">
      <alignment horizontal="right" vertical="center"/>
    </xf>
    <xf numFmtId="4" fontId="14" fillId="56" borderId="77" xfId="8" applyNumberFormat="1" applyFont="1" applyFill="1" applyBorder="1" applyAlignment="1">
      <alignment horizontal="right" vertical="center"/>
    </xf>
    <xf numFmtId="4" fontId="14" fillId="56" borderId="65" xfId="8" applyNumberFormat="1" applyFont="1" applyFill="1" applyBorder="1" applyAlignment="1">
      <alignment horizontal="right" vertical="center"/>
    </xf>
    <xf numFmtId="4" fontId="14" fillId="56" borderId="58" xfId="8" applyNumberFormat="1" applyFont="1" applyFill="1" applyBorder="1" applyAlignment="1">
      <alignment horizontal="right" vertical="center"/>
    </xf>
    <xf numFmtId="3" fontId="14" fillId="56" borderId="66" xfId="8" applyNumberFormat="1" applyFont="1" applyFill="1" applyBorder="1" applyAlignment="1">
      <alignment horizontal="right" vertical="center"/>
    </xf>
    <xf numFmtId="3" fontId="14" fillId="56" borderId="110" xfId="8" applyNumberFormat="1" applyFont="1" applyFill="1" applyBorder="1" applyAlignment="1">
      <alignment horizontal="right" vertical="center"/>
    </xf>
    <xf numFmtId="166" fontId="21" fillId="0" borderId="8" xfId="0" applyNumberFormat="1" applyFont="1" applyBorder="1" applyAlignment="1">
      <alignment vertical="center"/>
    </xf>
    <xf numFmtId="0" fontId="21" fillId="0" borderId="82" xfId="0" quotePrefix="1" applyFont="1" applyBorder="1" applyAlignment="1">
      <alignment horizontal="left" vertical="center"/>
    </xf>
    <xf numFmtId="0" fontId="21" fillId="0" borderId="83" xfId="0" applyFont="1" applyBorder="1" applyAlignment="1">
      <alignment horizontal="right" vertical="center" wrapText="1"/>
    </xf>
    <xf numFmtId="14" fontId="0" fillId="56" borderId="0" xfId="0" applyNumberFormat="1" applyFill="1"/>
    <xf numFmtId="0" fontId="0" fillId="56" borderId="0" xfId="0" applyFill="1"/>
    <xf numFmtId="166" fontId="21" fillId="58" borderId="118" xfId="8" applyFont="1" applyFill="1" applyBorder="1"/>
    <xf numFmtId="166" fontId="71" fillId="0" borderId="0" xfId="8" applyFont="1"/>
    <xf numFmtId="0" fontId="71" fillId="0" borderId="0" xfId="0" applyFont="1"/>
    <xf numFmtId="166" fontId="72" fillId="0" borderId="0" xfId="8" applyFont="1"/>
    <xf numFmtId="166" fontId="73" fillId="0" borderId="0" xfId="8" applyFont="1"/>
    <xf numFmtId="0" fontId="23" fillId="0" borderId="0" xfId="0" applyFont="1"/>
    <xf numFmtId="0" fontId="73" fillId="0" borderId="0" xfId="0" applyFont="1"/>
    <xf numFmtId="0" fontId="73" fillId="0" borderId="0" xfId="0" quotePrefix="1" applyFont="1"/>
    <xf numFmtId="166" fontId="23" fillId="0" borderId="0" xfId="8" applyFont="1"/>
    <xf numFmtId="166" fontId="23" fillId="0" borderId="0" xfId="8" applyFont="1" applyAlignment="1">
      <alignment vertical="center"/>
    </xf>
    <xf numFmtId="166" fontId="73" fillId="0" borderId="0" xfId="8" applyFont="1" applyBorder="1"/>
    <xf numFmtId="3" fontId="22" fillId="0" borderId="0" xfId="0" applyNumberFormat="1" applyFont="1" applyAlignment="1">
      <alignment horizontal="center"/>
    </xf>
    <xf numFmtId="3" fontId="21" fillId="0" borderId="99" xfId="0" applyNumberFormat="1" applyFont="1" applyBorder="1" applyAlignment="1">
      <alignment horizontal="center" vertical="center"/>
    </xf>
    <xf numFmtId="0" fontId="14" fillId="57" borderId="73" xfId="0" applyFont="1" applyFill="1" applyBorder="1"/>
    <xf numFmtId="0" fontId="14" fillId="57" borderId="108" xfId="0" applyFont="1" applyFill="1" applyBorder="1"/>
    <xf numFmtId="0" fontId="14" fillId="57" borderId="81" xfId="0" applyFont="1" applyFill="1" applyBorder="1"/>
    <xf numFmtId="0" fontId="14" fillId="57" borderId="74" xfId="0" applyFont="1" applyFill="1" applyBorder="1"/>
    <xf numFmtId="0" fontId="14" fillId="57" borderId="80" xfId="0" applyFont="1" applyFill="1" applyBorder="1"/>
    <xf numFmtId="0" fontId="14" fillId="0" borderId="76" xfId="0" applyFont="1" applyBorder="1" applyAlignment="1">
      <alignment horizontal="center"/>
    </xf>
    <xf numFmtId="0" fontId="14" fillId="0" borderId="56" xfId="0" applyFont="1" applyBorder="1" applyAlignment="1">
      <alignment horizontal="center"/>
    </xf>
    <xf numFmtId="0" fontId="21" fillId="57" borderId="55" xfId="0" quotePrefix="1" applyFont="1" applyFill="1" applyBorder="1" applyAlignment="1">
      <alignment horizontal="left"/>
    </xf>
    <xf numFmtId="0" fontId="14" fillId="57" borderId="61" xfId="0" applyFont="1" applyFill="1" applyBorder="1"/>
    <xf numFmtId="0" fontId="14" fillId="57" borderId="62" xfId="0" applyFont="1" applyFill="1" applyBorder="1"/>
    <xf numFmtId="166" fontId="21" fillId="57" borderId="100" xfId="8" applyFont="1" applyFill="1" applyBorder="1"/>
    <xf numFmtId="166" fontId="21" fillId="57" borderId="63" xfId="8" applyFont="1" applyFill="1" applyBorder="1"/>
    <xf numFmtId="166" fontId="21" fillId="57" borderId="65" xfId="8" applyFont="1" applyFill="1" applyBorder="1"/>
    <xf numFmtId="0" fontId="21" fillId="57" borderId="78" xfId="0" quotePrefix="1" applyFont="1" applyFill="1" applyBorder="1" applyAlignment="1">
      <alignment horizontal="left"/>
    </xf>
    <xf numFmtId="166" fontId="21" fillId="0" borderId="100" xfId="8" applyFont="1" applyBorder="1" applyAlignment="1">
      <alignment horizontal="center" vertical="center" wrapText="1"/>
    </xf>
    <xf numFmtId="166" fontId="21" fillId="0" borderId="108" xfId="8" applyFont="1" applyBorder="1" applyAlignment="1">
      <alignment horizontal="center" vertical="center" wrapText="1"/>
    </xf>
    <xf numFmtId="166" fontId="21" fillId="0" borderId="90" xfId="8" applyFont="1" applyBorder="1" applyAlignment="1">
      <alignment horizontal="center" vertical="center" wrapText="1"/>
    </xf>
    <xf numFmtId="166" fontId="21" fillId="0" borderId="94" xfId="8" applyFont="1" applyBorder="1" applyAlignment="1">
      <alignment horizontal="center" vertical="center" wrapText="1"/>
    </xf>
    <xf numFmtId="166" fontId="21" fillId="0" borderId="66" xfId="8" applyFont="1" applyBorder="1" applyAlignment="1">
      <alignment horizontal="center" vertical="center" wrapText="1"/>
    </xf>
    <xf numFmtId="166" fontId="23" fillId="0" borderId="76" xfId="8" quotePrefix="1" applyFont="1" applyBorder="1" applyAlignment="1">
      <alignment horizontal="center" vertical="center" wrapText="1"/>
    </xf>
    <xf numFmtId="166" fontId="23" fillId="0" borderId="94" xfId="8" quotePrefix="1" applyFont="1" applyBorder="1" applyAlignment="1">
      <alignment horizontal="center" vertical="center" wrapText="1"/>
    </xf>
    <xf numFmtId="166" fontId="0" fillId="0" borderId="55" xfId="8" applyFont="1" applyBorder="1" applyAlignment="1">
      <alignment horizontal="right"/>
    </xf>
    <xf numFmtId="166" fontId="0" fillId="0" borderId="100" xfId="8" applyFont="1" applyBorder="1" applyAlignment="1">
      <alignment horizontal="right"/>
    </xf>
    <xf numFmtId="166" fontId="0" fillId="0" borderId="0" xfId="8" applyFont="1" applyBorder="1"/>
    <xf numFmtId="166" fontId="14" fillId="58" borderId="110" xfId="8" applyFont="1" applyFill="1" applyBorder="1"/>
    <xf numFmtId="166" fontId="14" fillId="58" borderId="68" xfId="8" applyFont="1" applyFill="1" applyBorder="1"/>
    <xf numFmtId="166" fontId="23" fillId="0" borderId="73" xfId="8" quotePrefix="1" applyFont="1" applyBorder="1" applyAlignment="1">
      <alignment horizontal="center" vertical="center" wrapText="1"/>
    </xf>
    <xf numFmtId="166" fontId="14" fillId="58" borderId="4" xfId="8" applyFont="1" applyFill="1" applyBorder="1"/>
    <xf numFmtId="166" fontId="0" fillId="0" borderId="61" xfId="8" applyFont="1" applyBorder="1" applyAlignment="1">
      <alignment horizontal="right"/>
    </xf>
    <xf numFmtId="0" fontId="21" fillId="0" borderId="55" xfId="0" quotePrefix="1" applyFont="1" applyBorder="1" applyAlignment="1">
      <alignment horizontal="center" vertical="center" wrapText="1"/>
    </xf>
    <xf numFmtId="0" fontId="21" fillId="0" borderId="65" xfId="0" applyFont="1" applyBorder="1" applyAlignment="1">
      <alignment horizontal="center" vertical="top" wrapText="1"/>
    </xf>
    <xf numFmtId="0" fontId="21" fillId="0" borderId="100" xfId="0" applyFont="1" applyBorder="1" applyAlignment="1">
      <alignment horizontal="center" vertical="top" wrapText="1"/>
    </xf>
    <xf numFmtId="0" fontId="21" fillId="0" borderId="62" xfId="0" applyFont="1" applyBorder="1" applyAlignment="1">
      <alignment horizontal="center" vertical="top" wrapText="1"/>
    </xf>
    <xf numFmtId="166" fontId="14" fillId="56" borderId="81" xfId="8" applyFont="1" applyFill="1" applyBorder="1"/>
    <xf numFmtId="166" fontId="14" fillId="56" borderId="57" xfId="8" applyFont="1" applyFill="1" applyBorder="1" applyProtection="1"/>
    <xf numFmtId="166" fontId="14" fillId="56" borderId="58" xfId="8" applyFont="1" applyFill="1" applyBorder="1" applyProtection="1"/>
    <xf numFmtId="166" fontId="14" fillId="56" borderId="80" xfId="8" applyFont="1" applyFill="1" applyBorder="1"/>
    <xf numFmtId="166" fontId="14" fillId="56" borderId="59" xfId="8" applyFont="1" applyFill="1" applyBorder="1" applyProtection="1"/>
    <xf numFmtId="166" fontId="14" fillId="56" borderId="90" xfId="8" applyFont="1" applyFill="1" applyBorder="1"/>
    <xf numFmtId="166" fontId="14" fillId="56" borderId="94" xfId="8" applyFont="1" applyFill="1" applyBorder="1"/>
    <xf numFmtId="0" fontId="14" fillId="56" borderId="81" xfId="0" applyFont="1" applyFill="1" applyBorder="1"/>
    <xf numFmtId="0" fontId="14" fillId="56" borderId="80" xfId="0" applyFont="1" applyFill="1" applyBorder="1"/>
    <xf numFmtId="166" fontId="14" fillId="56" borderId="59" xfId="8" applyFont="1" applyFill="1" applyBorder="1"/>
    <xf numFmtId="166" fontId="14" fillId="56" borderId="60" xfId="8" applyFont="1" applyFill="1" applyBorder="1"/>
    <xf numFmtId="0" fontId="14" fillId="56" borderId="101" xfId="0" applyFont="1" applyFill="1" applyBorder="1"/>
    <xf numFmtId="0" fontId="14" fillId="56" borderId="82" xfId="0" applyFont="1" applyFill="1" applyBorder="1"/>
    <xf numFmtId="0" fontId="14" fillId="56" borderId="83" xfId="0" applyFont="1" applyFill="1" applyBorder="1"/>
    <xf numFmtId="0" fontId="74" fillId="0" borderId="0" xfId="0" quotePrefix="1" applyFont="1"/>
    <xf numFmtId="0" fontId="55" fillId="0" borderId="0" xfId="1155" applyFont="1"/>
    <xf numFmtId="3" fontId="14" fillId="0" borderId="67" xfId="8" applyNumberFormat="1" applyFont="1" applyFill="1" applyBorder="1" applyAlignment="1">
      <alignment horizontal="right" vertical="center"/>
    </xf>
    <xf numFmtId="3" fontId="14" fillId="0" borderId="68" xfId="8" applyNumberFormat="1" applyFont="1" applyFill="1" applyBorder="1" applyAlignment="1">
      <alignment horizontal="right" vertical="center"/>
    </xf>
    <xf numFmtId="3" fontId="14" fillId="0" borderId="69" xfId="8" applyNumberFormat="1" applyFont="1" applyFill="1" applyBorder="1" applyAlignment="1">
      <alignment horizontal="right" vertical="center"/>
    </xf>
    <xf numFmtId="3" fontId="21" fillId="0" borderId="65" xfId="8" applyNumberFormat="1" applyFont="1" applyFill="1" applyBorder="1" applyAlignment="1">
      <alignment horizontal="right" vertical="center"/>
    </xf>
    <xf numFmtId="3" fontId="14" fillId="0" borderId="62" xfId="8" applyNumberFormat="1" applyFont="1" applyFill="1" applyBorder="1" applyAlignment="1">
      <alignment horizontal="right" vertical="center"/>
    </xf>
    <xf numFmtId="3" fontId="14" fillId="0" borderId="91" xfId="8" applyNumberFormat="1" applyFont="1" applyFill="1" applyBorder="1" applyAlignment="1">
      <alignment horizontal="right" vertical="center"/>
    </xf>
    <xf numFmtId="3" fontId="14" fillId="0" borderId="99" xfId="8" applyNumberFormat="1" applyFont="1" applyFill="1" applyBorder="1" applyAlignment="1">
      <alignment horizontal="right" vertical="center"/>
    </xf>
    <xf numFmtId="3" fontId="65" fillId="0" borderId="80" xfId="8" applyNumberFormat="1" applyFont="1" applyBorder="1" applyAlignment="1">
      <alignment horizontal="right" vertical="center"/>
    </xf>
    <xf numFmtId="3" fontId="14" fillId="57" borderId="85" xfId="4" applyNumberFormat="1" applyFont="1" applyFill="1" applyBorder="1" applyProtection="1"/>
    <xf numFmtId="3" fontId="14" fillId="57" borderId="81" xfId="4" applyNumberFormat="1" applyFont="1" applyFill="1" applyBorder="1" applyProtection="1"/>
    <xf numFmtId="3" fontId="14" fillId="57" borderId="80" xfId="4" applyNumberFormat="1" applyFont="1" applyFill="1" applyBorder="1" applyProtection="1"/>
    <xf numFmtId="3" fontId="21" fillId="0" borderId="80" xfId="0" applyNumberFormat="1" applyFont="1" applyBorder="1"/>
    <xf numFmtId="3" fontId="14" fillId="0" borderId="28" xfId="0" applyNumberFormat="1" applyFont="1" applyBorder="1" applyAlignment="1">
      <alignment horizontal="right" vertical="center" wrapText="1"/>
    </xf>
    <xf numFmtId="3" fontId="14" fillId="0" borderId="30" xfId="0" applyNumberFormat="1" applyFont="1" applyBorder="1" applyAlignment="1">
      <alignment horizontal="right" vertical="center" wrapText="1"/>
    </xf>
    <xf numFmtId="3" fontId="14" fillId="0" borderId="94" xfId="0" applyNumberFormat="1" applyFont="1" applyBorder="1" applyAlignment="1">
      <alignment horizontal="right" vertical="center" wrapText="1"/>
    </xf>
    <xf numFmtId="3" fontId="14" fillId="0" borderId="6" xfId="0" applyNumberFormat="1" applyFont="1" applyBorder="1" applyAlignment="1">
      <alignment horizontal="right" vertical="center" wrapText="1"/>
    </xf>
    <xf numFmtId="3" fontId="14" fillId="0" borderId="2" xfId="0" applyNumberFormat="1" applyFont="1" applyBorder="1" applyAlignment="1">
      <alignment horizontal="right" vertical="center" wrapText="1"/>
    </xf>
    <xf numFmtId="3" fontId="14" fillId="0" borderId="58" xfId="0" applyNumberFormat="1" applyFont="1" applyBorder="1" applyAlignment="1">
      <alignment horizontal="right" vertical="center" wrapText="1"/>
    </xf>
    <xf numFmtId="3" fontId="14" fillId="0" borderId="104" xfId="0" applyNumberFormat="1" applyFont="1" applyBorder="1" applyAlignment="1">
      <alignment horizontal="right" vertical="center" wrapText="1"/>
    </xf>
    <xf numFmtId="3" fontId="14" fillId="0" borderId="26" xfId="0" applyNumberFormat="1" applyFont="1" applyBorder="1" applyAlignment="1">
      <alignment horizontal="right" vertical="center" wrapText="1"/>
    </xf>
    <xf numFmtId="3" fontId="14" fillId="0" borderId="60" xfId="0" applyNumberFormat="1" applyFont="1" applyBorder="1" applyAlignment="1">
      <alignment horizontal="right" vertical="center" wrapText="1"/>
    </xf>
    <xf numFmtId="3" fontId="21" fillId="0" borderId="104" xfId="0" applyNumberFormat="1" applyFont="1" applyBorder="1" applyAlignment="1">
      <alignment horizontal="right" vertical="center"/>
    </xf>
    <xf numFmtId="3" fontId="21" fillId="0" borderId="26" xfId="0" applyNumberFormat="1" applyFont="1" applyBorder="1" applyAlignment="1">
      <alignment horizontal="right" vertical="center"/>
    </xf>
    <xf numFmtId="3" fontId="21" fillId="0" borderId="60" xfId="0" applyNumberFormat="1" applyFont="1" applyBorder="1" applyAlignment="1">
      <alignment horizontal="right" vertical="center"/>
    </xf>
    <xf numFmtId="3" fontId="14" fillId="0" borderId="6" xfId="8" applyNumberFormat="1" applyFont="1" applyBorder="1"/>
    <xf numFmtId="3" fontId="14" fillId="0" borderId="58" xfId="8" applyNumberFormat="1" applyFont="1" applyBorder="1"/>
    <xf numFmtId="3" fontId="14" fillId="0" borderId="81" xfId="8" applyNumberFormat="1" applyFont="1" applyFill="1" applyBorder="1" applyProtection="1"/>
    <xf numFmtId="167" fontId="14" fillId="0" borderId="0" xfId="8" applyNumberFormat="1" applyFont="1"/>
    <xf numFmtId="0" fontId="0" fillId="0" borderId="57" xfId="0" applyBorder="1" applyAlignment="1">
      <alignment wrapText="1"/>
    </xf>
    <xf numFmtId="0" fontId="0" fillId="63" borderId="6" xfId="0" applyFill="1" applyBorder="1" applyAlignment="1">
      <alignment wrapText="1"/>
    </xf>
    <xf numFmtId="0" fontId="0" fillId="63" borderId="57" xfId="0" applyFill="1" applyBorder="1" applyAlignment="1">
      <alignment wrapText="1"/>
    </xf>
    <xf numFmtId="0" fontId="0" fillId="63" borderId="81" xfId="0" applyFill="1" applyBorder="1" applyAlignment="1">
      <alignment wrapText="1"/>
    </xf>
    <xf numFmtId="3" fontId="0" fillId="63" borderId="6" xfId="0" applyNumberFormat="1" applyFill="1" applyBorder="1" applyAlignment="1">
      <alignment wrapText="1"/>
    </xf>
    <xf numFmtId="3" fontId="0" fillId="63" borderId="81" xfId="0" applyNumberFormat="1" applyFill="1" applyBorder="1" applyAlignment="1">
      <alignment wrapText="1"/>
    </xf>
    <xf numFmtId="3" fontId="0" fillId="63" borderId="57" xfId="0" applyNumberFormat="1" applyFill="1" applyBorder="1" applyAlignment="1">
      <alignment wrapText="1"/>
    </xf>
    <xf numFmtId="0" fontId="0" fillId="63" borderId="82" xfId="0" applyFill="1" applyBorder="1" applyAlignment="1">
      <alignment wrapText="1"/>
    </xf>
    <xf numFmtId="3" fontId="0" fillId="63" borderId="82" xfId="0" applyNumberFormat="1" applyFill="1" applyBorder="1" applyAlignment="1">
      <alignment wrapText="1"/>
    </xf>
    <xf numFmtId="166" fontId="0" fillId="0" borderId="0" xfId="8" applyFont="1" applyAlignment="1">
      <alignment vertical="top" wrapText="1"/>
    </xf>
    <xf numFmtId="1" fontId="0" fillId="63" borderId="81" xfId="0" applyNumberFormat="1" applyFill="1" applyBorder="1" applyAlignment="1">
      <alignment wrapText="1"/>
    </xf>
    <xf numFmtId="0" fontId="14" fillId="57" borderId="76" xfId="0" applyFont="1" applyFill="1" applyBorder="1" applyAlignment="1">
      <alignment horizontal="center" vertical="top"/>
    </xf>
    <xf numFmtId="0" fontId="14" fillId="57" borderId="78" xfId="0" applyFont="1" applyFill="1" applyBorder="1" applyAlignment="1">
      <alignment horizontal="center" vertical="top"/>
    </xf>
    <xf numFmtId="0" fontId="14" fillId="57" borderId="96" xfId="0" applyFont="1" applyFill="1" applyBorder="1" applyAlignment="1">
      <alignment horizontal="center" vertical="top"/>
    </xf>
    <xf numFmtId="0" fontId="0" fillId="0" borderId="73" xfId="0" applyBorder="1"/>
    <xf numFmtId="0" fontId="14" fillId="57" borderId="55" xfId="0" applyFont="1" applyFill="1" applyBorder="1" applyAlignment="1">
      <alignment horizontal="center" vertical="top"/>
    </xf>
    <xf numFmtId="0" fontId="14" fillId="57" borderId="64" xfId="0" applyFont="1" applyFill="1" applyBorder="1" applyAlignment="1">
      <alignment horizontal="left" vertical="center" wrapText="1"/>
    </xf>
    <xf numFmtId="0" fontId="14" fillId="57" borderId="102" xfId="0" applyFont="1" applyFill="1" applyBorder="1" applyAlignment="1">
      <alignment horizontal="left" vertical="center" wrapText="1"/>
    </xf>
    <xf numFmtId="166" fontId="14" fillId="56" borderId="64" xfId="8" applyFont="1" applyFill="1" applyBorder="1" applyAlignment="1" applyProtection="1">
      <alignment horizontal="right" vertical="center" wrapText="1"/>
    </xf>
    <xf numFmtId="166" fontId="14" fillId="57" borderId="27" xfId="8" applyFont="1" applyFill="1" applyBorder="1" applyAlignment="1" applyProtection="1">
      <alignment horizontal="left" vertical="center" wrapText="1"/>
    </xf>
    <xf numFmtId="0" fontId="14" fillId="0" borderId="25" xfId="0" applyFont="1" applyBorder="1"/>
    <xf numFmtId="166" fontId="14" fillId="56" borderId="94" xfId="8" quotePrefix="1" applyFont="1" applyFill="1" applyBorder="1" applyAlignment="1" applyProtection="1">
      <alignment horizontal="right" vertical="center" wrapText="1"/>
    </xf>
    <xf numFmtId="166" fontId="14" fillId="56" borderId="65" xfId="8" quotePrefix="1" applyFont="1" applyFill="1" applyBorder="1" applyAlignment="1" applyProtection="1">
      <alignment horizontal="right" vertical="center" wrapText="1"/>
    </xf>
    <xf numFmtId="0" fontId="14" fillId="57" borderId="93" xfId="0" applyFont="1" applyFill="1" applyBorder="1" applyAlignment="1">
      <alignment horizontal="center" vertical="top"/>
    </xf>
    <xf numFmtId="0" fontId="0" fillId="57" borderId="76" xfId="0" applyFill="1" applyBorder="1" applyAlignment="1">
      <alignment horizontal="center" vertical="top"/>
    </xf>
    <xf numFmtId="0" fontId="0" fillId="57" borderId="27" xfId="0" applyFill="1" applyBorder="1" applyAlignment="1">
      <alignment horizontal="left" vertical="center" wrapText="1"/>
    </xf>
    <xf numFmtId="166" fontId="0" fillId="56" borderId="27" xfId="8" applyFont="1" applyFill="1" applyBorder="1" applyAlignment="1">
      <alignment horizontal="right" vertical="center" wrapText="1"/>
    </xf>
    <xf numFmtId="0" fontId="0" fillId="57" borderId="25" xfId="0" applyFill="1" applyBorder="1" applyAlignment="1">
      <alignment horizontal="left" vertical="center" wrapText="1"/>
    </xf>
    <xf numFmtId="166" fontId="0" fillId="56" borderId="25" xfId="8" applyFont="1" applyFill="1" applyBorder="1" applyAlignment="1">
      <alignment horizontal="right" vertical="center" wrapText="1"/>
    </xf>
    <xf numFmtId="0" fontId="14" fillId="57" borderId="117" xfId="0" applyFont="1" applyFill="1" applyBorder="1" applyAlignment="1">
      <alignment horizontal="left" vertical="center" wrapText="1"/>
    </xf>
    <xf numFmtId="166" fontId="14" fillId="56" borderId="7" xfId="8" applyFont="1" applyFill="1" applyBorder="1" applyAlignment="1" applyProtection="1">
      <alignment horizontal="right" vertical="center" wrapText="1"/>
    </xf>
    <xf numFmtId="166" fontId="14" fillId="56" borderId="105" xfId="8" applyFont="1" applyFill="1" applyBorder="1" applyAlignment="1" applyProtection="1">
      <alignment horizontal="right" vertical="center" wrapText="1"/>
    </xf>
    <xf numFmtId="166" fontId="0" fillId="56" borderId="28" xfId="8" applyFont="1" applyFill="1" applyBorder="1" applyAlignment="1">
      <alignment horizontal="right" vertical="center" wrapText="1"/>
    </xf>
    <xf numFmtId="166" fontId="0" fillId="56" borderId="97" xfId="8" applyFont="1" applyFill="1" applyBorder="1" applyAlignment="1">
      <alignment horizontal="right" vertical="center" wrapText="1"/>
    </xf>
    <xf numFmtId="166" fontId="0" fillId="56" borderId="77" xfId="8" applyFont="1" applyFill="1" applyBorder="1" applyAlignment="1">
      <alignment horizontal="right" vertical="center" wrapText="1"/>
    </xf>
    <xf numFmtId="166" fontId="0" fillId="56" borderId="69" xfId="8" applyFont="1" applyFill="1" applyBorder="1" applyAlignment="1">
      <alignment horizontal="right" vertical="center" wrapText="1"/>
    </xf>
    <xf numFmtId="166" fontId="0" fillId="56" borderId="58" xfId="8" applyFont="1" applyFill="1" applyBorder="1" applyAlignment="1">
      <alignment horizontal="right" vertical="center" wrapText="1"/>
    </xf>
    <xf numFmtId="166" fontId="14" fillId="56" borderId="108" xfId="8" applyFont="1" applyFill="1" applyBorder="1"/>
    <xf numFmtId="166" fontId="14" fillId="56" borderId="101" xfId="8" applyFont="1" applyFill="1" applyBorder="1"/>
    <xf numFmtId="166" fontId="14" fillId="56" borderId="83" xfId="0" applyNumberFormat="1" applyFont="1" applyFill="1" applyBorder="1"/>
    <xf numFmtId="166" fontId="14" fillId="58" borderId="56" xfId="8" applyFont="1" applyFill="1" applyBorder="1"/>
    <xf numFmtId="0" fontId="0" fillId="0" borderId="56" xfId="0" applyBorder="1" applyAlignment="1">
      <alignment horizontal="left"/>
    </xf>
    <xf numFmtId="3" fontId="14" fillId="0" borderId="56" xfId="8" applyNumberFormat="1" applyFont="1" applyBorder="1"/>
    <xf numFmtId="3" fontId="14" fillId="0" borderId="57" xfId="8" applyNumberFormat="1" applyFont="1" applyBorder="1"/>
    <xf numFmtId="0" fontId="14" fillId="57" borderId="6" xfId="0" applyFont="1" applyFill="1" applyBorder="1" applyAlignment="1">
      <alignment horizontal="left" vertical="center" wrapText="1"/>
    </xf>
    <xf numFmtId="0" fontId="14" fillId="57" borderId="26" xfId="0" applyFont="1" applyFill="1" applyBorder="1" applyAlignment="1">
      <alignment horizontal="left" vertical="center" wrapText="1"/>
    </xf>
    <xf numFmtId="0" fontId="14" fillId="57" borderId="8" xfId="0" applyFont="1" applyFill="1" applyBorder="1" applyAlignment="1">
      <alignment horizontal="left" vertical="center" wrapText="1"/>
    </xf>
    <xf numFmtId="0" fontId="14" fillId="57" borderId="104" xfId="0" applyFont="1" applyFill="1" applyBorder="1" applyAlignment="1">
      <alignment horizontal="left" vertical="center" wrapText="1"/>
    </xf>
    <xf numFmtId="166" fontId="0" fillId="56" borderId="60" xfId="8" applyFont="1" applyFill="1" applyBorder="1" applyAlignment="1">
      <alignment horizontal="right" vertical="center" wrapText="1"/>
    </xf>
    <xf numFmtId="166" fontId="0" fillId="56" borderId="67" xfId="8" applyFont="1" applyFill="1" applyBorder="1" applyAlignment="1">
      <alignment horizontal="right" vertical="center" wrapText="1"/>
    </xf>
    <xf numFmtId="166" fontId="14" fillId="56" borderId="3" xfId="8" applyFont="1" applyFill="1" applyBorder="1" applyAlignment="1" applyProtection="1">
      <alignment horizontal="right" vertical="center" wrapText="1"/>
    </xf>
    <xf numFmtId="166" fontId="0" fillId="56" borderId="75" xfId="8" applyFont="1" applyFill="1" applyBorder="1" applyAlignment="1">
      <alignment horizontal="right" vertical="center" wrapText="1"/>
    </xf>
    <xf numFmtId="166" fontId="0" fillId="56" borderId="4" xfId="8" applyFont="1" applyFill="1" applyBorder="1" applyAlignment="1">
      <alignment horizontal="right" vertical="center" wrapText="1"/>
    </xf>
    <xf numFmtId="166" fontId="14" fillId="56" borderId="4" xfId="8" applyFont="1" applyFill="1" applyBorder="1" applyAlignment="1" applyProtection="1">
      <alignment horizontal="right" vertical="center" wrapText="1"/>
    </xf>
    <xf numFmtId="166" fontId="0" fillId="56" borderId="29" xfId="8" applyFont="1" applyFill="1" applyBorder="1" applyAlignment="1">
      <alignment horizontal="right" vertical="center" wrapText="1"/>
    </xf>
    <xf numFmtId="166" fontId="14" fillId="58" borderId="81" xfId="8" applyFont="1" applyFill="1" applyBorder="1"/>
    <xf numFmtId="166" fontId="14" fillId="56" borderId="82" xfId="8" applyFont="1" applyFill="1" applyBorder="1"/>
    <xf numFmtId="166" fontId="14" fillId="56" borderId="83" xfId="8" applyFont="1" applyFill="1" applyBorder="1"/>
    <xf numFmtId="43" fontId="0" fillId="56" borderId="72" xfId="8" applyNumberFormat="1" applyFont="1" applyFill="1" applyBorder="1" applyAlignment="1">
      <alignment horizontal="right" vertical="center" wrapText="1"/>
    </xf>
    <xf numFmtId="3" fontId="14" fillId="0" borderId="2" xfId="8" applyNumberFormat="1" applyFont="1" applyBorder="1"/>
    <xf numFmtId="166" fontId="14" fillId="56" borderId="31" xfId="8" applyFont="1" applyFill="1" applyBorder="1" applyAlignment="1" applyProtection="1">
      <alignment horizontal="right" vertical="center" wrapText="1"/>
    </xf>
    <xf numFmtId="166" fontId="0" fillId="3" borderId="6" xfId="8" applyFont="1" applyFill="1" applyBorder="1"/>
    <xf numFmtId="0" fontId="0" fillId="63" borderId="2" xfId="0" applyFill="1" applyBorder="1"/>
    <xf numFmtId="3" fontId="0" fillId="63" borderId="2" xfId="0" applyNumberFormat="1" applyFill="1" applyBorder="1"/>
    <xf numFmtId="0" fontId="0" fillId="63" borderId="6" xfId="0" applyFill="1" applyBorder="1"/>
    <xf numFmtId="3" fontId="0" fillId="63" borderId="6" xfId="0" applyNumberFormat="1" applyFill="1" applyBorder="1"/>
    <xf numFmtId="0" fontId="0" fillId="59" borderId="120" xfId="0" applyFill="1" applyBorder="1"/>
    <xf numFmtId="0" fontId="0" fillId="59" borderId="121" xfId="0" applyFill="1" applyBorder="1" applyAlignment="1">
      <alignment wrapText="1"/>
    </xf>
    <xf numFmtId="3" fontId="0" fillId="63" borderId="120" xfId="0" applyNumberFormat="1" applyFill="1" applyBorder="1" applyAlignment="1">
      <alignment wrapText="1"/>
    </xf>
    <xf numFmtId="0" fontId="0" fillId="59" borderId="8" xfId="0" applyFill="1" applyBorder="1"/>
    <xf numFmtId="0" fontId="0" fillId="59" borderId="11" xfId="0" applyFill="1" applyBorder="1" applyAlignment="1">
      <alignment wrapText="1"/>
    </xf>
    <xf numFmtId="3" fontId="0" fillId="63" borderId="8" xfId="0" applyNumberFormat="1" applyFill="1" applyBorder="1" applyAlignment="1">
      <alignment wrapText="1"/>
    </xf>
    <xf numFmtId="0" fontId="0" fillId="59" borderId="123" xfId="0" applyFill="1" applyBorder="1"/>
    <xf numFmtId="0" fontId="0" fillId="59" borderId="124" xfId="0" applyFill="1" applyBorder="1" applyAlignment="1">
      <alignment wrapText="1"/>
    </xf>
    <xf numFmtId="3" fontId="0" fillId="63" borderId="123" xfId="0" applyNumberFormat="1" applyFill="1" applyBorder="1" applyAlignment="1">
      <alignment wrapText="1"/>
    </xf>
    <xf numFmtId="3" fontId="0" fillId="63" borderId="125" xfId="0" applyNumberFormat="1" applyFill="1" applyBorder="1" applyAlignment="1">
      <alignment wrapText="1"/>
    </xf>
    <xf numFmtId="0" fontId="0" fillId="59" borderId="5" xfId="0" applyFill="1" applyBorder="1"/>
    <xf numFmtId="0" fontId="0" fillId="59" borderId="126" xfId="0" applyFill="1" applyBorder="1" applyAlignment="1">
      <alignment wrapText="1"/>
    </xf>
    <xf numFmtId="3" fontId="0" fillId="63" borderId="72" xfId="0" applyNumberFormat="1" applyFill="1" applyBorder="1" applyAlignment="1">
      <alignment wrapText="1"/>
    </xf>
    <xf numFmtId="3" fontId="0" fillId="63" borderId="5" xfId="0" applyNumberFormat="1" applyFill="1" applyBorder="1" applyAlignment="1">
      <alignment wrapText="1"/>
    </xf>
    <xf numFmtId="0" fontId="0" fillId="59" borderId="119" xfId="0" applyFill="1" applyBorder="1" applyAlignment="1">
      <alignment horizontal="center" vertical="center"/>
    </xf>
    <xf numFmtId="0" fontId="0" fillId="59" borderId="57" xfId="0" applyFill="1" applyBorder="1" applyAlignment="1">
      <alignment horizontal="center" vertical="center"/>
    </xf>
    <xf numFmtId="0" fontId="0" fillId="59" borderId="122" xfId="0" applyFill="1" applyBorder="1" applyAlignment="1">
      <alignment horizontal="center" vertical="center"/>
    </xf>
    <xf numFmtId="0" fontId="0" fillId="59" borderId="73" xfId="0" applyFill="1" applyBorder="1"/>
    <xf numFmtId="0" fontId="0" fillId="59" borderId="108" xfId="0" applyFill="1" applyBorder="1"/>
    <xf numFmtId="3" fontId="0" fillId="63" borderId="81" xfId="0" applyNumberFormat="1" applyFill="1" applyBorder="1"/>
    <xf numFmtId="0" fontId="0" fillId="63" borderId="57" xfId="0" applyFill="1" applyBorder="1"/>
    <xf numFmtId="3" fontId="0" fillId="63" borderId="57" xfId="0" applyNumberFormat="1" applyFill="1" applyBorder="1"/>
    <xf numFmtId="0" fontId="0" fillId="63" borderId="58" xfId="0" applyFill="1" applyBorder="1"/>
    <xf numFmtId="3" fontId="0" fillId="63" borderId="58" xfId="0" applyNumberFormat="1" applyFill="1" applyBorder="1"/>
    <xf numFmtId="0" fontId="0" fillId="59" borderId="0" xfId="0" applyFill="1"/>
    <xf numFmtId="0" fontId="0" fillId="59" borderId="81" xfId="0" applyFill="1" applyBorder="1"/>
    <xf numFmtId="0" fontId="0" fillId="0" borderId="76" xfId="0" applyBorder="1" applyAlignment="1">
      <alignment horizontal="left"/>
    </xf>
    <xf numFmtId="3" fontId="76" fillId="63" borderId="101" xfId="0" applyNumberFormat="1" applyFont="1" applyFill="1" applyBorder="1"/>
    <xf numFmtId="3" fontId="0" fillId="63" borderId="90" xfId="0" applyNumberFormat="1" applyFill="1" applyBorder="1"/>
    <xf numFmtId="3" fontId="0" fillId="63" borderId="94" xfId="0" applyNumberFormat="1" applyFill="1" applyBorder="1"/>
    <xf numFmtId="0" fontId="0" fillId="63" borderId="82" xfId="0" applyFill="1" applyBorder="1"/>
    <xf numFmtId="0" fontId="0" fillId="63" borderId="83" xfId="0" applyFill="1" applyBorder="1"/>
    <xf numFmtId="0" fontId="0" fillId="63" borderId="59" xfId="0" applyFill="1" applyBorder="1"/>
    <xf numFmtId="0" fontId="0" fillId="63" borderId="60" xfId="0" applyFill="1" applyBorder="1"/>
    <xf numFmtId="0" fontId="0" fillId="0" borderId="101" xfId="0" applyBorder="1" applyAlignment="1">
      <alignment horizontal="center"/>
    </xf>
    <xf numFmtId="0" fontId="0" fillId="0" borderId="82" xfId="0" applyBorder="1" applyAlignment="1">
      <alignment horizontal="center"/>
    </xf>
    <xf numFmtId="0" fontId="14" fillId="57" borderId="6" xfId="0" applyFont="1" applyFill="1" applyBorder="1" applyAlignment="1">
      <alignment horizontal="center" vertical="top"/>
    </xf>
    <xf numFmtId="0" fontId="14" fillId="57" borderId="26" xfId="0" applyFont="1" applyFill="1" applyBorder="1" applyAlignment="1">
      <alignment horizontal="left" vertical="center"/>
    </xf>
    <xf numFmtId="0" fontId="14" fillId="59" borderId="74" xfId="0" applyFont="1" applyFill="1" applyBorder="1"/>
    <xf numFmtId="43" fontId="14" fillId="0" borderId="0" xfId="0" applyNumberFormat="1" applyFont="1"/>
    <xf numFmtId="0" fontId="14" fillId="58" borderId="56" xfId="0" applyFont="1" applyFill="1" applyBorder="1" applyAlignment="1">
      <alignment horizontal="left" vertical="top" wrapText="1"/>
    </xf>
    <xf numFmtId="0" fontId="0" fillId="58" borderId="78" xfId="0" applyFill="1" applyBorder="1" applyAlignment="1">
      <alignment horizontal="left" vertical="top" wrapText="1"/>
    </xf>
    <xf numFmtId="3" fontId="21" fillId="0" borderId="2" xfId="0" applyNumberFormat="1" applyFont="1" applyBorder="1" applyAlignment="1">
      <alignment horizontal="center"/>
    </xf>
    <xf numFmtId="166" fontId="61" fillId="0" borderId="0" xfId="8" applyFont="1" applyFill="1" applyBorder="1" applyAlignment="1">
      <alignment vertical="top" wrapText="1"/>
    </xf>
    <xf numFmtId="167" fontId="61" fillId="0" borderId="0" xfId="8" applyNumberFormat="1" applyFont="1" applyFill="1" applyBorder="1" applyProtection="1"/>
    <xf numFmtId="166" fontId="69" fillId="0" borderId="0" xfId="8" applyFont="1"/>
    <xf numFmtId="166" fontId="78" fillId="0" borderId="0" xfId="8" applyFont="1"/>
    <xf numFmtId="0" fontId="14" fillId="58" borderId="94" xfId="0" applyFont="1" applyFill="1" applyBorder="1" applyAlignment="1">
      <alignment horizontal="right" vertical="top" wrapText="1"/>
    </xf>
    <xf numFmtId="0" fontId="14" fillId="58" borderId="58" xfId="0" applyFont="1" applyFill="1" applyBorder="1" applyAlignment="1">
      <alignment horizontal="right" vertical="top" wrapText="1"/>
    </xf>
    <xf numFmtId="0" fontId="0" fillId="58" borderId="58" xfId="0" applyFill="1" applyBorder="1" applyAlignment="1">
      <alignment horizontal="right" vertical="top" wrapText="1"/>
    </xf>
    <xf numFmtId="3" fontId="76" fillId="0" borderId="57" xfId="8" applyNumberFormat="1" applyFont="1" applyFill="1" applyBorder="1" applyProtection="1"/>
    <xf numFmtId="3" fontId="76" fillId="0" borderId="2" xfId="8" applyNumberFormat="1" applyFont="1" applyFill="1" applyBorder="1" applyProtection="1"/>
    <xf numFmtId="3" fontId="61" fillId="0" borderId="58" xfId="8" applyNumberFormat="1" applyFont="1" applyFill="1" applyBorder="1" applyProtection="1"/>
    <xf numFmtId="0" fontId="14" fillId="3" borderId="0" xfId="0" applyFont="1" applyFill="1" applyAlignment="1">
      <alignment horizontal="center" vertical="top" wrapText="1"/>
    </xf>
    <xf numFmtId="0" fontId="0" fillId="0" borderId="56" xfId="0" applyBorder="1"/>
    <xf numFmtId="3" fontId="14" fillId="0" borderId="6" xfId="0" applyNumberFormat="1" applyFont="1" applyBorder="1" applyAlignment="1">
      <alignment horizontal="right"/>
    </xf>
    <xf numFmtId="0" fontId="14" fillId="58" borderId="76" xfId="0" applyFont="1" applyFill="1" applyBorder="1" applyAlignment="1">
      <alignment horizontal="left" vertical="top" wrapText="1"/>
    </xf>
    <xf numFmtId="0" fontId="14" fillId="0" borderId="56" xfId="0" quotePrefix="1" applyFont="1" applyBorder="1" applyAlignment="1">
      <alignment horizontal="left" vertical="top" wrapText="1"/>
    </xf>
    <xf numFmtId="0" fontId="14" fillId="0" borderId="56" xfId="0" applyFont="1" applyBorder="1" applyAlignment="1">
      <alignment horizontal="left" vertical="top" wrapText="1"/>
    </xf>
    <xf numFmtId="0" fontId="14" fillId="58" borderId="56" xfId="0" quotePrefix="1" applyFont="1" applyFill="1" applyBorder="1" applyAlignment="1">
      <alignment horizontal="left" vertical="top" wrapText="1"/>
    </xf>
    <xf numFmtId="0" fontId="0" fillId="0" borderId="56" xfId="0" quotePrefix="1" applyBorder="1" applyAlignment="1">
      <alignment horizontal="left" vertical="top" wrapText="1"/>
    </xf>
    <xf numFmtId="166" fontId="14" fillId="3" borderId="127" xfId="8" applyFont="1" applyFill="1" applyBorder="1"/>
    <xf numFmtId="166" fontId="0" fillId="3" borderId="127" xfId="8" applyFont="1" applyFill="1" applyBorder="1"/>
    <xf numFmtId="166" fontId="14" fillId="58" borderId="128" xfId="8" applyFont="1" applyFill="1" applyBorder="1"/>
    <xf numFmtId="166" fontId="14" fillId="56" borderId="127" xfId="8" applyFont="1" applyFill="1" applyBorder="1"/>
    <xf numFmtId="166" fontId="14" fillId="58" borderId="127" xfId="8" applyFont="1" applyFill="1" applyBorder="1"/>
    <xf numFmtId="166" fontId="0" fillId="56" borderId="127" xfId="8" applyFont="1" applyFill="1" applyBorder="1"/>
    <xf numFmtId="166" fontId="14" fillId="58" borderId="129" xfId="8" applyFont="1" applyFill="1" applyBorder="1"/>
    <xf numFmtId="166" fontId="14" fillId="58" borderId="130" xfId="8" applyFont="1" applyFill="1" applyBorder="1"/>
    <xf numFmtId="166" fontId="0" fillId="58" borderId="127" xfId="8" applyFont="1" applyFill="1" applyBorder="1"/>
    <xf numFmtId="0" fontId="0" fillId="63" borderId="127" xfId="0" applyFill="1" applyBorder="1"/>
    <xf numFmtId="166" fontId="21" fillId="0" borderId="132" xfId="8" applyFont="1" applyBorder="1" applyAlignment="1">
      <alignment horizontal="center" vertical="top" wrapText="1"/>
    </xf>
    <xf numFmtId="166" fontId="21" fillId="0" borderId="133" xfId="8" applyFont="1" applyBorder="1" applyAlignment="1">
      <alignment horizontal="center" vertical="top" wrapText="1"/>
    </xf>
    <xf numFmtId="166" fontId="21" fillId="0" borderId="134" xfId="8" applyFont="1" applyBorder="1" applyAlignment="1">
      <alignment horizontal="center" vertical="top" wrapText="1"/>
    </xf>
    <xf numFmtId="3" fontId="21" fillId="0" borderId="135" xfId="0" applyNumberFormat="1" applyFont="1" applyBorder="1" applyAlignment="1">
      <alignment horizontal="center" vertical="center"/>
    </xf>
    <xf numFmtId="3" fontId="21" fillId="0" borderId="136" xfId="0" applyNumberFormat="1" applyFont="1" applyBorder="1" applyAlignment="1">
      <alignment horizontal="center" vertical="center"/>
    </xf>
    <xf numFmtId="166" fontId="14" fillId="58" borderId="137" xfId="8" applyFont="1" applyFill="1" applyBorder="1"/>
    <xf numFmtId="166" fontId="14" fillId="58" borderId="138" xfId="8" applyFont="1" applyFill="1" applyBorder="1"/>
    <xf numFmtId="166" fontId="14" fillId="3" borderId="139" xfId="8" applyFont="1" applyFill="1" applyBorder="1"/>
    <xf numFmtId="166" fontId="14" fillId="3" borderId="140" xfId="8" applyFont="1" applyFill="1" applyBorder="1"/>
    <xf numFmtId="166" fontId="0" fillId="3" borderId="139" xfId="8" applyFont="1" applyFill="1" applyBorder="1"/>
    <xf numFmtId="166" fontId="14" fillId="58" borderId="139" xfId="8" applyFont="1" applyFill="1" applyBorder="1"/>
    <xf numFmtId="166" fontId="21" fillId="58" borderId="140" xfId="8" applyFont="1" applyFill="1" applyBorder="1"/>
    <xf numFmtId="166" fontId="14" fillId="56" borderId="139" xfId="8" applyFont="1" applyFill="1" applyBorder="1"/>
    <xf numFmtId="166" fontId="0" fillId="56" borderId="139" xfId="8" applyFont="1" applyFill="1" applyBorder="1"/>
    <xf numFmtId="166" fontId="14" fillId="58" borderId="141" xfId="8" applyFont="1" applyFill="1" applyBorder="1"/>
    <xf numFmtId="166" fontId="0" fillId="56" borderId="135" xfId="8" applyFont="1" applyFill="1" applyBorder="1"/>
    <xf numFmtId="166" fontId="21" fillId="0" borderId="142" xfId="8" applyFont="1" applyBorder="1"/>
    <xf numFmtId="166" fontId="21" fillId="0" borderId="123" xfId="8" applyFont="1" applyBorder="1"/>
    <xf numFmtId="166" fontId="21" fillId="0" borderId="143" xfId="8" applyFont="1" applyBorder="1"/>
    <xf numFmtId="0" fontId="21" fillId="0" borderId="76" xfId="0" applyFont="1" applyBorder="1" applyAlignment="1">
      <alignment horizontal="left" vertical="top" wrapText="1"/>
    </xf>
    <xf numFmtId="0" fontId="21" fillId="0" borderId="56" xfId="0" quotePrefix="1" applyFont="1" applyBorder="1" applyAlignment="1">
      <alignment horizontal="left"/>
    </xf>
    <xf numFmtId="0" fontId="21" fillId="0" borderId="78" xfId="0" applyFont="1" applyBorder="1" applyAlignment="1">
      <alignment horizontal="left" vertical="center" wrapText="1"/>
    </xf>
    <xf numFmtId="0" fontId="0" fillId="58" borderId="56" xfId="0" applyFill="1" applyBorder="1" applyAlignment="1">
      <alignment horizontal="left" vertical="top" wrapText="1"/>
    </xf>
    <xf numFmtId="166" fontId="21" fillId="0" borderId="75" xfId="8" applyFont="1" applyBorder="1" applyAlignment="1">
      <alignment horizontal="center" vertical="top" wrapText="1"/>
    </xf>
    <xf numFmtId="3" fontId="21" fillId="0" borderId="104" xfId="0" applyNumberFormat="1" applyFont="1" applyBorder="1" applyAlignment="1">
      <alignment horizontal="center" vertical="center"/>
    </xf>
    <xf numFmtId="166" fontId="21" fillId="0" borderId="147" xfId="8" applyFont="1" applyBorder="1" applyAlignment="1">
      <alignment horizontal="center" vertical="top" wrapText="1"/>
    </xf>
    <xf numFmtId="166" fontId="21" fillId="0" borderId="148" xfId="8" applyFont="1" applyBorder="1" applyAlignment="1">
      <alignment horizontal="center" vertical="top" wrapText="1"/>
    </xf>
    <xf numFmtId="3" fontId="21" fillId="0" borderId="149" xfId="0" applyNumberFormat="1" applyFont="1" applyBorder="1" applyAlignment="1">
      <alignment horizontal="center" vertical="center"/>
    </xf>
    <xf numFmtId="3" fontId="21" fillId="0" borderId="150" xfId="0" applyNumberFormat="1" applyFont="1" applyBorder="1" applyAlignment="1">
      <alignment horizontal="center" vertical="center"/>
    </xf>
    <xf numFmtId="166" fontId="14" fillId="58" borderId="135" xfId="8" applyFont="1" applyFill="1" applyBorder="1"/>
    <xf numFmtId="166" fontId="14" fillId="58" borderId="140" xfId="8" applyFont="1" applyFill="1" applyBorder="1"/>
    <xf numFmtId="166" fontId="14" fillId="56" borderId="135" xfId="8" applyFont="1" applyFill="1" applyBorder="1"/>
    <xf numFmtId="167" fontId="14" fillId="56" borderId="140" xfId="8" applyNumberFormat="1" applyFont="1" applyFill="1" applyBorder="1"/>
    <xf numFmtId="167" fontId="0" fillId="56" borderId="140" xfId="8" applyNumberFormat="1" applyFont="1" applyFill="1" applyBorder="1"/>
    <xf numFmtId="166" fontId="14" fillId="58" borderId="98" xfId="8" applyFont="1" applyFill="1" applyBorder="1"/>
    <xf numFmtId="166" fontId="14" fillId="56" borderId="140" xfId="8" applyFont="1" applyFill="1" applyBorder="1"/>
    <xf numFmtId="166" fontId="14" fillId="58" borderId="151" xfId="8" applyFont="1" applyFill="1" applyBorder="1"/>
    <xf numFmtId="166" fontId="0" fillId="56" borderId="140" xfId="8" applyFont="1" applyFill="1" applyBorder="1"/>
    <xf numFmtId="166" fontId="14" fillId="58" borderId="152" xfId="8" applyFont="1" applyFill="1" applyBorder="1"/>
    <xf numFmtId="166" fontId="14" fillId="58" borderId="126" xfId="8" applyFont="1" applyFill="1" applyBorder="1"/>
    <xf numFmtId="166" fontId="14" fillId="58" borderId="153" xfId="8" applyFont="1" applyFill="1" applyBorder="1"/>
    <xf numFmtId="166" fontId="21" fillId="0" borderId="154" xfId="8" applyFont="1" applyBorder="1"/>
    <xf numFmtId="166" fontId="21" fillId="0" borderId="104" xfId="8" applyFont="1" applyBorder="1"/>
    <xf numFmtId="166" fontId="21" fillId="0" borderId="63" xfId="0" applyNumberFormat="1" applyFont="1" applyBorder="1" applyAlignment="1">
      <alignment horizontal="right" wrapText="1"/>
    </xf>
    <xf numFmtId="166" fontId="21" fillId="0" borderId="64" xfId="0" applyNumberFormat="1" applyFont="1" applyBorder="1" applyAlignment="1">
      <alignment horizontal="right" wrapText="1"/>
    </xf>
    <xf numFmtId="166" fontId="21" fillId="0" borderId="79" xfId="0" applyNumberFormat="1" applyFont="1" applyBorder="1" applyAlignment="1">
      <alignment horizontal="right" wrapText="1"/>
    </xf>
    <xf numFmtId="166" fontId="21" fillId="0" borderId="65" xfId="0" applyNumberFormat="1" applyFont="1" applyBorder="1" applyAlignment="1">
      <alignment horizontal="right" wrapText="1"/>
    </xf>
    <xf numFmtId="166" fontId="14" fillId="58" borderId="155" xfId="8" applyFont="1" applyFill="1" applyBorder="1"/>
    <xf numFmtId="166" fontId="14" fillId="58" borderId="156" xfId="8" applyFont="1" applyFill="1" applyBorder="1"/>
    <xf numFmtId="166" fontId="21" fillId="0" borderId="65" xfId="8" applyFont="1" applyFill="1" applyBorder="1" applyAlignment="1" applyProtection="1">
      <alignment horizontal="right" wrapText="1" indent="1"/>
    </xf>
    <xf numFmtId="0" fontId="21" fillId="0" borderId="157" xfId="0" applyFont="1" applyBorder="1" applyAlignment="1">
      <alignment horizontal="center" vertical="center"/>
    </xf>
    <xf numFmtId="0" fontId="21" fillId="0" borderId="159" xfId="0" applyFont="1" applyBorder="1" applyAlignment="1">
      <alignment horizontal="center" vertical="center" wrapText="1"/>
    </xf>
    <xf numFmtId="166" fontId="21" fillId="0" borderId="160" xfId="8" applyFont="1" applyBorder="1" applyAlignment="1">
      <alignment horizontal="center" vertical="center" wrapText="1"/>
    </xf>
    <xf numFmtId="166" fontId="21" fillId="0" borderId="133" xfId="8" applyFont="1" applyBorder="1" applyAlignment="1">
      <alignment horizontal="center" vertical="center" wrapText="1"/>
    </xf>
    <xf numFmtId="166" fontId="21" fillId="0" borderId="134" xfId="8" applyFont="1" applyBorder="1" applyAlignment="1">
      <alignment horizontal="center" vertical="center" wrapText="1"/>
    </xf>
    <xf numFmtId="0" fontId="14" fillId="0" borderId="149" xfId="0" quotePrefix="1" applyFont="1" applyBorder="1" applyAlignment="1">
      <alignment horizontal="left"/>
    </xf>
    <xf numFmtId="3" fontId="21" fillId="0" borderId="150" xfId="0" applyNumberFormat="1" applyFont="1" applyBorder="1" applyAlignment="1">
      <alignment horizontal="center"/>
    </xf>
    <xf numFmtId="0" fontId="14" fillId="57" borderId="161" xfId="0" applyFont="1" applyFill="1" applyBorder="1" applyAlignment="1">
      <alignment horizontal="center" vertical="center"/>
    </xf>
    <xf numFmtId="166" fontId="14" fillId="3" borderId="148" xfId="8" applyFont="1" applyFill="1" applyBorder="1" applyAlignment="1" applyProtection="1">
      <alignment horizontal="right" vertical="center" wrapText="1"/>
    </xf>
    <xf numFmtId="0" fontId="14" fillId="57" borderId="135" xfId="0" applyFont="1" applyFill="1" applyBorder="1" applyAlignment="1">
      <alignment horizontal="center" vertical="top"/>
    </xf>
    <xf numFmtId="166" fontId="14" fillId="56" borderId="162" xfId="8" applyFont="1" applyFill="1" applyBorder="1" applyAlignment="1" applyProtection="1">
      <alignment horizontal="right" vertical="center" wrapText="1"/>
    </xf>
    <xf numFmtId="166" fontId="14" fillId="56" borderId="163" xfId="8" applyFont="1" applyFill="1" applyBorder="1" applyAlignment="1" applyProtection="1">
      <alignment horizontal="right" vertical="center" wrapText="1"/>
    </xf>
    <xf numFmtId="0" fontId="14" fillId="57" borderId="149" xfId="0" applyFont="1" applyFill="1" applyBorder="1" applyAlignment="1">
      <alignment horizontal="center" vertical="center"/>
    </xf>
    <xf numFmtId="166" fontId="14" fillId="56" borderId="150" xfId="8" applyFont="1" applyFill="1" applyBorder="1" applyAlignment="1" applyProtection="1">
      <alignment horizontal="right" vertical="center" wrapText="1"/>
    </xf>
    <xf numFmtId="0" fontId="14" fillId="57" borderId="135" xfId="0" applyFont="1" applyFill="1" applyBorder="1" applyAlignment="1">
      <alignment horizontal="center" vertical="center"/>
    </xf>
    <xf numFmtId="166" fontId="14" fillId="56" borderId="164" xfId="8" applyFont="1" applyFill="1" applyBorder="1" applyAlignment="1" applyProtection="1">
      <alignment horizontal="right" vertical="center" wrapText="1"/>
    </xf>
    <xf numFmtId="166" fontId="21" fillId="57" borderId="165" xfId="0" applyNumberFormat="1" applyFont="1" applyFill="1" applyBorder="1" applyAlignment="1">
      <alignment horizontal="left"/>
    </xf>
    <xf numFmtId="166" fontId="21" fillId="57" borderId="166" xfId="0" applyNumberFormat="1" applyFont="1" applyFill="1" applyBorder="1" applyAlignment="1">
      <alignment horizontal="left"/>
    </xf>
    <xf numFmtId="166" fontId="21" fillId="0" borderId="167" xfId="8" applyFont="1" applyFill="1" applyBorder="1" applyAlignment="1" applyProtection="1">
      <alignment horizontal="right" wrapText="1" indent="1"/>
    </xf>
    <xf numFmtId="166" fontId="21" fillId="57" borderId="62" xfId="8" applyFont="1" applyFill="1" applyBorder="1"/>
    <xf numFmtId="166" fontId="21" fillId="57" borderId="168" xfId="0" applyNumberFormat="1" applyFont="1" applyFill="1" applyBorder="1" applyAlignment="1">
      <alignment horizontal="right"/>
    </xf>
    <xf numFmtId="166" fontId="21" fillId="57" borderId="62" xfId="0" applyNumberFormat="1" applyFont="1" applyFill="1" applyBorder="1" applyAlignment="1">
      <alignment horizontal="right"/>
    </xf>
    <xf numFmtId="166" fontId="21" fillId="0" borderId="131" xfId="8" applyFont="1" applyFill="1" applyBorder="1" applyAlignment="1" applyProtection="1">
      <alignment horizontal="right" wrapText="1" indent="1"/>
    </xf>
    <xf numFmtId="166" fontId="21" fillId="57" borderId="166" xfId="0" applyNumberFormat="1" applyFont="1" applyFill="1" applyBorder="1"/>
    <xf numFmtId="166" fontId="21" fillId="0" borderId="169" xfId="8" applyFont="1" applyFill="1" applyBorder="1" applyAlignment="1" applyProtection="1">
      <alignment horizontal="right" wrapText="1" indent="1"/>
    </xf>
    <xf numFmtId="166" fontId="21" fillId="57" borderId="61" xfId="0" applyNumberFormat="1" applyFont="1" applyFill="1" applyBorder="1"/>
    <xf numFmtId="166" fontId="21" fillId="0" borderId="102" xfId="8" applyFont="1" applyFill="1" applyBorder="1" applyAlignment="1" applyProtection="1">
      <alignment horizontal="right" wrapText="1" indent="1"/>
    </xf>
    <xf numFmtId="166" fontId="21" fillId="0" borderId="104" xfId="8" applyFont="1" applyBorder="1" applyAlignment="1">
      <alignment horizontal="right"/>
    </xf>
    <xf numFmtId="166" fontId="21" fillId="0" borderId="26" xfId="8" applyFont="1" applyBorder="1" applyAlignment="1">
      <alignment horizontal="right"/>
    </xf>
    <xf numFmtId="166" fontId="21" fillId="0" borderId="60" xfId="8" applyFont="1" applyBorder="1" applyAlignment="1">
      <alignment horizontal="right"/>
    </xf>
    <xf numFmtId="3" fontId="14" fillId="0" borderId="94" xfId="0" applyNumberFormat="1" applyFont="1" applyBorder="1" applyAlignment="1">
      <alignment horizontal="right" vertical="top" wrapText="1"/>
    </xf>
    <xf numFmtId="3" fontId="14" fillId="0" borderId="58" xfId="0" applyNumberFormat="1" applyFont="1" applyBorder="1" applyAlignment="1">
      <alignment horizontal="right" vertical="top" wrapText="1"/>
    </xf>
    <xf numFmtId="3" fontId="14" fillId="0" borderId="60" xfId="0" applyNumberFormat="1" applyFont="1" applyBorder="1" applyAlignment="1">
      <alignment horizontal="right" vertical="top" wrapText="1"/>
    </xf>
    <xf numFmtId="0" fontId="14" fillId="0" borderId="170" xfId="0" quotePrefix="1" applyFont="1" applyBorder="1" applyAlignment="1">
      <alignment horizontal="center"/>
    </xf>
    <xf numFmtId="3" fontId="21" fillId="0" borderId="160" xfId="0" applyNumberFormat="1" applyFont="1" applyBorder="1" applyAlignment="1">
      <alignment horizontal="center" vertical="top" wrapText="1"/>
    </xf>
    <xf numFmtId="3" fontId="21" fillId="0" borderId="158" xfId="0" applyNumberFormat="1" applyFont="1" applyBorder="1" applyAlignment="1">
      <alignment horizontal="center" vertical="top" wrapText="1"/>
    </xf>
    <xf numFmtId="3" fontId="21" fillId="0" borderId="171" xfId="0" applyNumberFormat="1" applyFont="1" applyBorder="1" applyAlignment="1">
      <alignment horizontal="center" vertical="top" wrapText="1"/>
    </xf>
    <xf numFmtId="0" fontId="21" fillId="0" borderId="172" xfId="0" quotePrefix="1" applyFont="1" applyBorder="1" applyAlignment="1">
      <alignment horizontal="left" vertical="center"/>
    </xf>
    <xf numFmtId="0" fontId="14" fillId="0" borderId="173" xfId="0" quotePrefix="1" applyFont="1" applyBorder="1" applyAlignment="1">
      <alignment horizontal="left"/>
    </xf>
    <xf numFmtId="3" fontId="14" fillId="0" borderId="138" xfId="0" applyNumberFormat="1" applyFont="1" applyBorder="1" applyAlignment="1">
      <alignment horizontal="right" vertical="top" wrapText="1"/>
    </xf>
    <xf numFmtId="0" fontId="14" fillId="0" borderId="174" xfId="0" quotePrefix="1" applyFont="1" applyBorder="1" applyAlignment="1">
      <alignment horizontal="left"/>
    </xf>
    <xf numFmtId="3" fontId="14" fillId="0" borderId="98" xfId="0" applyNumberFormat="1" applyFont="1" applyBorder="1" applyAlignment="1">
      <alignment horizontal="right" vertical="top" wrapText="1"/>
    </xf>
    <xf numFmtId="0" fontId="14" fillId="0" borderId="172" xfId="0" applyFont="1" applyBorder="1"/>
    <xf numFmtId="3" fontId="14" fillId="0" borderId="175" xfId="0" applyNumberFormat="1" applyFont="1" applyBorder="1" applyAlignment="1">
      <alignment horizontal="right" vertical="top" wrapText="1"/>
    </xf>
    <xf numFmtId="166" fontId="17" fillId="0" borderId="176" xfId="0" applyNumberFormat="1" applyFont="1" applyBorder="1"/>
    <xf numFmtId="0" fontId="21" fillId="0" borderId="170" xfId="0" applyFont="1" applyBorder="1" applyAlignment="1">
      <alignment horizontal="right" vertical="center" wrapText="1"/>
    </xf>
    <xf numFmtId="3" fontId="21" fillId="0" borderId="133" xfId="0" applyNumberFormat="1" applyFont="1" applyBorder="1" applyAlignment="1">
      <alignment horizontal="center" vertical="top" wrapText="1"/>
    </xf>
    <xf numFmtId="3" fontId="21" fillId="0" borderId="134" xfId="0" applyNumberFormat="1" applyFont="1" applyBorder="1" applyAlignment="1">
      <alignment horizontal="center" vertical="top" wrapText="1"/>
    </xf>
    <xf numFmtId="0" fontId="21" fillId="0" borderId="172" xfId="0" quotePrefix="1" applyFont="1" applyBorder="1" applyAlignment="1">
      <alignment horizontal="left"/>
    </xf>
    <xf numFmtId="0" fontId="0" fillId="0" borderId="173" xfId="0" applyBorder="1" applyAlignment="1">
      <alignment horizontal="left"/>
    </xf>
    <xf numFmtId="3" fontId="0" fillId="0" borderId="138" xfId="0" applyNumberFormat="1" applyBorder="1" applyAlignment="1">
      <alignment horizontal="right"/>
    </xf>
    <xf numFmtId="0" fontId="0" fillId="0" borderId="174" xfId="0" applyBorder="1" applyAlignment="1">
      <alignment horizontal="left"/>
    </xf>
    <xf numFmtId="3" fontId="0" fillId="0" borderId="140" xfId="0" applyNumberFormat="1" applyBorder="1" applyAlignment="1">
      <alignment horizontal="right"/>
    </xf>
    <xf numFmtId="3" fontId="0" fillId="0" borderId="98" xfId="0" applyNumberFormat="1" applyBorder="1" applyAlignment="1">
      <alignment horizontal="right"/>
    </xf>
    <xf numFmtId="0" fontId="0" fillId="0" borderId="172" xfId="0" applyBorder="1" applyAlignment="1">
      <alignment horizontal="left"/>
    </xf>
    <xf numFmtId="3" fontId="0" fillId="0" borderId="150" xfId="0" applyNumberFormat="1" applyBorder="1" applyAlignment="1">
      <alignment horizontal="right"/>
    </xf>
    <xf numFmtId="0" fontId="0" fillId="0" borderId="177" xfId="0" applyBorder="1" applyAlignment="1">
      <alignment horizontal="left"/>
    </xf>
    <xf numFmtId="3" fontId="0" fillId="0" borderId="164" xfId="0" applyNumberFormat="1" applyBorder="1" applyAlignment="1">
      <alignment horizontal="right"/>
    </xf>
    <xf numFmtId="3" fontId="0" fillId="0" borderId="162" xfId="0" applyNumberFormat="1" applyBorder="1" applyAlignment="1">
      <alignment horizontal="right"/>
    </xf>
    <xf numFmtId="0" fontId="21" fillId="0" borderId="178" xfId="0" quotePrefix="1" applyFont="1" applyBorder="1" applyAlignment="1">
      <alignment horizontal="left"/>
    </xf>
    <xf numFmtId="3" fontId="21" fillId="0" borderId="124" xfId="0" applyNumberFormat="1" applyFont="1" applyBorder="1" applyAlignment="1">
      <alignment horizontal="right"/>
    </xf>
    <xf numFmtId="3" fontId="21" fillId="0" borderId="179" xfId="0" applyNumberFormat="1" applyFont="1" applyBorder="1" applyAlignment="1">
      <alignment horizontal="right"/>
    </xf>
    <xf numFmtId="3" fontId="21" fillId="0" borderId="136" xfId="0" applyNumberFormat="1" applyFont="1" applyBorder="1" applyAlignment="1">
      <alignment horizontal="center"/>
    </xf>
    <xf numFmtId="3" fontId="0" fillId="0" borderId="138" xfId="8" applyNumberFormat="1" applyFont="1" applyBorder="1"/>
    <xf numFmtId="3" fontId="0" fillId="0" borderId="140" xfId="8" applyNumberFormat="1" applyFont="1" applyBorder="1"/>
    <xf numFmtId="0" fontId="0" fillId="0" borderId="174" xfId="0" applyBorder="1" applyAlignment="1">
      <alignment wrapText="1"/>
    </xf>
    <xf numFmtId="3" fontId="21" fillId="0" borderId="180" xfId="0" applyNumberFormat="1" applyFont="1" applyBorder="1"/>
    <xf numFmtId="3" fontId="21" fillId="0" borderId="181" xfId="0" applyNumberFormat="1" applyFont="1" applyBorder="1"/>
    <xf numFmtId="3" fontId="21" fillId="0" borderId="143" xfId="0" applyNumberFormat="1" applyFont="1" applyBorder="1"/>
    <xf numFmtId="166" fontId="21" fillId="0" borderId="125" xfId="8" applyFont="1" applyBorder="1" applyAlignment="1">
      <alignment horizontal="right"/>
    </xf>
    <xf numFmtId="166" fontId="21" fillId="0" borderId="126" xfId="8" applyFont="1" applyBorder="1" applyAlignment="1">
      <alignment horizontal="right"/>
    </xf>
    <xf numFmtId="166" fontId="21" fillId="0" borderId="153" xfId="8" applyFont="1" applyBorder="1" applyAlignment="1">
      <alignment horizontal="right"/>
    </xf>
    <xf numFmtId="3" fontId="14" fillId="0" borderId="28" xfId="8" applyNumberFormat="1" applyFont="1" applyBorder="1"/>
    <xf numFmtId="3" fontId="14" fillId="0" borderId="28" xfId="0" applyNumberFormat="1" applyFont="1" applyBorder="1" applyAlignment="1">
      <alignment horizontal="right"/>
    </xf>
    <xf numFmtId="166" fontId="14" fillId="58" borderId="30" xfId="8" applyFont="1" applyFill="1" applyBorder="1" applyProtection="1"/>
    <xf numFmtId="166" fontId="21" fillId="0" borderId="59" xfId="8" applyFont="1" applyBorder="1" applyAlignment="1">
      <alignment horizontal="right"/>
    </xf>
    <xf numFmtId="3" fontId="14" fillId="0" borderId="157" xfId="0" applyNumberFormat="1" applyFont="1" applyBorder="1" applyAlignment="1">
      <alignment horizontal="right" vertical="top" wrapText="1"/>
    </xf>
    <xf numFmtId="3" fontId="14" fillId="0" borderId="158" xfId="0" applyNumberFormat="1" applyFont="1" applyBorder="1" applyAlignment="1">
      <alignment horizontal="right" vertical="top" wrapText="1"/>
    </xf>
    <xf numFmtId="3" fontId="14" fillId="0" borderId="171" xfId="0" applyNumberFormat="1" applyFont="1" applyBorder="1" applyAlignment="1">
      <alignment horizontal="right" vertical="top" wrapText="1"/>
    </xf>
    <xf numFmtId="3" fontId="14" fillId="0" borderId="135" xfId="0" applyNumberFormat="1" applyFont="1" applyBorder="1" applyAlignment="1">
      <alignment horizontal="right" vertical="top" wrapText="1"/>
    </xf>
    <xf numFmtId="3" fontId="14" fillId="0" borderId="140" xfId="0" applyNumberFormat="1" applyFont="1" applyBorder="1" applyAlignment="1">
      <alignment horizontal="right" vertical="top" wrapText="1"/>
    </xf>
    <xf numFmtId="3" fontId="14" fillId="0" borderId="152" xfId="0" applyNumberFormat="1" applyFont="1" applyBorder="1" applyAlignment="1">
      <alignment horizontal="right" vertical="top" wrapText="1"/>
    </xf>
    <xf numFmtId="3" fontId="14" fillId="0" borderId="125" xfId="0" applyNumberFormat="1" applyFont="1" applyBorder="1" applyAlignment="1">
      <alignment horizontal="right" vertical="top" wrapText="1"/>
    </xf>
    <xf numFmtId="3" fontId="14" fillId="0" borderId="167" xfId="0" applyNumberFormat="1" applyFont="1" applyBorder="1" applyAlignment="1">
      <alignment horizontal="right" vertical="top" wrapText="1"/>
    </xf>
    <xf numFmtId="0" fontId="21" fillId="0" borderId="170" xfId="0" applyFont="1" applyBorder="1" applyAlignment="1">
      <alignment horizontal="center" vertical="top" wrapText="1"/>
    </xf>
    <xf numFmtId="166" fontId="21" fillId="0" borderId="160" xfId="8" applyFont="1" applyBorder="1" applyAlignment="1">
      <alignment horizontal="center" vertical="top" wrapText="1"/>
    </xf>
    <xf numFmtId="166" fontId="21" fillId="0" borderId="158" xfId="8" applyFont="1" applyBorder="1" applyAlignment="1">
      <alignment horizontal="center" vertical="top" wrapText="1"/>
    </xf>
    <xf numFmtId="166" fontId="21" fillId="0" borderId="182" xfId="8" applyFont="1" applyBorder="1" applyAlignment="1">
      <alignment horizontal="center" vertical="top" wrapText="1"/>
    </xf>
    <xf numFmtId="166" fontId="21" fillId="0" borderId="171" xfId="8" applyFont="1" applyBorder="1" applyAlignment="1">
      <alignment horizontal="center" vertical="top" wrapText="1"/>
    </xf>
    <xf numFmtId="166" fontId="21" fillId="0" borderId="122" xfId="8" applyFont="1" applyBorder="1" applyAlignment="1">
      <alignment horizontal="right"/>
    </xf>
    <xf numFmtId="166" fontId="21" fillId="0" borderId="167" xfId="8" applyFont="1" applyBorder="1" applyAlignment="1">
      <alignment horizontal="right"/>
    </xf>
    <xf numFmtId="0" fontId="14" fillId="59" borderId="57" xfId="0" applyFont="1" applyFill="1" applyBorder="1" applyAlignment="1">
      <alignment horizontal="center" vertical="center"/>
    </xf>
    <xf numFmtId="0" fontId="14" fillId="59" borderId="8" xfId="0" applyFont="1" applyFill="1" applyBorder="1"/>
    <xf numFmtId="0" fontId="14" fillId="59" borderId="11" xfId="0" applyFont="1" applyFill="1" applyBorder="1" applyAlignment="1">
      <alignment wrapText="1"/>
    </xf>
    <xf numFmtId="3" fontId="14" fillId="63" borderId="8" xfId="0" applyNumberFormat="1" applyFont="1" applyFill="1" applyBorder="1" applyAlignment="1">
      <alignment wrapText="1"/>
    </xf>
    <xf numFmtId="3" fontId="14" fillId="63" borderId="72" xfId="0" applyNumberFormat="1" applyFont="1" applyFill="1" applyBorder="1" applyAlignment="1">
      <alignment wrapText="1"/>
    </xf>
    <xf numFmtId="0" fontId="14" fillId="59" borderId="5" xfId="0" applyFont="1" applyFill="1" applyBorder="1"/>
    <xf numFmtId="3" fontId="14" fillId="63" borderId="5" xfId="0" applyNumberFormat="1" applyFont="1" applyFill="1" applyBorder="1" applyAlignment="1">
      <alignment wrapText="1"/>
    </xf>
    <xf numFmtId="0" fontId="14" fillId="59" borderId="6" xfId="0" applyFont="1" applyFill="1" applyBorder="1" applyAlignment="1">
      <alignment wrapText="1"/>
    </xf>
    <xf numFmtId="3" fontId="14" fillId="63" borderId="2" xfId="0" applyNumberFormat="1" applyFont="1" applyFill="1" applyBorder="1" applyAlignment="1">
      <alignment wrapText="1"/>
    </xf>
    <xf numFmtId="3" fontId="1" fillId="0" borderId="2" xfId="0" applyNumberFormat="1" applyFont="1" applyBorder="1" applyAlignment="1">
      <alignment horizontal="right"/>
    </xf>
    <xf numFmtId="3" fontId="0" fillId="63" borderId="118" xfId="0" applyNumberFormat="1" applyFill="1" applyBorder="1" applyAlignment="1">
      <alignment wrapText="1"/>
    </xf>
    <xf numFmtId="3" fontId="14" fillId="63" borderId="58" xfId="0" applyNumberFormat="1" applyFont="1" applyFill="1" applyBorder="1" applyAlignment="1">
      <alignment wrapText="1"/>
    </xf>
    <xf numFmtId="0" fontId="14" fillId="59" borderId="5" xfId="0" applyFont="1" applyFill="1" applyBorder="1" applyAlignment="1">
      <alignment wrapText="1"/>
    </xf>
    <xf numFmtId="166" fontId="0" fillId="58" borderId="110" xfId="8" applyFont="1" applyFill="1" applyBorder="1"/>
    <xf numFmtId="166" fontId="0" fillId="58" borderId="68" xfId="8" applyFont="1" applyFill="1" applyBorder="1"/>
    <xf numFmtId="166" fontId="0" fillId="58" borderId="4" xfId="8" applyFont="1" applyFill="1" applyBorder="1"/>
    <xf numFmtId="3" fontId="80" fillId="0" borderId="0" xfId="0" applyNumberFormat="1" applyFont="1"/>
    <xf numFmtId="3" fontId="1" fillId="0" borderId="2" xfId="8" applyNumberFormat="1" applyFont="1" applyBorder="1"/>
    <xf numFmtId="3" fontId="14" fillId="0" borderId="59" xfId="8" applyNumberFormat="1" applyFont="1" applyFill="1" applyBorder="1" applyProtection="1"/>
    <xf numFmtId="166" fontId="14" fillId="58" borderId="115" xfId="8" applyFont="1" applyFill="1" applyBorder="1" applyAlignment="1" applyProtection="1">
      <alignment vertical="top" wrapText="1"/>
    </xf>
    <xf numFmtId="166" fontId="14" fillId="57" borderId="81" xfId="8" applyFont="1" applyFill="1" applyBorder="1" applyAlignment="1" applyProtection="1">
      <alignment vertical="top" wrapText="1"/>
    </xf>
    <xf numFmtId="166" fontId="21" fillId="0" borderId="62" xfId="8" applyFont="1" applyBorder="1"/>
    <xf numFmtId="166" fontId="14" fillId="58" borderId="95" xfId="8" applyFont="1" applyFill="1" applyBorder="1" applyAlignment="1" applyProtection="1">
      <alignment vertical="top" wrapText="1"/>
    </xf>
    <xf numFmtId="166" fontId="14" fillId="57" borderId="57" xfId="8" applyFont="1" applyFill="1" applyBorder="1" applyAlignment="1" applyProtection="1">
      <alignment vertical="top" wrapText="1"/>
    </xf>
    <xf numFmtId="166" fontId="0" fillId="57" borderId="57" xfId="8" applyFont="1" applyFill="1" applyBorder="1" applyAlignment="1">
      <alignment vertical="top" wrapText="1"/>
    </xf>
    <xf numFmtId="166" fontId="22" fillId="0" borderId="0" xfId="0" applyNumberFormat="1" applyFont="1" applyAlignment="1">
      <alignment horizontal="center"/>
    </xf>
    <xf numFmtId="166" fontId="22" fillId="0" borderId="0" xfId="0" applyNumberFormat="1" applyFont="1" applyAlignment="1">
      <alignment horizontal="left"/>
    </xf>
    <xf numFmtId="0" fontId="14" fillId="0" borderId="0" xfId="0" applyFont="1" applyAlignment="1">
      <alignment horizontal="left" vertical="top"/>
    </xf>
    <xf numFmtId="0" fontId="21" fillId="0" borderId="30" xfId="0" applyFont="1" applyBorder="1" applyAlignment="1">
      <alignment horizontal="center" vertical="center"/>
    </xf>
    <xf numFmtId="166" fontId="21" fillId="0" borderId="0" xfId="0" applyNumberFormat="1" applyFont="1" applyAlignment="1">
      <alignment horizontal="center"/>
    </xf>
    <xf numFmtId="166" fontId="21" fillId="0" borderId="0" xfId="0" applyNumberFormat="1" applyFont="1" applyAlignment="1">
      <alignment horizontal="left"/>
    </xf>
    <xf numFmtId="43" fontId="0" fillId="56" borderId="58" xfId="8" applyNumberFormat="1" applyFont="1" applyFill="1" applyBorder="1" applyAlignment="1">
      <alignment horizontal="right" vertical="center" wrapText="1"/>
    </xf>
    <xf numFmtId="166" fontId="21" fillId="57" borderId="78" xfId="0" applyNumberFormat="1" applyFont="1" applyFill="1" applyBorder="1" applyAlignment="1">
      <alignment horizontal="left"/>
    </xf>
    <xf numFmtId="166" fontId="21" fillId="57" borderId="74" xfId="0" applyNumberFormat="1" applyFont="1" applyFill="1" applyBorder="1" applyAlignment="1">
      <alignment horizontal="left"/>
    </xf>
    <xf numFmtId="166" fontId="21" fillId="57" borderId="74" xfId="0" applyNumberFormat="1" applyFont="1" applyFill="1" applyBorder="1"/>
    <xf numFmtId="166" fontId="21" fillId="0" borderId="156" xfId="8" applyFont="1" applyFill="1" applyBorder="1" applyAlignment="1" applyProtection="1">
      <alignment horizontal="right" wrapText="1" indent="1"/>
    </xf>
    <xf numFmtId="166" fontId="21" fillId="0" borderId="104" xfId="8" applyFont="1" applyFill="1" applyBorder="1" applyAlignment="1" applyProtection="1">
      <alignment horizontal="right" wrapText="1" indent="1"/>
    </xf>
    <xf numFmtId="166" fontId="21" fillId="0" borderId="60" xfId="8" applyFont="1" applyFill="1" applyBorder="1" applyAlignment="1" applyProtection="1">
      <alignment horizontal="right" wrapText="1" indent="1"/>
    </xf>
    <xf numFmtId="0" fontId="14" fillId="57" borderId="76" xfId="0" applyFont="1" applyFill="1" applyBorder="1" applyAlignment="1">
      <alignment horizontal="center" vertical="center"/>
    </xf>
    <xf numFmtId="43" fontId="0" fillId="56" borderId="67" xfId="8" applyNumberFormat="1" applyFont="1" applyFill="1" applyBorder="1" applyAlignment="1">
      <alignment horizontal="right" vertical="center" wrapText="1"/>
    </xf>
    <xf numFmtId="166" fontId="0" fillId="56" borderId="183" xfId="8" applyFont="1" applyFill="1" applyBorder="1" applyAlignment="1">
      <alignment horizontal="right" vertical="center" wrapText="1"/>
    </xf>
    <xf numFmtId="0" fontId="14" fillId="57" borderId="78" xfId="0" applyFont="1" applyFill="1" applyBorder="1" applyAlignment="1">
      <alignment horizontal="center" vertical="center"/>
    </xf>
    <xf numFmtId="173" fontId="0" fillId="56" borderId="60" xfId="8" applyNumberFormat="1" applyFont="1" applyFill="1" applyBorder="1" applyAlignment="1">
      <alignment horizontal="right" vertical="center" wrapText="1"/>
    </xf>
    <xf numFmtId="0" fontId="14" fillId="57" borderId="2" xfId="0" applyFont="1" applyFill="1" applyBorder="1" applyAlignment="1">
      <alignment horizontal="left" vertical="center"/>
    </xf>
    <xf numFmtId="43" fontId="0" fillId="56" borderId="60" xfId="8" applyNumberFormat="1" applyFont="1" applyFill="1" applyBorder="1" applyAlignment="1">
      <alignment horizontal="right" vertical="center" wrapText="1"/>
    </xf>
    <xf numFmtId="43" fontId="14" fillId="56" borderId="58" xfId="8" applyNumberFormat="1" applyFont="1" applyFill="1" applyBorder="1" applyAlignment="1" applyProtection="1">
      <alignment horizontal="right" vertical="center" wrapText="1"/>
    </xf>
    <xf numFmtId="0" fontId="14" fillId="57" borderId="55" xfId="0" applyFont="1" applyFill="1" applyBorder="1" applyAlignment="1">
      <alignment horizontal="center" vertical="center"/>
    </xf>
    <xf numFmtId="0" fontId="14" fillId="57" borderId="64" xfId="0" applyFont="1" applyFill="1" applyBorder="1" applyAlignment="1">
      <alignment horizontal="left" vertical="center"/>
    </xf>
    <xf numFmtId="43" fontId="0" fillId="56" borderId="65" xfId="8" applyNumberFormat="1" applyFont="1" applyFill="1" applyBorder="1" applyAlignment="1">
      <alignment horizontal="right" vertical="center" wrapText="1"/>
    </xf>
    <xf numFmtId="166" fontId="21" fillId="0" borderId="55" xfId="0" applyNumberFormat="1" applyFont="1" applyBorder="1" applyAlignment="1">
      <alignment horizontal="left"/>
    </xf>
    <xf numFmtId="166" fontId="21" fillId="0" borderId="61" xfId="0" applyNumberFormat="1" applyFont="1" applyBorder="1" applyAlignment="1">
      <alignment horizontal="left"/>
    </xf>
    <xf numFmtId="166" fontId="21" fillId="0" borderId="61" xfId="0" applyNumberFormat="1" applyFont="1" applyBorder="1"/>
    <xf numFmtId="166" fontId="79" fillId="0" borderId="169" xfId="8" applyFont="1" applyFill="1" applyBorder="1" applyAlignment="1">
      <alignment horizontal="right" wrapText="1" indent="1"/>
    </xf>
    <xf numFmtId="166" fontId="21" fillId="0" borderId="102" xfId="8" applyFont="1" applyFill="1" applyBorder="1" applyAlignment="1">
      <alignment horizontal="right" wrapText="1" indent="1"/>
    </xf>
    <xf numFmtId="166" fontId="21" fillId="0" borderId="65" xfId="8" applyFont="1" applyFill="1" applyBorder="1" applyAlignment="1">
      <alignment horizontal="right" wrapText="1" indent="1"/>
    </xf>
    <xf numFmtId="166" fontId="21" fillId="0" borderId="0" xfId="8" applyFont="1" applyFill="1" applyAlignment="1">
      <alignment horizontal="right" vertical="top" wrapText="1" indent="1"/>
    </xf>
    <xf numFmtId="166" fontId="22" fillId="0" borderId="0" xfId="8" applyFont="1" applyFill="1"/>
    <xf numFmtId="0" fontId="21" fillId="0" borderId="158" xfId="0" applyFont="1" applyBorder="1" applyAlignment="1">
      <alignment horizontal="center" vertical="center"/>
    </xf>
    <xf numFmtId="166" fontId="21" fillId="0" borderId="126" xfId="8" applyFont="1" applyFill="1" applyBorder="1" applyAlignment="1" applyProtection="1">
      <alignment horizontal="right" wrapText="1" indent="1"/>
    </xf>
    <xf numFmtId="0" fontId="14" fillId="57" borderId="3" xfId="0" applyFont="1" applyFill="1" applyBorder="1" applyAlignment="1">
      <alignment horizontal="left" vertical="top"/>
    </xf>
    <xf numFmtId="166" fontId="69" fillId="0" borderId="0" xfId="8" applyFont="1" applyBorder="1" applyAlignment="1">
      <alignment horizontal="right" wrapText="1" indent="1"/>
    </xf>
    <xf numFmtId="3" fontId="21" fillId="0" borderId="91" xfId="0" applyNumberFormat="1" applyFont="1" applyBorder="1" applyAlignment="1">
      <alignment horizontal="center" vertical="center" wrapText="1"/>
    </xf>
    <xf numFmtId="3" fontId="21" fillId="0" borderId="99" xfId="0" applyNumberFormat="1" applyFont="1" applyBorder="1" applyAlignment="1">
      <alignment horizontal="center"/>
    </xf>
    <xf numFmtId="3" fontId="0" fillId="0" borderId="81" xfId="8" applyNumberFormat="1" applyFont="1" applyBorder="1"/>
    <xf numFmtId="3" fontId="21" fillId="0" borderId="184" xfId="0" applyNumberFormat="1" applyFont="1" applyBorder="1" applyAlignment="1">
      <alignment horizontal="center" vertical="top" wrapText="1"/>
    </xf>
    <xf numFmtId="3" fontId="21" fillId="0" borderId="185" xfId="0" applyNumberFormat="1" applyFont="1" applyBorder="1" applyAlignment="1">
      <alignment horizontal="center"/>
    </xf>
    <xf numFmtId="3" fontId="0" fillId="0" borderId="98" xfId="8" applyNumberFormat="1" applyFont="1" applyBorder="1"/>
    <xf numFmtId="3" fontId="0" fillId="0" borderId="175" xfId="8" applyNumberFormat="1" applyFont="1" applyBorder="1"/>
    <xf numFmtId="3" fontId="0" fillId="0" borderId="108" xfId="8" applyNumberFormat="1" applyFont="1" applyBorder="1"/>
    <xf numFmtId="3" fontId="14" fillId="0" borderId="81" xfId="8" applyNumberFormat="1" applyFont="1" applyBorder="1"/>
    <xf numFmtId="3" fontId="14" fillId="0" borderId="26" xfId="8" applyNumberFormat="1" applyFont="1" applyBorder="1"/>
    <xf numFmtId="3" fontId="14" fillId="0" borderId="26" xfId="0" applyNumberFormat="1" applyFont="1" applyBorder="1" applyAlignment="1">
      <alignment horizontal="right"/>
    </xf>
    <xf numFmtId="3" fontId="14" fillId="0" borderId="80" xfId="8" applyNumberFormat="1" applyFont="1" applyBorder="1"/>
    <xf numFmtId="0" fontId="14" fillId="58" borderId="90" xfId="0" applyFont="1" applyFill="1" applyBorder="1" applyAlignment="1">
      <alignment horizontal="right" vertical="top" wrapText="1"/>
    </xf>
    <xf numFmtId="0" fontId="14" fillId="58" borderId="30" xfId="0" applyFont="1" applyFill="1" applyBorder="1" applyAlignment="1">
      <alignment horizontal="right" vertical="top" wrapText="1"/>
    </xf>
    <xf numFmtId="0" fontId="14" fillId="58" borderId="57" xfId="0" applyFont="1" applyFill="1" applyBorder="1" applyAlignment="1">
      <alignment horizontal="right" vertical="top" wrapText="1"/>
    </xf>
    <xf numFmtId="0" fontId="14" fillId="58" borderId="2" xfId="0" applyFont="1" applyFill="1" applyBorder="1" applyAlignment="1">
      <alignment horizontal="right" vertical="top" wrapText="1"/>
    </xf>
    <xf numFmtId="0" fontId="0" fillId="58" borderId="57" xfId="0" applyFill="1" applyBorder="1" applyAlignment="1">
      <alignment horizontal="right" vertical="top" wrapText="1"/>
    </xf>
    <xf numFmtId="0" fontId="0" fillId="58" borderId="2" xfId="0" applyFill="1" applyBorder="1" applyAlignment="1">
      <alignment horizontal="right" vertical="top" wrapText="1"/>
    </xf>
    <xf numFmtId="0" fontId="0" fillId="0" borderId="78" xfId="0" applyBorder="1"/>
    <xf numFmtId="0" fontId="0" fillId="0" borderId="74" xfId="0" applyBorder="1"/>
    <xf numFmtId="166" fontId="0" fillId="58" borderId="126" xfId="8" applyFont="1" applyFill="1" applyBorder="1"/>
    <xf numFmtId="0" fontId="14" fillId="0" borderId="56" xfId="0" quotePrefix="1" applyFont="1" applyBorder="1" applyAlignment="1">
      <alignment horizontal="left"/>
    </xf>
    <xf numFmtId="0" fontId="14" fillId="0" borderId="56" xfId="0" quotePrefix="1" applyFont="1" applyBorder="1"/>
    <xf numFmtId="0" fontId="14" fillId="0" borderId="8" xfId="0" applyFont="1" applyBorder="1" applyAlignment="1">
      <alignment horizontal="right"/>
    </xf>
    <xf numFmtId="166" fontId="21" fillId="0" borderId="93" xfId="0" applyNumberFormat="1" applyFont="1" applyBorder="1"/>
    <xf numFmtId="0" fontId="0" fillId="0" borderId="10" xfId="0" applyBorder="1" applyAlignment="1">
      <alignment horizontal="right"/>
    </xf>
    <xf numFmtId="10" fontId="0" fillId="0" borderId="8" xfId="0" applyNumberFormat="1" applyBorder="1"/>
    <xf numFmtId="0" fontId="21" fillId="0" borderId="67" xfId="0" quotePrefix="1" applyFont="1" applyBorder="1" applyAlignment="1">
      <alignment horizontal="center" vertical="center" wrapText="1"/>
    </xf>
    <xf numFmtId="0" fontId="14" fillId="0" borderId="56" xfId="0" applyFont="1" applyBorder="1"/>
    <xf numFmtId="0" fontId="14" fillId="0" borderId="84" xfId="0" quotePrefix="1" applyFont="1" applyBorder="1" applyAlignment="1">
      <alignment horizontal="left"/>
    </xf>
    <xf numFmtId="0" fontId="0" fillId="0" borderId="80" xfId="0" applyBorder="1"/>
    <xf numFmtId="0" fontId="14" fillId="0" borderId="101" xfId="0" applyFont="1" applyBorder="1" applyAlignment="1">
      <alignment horizontal="center" vertical="center" wrapText="1"/>
    </xf>
    <xf numFmtId="166" fontId="21" fillId="0" borderId="82" xfId="0" applyNumberFormat="1" applyFont="1" applyBorder="1" applyAlignment="1">
      <alignment horizontal="left" indent="1"/>
    </xf>
    <xf numFmtId="0" fontId="14" fillId="0" borderId="113" xfId="0" quotePrefix="1" applyFont="1" applyBorder="1" applyAlignment="1">
      <alignment horizontal="left" vertical="top" wrapText="1" indent="1"/>
    </xf>
    <xf numFmtId="0" fontId="14" fillId="0" borderId="88" xfId="0" quotePrefix="1" applyFont="1" applyBorder="1" applyAlignment="1">
      <alignment horizontal="left" vertical="top" wrapText="1" indent="1"/>
    </xf>
    <xf numFmtId="0" fontId="0" fillId="0" borderId="113" xfId="0" quotePrefix="1" applyBorder="1" applyAlignment="1">
      <alignment horizontal="left" vertical="top" wrapText="1" indent="1"/>
    </xf>
    <xf numFmtId="0" fontId="0" fillId="0" borderId="113" xfId="0" applyBorder="1" applyAlignment="1">
      <alignment horizontal="left" vertical="top" wrapText="1" indent="1"/>
    </xf>
    <xf numFmtId="166" fontId="21" fillId="0" borderId="100" xfId="0" applyNumberFormat="1" applyFont="1" applyBorder="1" applyAlignment="1">
      <alignment horizontal="left" indent="1"/>
    </xf>
    <xf numFmtId="0" fontId="14" fillId="0" borderId="90" xfId="0" applyFont="1" applyBorder="1" applyAlignment="1">
      <alignment horizontal="left" vertical="top" wrapText="1"/>
    </xf>
    <xf numFmtId="0" fontId="14" fillId="0" borderId="28" xfId="0" applyFont="1" applyBorder="1" applyAlignment="1">
      <alignment horizontal="center" vertical="top" wrapText="1"/>
    </xf>
    <xf numFmtId="0" fontId="14" fillId="0" borderId="108" xfId="0" applyFont="1" applyBorder="1" applyAlignment="1">
      <alignment horizontal="center" vertical="top" wrapText="1"/>
    </xf>
    <xf numFmtId="166" fontId="21" fillId="0" borderId="95" xfId="0" applyNumberFormat="1" applyFont="1" applyBorder="1" applyAlignment="1">
      <alignment horizontal="left" vertical="center"/>
    </xf>
    <xf numFmtId="166" fontId="21" fillId="0" borderId="72" xfId="0" applyNumberFormat="1" applyFont="1" applyBorder="1" applyAlignment="1">
      <alignment vertical="center"/>
    </xf>
    <xf numFmtId="0" fontId="14" fillId="58" borderId="58" xfId="0" applyFont="1" applyFill="1" applyBorder="1" applyAlignment="1">
      <alignment horizontal="center" vertical="top" wrapText="1"/>
    </xf>
    <xf numFmtId="0" fontId="14" fillId="56" borderId="58" xfId="0" applyFont="1" applyFill="1" applyBorder="1" applyAlignment="1">
      <alignment horizontal="center" vertical="top" wrapText="1"/>
    </xf>
    <xf numFmtId="0" fontId="14" fillId="0" borderId="59" xfId="0" quotePrefix="1" applyFont="1" applyBorder="1" applyAlignment="1">
      <alignment horizontal="left" vertical="top" wrapText="1" indent="1"/>
    </xf>
    <xf numFmtId="0" fontId="14" fillId="58" borderId="26" xfId="0" applyFont="1" applyFill="1" applyBorder="1" applyAlignment="1">
      <alignment horizontal="center" vertical="top" wrapText="1"/>
    </xf>
    <xf numFmtId="0" fontId="14" fillId="58" borderId="60" xfId="0" applyFont="1" applyFill="1" applyBorder="1" applyAlignment="1">
      <alignment horizontal="center" vertical="top" wrapText="1"/>
    </xf>
    <xf numFmtId="0" fontId="14" fillId="0" borderId="30" xfId="0" applyFont="1" applyBorder="1" applyAlignment="1">
      <alignment horizontal="center" vertical="top" wrapText="1"/>
    </xf>
    <xf numFmtId="0" fontId="14" fillId="0" borderId="94" xfId="0" applyFont="1" applyBorder="1" applyAlignment="1">
      <alignment horizontal="center" vertical="top" wrapText="1"/>
    </xf>
    <xf numFmtId="0" fontId="0" fillId="0" borderId="95" xfId="0" applyBorder="1"/>
    <xf numFmtId="0" fontId="0" fillId="0" borderId="72" xfId="0" applyBorder="1"/>
    <xf numFmtId="166" fontId="21" fillId="0" borderId="95" xfId="0" applyNumberFormat="1" applyFont="1" applyBorder="1" applyAlignment="1">
      <alignment horizontal="left" indent="1"/>
    </xf>
    <xf numFmtId="166" fontId="14" fillId="58" borderId="59" xfId="8" applyFont="1" applyFill="1" applyBorder="1" applyAlignment="1">
      <alignment vertical="top" wrapText="1"/>
    </xf>
    <xf numFmtId="166" fontId="14" fillId="58" borderId="80" xfId="8" applyFont="1" applyFill="1" applyBorder="1" applyAlignment="1">
      <alignment vertical="top" wrapText="1"/>
    </xf>
    <xf numFmtId="166" fontId="0" fillId="58" borderId="83" xfId="8" applyFont="1" applyFill="1" applyBorder="1" applyAlignment="1">
      <alignment vertical="top" wrapText="1"/>
    </xf>
    <xf numFmtId="166" fontId="14" fillId="58" borderId="83" xfId="8" applyFont="1" applyFill="1" applyBorder="1" applyAlignment="1" applyProtection="1">
      <alignment vertical="top" wrapText="1"/>
    </xf>
    <xf numFmtId="166" fontId="14" fillId="58" borderId="59" xfId="8" applyFont="1" applyFill="1" applyBorder="1" applyAlignment="1" applyProtection="1">
      <alignment vertical="top" wrapText="1"/>
    </xf>
    <xf numFmtId="166" fontId="14" fillId="58" borderId="80" xfId="8" applyFont="1" applyFill="1" applyBorder="1" applyAlignment="1" applyProtection="1">
      <alignment vertical="top" wrapText="1"/>
    </xf>
    <xf numFmtId="0" fontId="14" fillId="0" borderId="0" xfId="0" applyFont="1" applyAlignment="1">
      <alignment horizontal="center" vertical="top" wrapText="1"/>
    </xf>
    <xf numFmtId="0" fontId="1" fillId="0" borderId="82" xfId="0" applyFont="1" applyBorder="1" applyAlignment="1">
      <alignment horizontal="left"/>
    </xf>
    <xf numFmtId="3" fontId="1" fillId="0" borderId="6" xfId="8" applyNumberFormat="1" applyFont="1" applyBorder="1"/>
    <xf numFmtId="3" fontId="1" fillId="0" borderId="58" xfId="8" applyNumberFormat="1" applyFont="1" applyBorder="1"/>
    <xf numFmtId="0" fontId="21" fillId="0" borderId="0" xfId="0" applyFont="1" applyAlignment="1">
      <alignment horizontal="left" vertical="top" wrapText="1"/>
    </xf>
    <xf numFmtId="166" fontId="21" fillId="0" borderId="90" xfId="8" quotePrefix="1" applyFont="1" applyBorder="1" applyAlignment="1">
      <alignment horizontal="center" vertical="top" wrapText="1"/>
    </xf>
    <xf numFmtId="166" fontId="21" fillId="0" borderId="94" xfId="8" applyFont="1" applyBorder="1" applyAlignment="1">
      <alignment horizontal="center" vertical="top"/>
    </xf>
    <xf numFmtId="166" fontId="21" fillId="0" borderId="28" xfId="8" quotePrefix="1" applyFont="1" applyBorder="1" applyAlignment="1">
      <alignment horizontal="center" vertical="top" wrapText="1"/>
    </xf>
    <xf numFmtId="166" fontId="21" fillId="0" borderId="101" xfId="8" applyFont="1" applyBorder="1" applyAlignment="1">
      <alignment horizontal="center" vertical="center"/>
    </xf>
    <xf numFmtId="166" fontId="21" fillId="0" borderId="114" xfId="8" applyFont="1" applyBorder="1" applyAlignment="1">
      <alignment horizontal="center" vertical="center"/>
    </xf>
    <xf numFmtId="166" fontId="21" fillId="0" borderId="101" xfId="8" applyFont="1" applyBorder="1" applyAlignment="1">
      <alignment horizontal="center" vertical="center" wrapText="1"/>
    </xf>
    <xf numFmtId="166" fontId="21" fillId="0" borderId="114" xfId="8" applyFont="1" applyBorder="1" applyAlignment="1">
      <alignment horizontal="center" vertical="center" wrapText="1"/>
    </xf>
    <xf numFmtId="0" fontId="21" fillId="0" borderId="0" xfId="0" quotePrefix="1" applyFont="1" applyAlignment="1">
      <alignment horizontal="left" wrapText="1"/>
    </xf>
    <xf numFmtId="0" fontId="65" fillId="0" borderId="55" xfId="15" applyFont="1" applyBorder="1" applyAlignment="1">
      <alignment horizontal="center" vertical="center" wrapText="1"/>
    </xf>
    <xf numFmtId="0" fontId="65" fillId="0" borderId="62" xfId="15" applyFont="1" applyBorder="1" applyAlignment="1">
      <alignment horizontal="center" vertical="center" wrapText="1"/>
    </xf>
    <xf numFmtId="0" fontId="65" fillId="0" borderId="61" xfId="15" applyFont="1" applyBorder="1" applyAlignment="1">
      <alignment horizontal="center" vertical="center" wrapText="1"/>
    </xf>
    <xf numFmtId="0" fontId="19" fillId="0" borderId="0" xfId="0" quotePrefix="1" applyFont="1" applyAlignment="1">
      <alignment horizontal="left" vertical="center" wrapText="1"/>
    </xf>
    <xf numFmtId="0" fontId="65" fillId="0" borderId="96" xfId="15" applyFont="1" applyBorder="1" applyAlignment="1">
      <alignment horizontal="center" vertical="center" wrapText="1"/>
    </xf>
    <xf numFmtId="0" fontId="65" fillId="0" borderId="70" xfId="15" applyFont="1" applyBorder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14" fillId="0" borderId="55" xfId="15" applyBorder="1" applyAlignment="1">
      <alignment horizontal="center" vertical="top" wrapText="1"/>
    </xf>
    <xf numFmtId="0" fontId="14" fillId="0" borderId="62" xfId="15" applyBorder="1" applyAlignment="1">
      <alignment horizontal="center" vertical="top" wrapText="1"/>
    </xf>
    <xf numFmtId="0" fontId="65" fillId="0" borderId="101" xfId="15" applyFont="1" applyBorder="1" applyAlignment="1">
      <alignment horizontal="center" vertical="center" wrapText="1"/>
    </xf>
    <xf numFmtId="0" fontId="65" fillId="0" borderId="111" xfId="15" applyFont="1" applyBorder="1" applyAlignment="1">
      <alignment horizontal="center" vertical="center" wrapText="1"/>
    </xf>
    <xf numFmtId="166" fontId="21" fillId="0" borderId="61" xfId="8" applyFont="1" applyBorder="1" applyAlignment="1">
      <alignment horizontal="center" vertical="top" wrapText="1"/>
    </xf>
    <xf numFmtId="166" fontId="21" fillId="0" borderId="55" xfId="8" applyFont="1" applyBorder="1" applyAlignment="1">
      <alignment horizontal="center" vertical="top" wrapText="1"/>
    </xf>
    <xf numFmtId="166" fontId="21" fillId="0" borderId="62" xfId="8" applyFont="1" applyBorder="1" applyAlignment="1">
      <alignment horizontal="center" vertical="top" wrapText="1"/>
    </xf>
    <xf numFmtId="166" fontId="21" fillId="0" borderId="144" xfId="8" applyFont="1" applyBorder="1" applyAlignment="1">
      <alignment horizontal="center" vertical="top" wrapText="1"/>
    </xf>
    <xf numFmtId="166" fontId="21" fillId="0" borderId="145" xfId="8" applyFont="1" applyBorder="1" applyAlignment="1">
      <alignment horizontal="center" vertical="top" wrapText="1"/>
    </xf>
    <xf numFmtId="166" fontId="21" fillId="0" borderId="146" xfId="8" applyFont="1" applyBorder="1" applyAlignment="1">
      <alignment horizontal="center" vertical="top" wrapText="1"/>
    </xf>
    <xf numFmtId="166" fontId="21" fillId="0" borderId="76" xfId="8" applyFont="1" applyBorder="1" applyAlignment="1">
      <alignment horizontal="center" vertical="top" wrapText="1"/>
    </xf>
    <xf numFmtId="166" fontId="21" fillId="0" borderId="73" xfId="8" applyFont="1" applyBorder="1" applyAlignment="1">
      <alignment horizontal="center" vertical="top" wrapText="1"/>
    </xf>
    <xf numFmtId="0" fontId="14" fillId="0" borderId="76" xfId="0" applyFont="1" applyBorder="1" applyAlignment="1">
      <alignment horizontal="left"/>
    </xf>
    <xf numFmtId="0" fontId="14" fillId="0" borderId="108" xfId="0" applyFont="1" applyBorder="1" applyAlignment="1">
      <alignment horizontal="left"/>
    </xf>
    <xf numFmtId="0" fontId="14" fillId="0" borderId="56" xfId="0" applyFont="1" applyBorder="1" applyAlignment="1">
      <alignment horizontal="left"/>
    </xf>
    <xf numFmtId="0" fontId="14" fillId="0" borderId="81" xfId="0" applyFont="1" applyBorder="1" applyAlignment="1">
      <alignment horizontal="left"/>
    </xf>
    <xf numFmtId="0" fontId="14" fillId="0" borderId="78" xfId="0" applyFont="1" applyBorder="1" applyAlignment="1">
      <alignment horizontal="left"/>
    </xf>
    <xf numFmtId="0" fontId="14" fillId="0" borderId="80" xfId="0" applyFont="1" applyBorder="1" applyAlignment="1">
      <alignment horizontal="left"/>
    </xf>
    <xf numFmtId="0" fontId="14" fillId="0" borderId="73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14" fillId="0" borderId="74" xfId="0" applyFont="1" applyBorder="1" applyAlignment="1">
      <alignment horizontal="left"/>
    </xf>
    <xf numFmtId="0" fontId="14" fillId="0" borderId="55" xfId="0" applyFont="1" applyBorder="1" applyAlignment="1">
      <alignment horizontal="left"/>
    </xf>
    <xf numFmtId="0" fontId="14" fillId="0" borderId="62" xfId="0" applyFont="1" applyBorder="1" applyAlignment="1">
      <alignment horizontal="left"/>
    </xf>
    <xf numFmtId="0" fontId="0" fillId="0" borderId="56" xfId="0" applyBorder="1"/>
    <xf numFmtId="0" fontId="0" fillId="0" borderId="0" xfId="0"/>
    <xf numFmtId="0" fontId="0" fillId="0" borderId="78" xfId="0" applyBorder="1"/>
    <xf numFmtId="0" fontId="0" fillId="0" borderId="74" xfId="0" applyBorder="1"/>
    <xf numFmtId="0" fontId="21" fillId="0" borderId="76" xfId="0" applyFont="1" applyBorder="1" applyAlignment="1">
      <alignment horizontal="center" vertical="center" wrapText="1"/>
    </xf>
    <xf numFmtId="0" fontId="21" fillId="0" borderId="108" xfId="0" applyFont="1" applyBorder="1" applyAlignment="1">
      <alignment horizontal="center" vertical="center" wrapText="1"/>
    </xf>
    <xf numFmtId="0" fontId="21" fillId="0" borderId="78" xfId="0" applyFont="1" applyBorder="1" applyAlignment="1">
      <alignment horizontal="center" vertical="center" wrapText="1"/>
    </xf>
    <xf numFmtId="0" fontId="21" fillId="0" borderId="80" xfId="0" applyFont="1" applyBorder="1" applyAlignment="1">
      <alignment horizontal="center" vertical="center" wrapText="1"/>
    </xf>
    <xf numFmtId="0" fontId="0" fillId="0" borderId="76" xfId="0" applyBorder="1"/>
    <xf numFmtId="0" fontId="0" fillId="0" borderId="73" xfId="0" applyBorder="1"/>
    <xf numFmtId="166" fontId="21" fillId="57" borderId="55" xfId="0" applyNumberFormat="1" applyFont="1" applyFill="1" applyBorder="1" applyAlignment="1">
      <alignment horizontal="center"/>
    </xf>
    <xf numFmtId="166" fontId="21" fillId="57" borderId="62" xfId="0" applyNumberFormat="1" applyFont="1" applyFill="1" applyBorder="1" applyAlignment="1">
      <alignment horizontal="center"/>
    </xf>
    <xf numFmtId="0" fontId="21" fillId="0" borderId="73" xfId="0" applyFont="1" applyBorder="1" applyAlignment="1">
      <alignment horizontal="center" vertical="center" wrapText="1"/>
    </xf>
    <xf numFmtId="0" fontId="21" fillId="0" borderId="74" xfId="0" applyFont="1" applyBorder="1" applyAlignment="1">
      <alignment horizontal="center" vertical="center" wrapText="1"/>
    </xf>
    <xf numFmtId="0" fontId="21" fillId="0" borderId="56" xfId="0" applyFont="1" applyBorder="1" applyAlignment="1">
      <alignment horizontal="center" vertical="center" wrapText="1"/>
    </xf>
    <xf numFmtId="0" fontId="21" fillId="0" borderId="81" xfId="0" applyFont="1" applyBorder="1" applyAlignment="1">
      <alignment horizontal="center" vertical="center" wrapText="1"/>
    </xf>
    <xf numFmtId="166" fontId="21" fillId="0" borderId="94" xfId="8" applyFont="1" applyBorder="1" applyAlignment="1">
      <alignment horizontal="center" vertical="top" wrapText="1"/>
    </xf>
  </cellXfs>
  <cellStyles count="1157">
    <cellStyle name="_Data" xfId="1" xr:uid="{00000000-0005-0000-0000-000000000000}"/>
    <cellStyle name="_Data 2" xfId="314" xr:uid="{00000000-0005-0000-0000-000001000000}"/>
    <cellStyle name="Accent1 - 20%" xfId="83" xr:uid="{00000000-0005-0000-0000-000002000000}"/>
    <cellStyle name="Accent1 - 40%" xfId="84" xr:uid="{00000000-0005-0000-0000-000003000000}"/>
    <cellStyle name="Accent1 - 60%" xfId="85" xr:uid="{00000000-0005-0000-0000-000004000000}"/>
    <cellStyle name="Accent2 - 20%" xfId="86" xr:uid="{00000000-0005-0000-0000-000005000000}"/>
    <cellStyle name="Accent2 - 40%" xfId="87" xr:uid="{00000000-0005-0000-0000-000006000000}"/>
    <cellStyle name="Accent2 - 60%" xfId="88" xr:uid="{00000000-0005-0000-0000-000007000000}"/>
    <cellStyle name="Accent3 - 20%" xfId="89" xr:uid="{00000000-0005-0000-0000-000008000000}"/>
    <cellStyle name="Accent3 - 40%" xfId="90" xr:uid="{00000000-0005-0000-0000-000009000000}"/>
    <cellStyle name="Accent3 - 60%" xfId="91" xr:uid="{00000000-0005-0000-0000-00000A000000}"/>
    <cellStyle name="Accent4 - 20%" xfId="92" xr:uid="{00000000-0005-0000-0000-00000B000000}"/>
    <cellStyle name="Accent4 - 40%" xfId="93" xr:uid="{00000000-0005-0000-0000-00000C000000}"/>
    <cellStyle name="Accent4 - 60%" xfId="94" xr:uid="{00000000-0005-0000-0000-00000D000000}"/>
    <cellStyle name="Accent5 - 20%" xfId="95" xr:uid="{00000000-0005-0000-0000-00000E000000}"/>
    <cellStyle name="Accent5 - 40%" xfId="96" xr:uid="{00000000-0005-0000-0000-00000F000000}"/>
    <cellStyle name="Accent5 - 60%" xfId="97" xr:uid="{00000000-0005-0000-0000-000010000000}"/>
    <cellStyle name="Accent6 - 20%" xfId="98" xr:uid="{00000000-0005-0000-0000-000011000000}"/>
    <cellStyle name="Accent6 - 40%" xfId="99" xr:uid="{00000000-0005-0000-0000-000012000000}"/>
    <cellStyle name="Accent6 - 60%" xfId="100" xr:uid="{00000000-0005-0000-0000-000013000000}"/>
    <cellStyle name="Akzent1 2" xfId="101" xr:uid="{00000000-0005-0000-0000-000014000000}"/>
    <cellStyle name="Akzent1 3" xfId="102" xr:uid="{00000000-0005-0000-0000-000015000000}"/>
    <cellStyle name="Akzent2 2" xfId="103" xr:uid="{00000000-0005-0000-0000-000016000000}"/>
    <cellStyle name="Akzent2 3" xfId="104" xr:uid="{00000000-0005-0000-0000-000017000000}"/>
    <cellStyle name="Akzent3 2" xfId="105" xr:uid="{00000000-0005-0000-0000-000018000000}"/>
    <cellStyle name="Akzent3 3" xfId="106" xr:uid="{00000000-0005-0000-0000-000019000000}"/>
    <cellStyle name="Akzent4 2" xfId="107" xr:uid="{00000000-0005-0000-0000-00001A000000}"/>
    <cellStyle name="Akzent4 3" xfId="108" xr:uid="{00000000-0005-0000-0000-00001B000000}"/>
    <cellStyle name="Akzent5 2" xfId="109" xr:uid="{00000000-0005-0000-0000-00001C000000}"/>
    <cellStyle name="Akzent5 3" xfId="110" xr:uid="{00000000-0005-0000-0000-00001D000000}"/>
    <cellStyle name="Akzent6 2" xfId="111" xr:uid="{00000000-0005-0000-0000-00001E000000}"/>
    <cellStyle name="Akzent6 3" xfId="112" xr:uid="{00000000-0005-0000-0000-00001F000000}"/>
    <cellStyle name="Ausgabe 2" xfId="113" xr:uid="{00000000-0005-0000-0000-000020000000}"/>
    <cellStyle name="Ausgabe 2 2" xfId="470" xr:uid="{00000000-0005-0000-0000-000021000000}"/>
    <cellStyle name="Ausgabe 2 2 2" xfId="868" xr:uid="{00000000-0005-0000-0000-000022000000}"/>
    <cellStyle name="Ausgabe 2 3" xfId="655" xr:uid="{00000000-0005-0000-0000-000023000000}"/>
    <cellStyle name="Ausgabe 2 3 2" xfId="1053" xr:uid="{00000000-0005-0000-0000-000024000000}"/>
    <cellStyle name="Ausgabe 3" xfId="114" xr:uid="{00000000-0005-0000-0000-000025000000}"/>
    <cellStyle name="Ausgabe 3 2" xfId="471" xr:uid="{00000000-0005-0000-0000-000026000000}"/>
    <cellStyle name="Ausgabe 3 2 2" xfId="869" xr:uid="{00000000-0005-0000-0000-000027000000}"/>
    <cellStyle name="Ausgabe 3 3" xfId="619" xr:uid="{00000000-0005-0000-0000-000028000000}"/>
    <cellStyle name="Ausgabe 3 3 2" xfId="1017" xr:uid="{00000000-0005-0000-0000-000029000000}"/>
    <cellStyle name="Berechnung 2" xfId="115" xr:uid="{00000000-0005-0000-0000-00002A000000}"/>
    <cellStyle name="Berechnung 2 2" xfId="472" xr:uid="{00000000-0005-0000-0000-00002B000000}"/>
    <cellStyle name="Berechnung 2 2 2" xfId="870" xr:uid="{00000000-0005-0000-0000-00002C000000}"/>
    <cellStyle name="Berechnung 2 3" xfId="641" xr:uid="{00000000-0005-0000-0000-00002D000000}"/>
    <cellStyle name="Berechnung 2 3 2" xfId="1039" xr:uid="{00000000-0005-0000-0000-00002E000000}"/>
    <cellStyle name="Berechnung 2 4" xfId="750" xr:uid="{00000000-0005-0000-0000-00002F000000}"/>
    <cellStyle name="Berechnung 2 4 2" xfId="1145" xr:uid="{00000000-0005-0000-0000-000030000000}"/>
    <cellStyle name="Berechnung 3" xfId="116" xr:uid="{00000000-0005-0000-0000-000031000000}"/>
    <cellStyle name="Berechnung 3 2" xfId="473" xr:uid="{00000000-0005-0000-0000-000032000000}"/>
    <cellStyle name="Berechnung 3 2 2" xfId="871" xr:uid="{00000000-0005-0000-0000-000033000000}"/>
    <cellStyle name="Berechnung 3 3" xfId="683" xr:uid="{00000000-0005-0000-0000-000034000000}"/>
    <cellStyle name="Berechnung 3 3 2" xfId="1081" xr:uid="{00000000-0005-0000-0000-000035000000}"/>
    <cellStyle name="Berechnung 3 4" xfId="730" xr:uid="{00000000-0005-0000-0000-000036000000}"/>
    <cellStyle name="Berechnung 3 4 2" xfId="1125" xr:uid="{00000000-0005-0000-0000-000037000000}"/>
    <cellStyle name="Comma 2" xfId="367" xr:uid="{00000000-0005-0000-0000-000038000000}"/>
    <cellStyle name="Comma 2 2" xfId="436" xr:uid="{00000000-0005-0000-0000-000039000000}"/>
    <cellStyle name="Comma 2 2 2" xfId="705" xr:uid="{00000000-0005-0000-0000-00003A000000}"/>
    <cellStyle name="Comma 2 2 2 2" xfId="1103" xr:uid="{00000000-0005-0000-0000-00003B000000}"/>
    <cellStyle name="Comma 2 2 3" xfId="834" xr:uid="{00000000-0005-0000-0000-00003C000000}"/>
    <cellStyle name="Comma 2 3" xfId="667" xr:uid="{00000000-0005-0000-0000-00003D000000}"/>
    <cellStyle name="Comma 2 3 2" xfId="1065" xr:uid="{00000000-0005-0000-0000-00003E000000}"/>
    <cellStyle name="Comma 2 4" xfId="795" xr:uid="{00000000-0005-0000-0000-00003F000000}"/>
    <cellStyle name="Datum 10" xfId="44" xr:uid="{00000000-0005-0000-0000-000040000000}"/>
    <cellStyle name="Datum 11" xfId="45" xr:uid="{00000000-0005-0000-0000-000041000000}"/>
    <cellStyle name="Datum 12" xfId="46" xr:uid="{00000000-0005-0000-0000-000042000000}"/>
    <cellStyle name="Datum 8" xfId="47" xr:uid="{00000000-0005-0000-0000-000043000000}"/>
    <cellStyle name="Datum 9" xfId="48" xr:uid="{00000000-0005-0000-0000-000044000000}"/>
    <cellStyle name="Dezimal [0] 2" xfId="81" xr:uid="{00000000-0005-0000-0000-000045000000}"/>
    <cellStyle name="Dezimal 2" xfId="2" xr:uid="{00000000-0005-0000-0000-000046000000}"/>
    <cellStyle name="Dezimal 2 2" xfId="3" xr:uid="{00000000-0005-0000-0000-000047000000}"/>
    <cellStyle name="Dezimal 2 2 2" xfId="315" xr:uid="{00000000-0005-0000-0000-000048000000}"/>
    <cellStyle name="Dezimal 2 3" xfId="117" xr:uid="{00000000-0005-0000-0000-000049000000}"/>
    <cellStyle name="Dezimal 2 4" xfId="368" xr:uid="{00000000-0005-0000-0000-00004A000000}"/>
    <cellStyle name="Dezimal 2 4 2" xfId="796" xr:uid="{00000000-0005-0000-0000-00004B000000}"/>
    <cellStyle name="Dezimal 3" xfId="4" xr:uid="{00000000-0005-0000-0000-00004C000000}"/>
    <cellStyle name="Dezimal 3 2" xfId="118" xr:uid="{00000000-0005-0000-0000-00004D000000}"/>
    <cellStyle name="Dezimal 3 3" xfId="316" xr:uid="{00000000-0005-0000-0000-00004E000000}"/>
    <cellStyle name="Eingabe 2" xfId="119" xr:uid="{00000000-0005-0000-0000-00004F000000}"/>
    <cellStyle name="Eingabe 2 2" xfId="120" xr:uid="{00000000-0005-0000-0000-000050000000}"/>
    <cellStyle name="Eingabe 2 2 2" xfId="474" xr:uid="{00000000-0005-0000-0000-000051000000}"/>
    <cellStyle name="Eingabe 2 2 2 2" xfId="872" xr:uid="{00000000-0005-0000-0000-000052000000}"/>
    <cellStyle name="Eingabe 2 2 3" xfId="452" xr:uid="{00000000-0005-0000-0000-000053000000}"/>
    <cellStyle name="Eingabe 2 2 3 2" xfId="850" xr:uid="{00000000-0005-0000-0000-000054000000}"/>
    <cellStyle name="Eingabe 2 2 4" xfId="749" xr:uid="{00000000-0005-0000-0000-000055000000}"/>
    <cellStyle name="Eingabe 2 2 4 2" xfId="1144" xr:uid="{00000000-0005-0000-0000-000056000000}"/>
    <cellStyle name="Eingabe 3" xfId="121" xr:uid="{00000000-0005-0000-0000-000057000000}"/>
    <cellStyle name="Eingabe 4" xfId="122" xr:uid="{00000000-0005-0000-0000-000058000000}"/>
    <cellStyle name="Eingabe 4 2" xfId="475" xr:uid="{00000000-0005-0000-0000-000059000000}"/>
    <cellStyle name="Eingabe 4 2 2" xfId="873" xr:uid="{00000000-0005-0000-0000-00005A000000}"/>
    <cellStyle name="Eingabe 4 3" xfId="681" xr:uid="{00000000-0005-0000-0000-00005B000000}"/>
    <cellStyle name="Eingabe 4 3 2" xfId="1079" xr:uid="{00000000-0005-0000-0000-00005C000000}"/>
    <cellStyle name="Eingabe 4 4" xfId="718" xr:uid="{00000000-0005-0000-0000-00005D000000}"/>
    <cellStyle name="Eingabe 4 4 2" xfId="1113" xr:uid="{00000000-0005-0000-0000-00005E000000}"/>
    <cellStyle name="Emphasis 1" xfId="123" xr:uid="{00000000-0005-0000-0000-00005F000000}"/>
    <cellStyle name="Emphasis 2" xfId="124" xr:uid="{00000000-0005-0000-0000-000060000000}"/>
    <cellStyle name="Emphasis 3" xfId="125" xr:uid="{00000000-0005-0000-0000-000061000000}"/>
    <cellStyle name="Ergebnis 2" xfId="126" xr:uid="{00000000-0005-0000-0000-000062000000}"/>
    <cellStyle name="Ergebnis 2 2" xfId="476" xr:uid="{00000000-0005-0000-0000-000063000000}"/>
    <cellStyle name="Ergebnis 2 2 2" xfId="874" xr:uid="{00000000-0005-0000-0000-000064000000}"/>
    <cellStyle name="Ergebnis 2 3" xfId="682" xr:uid="{00000000-0005-0000-0000-000065000000}"/>
    <cellStyle name="Ergebnis 2 3 2" xfId="1080" xr:uid="{00000000-0005-0000-0000-000066000000}"/>
    <cellStyle name="Ergebnis 2 4" xfId="748" xr:uid="{00000000-0005-0000-0000-000067000000}"/>
    <cellStyle name="Ergebnis 2 4 2" xfId="1143" xr:uid="{00000000-0005-0000-0000-000068000000}"/>
    <cellStyle name="Ergebnis 3" xfId="127" xr:uid="{00000000-0005-0000-0000-000069000000}"/>
    <cellStyle name="Ergebnis 3 2" xfId="477" xr:uid="{00000000-0005-0000-0000-00006A000000}"/>
    <cellStyle name="Ergebnis 3 2 2" xfId="875" xr:uid="{00000000-0005-0000-0000-00006B000000}"/>
    <cellStyle name="Ergebnis 3 3" xfId="700" xr:uid="{00000000-0005-0000-0000-00006C000000}"/>
    <cellStyle name="Ergebnis 3 3 2" xfId="1098" xr:uid="{00000000-0005-0000-0000-00006D000000}"/>
    <cellStyle name="Ergebnis 3 4" xfId="634" xr:uid="{00000000-0005-0000-0000-00006E000000}"/>
    <cellStyle name="Ergebnis 3 4 2" xfId="1032" xr:uid="{00000000-0005-0000-0000-00006F000000}"/>
    <cellStyle name="Euro" xfId="5" xr:uid="{00000000-0005-0000-0000-000070000000}"/>
    <cellStyle name="Euro 2" xfId="6" xr:uid="{00000000-0005-0000-0000-000071000000}"/>
    <cellStyle name="Euro 2 2" xfId="318" xr:uid="{00000000-0005-0000-0000-000072000000}"/>
    <cellStyle name="Euro 2 2 2" xfId="408" xr:uid="{00000000-0005-0000-0000-000073000000}"/>
    <cellStyle name="Euro 2 2 2 2" xfId="821" xr:uid="{00000000-0005-0000-0000-000074000000}"/>
    <cellStyle name="Euro 2 2 3" xfId="782" xr:uid="{00000000-0005-0000-0000-000075000000}"/>
    <cellStyle name="Euro 2 3" xfId="370" xr:uid="{00000000-0005-0000-0000-000076000000}"/>
    <cellStyle name="Euro 2 3 2" xfId="798" xr:uid="{00000000-0005-0000-0000-000077000000}"/>
    <cellStyle name="Euro 2 4" xfId="759" xr:uid="{00000000-0005-0000-0000-000078000000}"/>
    <cellStyle name="Euro 3" xfId="7" xr:uid="{00000000-0005-0000-0000-000079000000}"/>
    <cellStyle name="Euro 3 2" xfId="319" xr:uid="{00000000-0005-0000-0000-00007A000000}"/>
    <cellStyle name="Euro 3 2 2" xfId="409" xr:uid="{00000000-0005-0000-0000-00007B000000}"/>
    <cellStyle name="Euro 3 2 2 2" xfId="822" xr:uid="{00000000-0005-0000-0000-00007C000000}"/>
    <cellStyle name="Euro 3 2 3" xfId="783" xr:uid="{00000000-0005-0000-0000-00007D000000}"/>
    <cellStyle name="Euro 3 3" xfId="371" xr:uid="{00000000-0005-0000-0000-00007E000000}"/>
    <cellStyle name="Euro 3 3 2" xfId="799" xr:uid="{00000000-0005-0000-0000-00007F000000}"/>
    <cellStyle name="Euro 3 4" xfId="760" xr:uid="{00000000-0005-0000-0000-000080000000}"/>
    <cellStyle name="Euro 4" xfId="317" xr:uid="{00000000-0005-0000-0000-000081000000}"/>
    <cellStyle name="Euro 4 2" xfId="407" xr:uid="{00000000-0005-0000-0000-000082000000}"/>
    <cellStyle name="Euro 4 2 2" xfId="820" xr:uid="{00000000-0005-0000-0000-000083000000}"/>
    <cellStyle name="Euro 4 3" xfId="781" xr:uid="{00000000-0005-0000-0000-000084000000}"/>
    <cellStyle name="Euro 5" xfId="369" xr:uid="{00000000-0005-0000-0000-000085000000}"/>
    <cellStyle name="Euro 5 2" xfId="797" xr:uid="{00000000-0005-0000-0000-000086000000}"/>
    <cellStyle name="Euro 6" xfId="758" xr:uid="{00000000-0005-0000-0000-000087000000}"/>
    <cellStyle name="Gut 2" xfId="128" xr:uid="{00000000-0005-0000-0000-000088000000}"/>
    <cellStyle name="Gut 2 2" xfId="129" xr:uid="{00000000-0005-0000-0000-000089000000}"/>
    <cellStyle name="Gut 3" xfId="130" xr:uid="{00000000-0005-0000-0000-00008A000000}"/>
    <cellStyle name="Gut 3 2" xfId="131" xr:uid="{00000000-0005-0000-0000-00008B000000}"/>
    <cellStyle name="Gut 4" xfId="132" xr:uid="{00000000-0005-0000-0000-00008C000000}"/>
    <cellStyle name="Gut 5" xfId="133" xr:uid="{00000000-0005-0000-0000-00008D000000}"/>
    <cellStyle name="Hyperlink 2" xfId="358" xr:uid="{00000000-0005-0000-0000-00008E000000}"/>
    <cellStyle name="Komma" xfId="8" builtinId="3"/>
    <cellStyle name="Komma 2" xfId="9" xr:uid="{00000000-0005-0000-0000-000090000000}"/>
    <cellStyle name="Komma 2 2" xfId="135" xr:uid="{00000000-0005-0000-0000-000091000000}"/>
    <cellStyle name="Komma 2 3" xfId="136" xr:uid="{00000000-0005-0000-0000-000092000000}"/>
    <cellStyle name="Komma 2 4" xfId="134" xr:uid="{00000000-0005-0000-0000-000093000000}"/>
    <cellStyle name="Komma 3" xfId="10" xr:uid="{00000000-0005-0000-0000-000094000000}"/>
    <cellStyle name="Komma 3 2" xfId="38" xr:uid="{00000000-0005-0000-0000-000095000000}"/>
    <cellStyle name="Komma 3 2 2" xfId="138" xr:uid="{00000000-0005-0000-0000-000096000000}"/>
    <cellStyle name="Komma 3 2 3" xfId="331" xr:uid="{00000000-0005-0000-0000-000097000000}"/>
    <cellStyle name="Komma 3 2 3 2" xfId="415" xr:uid="{00000000-0005-0000-0000-000098000000}"/>
    <cellStyle name="Komma 3 2 4" xfId="379" xr:uid="{00000000-0005-0000-0000-000099000000}"/>
    <cellStyle name="Komma 3 3" xfId="137" xr:uid="{00000000-0005-0000-0000-00009A000000}"/>
    <cellStyle name="Komma 3 4" xfId="320" xr:uid="{00000000-0005-0000-0000-00009B000000}"/>
    <cellStyle name="Komma 3 4 2" xfId="410" xr:uid="{00000000-0005-0000-0000-00009C000000}"/>
    <cellStyle name="Komma 3 5" xfId="372" xr:uid="{00000000-0005-0000-0000-00009D000000}"/>
    <cellStyle name="Komma 4" xfId="37" xr:uid="{00000000-0005-0000-0000-00009E000000}"/>
    <cellStyle name="Komma 4 2" xfId="330" xr:uid="{00000000-0005-0000-0000-00009F000000}"/>
    <cellStyle name="Komma 4 3" xfId="364" xr:uid="{00000000-0005-0000-0000-0000A0000000}"/>
    <cellStyle name="Komma 5" xfId="357" xr:uid="{00000000-0005-0000-0000-0000A1000000}"/>
    <cellStyle name="Komma 7" xfId="1154" xr:uid="{C98049BB-62F0-490B-80E0-4C8EA5AAAE23}"/>
    <cellStyle name="Link" xfId="1155" builtinId="8"/>
    <cellStyle name="Neutral 2" xfId="139" xr:uid="{00000000-0005-0000-0000-0000A4000000}"/>
    <cellStyle name="Neutral 2 2" xfId="140" xr:uid="{00000000-0005-0000-0000-0000A5000000}"/>
    <cellStyle name="Neutral 3" xfId="141" xr:uid="{00000000-0005-0000-0000-0000A6000000}"/>
    <cellStyle name="Neutral 3 2" xfId="142" xr:uid="{00000000-0005-0000-0000-0000A7000000}"/>
    <cellStyle name="Neutral 4" xfId="143" xr:uid="{00000000-0005-0000-0000-0000A8000000}"/>
    <cellStyle name="Neutral 5" xfId="144" xr:uid="{00000000-0005-0000-0000-0000A9000000}"/>
    <cellStyle name="Normal" xfId="1156" xr:uid="{C3A11D6A-94AE-43EF-BF10-689FE0A2DE63}"/>
    <cellStyle name="Normal 2" xfId="359" xr:uid="{00000000-0005-0000-0000-0000AA000000}"/>
    <cellStyle name="Normal 3" xfId="366" xr:uid="{00000000-0005-0000-0000-0000AB000000}"/>
    <cellStyle name="Normal 3 2" xfId="435" xr:uid="{00000000-0005-0000-0000-0000AC000000}"/>
    <cellStyle name="Normal 3 2 2" xfId="704" xr:uid="{00000000-0005-0000-0000-0000AD000000}"/>
    <cellStyle name="Normal 3 2 2 2" xfId="1102" xr:uid="{00000000-0005-0000-0000-0000AE000000}"/>
    <cellStyle name="Normal 3 2 3" xfId="833" xr:uid="{00000000-0005-0000-0000-0000AF000000}"/>
    <cellStyle name="Normal 3 3" xfId="666" xr:uid="{00000000-0005-0000-0000-0000B0000000}"/>
    <cellStyle name="Normal 3 3 2" xfId="1064" xr:uid="{00000000-0005-0000-0000-0000B1000000}"/>
    <cellStyle name="Normal 3 4" xfId="794" xr:uid="{00000000-0005-0000-0000-0000B2000000}"/>
    <cellStyle name="Notiz 2" xfId="145" xr:uid="{00000000-0005-0000-0000-0000B3000000}"/>
    <cellStyle name="Notiz 2 2" xfId="495" xr:uid="{00000000-0005-0000-0000-0000B4000000}"/>
    <cellStyle name="Notiz 2 2 2" xfId="893" xr:uid="{00000000-0005-0000-0000-0000B5000000}"/>
    <cellStyle name="Notiz 2 3" xfId="614" xr:uid="{00000000-0005-0000-0000-0000B6000000}"/>
    <cellStyle name="Notiz 2 3 2" xfId="1012" xr:uid="{00000000-0005-0000-0000-0000B7000000}"/>
    <cellStyle name="Notiz 2 4" xfId="673" xr:uid="{00000000-0005-0000-0000-0000B8000000}"/>
    <cellStyle name="Notiz 2 4 2" xfId="1071" xr:uid="{00000000-0005-0000-0000-0000B9000000}"/>
    <cellStyle name="Notiz 3" xfId="146" xr:uid="{00000000-0005-0000-0000-0000BA000000}"/>
    <cellStyle name="Notiz 3 2" xfId="496" xr:uid="{00000000-0005-0000-0000-0000BB000000}"/>
    <cellStyle name="Notiz 3 2 2" xfId="894" xr:uid="{00000000-0005-0000-0000-0000BC000000}"/>
    <cellStyle name="Notiz 3 3" xfId="615" xr:uid="{00000000-0005-0000-0000-0000BD000000}"/>
    <cellStyle name="Notiz 3 3 2" xfId="1013" xr:uid="{00000000-0005-0000-0000-0000BE000000}"/>
    <cellStyle name="Notiz 3 4" xfId="630" xr:uid="{00000000-0005-0000-0000-0000BF000000}"/>
    <cellStyle name="Notiz 3 4 2" xfId="1028" xr:uid="{00000000-0005-0000-0000-0000C0000000}"/>
    <cellStyle name="Prozent 2" xfId="11" xr:uid="{00000000-0005-0000-0000-0000C1000000}"/>
    <cellStyle name="Prozent 2 2" xfId="147" xr:uid="{00000000-0005-0000-0000-0000C2000000}"/>
    <cellStyle name="Prozent 2 3" xfId="321" xr:uid="{00000000-0005-0000-0000-0000C3000000}"/>
    <cellStyle name="Prozent 3" xfId="148" xr:uid="{00000000-0005-0000-0000-0000C4000000}"/>
    <cellStyle name="Prozent 4" xfId="149" xr:uid="{00000000-0005-0000-0000-0000C5000000}"/>
    <cellStyle name="SAPBEXaggData" xfId="150" xr:uid="{00000000-0005-0000-0000-0000C6000000}"/>
    <cellStyle name="SAPBEXaggData 2" xfId="151" xr:uid="{00000000-0005-0000-0000-0000C7000000}"/>
    <cellStyle name="SAPBEXaggData 2 2" xfId="501" xr:uid="{00000000-0005-0000-0000-0000C8000000}"/>
    <cellStyle name="SAPBEXaggData 2 2 2" xfId="899" xr:uid="{00000000-0005-0000-0000-0000C9000000}"/>
    <cellStyle name="SAPBEXaggData 2 3" xfId="611" xr:uid="{00000000-0005-0000-0000-0000CA000000}"/>
    <cellStyle name="SAPBEXaggData 2 3 2" xfId="1009" xr:uid="{00000000-0005-0000-0000-0000CB000000}"/>
    <cellStyle name="SAPBEXaggData 2 4" xfId="723" xr:uid="{00000000-0005-0000-0000-0000CC000000}"/>
    <cellStyle name="SAPBEXaggData 2 4 2" xfId="1118" xr:uid="{00000000-0005-0000-0000-0000CD000000}"/>
    <cellStyle name="SAPBEXaggData 3" xfId="152" xr:uid="{00000000-0005-0000-0000-0000CE000000}"/>
    <cellStyle name="SAPBEXaggData 3 2" xfId="502" xr:uid="{00000000-0005-0000-0000-0000CF000000}"/>
    <cellStyle name="SAPBEXaggData 3 2 2" xfId="900" xr:uid="{00000000-0005-0000-0000-0000D0000000}"/>
    <cellStyle name="SAPBEXaggData 3 3" xfId="610" xr:uid="{00000000-0005-0000-0000-0000D1000000}"/>
    <cellStyle name="SAPBEXaggData 3 3 2" xfId="1008" xr:uid="{00000000-0005-0000-0000-0000D2000000}"/>
    <cellStyle name="SAPBEXaggData 3 4" xfId="757" xr:uid="{00000000-0005-0000-0000-0000D3000000}"/>
    <cellStyle name="SAPBEXaggData 3 4 2" xfId="1152" xr:uid="{00000000-0005-0000-0000-0000D4000000}"/>
    <cellStyle name="SAPBEXaggData 4" xfId="500" xr:uid="{00000000-0005-0000-0000-0000D5000000}"/>
    <cellStyle name="SAPBEXaggData 4 2" xfId="898" xr:uid="{00000000-0005-0000-0000-0000D6000000}"/>
    <cellStyle name="SAPBEXaggData 5" xfId="612" xr:uid="{00000000-0005-0000-0000-0000D7000000}"/>
    <cellStyle name="SAPBEXaggData 5 2" xfId="1010" xr:uid="{00000000-0005-0000-0000-0000D8000000}"/>
    <cellStyle name="SAPBEXaggData 6" xfId="726" xr:uid="{00000000-0005-0000-0000-0000D9000000}"/>
    <cellStyle name="SAPBEXaggData 6 2" xfId="1121" xr:uid="{00000000-0005-0000-0000-0000DA000000}"/>
    <cellStyle name="SAPBEXaggDataEmph" xfId="153" xr:uid="{00000000-0005-0000-0000-0000DB000000}"/>
    <cellStyle name="SAPBEXaggDataEmph 2" xfId="503" xr:uid="{00000000-0005-0000-0000-0000DC000000}"/>
    <cellStyle name="SAPBEXaggDataEmph 2 2" xfId="901" xr:uid="{00000000-0005-0000-0000-0000DD000000}"/>
    <cellStyle name="SAPBEXaggDataEmph 3" xfId="609" xr:uid="{00000000-0005-0000-0000-0000DE000000}"/>
    <cellStyle name="SAPBEXaggDataEmph 3 2" xfId="1007" xr:uid="{00000000-0005-0000-0000-0000DF000000}"/>
    <cellStyle name="SAPBEXaggDataEmph 4" xfId="755" xr:uid="{00000000-0005-0000-0000-0000E0000000}"/>
    <cellStyle name="SAPBEXaggDataEmph 4 2" xfId="1150" xr:uid="{00000000-0005-0000-0000-0000E1000000}"/>
    <cellStyle name="SAPBEXaggItem" xfId="154" xr:uid="{00000000-0005-0000-0000-0000E2000000}"/>
    <cellStyle name="SAPBEXaggItem 2" xfId="155" xr:uid="{00000000-0005-0000-0000-0000E3000000}"/>
    <cellStyle name="SAPBEXaggItem 2 2" xfId="505" xr:uid="{00000000-0005-0000-0000-0000E4000000}"/>
    <cellStyle name="SAPBEXaggItem 2 2 2" xfId="903" xr:uid="{00000000-0005-0000-0000-0000E5000000}"/>
    <cellStyle name="SAPBEXaggItem 2 3" xfId="608" xr:uid="{00000000-0005-0000-0000-0000E6000000}"/>
    <cellStyle name="SAPBEXaggItem 2 3 2" xfId="1006" xr:uid="{00000000-0005-0000-0000-0000E7000000}"/>
    <cellStyle name="SAPBEXaggItem 2 4" xfId="754" xr:uid="{00000000-0005-0000-0000-0000E8000000}"/>
    <cellStyle name="SAPBEXaggItem 2 4 2" xfId="1149" xr:uid="{00000000-0005-0000-0000-0000E9000000}"/>
    <cellStyle name="SAPBEXaggItem 3" xfId="156" xr:uid="{00000000-0005-0000-0000-0000EA000000}"/>
    <cellStyle name="SAPBEXaggItem 3 2" xfId="506" xr:uid="{00000000-0005-0000-0000-0000EB000000}"/>
    <cellStyle name="SAPBEXaggItem 3 2 2" xfId="904" xr:uid="{00000000-0005-0000-0000-0000EC000000}"/>
    <cellStyle name="SAPBEXaggItem 3 3" xfId="458" xr:uid="{00000000-0005-0000-0000-0000ED000000}"/>
    <cellStyle name="SAPBEXaggItem 3 3 2" xfId="856" xr:uid="{00000000-0005-0000-0000-0000EE000000}"/>
    <cellStyle name="SAPBEXaggItem 3 4" xfId="753" xr:uid="{00000000-0005-0000-0000-0000EF000000}"/>
    <cellStyle name="SAPBEXaggItem 3 4 2" xfId="1148" xr:uid="{00000000-0005-0000-0000-0000F0000000}"/>
    <cellStyle name="SAPBEXaggItem 4" xfId="504" xr:uid="{00000000-0005-0000-0000-0000F1000000}"/>
    <cellStyle name="SAPBEXaggItem 4 2" xfId="902" xr:uid="{00000000-0005-0000-0000-0000F2000000}"/>
    <cellStyle name="SAPBEXaggItem 5" xfId="649" xr:uid="{00000000-0005-0000-0000-0000F3000000}"/>
    <cellStyle name="SAPBEXaggItem 5 2" xfId="1047" xr:uid="{00000000-0005-0000-0000-0000F4000000}"/>
    <cellStyle name="SAPBEXaggItem 6" xfId="756" xr:uid="{00000000-0005-0000-0000-0000F5000000}"/>
    <cellStyle name="SAPBEXaggItem 6 2" xfId="1151" xr:uid="{00000000-0005-0000-0000-0000F6000000}"/>
    <cellStyle name="SAPBEXaggItemX" xfId="157" xr:uid="{00000000-0005-0000-0000-0000F7000000}"/>
    <cellStyle name="SAPBEXaggItemX 2" xfId="507" xr:uid="{00000000-0005-0000-0000-0000F8000000}"/>
    <cellStyle name="SAPBEXaggItemX 2 2" xfId="905" xr:uid="{00000000-0005-0000-0000-0000F9000000}"/>
    <cellStyle name="SAPBEXaggItemX 3" xfId="606" xr:uid="{00000000-0005-0000-0000-0000FA000000}"/>
    <cellStyle name="SAPBEXaggItemX 3 2" xfId="1004" xr:uid="{00000000-0005-0000-0000-0000FB000000}"/>
    <cellStyle name="SAPBEXaggItemX 4" xfId="654" xr:uid="{00000000-0005-0000-0000-0000FC000000}"/>
    <cellStyle name="SAPBEXaggItemX 4 2" xfId="1052" xr:uid="{00000000-0005-0000-0000-0000FD000000}"/>
    <cellStyle name="SAPBEXchaText" xfId="158" xr:uid="{00000000-0005-0000-0000-0000FE000000}"/>
    <cellStyle name="SAPBEXchaText 2" xfId="159" xr:uid="{00000000-0005-0000-0000-0000FF000000}"/>
    <cellStyle name="SAPBEXchaText 2 2" xfId="509" xr:uid="{00000000-0005-0000-0000-000000010000}"/>
    <cellStyle name="SAPBEXchaText 2 2 2" xfId="907" xr:uid="{00000000-0005-0000-0000-000001010000}"/>
    <cellStyle name="SAPBEXchaText 2 3" xfId="449" xr:uid="{00000000-0005-0000-0000-000002010000}"/>
    <cellStyle name="SAPBEXchaText 2 3 2" xfId="847" xr:uid="{00000000-0005-0000-0000-000003010000}"/>
    <cellStyle name="SAPBEXchaText 2 4" xfId="727" xr:uid="{00000000-0005-0000-0000-000004010000}"/>
    <cellStyle name="SAPBEXchaText 2 4 2" xfId="1122" xr:uid="{00000000-0005-0000-0000-000005010000}"/>
    <cellStyle name="SAPBEXchaText 3" xfId="160" xr:uid="{00000000-0005-0000-0000-000006010000}"/>
    <cellStyle name="SAPBEXchaText 3 2" xfId="510" xr:uid="{00000000-0005-0000-0000-000007010000}"/>
    <cellStyle name="SAPBEXchaText 3 2 2" xfId="908" xr:uid="{00000000-0005-0000-0000-000008010000}"/>
    <cellStyle name="SAPBEXchaText 3 3" xfId="605" xr:uid="{00000000-0005-0000-0000-000009010000}"/>
    <cellStyle name="SAPBEXchaText 3 3 2" xfId="1003" xr:uid="{00000000-0005-0000-0000-00000A010000}"/>
    <cellStyle name="SAPBEXchaText 3 4" xfId="722" xr:uid="{00000000-0005-0000-0000-00000B010000}"/>
    <cellStyle name="SAPBEXchaText 3 4 2" xfId="1117" xr:uid="{00000000-0005-0000-0000-00000C010000}"/>
    <cellStyle name="SAPBEXchaText 4" xfId="508" xr:uid="{00000000-0005-0000-0000-00000D010000}"/>
    <cellStyle name="SAPBEXchaText 4 2" xfId="906" xr:uid="{00000000-0005-0000-0000-00000E010000}"/>
    <cellStyle name="SAPBEXchaText 5" xfId="607" xr:uid="{00000000-0005-0000-0000-00000F010000}"/>
    <cellStyle name="SAPBEXchaText 5 2" xfId="1005" xr:uid="{00000000-0005-0000-0000-000010010000}"/>
    <cellStyle name="SAPBEXchaText 6" xfId="711" xr:uid="{00000000-0005-0000-0000-000011010000}"/>
    <cellStyle name="SAPBEXchaText 6 2" xfId="1106" xr:uid="{00000000-0005-0000-0000-000012010000}"/>
    <cellStyle name="SAPBEXexcBad7" xfId="161" xr:uid="{00000000-0005-0000-0000-000013010000}"/>
    <cellStyle name="SAPBEXexcBad7 2" xfId="162" xr:uid="{00000000-0005-0000-0000-000014010000}"/>
    <cellStyle name="SAPBEXexcBad7 2 2" xfId="512" xr:uid="{00000000-0005-0000-0000-000015010000}"/>
    <cellStyle name="SAPBEXexcBad7 2 2 2" xfId="910" xr:uid="{00000000-0005-0000-0000-000016010000}"/>
    <cellStyle name="SAPBEXexcBad7 2 3" xfId="604" xr:uid="{00000000-0005-0000-0000-000017010000}"/>
    <cellStyle name="SAPBEXexcBad7 2 3 2" xfId="1002" xr:uid="{00000000-0005-0000-0000-000018010000}"/>
    <cellStyle name="SAPBEXexcBad7 2 4" xfId="747" xr:uid="{00000000-0005-0000-0000-000019010000}"/>
    <cellStyle name="SAPBEXexcBad7 2 4 2" xfId="1142" xr:uid="{00000000-0005-0000-0000-00001A010000}"/>
    <cellStyle name="SAPBEXexcBad7 3" xfId="163" xr:uid="{00000000-0005-0000-0000-00001B010000}"/>
    <cellStyle name="SAPBEXexcBad7 3 2" xfId="513" xr:uid="{00000000-0005-0000-0000-00001C010000}"/>
    <cellStyle name="SAPBEXexcBad7 3 2 2" xfId="911" xr:uid="{00000000-0005-0000-0000-00001D010000}"/>
    <cellStyle name="SAPBEXexcBad7 3 3" xfId="602" xr:uid="{00000000-0005-0000-0000-00001E010000}"/>
    <cellStyle name="SAPBEXexcBad7 3 3 2" xfId="1000" xr:uid="{00000000-0005-0000-0000-00001F010000}"/>
    <cellStyle name="SAPBEXexcBad7 3 4" xfId="642" xr:uid="{00000000-0005-0000-0000-000020010000}"/>
    <cellStyle name="SAPBEXexcBad7 3 4 2" xfId="1040" xr:uid="{00000000-0005-0000-0000-000021010000}"/>
    <cellStyle name="SAPBEXexcBad7 4" xfId="511" xr:uid="{00000000-0005-0000-0000-000022010000}"/>
    <cellStyle name="SAPBEXexcBad7 4 2" xfId="909" xr:uid="{00000000-0005-0000-0000-000023010000}"/>
    <cellStyle name="SAPBEXexcBad7 5" xfId="601" xr:uid="{00000000-0005-0000-0000-000024010000}"/>
    <cellStyle name="SAPBEXexcBad7 5 2" xfId="999" xr:uid="{00000000-0005-0000-0000-000025010000}"/>
    <cellStyle name="SAPBEXexcBad7 6" xfId="739" xr:uid="{00000000-0005-0000-0000-000026010000}"/>
    <cellStyle name="SAPBEXexcBad7 6 2" xfId="1134" xr:uid="{00000000-0005-0000-0000-000027010000}"/>
    <cellStyle name="SAPBEXexcBad8" xfId="164" xr:uid="{00000000-0005-0000-0000-000028010000}"/>
    <cellStyle name="SAPBEXexcBad8 2" xfId="165" xr:uid="{00000000-0005-0000-0000-000029010000}"/>
    <cellStyle name="SAPBEXexcBad8 2 2" xfId="515" xr:uid="{00000000-0005-0000-0000-00002A010000}"/>
    <cellStyle name="SAPBEXexcBad8 2 2 2" xfId="913" xr:uid="{00000000-0005-0000-0000-00002B010000}"/>
    <cellStyle name="SAPBEXexcBad8 2 3" xfId="448" xr:uid="{00000000-0005-0000-0000-00002C010000}"/>
    <cellStyle name="SAPBEXexcBad8 2 3 2" xfId="846" xr:uid="{00000000-0005-0000-0000-00002D010000}"/>
    <cellStyle name="SAPBEXexcBad8 2 4" xfId="725" xr:uid="{00000000-0005-0000-0000-00002E010000}"/>
    <cellStyle name="SAPBEXexcBad8 2 4 2" xfId="1120" xr:uid="{00000000-0005-0000-0000-00002F010000}"/>
    <cellStyle name="SAPBEXexcBad8 3" xfId="166" xr:uid="{00000000-0005-0000-0000-000030010000}"/>
    <cellStyle name="SAPBEXexcBad8 3 2" xfId="516" xr:uid="{00000000-0005-0000-0000-000031010000}"/>
    <cellStyle name="SAPBEXexcBad8 3 2 2" xfId="914" xr:uid="{00000000-0005-0000-0000-000032010000}"/>
    <cellStyle name="SAPBEXexcBad8 3 3" xfId="447" xr:uid="{00000000-0005-0000-0000-000033010000}"/>
    <cellStyle name="SAPBEXexcBad8 3 3 2" xfId="845" xr:uid="{00000000-0005-0000-0000-000034010000}"/>
    <cellStyle name="SAPBEXexcBad8 3 4" xfId="656" xr:uid="{00000000-0005-0000-0000-000035010000}"/>
    <cellStyle name="SAPBEXexcBad8 3 4 2" xfId="1054" xr:uid="{00000000-0005-0000-0000-000036010000}"/>
    <cellStyle name="SAPBEXexcBad8 4" xfId="514" xr:uid="{00000000-0005-0000-0000-000037010000}"/>
    <cellStyle name="SAPBEXexcBad8 4 2" xfId="912" xr:uid="{00000000-0005-0000-0000-000038010000}"/>
    <cellStyle name="SAPBEXexcBad8 5" xfId="603" xr:uid="{00000000-0005-0000-0000-000039010000}"/>
    <cellStyle name="SAPBEXexcBad8 5 2" xfId="1001" xr:uid="{00000000-0005-0000-0000-00003A010000}"/>
    <cellStyle name="SAPBEXexcBad8 6" xfId="631" xr:uid="{00000000-0005-0000-0000-00003B010000}"/>
    <cellStyle name="SAPBEXexcBad8 6 2" xfId="1029" xr:uid="{00000000-0005-0000-0000-00003C010000}"/>
    <cellStyle name="SAPBEXexcBad9" xfId="167" xr:uid="{00000000-0005-0000-0000-00003D010000}"/>
    <cellStyle name="SAPBEXexcBad9 2" xfId="168" xr:uid="{00000000-0005-0000-0000-00003E010000}"/>
    <cellStyle name="SAPBEXexcBad9 2 2" xfId="518" xr:uid="{00000000-0005-0000-0000-00003F010000}"/>
    <cellStyle name="SAPBEXexcBad9 2 2 2" xfId="916" xr:uid="{00000000-0005-0000-0000-000040010000}"/>
    <cellStyle name="SAPBEXexcBad9 2 3" xfId="599" xr:uid="{00000000-0005-0000-0000-000041010000}"/>
    <cellStyle name="SAPBEXexcBad9 2 3 2" xfId="997" xr:uid="{00000000-0005-0000-0000-000042010000}"/>
    <cellStyle name="SAPBEXexcBad9 2 4" xfId="650" xr:uid="{00000000-0005-0000-0000-000043010000}"/>
    <cellStyle name="SAPBEXexcBad9 2 4 2" xfId="1048" xr:uid="{00000000-0005-0000-0000-000044010000}"/>
    <cellStyle name="SAPBEXexcBad9 3" xfId="169" xr:uid="{00000000-0005-0000-0000-000045010000}"/>
    <cellStyle name="SAPBEXexcBad9 3 2" xfId="519" xr:uid="{00000000-0005-0000-0000-000046010000}"/>
    <cellStyle name="SAPBEXexcBad9 3 2 2" xfId="917" xr:uid="{00000000-0005-0000-0000-000047010000}"/>
    <cellStyle name="SAPBEXexcBad9 3 3" xfId="446" xr:uid="{00000000-0005-0000-0000-000048010000}"/>
    <cellStyle name="SAPBEXexcBad9 3 3 2" xfId="844" xr:uid="{00000000-0005-0000-0000-000049010000}"/>
    <cellStyle name="SAPBEXexcBad9 3 4" xfId="717" xr:uid="{00000000-0005-0000-0000-00004A010000}"/>
    <cellStyle name="SAPBEXexcBad9 3 4 2" xfId="1112" xr:uid="{00000000-0005-0000-0000-00004B010000}"/>
    <cellStyle name="SAPBEXexcBad9 4" xfId="517" xr:uid="{00000000-0005-0000-0000-00004C010000}"/>
    <cellStyle name="SAPBEXexcBad9 4 2" xfId="915" xr:uid="{00000000-0005-0000-0000-00004D010000}"/>
    <cellStyle name="SAPBEXexcBad9 5" xfId="600" xr:uid="{00000000-0005-0000-0000-00004E010000}"/>
    <cellStyle name="SAPBEXexcBad9 5 2" xfId="998" xr:uid="{00000000-0005-0000-0000-00004F010000}"/>
    <cellStyle name="SAPBEXexcBad9 6" xfId="714" xr:uid="{00000000-0005-0000-0000-000050010000}"/>
    <cellStyle name="SAPBEXexcBad9 6 2" xfId="1109" xr:uid="{00000000-0005-0000-0000-000051010000}"/>
    <cellStyle name="SAPBEXexcCritical4" xfId="170" xr:uid="{00000000-0005-0000-0000-000052010000}"/>
    <cellStyle name="SAPBEXexcCritical4 2" xfId="171" xr:uid="{00000000-0005-0000-0000-000053010000}"/>
    <cellStyle name="SAPBEXexcCritical4 2 2" xfId="521" xr:uid="{00000000-0005-0000-0000-000054010000}"/>
    <cellStyle name="SAPBEXexcCritical4 2 2 2" xfId="919" xr:uid="{00000000-0005-0000-0000-000055010000}"/>
    <cellStyle name="SAPBEXexcCritical4 2 3" xfId="464" xr:uid="{00000000-0005-0000-0000-000056010000}"/>
    <cellStyle name="SAPBEXexcCritical4 2 3 2" xfId="862" xr:uid="{00000000-0005-0000-0000-000057010000}"/>
    <cellStyle name="SAPBEXexcCritical4 2 4" xfId="633" xr:uid="{00000000-0005-0000-0000-000058010000}"/>
    <cellStyle name="SAPBEXexcCritical4 2 4 2" xfId="1031" xr:uid="{00000000-0005-0000-0000-000059010000}"/>
    <cellStyle name="SAPBEXexcCritical4 3" xfId="172" xr:uid="{00000000-0005-0000-0000-00005A010000}"/>
    <cellStyle name="SAPBEXexcCritical4 3 2" xfId="522" xr:uid="{00000000-0005-0000-0000-00005B010000}"/>
    <cellStyle name="SAPBEXexcCritical4 3 2 2" xfId="920" xr:uid="{00000000-0005-0000-0000-00005C010000}"/>
    <cellStyle name="SAPBEXexcCritical4 3 3" xfId="651" xr:uid="{00000000-0005-0000-0000-00005D010000}"/>
    <cellStyle name="SAPBEXexcCritical4 3 3 2" xfId="1049" xr:uid="{00000000-0005-0000-0000-00005E010000}"/>
    <cellStyle name="SAPBEXexcCritical4 3 4" xfId="679" xr:uid="{00000000-0005-0000-0000-00005F010000}"/>
    <cellStyle name="SAPBEXexcCritical4 3 4 2" xfId="1077" xr:uid="{00000000-0005-0000-0000-000060010000}"/>
    <cellStyle name="SAPBEXexcCritical4 4" xfId="520" xr:uid="{00000000-0005-0000-0000-000061010000}"/>
    <cellStyle name="SAPBEXexcCritical4 4 2" xfId="918" xr:uid="{00000000-0005-0000-0000-000062010000}"/>
    <cellStyle name="SAPBEXexcCritical4 5" xfId="659" xr:uid="{00000000-0005-0000-0000-000063010000}"/>
    <cellStyle name="SAPBEXexcCritical4 5 2" xfId="1057" xr:uid="{00000000-0005-0000-0000-000064010000}"/>
    <cellStyle name="SAPBEXexcCritical4 6" xfId="720" xr:uid="{00000000-0005-0000-0000-000065010000}"/>
    <cellStyle name="SAPBEXexcCritical4 6 2" xfId="1115" xr:uid="{00000000-0005-0000-0000-000066010000}"/>
    <cellStyle name="SAPBEXexcCritical5" xfId="173" xr:uid="{00000000-0005-0000-0000-000067010000}"/>
    <cellStyle name="SAPBEXexcCritical5 2" xfId="174" xr:uid="{00000000-0005-0000-0000-000068010000}"/>
    <cellStyle name="SAPBEXexcCritical5 2 2" xfId="524" xr:uid="{00000000-0005-0000-0000-000069010000}"/>
    <cellStyle name="SAPBEXexcCritical5 2 2 2" xfId="922" xr:uid="{00000000-0005-0000-0000-00006A010000}"/>
    <cellStyle name="SAPBEXexcCritical5 2 3" xfId="674" xr:uid="{00000000-0005-0000-0000-00006B010000}"/>
    <cellStyle name="SAPBEXexcCritical5 2 3 2" xfId="1072" xr:uid="{00000000-0005-0000-0000-00006C010000}"/>
    <cellStyle name="SAPBEXexcCritical5 2 4" xfId="699" xr:uid="{00000000-0005-0000-0000-00006D010000}"/>
    <cellStyle name="SAPBEXexcCritical5 2 4 2" xfId="1097" xr:uid="{00000000-0005-0000-0000-00006E010000}"/>
    <cellStyle name="SAPBEXexcCritical5 3" xfId="175" xr:uid="{00000000-0005-0000-0000-00006F010000}"/>
    <cellStyle name="SAPBEXexcCritical5 3 2" xfId="525" xr:uid="{00000000-0005-0000-0000-000070010000}"/>
    <cellStyle name="SAPBEXexcCritical5 3 2 2" xfId="923" xr:uid="{00000000-0005-0000-0000-000071010000}"/>
    <cellStyle name="SAPBEXexcCritical5 3 3" xfId="697" xr:uid="{00000000-0005-0000-0000-000072010000}"/>
    <cellStyle name="SAPBEXexcCritical5 3 3 2" xfId="1095" xr:uid="{00000000-0005-0000-0000-000073010000}"/>
    <cellStyle name="SAPBEXexcCritical5 3 4" xfId="618" xr:uid="{00000000-0005-0000-0000-000074010000}"/>
    <cellStyle name="SAPBEXexcCritical5 3 4 2" xfId="1016" xr:uid="{00000000-0005-0000-0000-000075010000}"/>
    <cellStyle name="SAPBEXexcCritical5 4" xfId="523" xr:uid="{00000000-0005-0000-0000-000076010000}"/>
    <cellStyle name="SAPBEXexcCritical5 4 2" xfId="921" xr:uid="{00000000-0005-0000-0000-000077010000}"/>
    <cellStyle name="SAPBEXexcCritical5 5" xfId="462" xr:uid="{00000000-0005-0000-0000-000078010000}"/>
    <cellStyle name="SAPBEXexcCritical5 5 2" xfId="860" xr:uid="{00000000-0005-0000-0000-000079010000}"/>
    <cellStyle name="SAPBEXexcCritical5 6" xfId="617" xr:uid="{00000000-0005-0000-0000-00007A010000}"/>
    <cellStyle name="SAPBEXexcCritical5 6 2" xfId="1015" xr:uid="{00000000-0005-0000-0000-00007B010000}"/>
    <cellStyle name="SAPBEXexcCritical6" xfId="176" xr:uid="{00000000-0005-0000-0000-00007C010000}"/>
    <cellStyle name="SAPBEXexcCritical6 2" xfId="177" xr:uid="{00000000-0005-0000-0000-00007D010000}"/>
    <cellStyle name="SAPBEXexcCritical6 2 2" xfId="527" xr:uid="{00000000-0005-0000-0000-00007E010000}"/>
    <cellStyle name="SAPBEXexcCritical6 2 2 2" xfId="925" xr:uid="{00000000-0005-0000-0000-00007F010000}"/>
    <cellStyle name="SAPBEXexcCritical6 2 3" xfId="598" xr:uid="{00000000-0005-0000-0000-000080010000}"/>
    <cellStyle name="SAPBEXexcCritical6 2 3 2" xfId="996" xr:uid="{00000000-0005-0000-0000-000081010000}"/>
    <cellStyle name="SAPBEXexcCritical6 2 4" xfId="713" xr:uid="{00000000-0005-0000-0000-000082010000}"/>
    <cellStyle name="SAPBEXexcCritical6 2 4 2" xfId="1108" xr:uid="{00000000-0005-0000-0000-000083010000}"/>
    <cellStyle name="SAPBEXexcCritical6 3" xfId="178" xr:uid="{00000000-0005-0000-0000-000084010000}"/>
    <cellStyle name="SAPBEXexcCritical6 3 2" xfId="528" xr:uid="{00000000-0005-0000-0000-000085010000}"/>
    <cellStyle name="SAPBEXexcCritical6 3 2 2" xfId="926" xr:uid="{00000000-0005-0000-0000-000086010000}"/>
    <cellStyle name="SAPBEXexcCritical6 3 3" xfId="457" xr:uid="{00000000-0005-0000-0000-000087010000}"/>
    <cellStyle name="SAPBEXexcCritical6 3 3 2" xfId="855" xr:uid="{00000000-0005-0000-0000-000088010000}"/>
    <cellStyle name="SAPBEXexcCritical6 3 4" xfId="728" xr:uid="{00000000-0005-0000-0000-000089010000}"/>
    <cellStyle name="SAPBEXexcCritical6 3 4 2" xfId="1123" xr:uid="{00000000-0005-0000-0000-00008A010000}"/>
    <cellStyle name="SAPBEXexcCritical6 4" xfId="526" xr:uid="{00000000-0005-0000-0000-00008B010000}"/>
    <cellStyle name="SAPBEXexcCritical6 4 2" xfId="924" xr:uid="{00000000-0005-0000-0000-00008C010000}"/>
    <cellStyle name="SAPBEXexcCritical6 5" xfId="648" xr:uid="{00000000-0005-0000-0000-00008D010000}"/>
    <cellStyle name="SAPBEXexcCritical6 5 2" xfId="1046" xr:uid="{00000000-0005-0000-0000-00008E010000}"/>
    <cellStyle name="SAPBEXexcCritical6 6" xfId="653" xr:uid="{00000000-0005-0000-0000-00008F010000}"/>
    <cellStyle name="SAPBEXexcCritical6 6 2" xfId="1051" xr:uid="{00000000-0005-0000-0000-000090010000}"/>
    <cellStyle name="SAPBEXexcGood1" xfId="179" xr:uid="{00000000-0005-0000-0000-000091010000}"/>
    <cellStyle name="SAPBEXexcGood1 2" xfId="180" xr:uid="{00000000-0005-0000-0000-000092010000}"/>
    <cellStyle name="SAPBEXexcGood1 2 2" xfId="530" xr:uid="{00000000-0005-0000-0000-000093010000}"/>
    <cellStyle name="SAPBEXexcGood1 2 2 2" xfId="928" xr:uid="{00000000-0005-0000-0000-000094010000}"/>
    <cellStyle name="SAPBEXexcGood1 2 3" xfId="665" xr:uid="{00000000-0005-0000-0000-000095010000}"/>
    <cellStyle name="SAPBEXexcGood1 2 3 2" xfId="1063" xr:uid="{00000000-0005-0000-0000-000096010000}"/>
    <cellStyle name="SAPBEXexcGood1 2 4" xfId="719" xr:uid="{00000000-0005-0000-0000-000097010000}"/>
    <cellStyle name="SAPBEXexcGood1 2 4 2" xfId="1114" xr:uid="{00000000-0005-0000-0000-000098010000}"/>
    <cellStyle name="SAPBEXexcGood1 3" xfId="181" xr:uid="{00000000-0005-0000-0000-000099010000}"/>
    <cellStyle name="SAPBEXexcGood1 3 2" xfId="531" xr:uid="{00000000-0005-0000-0000-00009A010000}"/>
    <cellStyle name="SAPBEXexcGood1 3 2 2" xfId="929" xr:uid="{00000000-0005-0000-0000-00009B010000}"/>
    <cellStyle name="SAPBEXexcGood1 3 3" xfId="669" xr:uid="{00000000-0005-0000-0000-00009C010000}"/>
    <cellStyle name="SAPBEXexcGood1 3 3 2" xfId="1067" xr:uid="{00000000-0005-0000-0000-00009D010000}"/>
    <cellStyle name="SAPBEXexcGood1 3 4" xfId="724" xr:uid="{00000000-0005-0000-0000-00009E010000}"/>
    <cellStyle name="SAPBEXexcGood1 3 4 2" xfId="1119" xr:uid="{00000000-0005-0000-0000-00009F010000}"/>
    <cellStyle name="SAPBEXexcGood1 4" xfId="529" xr:uid="{00000000-0005-0000-0000-0000A0010000}"/>
    <cellStyle name="SAPBEXexcGood1 4 2" xfId="927" xr:uid="{00000000-0005-0000-0000-0000A1010000}"/>
    <cellStyle name="SAPBEXexcGood1 5" xfId="597" xr:uid="{00000000-0005-0000-0000-0000A2010000}"/>
    <cellStyle name="SAPBEXexcGood1 5 2" xfId="995" xr:uid="{00000000-0005-0000-0000-0000A3010000}"/>
    <cellStyle name="SAPBEXexcGood1 6" xfId="616" xr:uid="{00000000-0005-0000-0000-0000A4010000}"/>
    <cellStyle name="SAPBEXexcGood1 6 2" xfId="1014" xr:uid="{00000000-0005-0000-0000-0000A5010000}"/>
    <cellStyle name="SAPBEXexcGood2" xfId="182" xr:uid="{00000000-0005-0000-0000-0000A6010000}"/>
    <cellStyle name="SAPBEXexcGood2 2" xfId="183" xr:uid="{00000000-0005-0000-0000-0000A7010000}"/>
    <cellStyle name="SAPBEXexcGood2 2 2" xfId="533" xr:uid="{00000000-0005-0000-0000-0000A8010000}"/>
    <cellStyle name="SAPBEXexcGood2 2 2 2" xfId="931" xr:uid="{00000000-0005-0000-0000-0000A9010000}"/>
    <cellStyle name="SAPBEXexcGood2 2 3" xfId="639" xr:uid="{00000000-0005-0000-0000-0000AA010000}"/>
    <cellStyle name="SAPBEXexcGood2 2 3 2" xfId="1037" xr:uid="{00000000-0005-0000-0000-0000AB010000}"/>
    <cellStyle name="SAPBEXexcGood2 2 4" xfId="752" xr:uid="{00000000-0005-0000-0000-0000AC010000}"/>
    <cellStyle name="SAPBEXexcGood2 2 4 2" xfId="1147" xr:uid="{00000000-0005-0000-0000-0000AD010000}"/>
    <cellStyle name="SAPBEXexcGood2 3" xfId="184" xr:uid="{00000000-0005-0000-0000-0000AE010000}"/>
    <cellStyle name="SAPBEXexcGood2 3 2" xfId="534" xr:uid="{00000000-0005-0000-0000-0000AF010000}"/>
    <cellStyle name="SAPBEXexcGood2 3 2 2" xfId="932" xr:uid="{00000000-0005-0000-0000-0000B0010000}"/>
    <cellStyle name="SAPBEXexcGood2 3 3" xfId="596" xr:uid="{00000000-0005-0000-0000-0000B1010000}"/>
    <cellStyle name="SAPBEXexcGood2 3 3 2" xfId="994" xr:uid="{00000000-0005-0000-0000-0000B2010000}"/>
    <cellStyle name="SAPBEXexcGood2 3 4" xfId="732" xr:uid="{00000000-0005-0000-0000-0000B3010000}"/>
    <cellStyle name="SAPBEXexcGood2 3 4 2" xfId="1127" xr:uid="{00000000-0005-0000-0000-0000B4010000}"/>
    <cellStyle name="SAPBEXexcGood2 4" xfId="532" xr:uid="{00000000-0005-0000-0000-0000B5010000}"/>
    <cellStyle name="SAPBEXexcGood2 4 2" xfId="930" xr:uid="{00000000-0005-0000-0000-0000B6010000}"/>
    <cellStyle name="SAPBEXexcGood2 5" xfId="692" xr:uid="{00000000-0005-0000-0000-0000B7010000}"/>
    <cellStyle name="SAPBEXexcGood2 5 2" xfId="1090" xr:uid="{00000000-0005-0000-0000-0000B8010000}"/>
    <cellStyle name="SAPBEXexcGood2 6" xfId="733" xr:uid="{00000000-0005-0000-0000-0000B9010000}"/>
    <cellStyle name="SAPBEXexcGood2 6 2" xfId="1128" xr:uid="{00000000-0005-0000-0000-0000BA010000}"/>
    <cellStyle name="SAPBEXexcGood3" xfId="185" xr:uid="{00000000-0005-0000-0000-0000BB010000}"/>
    <cellStyle name="SAPBEXexcGood3 2" xfId="186" xr:uid="{00000000-0005-0000-0000-0000BC010000}"/>
    <cellStyle name="SAPBEXexcGood3 2 2" xfId="536" xr:uid="{00000000-0005-0000-0000-0000BD010000}"/>
    <cellStyle name="SAPBEXexcGood3 2 2 2" xfId="934" xr:uid="{00000000-0005-0000-0000-0000BE010000}"/>
    <cellStyle name="SAPBEXexcGood3 2 3" xfId="695" xr:uid="{00000000-0005-0000-0000-0000BF010000}"/>
    <cellStyle name="SAPBEXexcGood3 2 3 2" xfId="1093" xr:uid="{00000000-0005-0000-0000-0000C0010000}"/>
    <cellStyle name="SAPBEXexcGood3 2 4" xfId="731" xr:uid="{00000000-0005-0000-0000-0000C1010000}"/>
    <cellStyle name="SAPBEXexcGood3 2 4 2" xfId="1126" xr:uid="{00000000-0005-0000-0000-0000C2010000}"/>
    <cellStyle name="SAPBEXexcGood3 3" xfId="187" xr:uid="{00000000-0005-0000-0000-0000C3010000}"/>
    <cellStyle name="SAPBEXexcGood3 3 2" xfId="537" xr:uid="{00000000-0005-0000-0000-0000C4010000}"/>
    <cellStyle name="SAPBEXexcGood3 3 2 2" xfId="935" xr:uid="{00000000-0005-0000-0000-0000C5010000}"/>
    <cellStyle name="SAPBEXexcGood3 3 3" xfId="646" xr:uid="{00000000-0005-0000-0000-0000C6010000}"/>
    <cellStyle name="SAPBEXexcGood3 3 3 2" xfId="1044" xr:uid="{00000000-0005-0000-0000-0000C7010000}"/>
    <cellStyle name="SAPBEXexcGood3 3 4" xfId="740" xr:uid="{00000000-0005-0000-0000-0000C8010000}"/>
    <cellStyle name="SAPBEXexcGood3 3 4 2" xfId="1135" xr:uid="{00000000-0005-0000-0000-0000C9010000}"/>
    <cellStyle name="SAPBEXexcGood3 4" xfId="535" xr:uid="{00000000-0005-0000-0000-0000CA010000}"/>
    <cellStyle name="SAPBEXexcGood3 4 2" xfId="933" xr:uid="{00000000-0005-0000-0000-0000CB010000}"/>
    <cellStyle name="SAPBEXexcGood3 5" xfId="672" xr:uid="{00000000-0005-0000-0000-0000CC010000}"/>
    <cellStyle name="SAPBEXexcGood3 5 2" xfId="1070" xr:uid="{00000000-0005-0000-0000-0000CD010000}"/>
    <cellStyle name="SAPBEXexcGood3 6" xfId="751" xr:uid="{00000000-0005-0000-0000-0000CE010000}"/>
    <cellStyle name="SAPBEXexcGood3 6 2" xfId="1146" xr:uid="{00000000-0005-0000-0000-0000CF010000}"/>
    <cellStyle name="SAPBEXfilterDrill" xfId="188" xr:uid="{00000000-0005-0000-0000-0000D0010000}"/>
    <cellStyle name="SAPBEXfilterDrill 2" xfId="189" xr:uid="{00000000-0005-0000-0000-0000D1010000}"/>
    <cellStyle name="SAPBEXfilterDrill 2 2" xfId="539" xr:uid="{00000000-0005-0000-0000-0000D2010000}"/>
    <cellStyle name="SAPBEXfilterDrill 2 2 2" xfId="937" xr:uid="{00000000-0005-0000-0000-0000D3010000}"/>
    <cellStyle name="SAPBEXfilterDrill 2 3" xfId="444" xr:uid="{00000000-0005-0000-0000-0000D4010000}"/>
    <cellStyle name="SAPBEXfilterDrill 2 3 2" xfId="842" xr:uid="{00000000-0005-0000-0000-0000D5010000}"/>
    <cellStyle name="SAPBEXfilterDrill 2 4" xfId="469" xr:uid="{00000000-0005-0000-0000-0000D6010000}"/>
    <cellStyle name="SAPBEXfilterDrill 2 4 2" xfId="867" xr:uid="{00000000-0005-0000-0000-0000D7010000}"/>
    <cellStyle name="SAPBEXfilterDrill 3" xfId="190" xr:uid="{00000000-0005-0000-0000-0000D8010000}"/>
    <cellStyle name="SAPBEXfilterDrill 3 2" xfId="540" xr:uid="{00000000-0005-0000-0000-0000D9010000}"/>
    <cellStyle name="SAPBEXfilterDrill 3 2 2" xfId="938" xr:uid="{00000000-0005-0000-0000-0000DA010000}"/>
    <cellStyle name="SAPBEXfilterDrill 3 3" xfId="638" xr:uid="{00000000-0005-0000-0000-0000DB010000}"/>
    <cellStyle name="SAPBEXfilterDrill 3 3 2" xfId="1036" xr:uid="{00000000-0005-0000-0000-0000DC010000}"/>
    <cellStyle name="SAPBEXfilterDrill 3 4" xfId="685" xr:uid="{00000000-0005-0000-0000-0000DD010000}"/>
    <cellStyle name="SAPBEXfilterDrill 3 4 2" xfId="1083" xr:uid="{00000000-0005-0000-0000-0000DE010000}"/>
    <cellStyle name="SAPBEXfilterDrill 4" xfId="538" xr:uid="{00000000-0005-0000-0000-0000DF010000}"/>
    <cellStyle name="SAPBEXfilterDrill 4 2" xfId="936" xr:uid="{00000000-0005-0000-0000-0000E0010000}"/>
    <cellStyle name="SAPBEXfilterDrill 5" xfId="456" xr:uid="{00000000-0005-0000-0000-0000E1010000}"/>
    <cellStyle name="SAPBEXfilterDrill 5 2" xfId="854" xr:uid="{00000000-0005-0000-0000-0000E2010000}"/>
    <cellStyle name="SAPBEXfilterDrill 6" xfId="468" xr:uid="{00000000-0005-0000-0000-0000E3010000}"/>
    <cellStyle name="SAPBEXfilterDrill 6 2" xfId="866" xr:uid="{00000000-0005-0000-0000-0000E4010000}"/>
    <cellStyle name="SAPBEXfilterItem" xfId="191" xr:uid="{00000000-0005-0000-0000-0000E5010000}"/>
    <cellStyle name="SAPBEXfilterItem 2" xfId="192" xr:uid="{00000000-0005-0000-0000-0000E6010000}"/>
    <cellStyle name="SAPBEXfilterItem 2 2" xfId="542" xr:uid="{00000000-0005-0000-0000-0000E7010000}"/>
    <cellStyle name="SAPBEXfilterItem 2 2 2" xfId="940" xr:uid="{00000000-0005-0000-0000-0000E8010000}"/>
    <cellStyle name="SAPBEXfilterItem 2 3" xfId="455" xr:uid="{00000000-0005-0000-0000-0000E9010000}"/>
    <cellStyle name="SAPBEXfilterItem 2 3 2" xfId="853" xr:uid="{00000000-0005-0000-0000-0000EA010000}"/>
    <cellStyle name="SAPBEXfilterItem 2 4" xfId="738" xr:uid="{00000000-0005-0000-0000-0000EB010000}"/>
    <cellStyle name="SAPBEXfilterItem 2 4 2" xfId="1133" xr:uid="{00000000-0005-0000-0000-0000EC010000}"/>
    <cellStyle name="SAPBEXfilterItem 3" xfId="541" xr:uid="{00000000-0005-0000-0000-0000ED010000}"/>
    <cellStyle name="SAPBEXfilterItem 3 2" xfId="939" xr:uid="{00000000-0005-0000-0000-0000EE010000}"/>
    <cellStyle name="SAPBEXfilterItem 4" xfId="645" xr:uid="{00000000-0005-0000-0000-0000EF010000}"/>
    <cellStyle name="SAPBEXfilterItem 4 2" xfId="1043" xr:uid="{00000000-0005-0000-0000-0000F0010000}"/>
    <cellStyle name="SAPBEXfilterItem 5" xfId="460" xr:uid="{00000000-0005-0000-0000-0000F1010000}"/>
    <cellStyle name="SAPBEXfilterItem 5 2" xfId="858" xr:uid="{00000000-0005-0000-0000-0000F2010000}"/>
    <cellStyle name="SAPBEXfilterText" xfId="193" xr:uid="{00000000-0005-0000-0000-0000F3010000}"/>
    <cellStyle name="SAPBEXfilterText 2" xfId="194" xr:uid="{00000000-0005-0000-0000-0000F4010000}"/>
    <cellStyle name="SAPBEXfilterText 2 2" xfId="544" xr:uid="{00000000-0005-0000-0000-0000F5010000}"/>
    <cellStyle name="SAPBEXfilterText 2 2 2" xfId="942" xr:uid="{00000000-0005-0000-0000-0000F6010000}"/>
    <cellStyle name="SAPBEXfilterText 2 3" xfId="437" xr:uid="{00000000-0005-0000-0000-0000F7010000}"/>
    <cellStyle name="SAPBEXfilterText 2 3 2" xfId="835" xr:uid="{00000000-0005-0000-0000-0000F8010000}"/>
    <cellStyle name="SAPBEXfilterText 2 4" xfId="624" xr:uid="{00000000-0005-0000-0000-0000F9010000}"/>
    <cellStyle name="SAPBEXfilterText 2 4 2" xfId="1022" xr:uid="{00000000-0005-0000-0000-0000FA010000}"/>
    <cellStyle name="SAPBEXfilterText 3" xfId="543" xr:uid="{00000000-0005-0000-0000-0000FB010000}"/>
    <cellStyle name="SAPBEXfilterText 3 2" xfId="941" xr:uid="{00000000-0005-0000-0000-0000FC010000}"/>
    <cellStyle name="SAPBEXfilterText 4" xfId="443" xr:uid="{00000000-0005-0000-0000-0000FD010000}"/>
    <cellStyle name="SAPBEXfilterText 4 2" xfId="841" xr:uid="{00000000-0005-0000-0000-0000FE010000}"/>
    <cellStyle name="SAPBEXfilterText 5" xfId="746" xr:uid="{00000000-0005-0000-0000-0000FF010000}"/>
    <cellStyle name="SAPBEXfilterText 5 2" xfId="1141" xr:uid="{00000000-0005-0000-0000-000000020000}"/>
    <cellStyle name="SAPBEXformats" xfId="195" xr:uid="{00000000-0005-0000-0000-000001020000}"/>
    <cellStyle name="SAPBEXformats 2" xfId="196" xr:uid="{00000000-0005-0000-0000-000002020000}"/>
    <cellStyle name="SAPBEXformats 2 2" xfId="546" xr:uid="{00000000-0005-0000-0000-000003020000}"/>
    <cellStyle name="SAPBEXformats 2 2 2" xfId="944" xr:uid="{00000000-0005-0000-0000-000004020000}"/>
    <cellStyle name="SAPBEXformats 2 3" xfId="592" xr:uid="{00000000-0005-0000-0000-000005020000}"/>
    <cellStyle name="SAPBEXformats 2 3 2" xfId="990" xr:uid="{00000000-0005-0000-0000-000006020000}"/>
    <cellStyle name="SAPBEXformats 2 4" xfId="459" xr:uid="{00000000-0005-0000-0000-000007020000}"/>
    <cellStyle name="SAPBEXformats 2 4 2" xfId="857" xr:uid="{00000000-0005-0000-0000-000008020000}"/>
    <cellStyle name="SAPBEXformats 3" xfId="197" xr:uid="{00000000-0005-0000-0000-000009020000}"/>
    <cellStyle name="SAPBEXformats 3 2" xfId="547" xr:uid="{00000000-0005-0000-0000-00000A020000}"/>
    <cellStyle name="SAPBEXformats 3 2 2" xfId="945" xr:uid="{00000000-0005-0000-0000-00000B020000}"/>
    <cellStyle name="SAPBEXformats 3 3" xfId="591" xr:uid="{00000000-0005-0000-0000-00000C020000}"/>
    <cellStyle name="SAPBEXformats 3 3 2" xfId="989" xr:uid="{00000000-0005-0000-0000-00000D020000}"/>
    <cellStyle name="SAPBEXformats 3 4" xfId="736" xr:uid="{00000000-0005-0000-0000-00000E020000}"/>
    <cellStyle name="SAPBEXformats 3 4 2" xfId="1131" xr:uid="{00000000-0005-0000-0000-00000F020000}"/>
    <cellStyle name="SAPBEXformats 4" xfId="545" xr:uid="{00000000-0005-0000-0000-000010020000}"/>
    <cellStyle name="SAPBEXformats 4 2" xfId="943" xr:uid="{00000000-0005-0000-0000-000011020000}"/>
    <cellStyle name="SAPBEXformats 5" xfId="593" xr:uid="{00000000-0005-0000-0000-000012020000}"/>
    <cellStyle name="SAPBEXformats 5 2" xfId="991" xr:uid="{00000000-0005-0000-0000-000013020000}"/>
    <cellStyle name="SAPBEXformats 6" xfId="721" xr:uid="{00000000-0005-0000-0000-000014020000}"/>
    <cellStyle name="SAPBEXformats 6 2" xfId="1116" xr:uid="{00000000-0005-0000-0000-000015020000}"/>
    <cellStyle name="SAPBEXheaderItem" xfId="198" xr:uid="{00000000-0005-0000-0000-000016020000}"/>
    <cellStyle name="SAPBEXheaderItem 2" xfId="199" xr:uid="{00000000-0005-0000-0000-000017020000}"/>
    <cellStyle name="SAPBEXheaderItem 2 2" xfId="549" xr:uid="{00000000-0005-0000-0000-000018020000}"/>
    <cellStyle name="SAPBEXheaderItem 2 2 2" xfId="947" xr:uid="{00000000-0005-0000-0000-000019020000}"/>
    <cellStyle name="SAPBEXheaderItem 2 3" xfId="589" xr:uid="{00000000-0005-0000-0000-00001A020000}"/>
    <cellStyle name="SAPBEXheaderItem 2 3 2" xfId="987" xr:uid="{00000000-0005-0000-0000-00001B020000}"/>
    <cellStyle name="SAPBEXheaderItem 2 4" xfId="620" xr:uid="{00000000-0005-0000-0000-00001C020000}"/>
    <cellStyle name="SAPBEXheaderItem 2 4 2" xfId="1018" xr:uid="{00000000-0005-0000-0000-00001D020000}"/>
    <cellStyle name="SAPBEXheaderItem 3" xfId="200" xr:uid="{00000000-0005-0000-0000-00001E020000}"/>
    <cellStyle name="SAPBEXheaderItem 3 2" xfId="550" xr:uid="{00000000-0005-0000-0000-00001F020000}"/>
    <cellStyle name="SAPBEXheaderItem 3 2 2" xfId="948" xr:uid="{00000000-0005-0000-0000-000020020000}"/>
    <cellStyle name="SAPBEXheaderItem 3 3" xfId="587" xr:uid="{00000000-0005-0000-0000-000021020000}"/>
    <cellStyle name="SAPBEXheaderItem 3 3 2" xfId="985" xr:uid="{00000000-0005-0000-0000-000022020000}"/>
    <cellStyle name="SAPBEXheaderItem 3 4" xfId="729" xr:uid="{00000000-0005-0000-0000-000023020000}"/>
    <cellStyle name="SAPBEXheaderItem 3 4 2" xfId="1124" xr:uid="{00000000-0005-0000-0000-000024020000}"/>
    <cellStyle name="SAPBEXheaderItem 4" xfId="548" xr:uid="{00000000-0005-0000-0000-000025020000}"/>
    <cellStyle name="SAPBEXheaderItem 4 2" xfId="946" xr:uid="{00000000-0005-0000-0000-000026020000}"/>
    <cellStyle name="SAPBEXheaderItem 5" xfId="590" xr:uid="{00000000-0005-0000-0000-000027020000}"/>
    <cellStyle name="SAPBEXheaderItem 5 2" xfId="988" xr:uid="{00000000-0005-0000-0000-000028020000}"/>
    <cellStyle name="SAPBEXheaderItem 6" xfId="744" xr:uid="{00000000-0005-0000-0000-000029020000}"/>
    <cellStyle name="SAPBEXheaderItem 6 2" xfId="1139" xr:uid="{00000000-0005-0000-0000-00002A020000}"/>
    <cellStyle name="SAPBEXheaderText" xfId="201" xr:uid="{00000000-0005-0000-0000-00002B020000}"/>
    <cellStyle name="SAPBEXheaderText 2" xfId="202" xr:uid="{00000000-0005-0000-0000-00002C020000}"/>
    <cellStyle name="SAPBEXheaderText 2 2" xfId="552" xr:uid="{00000000-0005-0000-0000-00002D020000}"/>
    <cellStyle name="SAPBEXheaderText 2 2 2" xfId="950" xr:uid="{00000000-0005-0000-0000-00002E020000}"/>
    <cellStyle name="SAPBEXheaderText 2 3" xfId="585" xr:uid="{00000000-0005-0000-0000-00002F020000}"/>
    <cellStyle name="SAPBEXheaderText 2 3 2" xfId="983" xr:uid="{00000000-0005-0000-0000-000030020000}"/>
    <cellStyle name="SAPBEXheaderText 2 4" xfId="734" xr:uid="{00000000-0005-0000-0000-000031020000}"/>
    <cellStyle name="SAPBEXheaderText 2 4 2" xfId="1129" xr:uid="{00000000-0005-0000-0000-000032020000}"/>
    <cellStyle name="SAPBEXheaderText 3" xfId="203" xr:uid="{00000000-0005-0000-0000-000033020000}"/>
    <cellStyle name="SAPBEXheaderText 3 2" xfId="553" xr:uid="{00000000-0005-0000-0000-000034020000}"/>
    <cellStyle name="SAPBEXheaderText 3 2 2" xfId="951" xr:uid="{00000000-0005-0000-0000-000035020000}"/>
    <cellStyle name="SAPBEXheaderText 3 3" xfId="573" xr:uid="{00000000-0005-0000-0000-000036020000}"/>
    <cellStyle name="SAPBEXheaderText 3 3 2" xfId="971" xr:uid="{00000000-0005-0000-0000-000037020000}"/>
    <cellStyle name="SAPBEXheaderText 3 4" xfId="735" xr:uid="{00000000-0005-0000-0000-000038020000}"/>
    <cellStyle name="SAPBEXheaderText 3 4 2" xfId="1130" xr:uid="{00000000-0005-0000-0000-000039020000}"/>
    <cellStyle name="SAPBEXheaderText 4" xfId="551" xr:uid="{00000000-0005-0000-0000-00003A020000}"/>
    <cellStyle name="SAPBEXheaderText 4 2" xfId="949" xr:uid="{00000000-0005-0000-0000-00003B020000}"/>
    <cellStyle name="SAPBEXheaderText 5" xfId="586" xr:uid="{00000000-0005-0000-0000-00003C020000}"/>
    <cellStyle name="SAPBEXheaderText 5 2" xfId="984" xr:uid="{00000000-0005-0000-0000-00003D020000}"/>
    <cellStyle name="SAPBEXheaderText 6" xfId="632" xr:uid="{00000000-0005-0000-0000-00003E020000}"/>
    <cellStyle name="SAPBEXheaderText 6 2" xfId="1030" xr:uid="{00000000-0005-0000-0000-00003F020000}"/>
    <cellStyle name="SAPBEXHLevel0" xfId="204" xr:uid="{00000000-0005-0000-0000-000040020000}"/>
    <cellStyle name="SAPBEXHLevel0 2" xfId="205" xr:uid="{00000000-0005-0000-0000-000041020000}"/>
    <cellStyle name="SAPBEXHLevel0 2 2" xfId="555" xr:uid="{00000000-0005-0000-0000-000042020000}"/>
    <cellStyle name="SAPBEXHLevel0 2 2 2" xfId="953" xr:uid="{00000000-0005-0000-0000-000043020000}"/>
    <cellStyle name="SAPBEXHLevel0 2 3" xfId="499" xr:uid="{00000000-0005-0000-0000-000044020000}"/>
    <cellStyle name="SAPBEXHLevel0 2 3 2" xfId="897" xr:uid="{00000000-0005-0000-0000-000045020000}"/>
    <cellStyle name="SAPBEXHLevel0 2 4" xfId="453" xr:uid="{00000000-0005-0000-0000-000046020000}"/>
    <cellStyle name="SAPBEXHLevel0 2 4 2" xfId="851" xr:uid="{00000000-0005-0000-0000-000047020000}"/>
    <cellStyle name="SAPBEXHLevel0 3" xfId="206" xr:uid="{00000000-0005-0000-0000-000048020000}"/>
    <cellStyle name="SAPBEXHLevel0 3 2" xfId="556" xr:uid="{00000000-0005-0000-0000-000049020000}"/>
    <cellStyle name="SAPBEXHLevel0 3 2 2" xfId="954" xr:uid="{00000000-0005-0000-0000-00004A020000}"/>
    <cellStyle name="SAPBEXHLevel0 3 3" xfId="498" xr:uid="{00000000-0005-0000-0000-00004B020000}"/>
    <cellStyle name="SAPBEXHLevel0 3 3 2" xfId="896" xr:uid="{00000000-0005-0000-0000-00004C020000}"/>
    <cellStyle name="SAPBEXHLevel0 3 4" xfId="696" xr:uid="{00000000-0005-0000-0000-00004D020000}"/>
    <cellStyle name="SAPBEXHLevel0 3 4 2" xfId="1094" xr:uid="{00000000-0005-0000-0000-00004E020000}"/>
    <cellStyle name="SAPBEXHLevel0 4" xfId="554" xr:uid="{00000000-0005-0000-0000-00004F020000}"/>
    <cellStyle name="SAPBEXHLevel0 4 2" xfId="952" xr:uid="{00000000-0005-0000-0000-000050020000}"/>
    <cellStyle name="SAPBEXHLevel0 5" xfId="570" xr:uid="{00000000-0005-0000-0000-000051020000}"/>
    <cellStyle name="SAPBEXHLevel0 5 2" xfId="968" xr:uid="{00000000-0005-0000-0000-000052020000}"/>
    <cellStyle name="SAPBEXHLevel0 6" xfId="743" xr:uid="{00000000-0005-0000-0000-000053020000}"/>
    <cellStyle name="SAPBEXHLevel0 6 2" xfId="1138" xr:uid="{00000000-0005-0000-0000-000054020000}"/>
    <cellStyle name="SAPBEXHLevel0X" xfId="207" xr:uid="{00000000-0005-0000-0000-000055020000}"/>
    <cellStyle name="SAPBEXHLevel0X 2" xfId="557" xr:uid="{00000000-0005-0000-0000-000056020000}"/>
    <cellStyle name="SAPBEXHLevel0X 2 2" xfId="955" xr:uid="{00000000-0005-0000-0000-000057020000}"/>
    <cellStyle name="SAPBEXHLevel0X 3" xfId="637" xr:uid="{00000000-0005-0000-0000-000058020000}"/>
    <cellStyle name="SAPBEXHLevel0X 3 2" xfId="1035" xr:uid="{00000000-0005-0000-0000-000059020000}"/>
    <cellStyle name="SAPBEXHLevel0X 4" xfId="737" xr:uid="{00000000-0005-0000-0000-00005A020000}"/>
    <cellStyle name="SAPBEXHLevel0X 4 2" xfId="1132" xr:uid="{00000000-0005-0000-0000-00005B020000}"/>
    <cellStyle name="SAPBEXHLevel1" xfId="208" xr:uid="{00000000-0005-0000-0000-00005C020000}"/>
    <cellStyle name="SAPBEXHLevel1 2" xfId="209" xr:uid="{00000000-0005-0000-0000-00005D020000}"/>
    <cellStyle name="SAPBEXHLevel1 2 2" xfId="559" xr:uid="{00000000-0005-0000-0000-00005E020000}"/>
    <cellStyle name="SAPBEXHLevel1 2 2 2" xfId="957" xr:uid="{00000000-0005-0000-0000-00005F020000}"/>
    <cellStyle name="SAPBEXHLevel1 2 3" xfId="442" xr:uid="{00000000-0005-0000-0000-000060020000}"/>
    <cellStyle name="SAPBEXHLevel1 2 3 2" xfId="840" xr:uid="{00000000-0005-0000-0000-000061020000}"/>
    <cellStyle name="SAPBEXHLevel1 2 4" xfId="621" xr:uid="{00000000-0005-0000-0000-000062020000}"/>
    <cellStyle name="SAPBEXHLevel1 2 4 2" xfId="1019" xr:uid="{00000000-0005-0000-0000-000063020000}"/>
    <cellStyle name="SAPBEXHLevel1 3" xfId="210" xr:uid="{00000000-0005-0000-0000-000064020000}"/>
    <cellStyle name="SAPBEXHLevel1 3 2" xfId="560" xr:uid="{00000000-0005-0000-0000-000065020000}"/>
    <cellStyle name="SAPBEXHLevel1 3 2 2" xfId="958" xr:uid="{00000000-0005-0000-0000-000066020000}"/>
    <cellStyle name="SAPBEXHLevel1 3 3" xfId="662" xr:uid="{00000000-0005-0000-0000-000067020000}"/>
    <cellStyle name="SAPBEXHLevel1 3 3 2" xfId="1060" xr:uid="{00000000-0005-0000-0000-000068020000}"/>
    <cellStyle name="SAPBEXHLevel1 3 4" xfId="467" xr:uid="{00000000-0005-0000-0000-000069020000}"/>
    <cellStyle name="SAPBEXHLevel1 3 4 2" xfId="865" xr:uid="{00000000-0005-0000-0000-00006A020000}"/>
    <cellStyle name="SAPBEXHLevel1 4" xfId="558" xr:uid="{00000000-0005-0000-0000-00006B020000}"/>
    <cellStyle name="SAPBEXHLevel1 4 2" xfId="956" xr:uid="{00000000-0005-0000-0000-00006C020000}"/>
    <cellStyle name="SAPBEXHLevel1 5" xfId="497" xr:uid="{00000000-0005-0000-0000-00006D020000}"/>
    <cellStyle name="SAPBEXHLevel1 5 2" xfId="895" xr:uid="{00000000-0005-0000-0000-00006E020000}"/>
    <cellStyle name="SAPBEXHLevel1 6" xfId="745" xr:uid="{00000000-0005-0000-0000-00006F020000}"/>
    <cellStyle name="SAPBEXHLevel1 6 2" xfId="1140" xr:uid="{00000000-0005-0000-0000-000070020000}"/>
    <cellStyle name="SAPBEXHLevel1X" xfId="211" xr:uid="{00000000-0005-0000-0000-000071020000}"/>
    <cellStyle name="SAPBEXHLevel1X 2" xfId="561" xr:uid="{00000000-0005-0000-0000-000072020000}"/>
    <cellStyle name="SAPBEXHLevel1X 2 2" xfId="959" xr:uid="{00000000-0005-0000-0000-000073020000}"/>
    <cellStyle name="SAPBEXHLevel1X 3" xfId="494" xr:uid="{00000000-0005-0000-0000-000074020000}"/>
    <cellStyle name="SAPBEXHLevel1X 3 2" xfId="892" xr:uid="{00000000-0005-0000-0000-000075020000}"/>
    <cellStyle name="SAPBEXHLevel1X 4" xfId="461" xr:uid="{00000000-0005-0000-0000-000076020000}"/>
    <cellStyle name="SAPBEXHLevel1X 4 2" xfId="859" xr:uid="{00000000-0005-0000-0000-000077020000}"/>
    <cellStyle name="SAPBEXHLevel2" xfId="212" xr:uid="{00000000-0005-0000-0000-000078020000}"/>
    <cellStyle name="SAPBEXHLevel2 2" xfId="213" xr:uid="{00000000-0005-0000-0000-000079020000}"/>
    <cellStyle name="SAPBEXHLevel2 2 2" xfId="563" xr:uid="{00000000-0005-0000-0000-00007A020000}"/>
    <cellStyle name="SAPBEXHLevel2 2 2 2" xfId="961" xr:uid="{00000000-0005-0000-0000-00007B020000}"/>
    <cellStyle name="SAPBEXHLevel2 2 3" xfId="492" xr:uid="{00000000-0005-0000-0000-00007C020000}"/>
    <cellStyle name="SAPBEXHLevel2 2 3 2" xfId="890" xr:uid="{00000000-0005-0000-0000-00007D020000}"/>
    <cellStyle name="SAPBEXHLevel2 2 4" xfId="741" xr:uid="{00000000-0005-0000-0000-00007E020000}"/>
    <cellStyle name="SAPBEXHLevel2 2 4 2" xfId="1136" xr:uid="{00000000-0005-0000-0000-00007F020000}"/>
    <cellStyle name="SAPBEXHLevel2 3" xfId="214" xr:uid="{00000000-0005-0000-0000-000080020000}"/>
    <cellStyle name="SAPBEXHLevel2 3 2" xfId="564" xr:uid="{00000000-0005-0000-0000-000081020000}"/>
    <cellStyle name="SAPBEXHLevel2 3 2 2" xfId="962" xr:uid="{00000000-0005-0000-0000-000082020000}"/>
    <cellStyle name="SAPBEXHLevel2 3 3" xfId="491" xr:uid="{00000000-0005-0000-0000-000083020000}"/>
    <cellStyle name="SAPBEXHLevel2 3 3 2" xfId="889" xr:uid="{00000000-0005-0000-0000-000084020000}"/>
    <cellStyle name="SAPBEXHLevel2 3 4" xfId="712" xr:uid="{00000000-0005-0000-0000-000085020000}"/>
    <cellStyle name="SAPBEXHLevel2 3 4 2" xfId="1107" xr:uid="{00000000-0005-0000-0000-000086020000}"/>
    <cellStyle name="SAPBEXHLevel2 4" xfId="562" xr:uid="{00000000-0005-0000-0000-000087020000}"/>
    <cellStyle name="SAPBEXHLevel2 4 2" xfId="960" xr:uid="{00000000-0005-0000-0000-000088020000}"/>
    <cellStyle name="SAPBEXHLevel2 5" xfId="493" xr:uid="{00000000-0005-0000-0000-000089020000}"/>
    <cellStyle name="SAPBEXHLevel2 5 2" xfId="891" xr:uid="{00000000-0005-0000-0000-00008A020000}"/>
    <cellStyle name="SAPBEXHLevel2 6" xfId="680" xr:uid="{00000000-0005-0000-0000-00008B020000}"/>
    <cellStyle name="SAPBEXHLevel2 6 2" xfId="1078" xr:uid="{00000000-0005-0000-0000-00008C020000}"/>
    <cellStyle name="SAPBEXHLevel2X" xfId="215" xr:uid="{00000000-0005-0000-0000-00008D020000}"/>
    <cellStyle name="SAPBEXHLevel2X 2" xfId="565" xr:uid="{00000000-0005-0000-0000-00008E020000}"/>
    <cellStyle name="SAPBEXHLevel2X 2 2" xfId="963" xr:uid="{00000000-0005-0000-0000-00008F020000}"/>
    <cellStyle name="SAPBEXHLevel2X 3" xfId="490" xr:uid="{00000000-0005-0000-0000-000090020000}"/>
    <cellStyle name="SAPBEXHLevel2X 3 2" xfId="888" xr:uid="{00000000-0005-0000-0000-000091020000}"/>
    <cellStyle name="SAPBEXHLevel2X 4" xfId="623" xr:uid="{00000000-0005-0000-0000-000092020000}"/>
    <cellStyle name="SAPBEXHLevel2X 4 2" xfId="1021" xr:uid="{00000000-0005-0000-0000-000093020000}"/>
    <cellStyle name="SAPBEXHLevel3" xfId="216" xr:uid="{00000000-0005-0000-0000-000094020000}"/>
    <cellStyle name="SAPBEXHLevel3 2" xfId="217" xr:uid="{00000000-0005-0000-0000-000095020000}"/>
    <cellStyle name="SAPBEXHLevel3 2 2" xfId="567" xr:uid="{00000000-0005-0000-0000-000096020000}"/>
    <cellStyle name="SAPBEXHLevel3 2 2 2" xfId="965" xr:uid="{00000000-0005-0000-0000-000097020000}"/>
    <cellStyle name="SAPBEXHLevel3 2 3" xfId="660" xr:uid="{00000000-0005-0000-0000-000098020000}"/>
    <cellStyle name="SAPBEXHLevel3 2 3 2" xfId="1058" xr:uid="{00000000-0005-0000-0000-000099020000}"/>
    <cellStyle name="SAPBEXHLevel3 2 4" xfId="451" xr:uid="{00000000-0005-0000-0000-00009A020000}"/>
    <cellStyle name="SAPBEXHLevel3 2 4 2" xfId="849" xr:uid="{00000000-0005-0000-0000-00009B020000}"/>
    <cellStyle name="SAPBEXHLevel3 3" xfId="218" xr:uid="{00000000-0005-0000-0000-00009C020000}"/>
    <cellStyle name="SAPBEXHLevel3 3 2" xfId="568" xr:uid="{00000000-0005-0000-0000-00009D020000}"/>
    <cellStyle name="SAPBEXHLevel3 3 2 2" xfId="966" xr:uid="{00000000-0005-0000-0000-00009E020000}"/>
    <cellStyle name="SAPBEXHLevel3 3 3" xfId="664" xr:uid="{00000000-0005-0000-0000-00009F020000}"/>
    <cellStyle name="SAPBEXHLevel3 3 3 2" xfId="1062" xr:uid="{00000000-0005-0000-0000-0000A0020000}"/>
    <cellStyle name="SAPBEXHLevel3 3 4" xfId="466" xr:uid="{00000000-0005-0000-0000-0000A1020000}"/>
    <cellStyle name="SAPBEXHLevel3 3 4 2" xfId="864" xr:uid="{00000000-0005-0000-0000-0000A2020000}"/>
    <cellStyle name="SAPBEXHLevel3 4" xfId="566" xr:uid="{00000000-0005-0000-0000-0000A3020000}"/>
    <cellStyle name="SAPBEXHLevel3 4 2" xfId="964" xr:uid="{00000000-0005-0000-0000-0000A4020000}"/>
    <cellStyle name="SAPBEXHLevel3 5" xfId="489" xr:uid="{00000000-0005-0000-0000-0000A5020000}"/>
    <cellStyle name="SAPBEXHLevel3 5 2" xfId="887" xr:uid="{00000000-0005-0000-0000-0000A6020000}"/>
    <cellStyle name="SAPBEXHLevel3 6" xfId="742" xr:uid="{00000000-0005-0000-0000-0000A7020000}"/>
    <cellStyle name="SAPBEXHLevel3 6 2" xfId="1137" xr:uid="{00000000-0005-0000-0000-0000A8020000}"/>
    <cellStyle name="SAPBEXHLevel3X" xfId="219" xr:uid="{00000000-0005-0000-0000-0000A9020000}"/>
    <cellStyle name="SAPBEXHLevel3X 2" xfId="569" xr:uid="{00000000-0005-0000-0000-0000AA020000}"/>
    <cellStyle name="SAPBEXHLevel3X 2 2" xfId="967" xr:uid="{00000000-0005-0000-0000-0000AB020000}"/>
    <cellStyle name="SAPBEXHLevel3X 3" xfId="643" xr:uid="{00000000-0005-0000-0000-0000AC020000}"/>
    <cellStyle name="SAPBEXHLevel3X 3 2" xfId="1041" xr:uid="{00000000-0005-0000-0000-0000AD020000}"/>
    <cellStyle name="SAPBEXHLevel3X 4" xfId="716" xr:uid="{00000000-0005-0000-0000-0000AE020000}"/>
    <cellStyle name="SAPBEXHLevel3X 4 2" xfId="1111" xr:uid="{00000000-0005-0000-0000-0000AF020000}"/>
    <cellStyle name="SAPBEXinputData" xfId="220" xr:uid="{00000000-0005-0000-0000-0000B0020000}"/>
    <cellStyle name="SAPBEXItemHeader" xfId="221" xr:uid="{00000000-0005-0000-0000-0000B1020000}"/>
    <cellStyle name="SAPBEXItemHeader 2" xfId="571" xr:uid="{00000000-0005-0000-0000-0000B2020000}"/>
    <cellStyle name="SAPBEXItemHeader 2 2" xfId="969" xr:uid="{00000000-0005-0000-0000-0000B3020000}"/>
    <cellStyle name="SAPBEXItemHeader 3" xfId="668" xr:uid="{00000000-0005-0000-0000-0000B4020000}"/>
    <cellStyle name="SAPBEXItemHeader 3 2" xfId="1066" xr:uid="{00000000-0005-0000-0000-0000B5020000}"/>
    <cellStyle name="SAPBEXItemHeader 4" xfId="450" xr:uid="{00000000-0005-0000-0000-0000B6020000}"/>
    <cellStyle name="SAPBEXItemHeader 4 2" xfId="848" xr:uid="{00000000-0005-0000-0000-0000B7020000}"/>
    <cellStyle name="SAPBEXresData" xfId="222" xr:uid="{00000000-0005-0000-0000-0000B8020000}"/>
    <cellStyle name="SAPBEXresData 2" xfId="572" xr:uid="{00000000-0005-0000-0000-0000B9020000}"/>
    <cellStyle name="SAPBEXresData 2 2" xfId="970" xr:uid="{00000000-0005-0000-0000-0000BA020000}"/>
    <cellStyle name="SAPBEXresData 3" xfId="691" xr:uid="{00000000-0005-0000-0000-0000BB020000}"/>
    <cellStyle name="SAPBEXresData 3 2" xfId="1089" xr:uid="{00000000-0005-0000-0000-0000BC020000}"/>
    <cellStyle name="SAPBEXresData 4" xfId="613" xr:uid="{00000000-0005-0000-0000-0000BD020000}"/>
    <cellStyle name="SAPBEXresData 4 2" xfId="1011" xr:uid="{00000000-0005-0000-0000-0000BE020000}"/>
    <cellStyle name="SAPBEXresDataEmph" xfId="223" xr:uid="{00000000-0005-0000-0000-0000BF020000}"/>
    <cellStyle name="SAPBEXresItem" xfId="224" xr:uid="{00000000-0005-0000-0000-0000C0020000}"/>
    <cellStyle name="SAPBEXresItem 2" xfId="574" xr:uid="{00000000-0005-0000-0000-0000C1020000}"/>
    <cellStyle name="SAPBEXresItem 2 2" xfId="972" xr:uid="{00000000-0005-0000-0000-0000C2020000}"/>
    <cellStyle name="SAPBEXresItem 3" xfId="487" xr:uid="{00000000-0005-0000-0000-0000C3020000}"/>
    <cellStyle name="SAPBEXresItem 3 2" xfId="885" xr:uid="{00000000-0005-0000-0000-0000C4020000}"/>
    <cellStyle name="SAPBEXresItem 4" xfId="636" xr:uid="{00000000-0005-0000-0000-0000C5020000}"/>
    <cellStyle name="SAPBEXresItem 4 2" xfId="1034" xr:uid="{00000000-0005-0000-0000-0000C6020000}"/>
    <cellStyle name="SAPBEXresItemX" xfId="225" xr:uid="{00000000-0005-0000-0000-0000C7020000}"/>
    <cellStyle name="SAPBEXresItemX 2" xfId="575" xr:uid="{00000000-0005-0000-0000-0000C8020000}"/>
    <cellStyle name="SAPBEXresItemX 2 2" xfId="973" xr:uid="{00000000-0005-0000-0000-0000C9020000}"/>
    <cellStyle name="SAPBEXresItemX 3" xfId="671" xr:uid="{00000000-0005-0000-0000-0000CA020000}"/>
    <cellStyle name="SAPBEXresItemX 3 2" xfId="1069" xr:uid="{00000000-0005-0000-0000-0000CB020000}"/>
    <cellStyle name="SAPBEXresItemX 4" xfId="439" xr:uid="{00000000-0005-0000-0000-0000CC020000}"/>
    <cellStyle name="SAPBEXresItemX 4 2" xfId="837" xr:uid="{00000000-0005-0000-0000-0000CD020000}"/>
    <cellStyle name="SAPBEXstdData" xfId="226" xr:uid="{00000000-0005-0000-0000-0000CE020000}"/>
    <cellStyle name="SAPBEXstdData 2" xfId="227" xr:uid="{00000000-0005-0000-0000-0000CF020000}"/>
    <cellStyle name="SAPBEXstdData 2 2" xfId="577" xr:uid="{00000000-0005-0000-0000-0000D0020000}"/>
    <cellStyle name="SAPBEXstdData 2 2 2" xfId="975" xr:uid="{00000000-0005-0000-0000-0000D1020000}"/>
    <cellStyle name="SAPBEXstdData 2 3" xfId="644" xr:uid="{00000000-0005-0000-0000-0000D2020000}"/>
    <cellStyle name="SAPBEXstdData 2 3 2" xfId="1042" xr:uid="{00000000-0005-0000-0000-0000D3020000}"/>
    <cellStyle name="SAPBEXstdData 2 4" xfId="438" xr:uid="{00000000-0005-0000-0000-0000D4020000}"/>
    <cellStyle name="SAPBEXstdData 2 4 2" xfId="836" xr:uid="{00000000-0005-0000-0000-0000D5020000}"/>
    <cellStyle name="SAPBEXstdData 3" xfId="228" xr:uid="{00000000-0005-0000-0000-0000D6020000}"/>
    <cellStyle name="SAPBEXstdData 3 2" xfId="578" xr:uid="{00000000-0005-0000-0000-0000D7020000}"/>
    <cellStyle name="SAPBEXstdData 3 2 2" xfId="976" xr:uid="{00000000-0005-0000-0000-0000D8020000}"/>
    <cellStyle name="SAPBEXstdData 3 3" xfId="488" xr:uid="{00000000-0005-0000-0000-0000D9020000}"/>
    <cellStyle name="SAPBEXstdData 3 3 2" xfId="886" xr:uid="{00000000-0005-0000-0000-0000DA020000}"/>
    <cellStyle name="SAPBEXstdData 3 4" xfId="482" xr:uid="{00000000-0005-0000-0000-0000DB020000}"/>
    <cellStyle name="SAPBEXstdData 3 4 2" xfId="880" xr:uid="{00000000-0005-0000-0000-0000DC020000}"/>
    <cellStyle name="SAPBEXstdData 4" xfId="576" xr:uid="{00000000-0005-0000-0000-0000DD020000}"/>
    <cellStyle name="SAPBEXstdData 4 2" xfId="974" xr:uid="{00000000-0005-0000-0000-0000DE020000}"/>
    <cellStyle name="SAPBEXstdData 5" xfId="694" xr:uid="{00000000-0005-0000-0000-0000DF020000}"/>
    <cellStyle name="SAPBEXstdData 5 2" xfId="1092" xr:uid="{00000000-0005-0000-0000-0000E0020000}"/>
    <cellStyle name="SAPBEXstdData 6" xfId="661" xr:uid="{00000000-0005-0000-0000-0000E1020000}"/>
    <cellStyle name="SAPBEXstdData 6 2" xfId="1059" xr:uid="{00000000-0005-0000-0000-0000E2020000}"/>
    <cellStyle name="SAPBEXstdDataEmph" xfId="229" xr:uid="{00000000-0005-0000-0000-0000E3020000}"/>
    <cellStyle name="SAPBEXstdDataEmph 2" xfId="579" xr:uid="{00000000-0005-0000-0000-0000E4020000}"/>
    <cellStyle name="SAPBEXstdDataEmph 2 2" xfId="977" xr:uid="{00000000-0005-0000-0000-0000E5020000}"/>
    <cellStyle name="SAPBEXstdDataEmph 3" xfId="454" xr:uid="{00000000-0005-0000-0000-0000E6020000}"/>
    <cellStyle name="SAPBEXstdDataEmph 3 2" xfId="852" xr:uid="{00000000-0005-0000-0000-0000E7020000}"/>
    <cellStyle name="SAPBEXstdDataEmph 4" xfId="481" xr:uid="{00000000-0005-0000-0000-0000E8020000}"/>
    <cellStyle name="SAPBEXstdDataEmph 4 2" xfId="879" xr:uid="{00000000-0005-0000-0000-0000E9020000}"/>
    <cellStyle name="SAPBEXstdItem" xfId="230" xr:uid="{00000000-0005-0000-0000-0000EA020000}"/>
    <cellStyle name="SAPBEXstdItem 2" xfId="231" xr:uid="{00000000-0005-0000-0000-0000EB020000}"/>
    <cellStyle name="SAPBEXstdItem 2 2" xfId="581" xr:uid="{00000000-0005-0000-0000-0000EC020000}"/>
    <cellStyle name="SAPBEXstdItem 2 2 2" xfId="979" xr:uid="{00000000-0005-0000-0000-0000ED020000}"/>
    <cellStyle name="SAPBEXstdItem 2 3" xfId="484" xr:uid="{00000000-0005-0000-0000-0000EE020000}"/>
    <cellStyle name="SAPBEXstdItem 2 3 2" xfId="882" xr:uid="{00000000-0005-0000-0000-0000EF020000}"/>
    <cellStyle name="SAPBEXstdItem 2 4" xfId="479" xr:uid="{00000000-0005-0000-0000-0000F0020000}"/>
    <cellStyle name="SAPBEXstdItem 2 4 2" xfId="877" xr:uid="{00000000-0005-0000-0000-0000F1020000}"/>
    <cellStyle name="SAPBEXstdItem 3" xfId="232" xr:uid="{00000000-0005-0000-0000-0000F2020000}"/>
    <cellStyle name="SAPBEXstdItem 3 2" xfId="582" xr:uid="{00000000-0005-0000-0000-0000F3020000}"/>
    <cellStyle name="SAPBEXstdItem 3 2 2" xfId="980" xr:uid="{00000000-0005-0000-0000-0000F4020000}"/>
    <cellStyle name="SAPBEXstdItem 3 3" xfId="486" xr:uid="{00000000-0005-0000-0000-0000F5020000}"/>
    <cellStyle name="SAPBEXstdItem 3 3 2" xfId="884" xr:uid="{00000000-0005-0000-0000-0000F6020000}"/>
    <cellStyle name="SAPBEXstdItem 3 4" xfId="478" xr:uid="{00000000-0005-0000-0000-0000F7020000}"/>
    <cellStyle name="SAPBEXstdItem 3 4 2" xfId="876" xr:uid="{00000000-0005-0000-0000-0000F8020000}"/>
    <cellStyle name="SAPBEXstdItem 4" xfId="580" xr:uid="{00000000-0005-0000-0000-0000F9020000}"/>
    <cellStyle name="SAPBEXstdItem 4 2" xfId="978" xr:uid="{00000000-0005-0000-0000-0000FA020000}"/>
    <cellStyle name="SAPBEXstdItem 5" xfId="441" xr:uid="{00000000-0005-0000-0000-0000FB020000}"/>
    <cellStyle name="SAPBEXstdItem 5 2" xfId="839" xr:uid="{00000000-0005-0000-0000-0000FC020000}"/>
    <cellStyle name="SAPBEXstdItem 6" xfId="480" xr:uid="{00000000-0005-0000-0000-0000FD020000}"/>
    <cellStyle name="SAPBEXstdItem 6 2" xfId="878" xr:uid="{00000000-0005-0000-0000-0000FE020000}"/>
    <cellStyle name="SAPBEXstdItemX" xfId="233" xr:uid="{00000000-0005-0000-0000-0000FF020000}"/>
    <cellStyle name="SAPBEXstdItemX 2" xfId="583" xr:uid="{00000000-0005-0000-0000-000000030000}"/>
    <cellStyle name="SAPBEXstdItemX 2 2" xfId="981" xr:uid="{00000000-0005-0000-0000-000001030000}"/>
    <cellStyle name="SAPBEXstdItemX 3" xfId="485" xr:uid="{00000000-0005-0000-0000-000002030000}"/>
    <cellStyle name="SAPBEXstdItemX 3 2" xfId="883" xr:uid="{00000000-0005-0000-0000-000003030000}"/>
    <cellStyle name="SAPBEXstdItemX 4" xfId="635" xr:uid="{00000000-0005-0000-0000-000004030000}"/>
    <cellStyle name="SAPBEXstdItemX 4 2" xfId="1033" xr:uid="{00000000-0005-0000-0000-000005030000}"/>
    <cellStyle name="SAPBEXtitle" xfId="234" xr:uid="{00000000-0005-0000-0000-000006030000}"/>
    <cellStyle name="SAPBEXtitle 2" xfId="584" xr:uid="{00000000-0005-0000-0000-000007030000}"/>
    <cellStyle name="SAPBEXtitle 2 2" xfId="982" xr:uid="{00000000-0005-0000-0000-000008030000}"/>
    <cellStyle name="SAPBEXtitle 3" xfId="440" xr:uid="{00000000-0005-0000-0000-000009030000}"/>
    <cellStyle name="SAPBEXtitle 3 2" xfId="838" xr:uid="{00000000-0005-0000-0000-00000A030000}"/>
    <cellStyle name="SAPBEXtitle 4" xfId="647" xr:uid="{00000000-0005-0000-0000-00000B030000}"/>
    <cellStyle name="SAPBEXtitle 4 2" xfId="1045" xr:uid="{00000000-0005-0000-0000-00000C030000}"/>
    <cellStyle name="SAPBEXunassignedItem" xfId="235" xr:uid="{00000000-0005-0000-0000-00000D030000}"/>
    <cellStyle name="SAPBEXunassignedItem 2" xfId="236" xr:uid="{00000000-0005-0000-0000-00000E030000}"/>
    <cellStyle name="SAPBEXunassignedItem 3" xfId="237" xr:uid="{00000000-0005-0000-0000-00000F030000}"/>
    <cellStyle name="SAPBEXundefined" xfId="238" xr:uid="{00000000-0005-0000-0000-000010030000}"/>
    <cellStyle name="SAPBEXundefined 2" xfId="588" xr:uid="{00000000-0005-0000-0000-000011030000}"/>
    <cellStyle name="SAPBEXundefined 2 2" xfId="986" xr:uid="{00000000-0005-0000-0000-000012030000}"/>
    <cellStyle name="SAPBEXundefined 3" xfId="483" xr:uid="{00000000-0005-0000-0000-000013030000}"/>
    <cellStyle name="SAPBEXundefined 3 2" xfId="881" xr:uid="{00000000-0005-0000-0000-000014030000}"/>
    <cellStyle name="SAPBEXundefined 4" xfId="715" xr:uid="{00000000-0005-0000-0000-000015030000}"/>
    <cellStyle name="SAPBEXundefined 4 2" xfId="1110" xr:uid="{00000000-0005-0000-0000-000016030000}"/>
    <cellStyle name="Schlecht 2" xfId="239" xr:uid="{00000000-0005-0000-0000-000017030000}"/>
    <cellStyle name="Schlecht 2 2" xfId="240" xr:uid="{00000000-0005-0000-0000-000018030000}"/>
    <cellStyle name="Schlecht 3" xfId="241" xr:uid="{00000000-0005-0000-0000-000019030000}"/>
    <cellStyle name="Schlecht 4" xfId="242" xr:uid="{00000000-0005-0000-0000-00001A030000}"/>
    <cellStyle name="Sheet Title" xfId="243" xr:uid="{00000000-0005-0000-0000-00001B030000}"/>
    <cellStyle name="Standard" xfId="0" builtinId="0"/>
    <cellStyle name="Standard 10" xfId="12" xr:uid="{00000000-0005-0000-0000-00001D030000}"/>
    <cellStyle name="Standard 10 2" xfId="39" xr:uid="{00000000-0005-0000-0000-00001E030000}"/>
    <cellStyle name="Standard 10 2 2" xfId="245" xr:uid="{00000000-0005-0000-0000-00001F030000}"/>
    <cellStyle name="Standard 10 2 2 2" xfId="386" xr:uid="{00000000-0005-0000-0000-000020030000}"/>
    <cellStyle name="Standard 10 2 2 2 2" xfId="678" xr:uid="{00000000-0005-0000-0000-000021030000}"/>
    <cellStyle name="Standard 10 2 2 2 2 2" xfId="1076" xr:uid="{00000000-0005-0000-0000-000022030000}"/>
    <cellStyle name="Standard 10 2 2 2 3" xfId="809" xr:uid="{00000000-0005-0000-0000-000023030000}"/>
    <cellStyle name="Standard 10 2 2 3" xfId="595" xr:uid="{00000000-0005-0000-0000-000024030000}"/>
    <cellStyle name="Standard 10 2 2 3 2" xfId="993" xr:uid="{00000000-0005-0000-0000-000025030000}"/>
    <cellStyle name="Standard 10 2 2 4" xfId="770" xr:uid="{00000000-0005-0000-0000-000026030000}"/>
    <cellStyle name="Standard 10 2 3" xfId="332" xr:uid="{00000000-0005-0000-0000-000027030000}"/>
    <cellStyle name="Standard 10 3" xfId="244" xr:uid="{00000000-0005-0000-0000-000028030000}"/>
    <cellStyle name="Standard 10 3 2" xfId="385" xr:uid="{00000000-0005-0000-0000-000029030000}"/>
    <cellStyle name="Standard 10 3 2 2" xfId="677" xr:uid="{00000000-0005-0000-0000-00002A030000}"/>
    <cellStyle name="Standard 10 3 2 2 2" xfId="1075" xr:uid="{00000000-0005-0000-0000-00002B030000}"/>
    <cellStyle name="Standard 10 3 2 3" xfId="808" xr:uid="{00000000-0005-0000-0000-00002C030000}"/>
    <cellStyle name="Standard 10 3 3" xfId="594" xr:uid="{00000000-0005-0000-0000-00002D030000}"/>
    <cellStyle name="Standard 10 3 3 2" xfId="992" xr:uid="{00000000-0005-0000-0000-00002E030000}"/>
    <cellStyle name="Standard 10 3 4" xfId="769" xr:uid="{00000000-0005-0000-0000-00002F030000}"/>
    <cellStyle name="Standard 10 4" xfId="322" xr:uid="{00000000-0005-0000-0000-000030030000}"/>
    <cellStyle name="Standard 11" xfId="13" xr:uid="{00000000-0005-0000-0000-000031030000}"/>
    <cellStyle name="Standard 11 2" xfId="40" xr:uid="{00000000-0005-0000-0000-000032030000}"/>
    <cellStyle name="Standard 11 2 2" xfId="333" xr:uid="{00000000-0005-0000-0000-000033030000}"/>
    <cellStyle name="Standard 11 2 2 2" xfId="416" xr:uid="{00000000-0005-0000-0000-000034030000}"/>
    <cellStyle name="Standard 11 2 3" xfId="380" xr:uid="{00000000-0005-0000-0000-000035030000}"/>
    <cellStyle name="Standard 11 3" xfId="246" xr:uid="{00000000-0005-0000-0000-000036030000}"/>
    <cellStyle name="Standard 11 4" xfId="323" xr:uid="{00000000-0005-0000-0000-000037030000}"/>
    <cellStyle name="Standard 11 4 2" xfId="411" xr:uid="{00000000-0005-0000-0000-000038030000}"/>
    <cellStyle name="Standard 11 5" xfId="373" xr:uid="{00000000-0005-0000-0000-000039030000}"/>
    <cellStyle name="Standard 11 5 2" xfId="365" xr:uid="{00000000-0005-0000-0000-00003A030000}"/>
    <cellStyle name="Standard 12" xfId="14" xr:uid="{00000000-0005-0000-0000-00003B030000}"/>
    <cellStyle name="Standard 12 2" xfId="247" xr:uid="{00000000-0005-0000-0000-00003C030000}"/>
    <cellStyle name="Standard 12 3" xfId="324" xr:uid="{00000000-0005-0000-0000-00003D030000}"/>
    <cellStyle name="Standard 12 3 2" xfId="412" xr:uid="{00000000-0005-0000-0000-00003E030000}"/>
    <cellStyle name="Standard 12 3 2 2" xfId="693" xr:uid="{00000000-0005-0000-0000-00003F030000}"/>
    <cellStyle name="Standard 12 3 2 2 2" xfId="1091" xr:uid="{00000000-0005-0000-0000-000040030000}"/>
    <cellStyle name="Standard 12 3 2 3" xfId="823" xr:uid="{00000000-0005-0000-0000-000041030000}"/>
    <cellStyle name="Standard 12 3 3" xfId="640" xr:uid="{00000000-0005-0000-0000-000042030000}"/>
    <cellStyle name="Standard 12 3 3 2" xfId="1038" xr:uid="{00000000-0005-0000-0000-000043030000}"/>
    <cellStyle name="Standard 12 3 4" xfId="784" xr:uid="{00000000-0005-0000-0000-000044030000}"/>
    <cellStyle name="Standard 12 4" xfId="374" xr:uid="{00000000-0005-0000-0000-000045030000}"/>
    <cellStyle name="Standard 12 4 2" xfId="670" xr:uid="{00000000-0005-0000-0000-000046030000}"/>
    <cellStyle name="Standard 12 4 2 2" xfId="1068" xr:uid="{00000000-0005-0000-0000-000047030000}"/>
    <cellStyle name="Standard 12 4 3" xfId="800" xr:uid="{00000000-0005-0000-0000-000048030000}"/>
    <cellStyle name="Standard 12 5" xfId="445" xr:uid="{00000000-0005-0000-0000-000049030000}"/>
    <cellStyle name="Standard 12 5 2" xfId="843" xr:uid="{00000000-0005-0000-0000-00004A030000}"/>
    <cellStyle name="Standard 12 6" xfId="761" xr:uid="{00000000-0005-0000-0000-00004B030000}"/>
    <cellStyle name="Standard 13" xfId="42" xr:uid="{00000000-0005-0000-0000-00004C030000}"/>
    <cellStyle name="Standard 13 2" xfId="248" xr:uid="{00000000-0005-0000-0000-00004D030000}"/>
    <cellStyle name="Standard 13 3" xfId="335" xr:uid="{00000000-0005-0000-0000-00004E030000}"/>
    <cellStyle name="Standard 13 3 2" xfId="418" xr:uid="{00000000-0005-0000-0000-00004F030000}"/>
    <cellStyle name="Standard 13 4" xfId="382" xr:uid="{00000000-0005-0000-0000-000050030000}"/>
    <cellStyle name="Standard 14" xfId="78" xr:uid="{00000000-0005-0000-0000-000051030000}"/>
    <cellStyle name="Standard 14 2" xfId="342" xr:uid="{00000000-0005-0000-0000-000052030000}"/>
    <cellStyle name="Standard 15" xfId="80" xr:uid="{00000000-0005-0000-0000-000053030000}"/>
    <cellStyle name="Standard 16" xfId="82" xr:uid="{00000000-0005-0000-0000-000054030000}"/>
    <cellStyle name="Standard 16 2" xfId="384" xr:uid="{00000000-0005-0000-0000-000055030000}"/>
    <cellStyle name="Standard 16 2 2" xfId="676" xr:uid="{00000000-0005-0000-0000-000056030000}"/>
    <cellStyle name="Standard 16 2 2 2" xfId="1074" xr:uid="{00000000-0005-0000-0000-000057030000}"/>
    <cellStyle name="Standard 16 2 3" xfId="807" xr:uid="{00000000-0005-0000-0000-000058030000}"/>
    <cellStyle name="Standard 16 3" xfId="465" xr:uid="{00000000-0005-0000-0000-000059030000}"/>
    <cellStyle name="Standard 16 3 2" xfId="863" xr:uid="{00000000-0005-0000-0000-00005A030000}"/>
    <cellStyle name="Standard 16 4" xfId="768" xr:uid="{00000000-0005-0000-0000-00005B030000}"/>
    <cellStyle name="Standard 17" xfId="354" xr:uid="{00000000-0005-0000-0000-00005C030000}"/>
    <cellStyle name="Standard 17 2" xfId="430" xr:uid="{00000000-0005-0000-0000-00005D030000}"/>
    <cellStyle name="Standard 17 2 2" xfId="701" xr:uid="{00000000-0005-0000-0000-00005E030000}"/>
    <cellStyle name="Standard 17 2 2 2" xfId="1099" xr:uid="{00000000-0005-0000-0000-00005F030000}"/>
    <cellStyle name="Standard 17 2 3" xfId="828" xr:uid="{00000000-0005-0000-0000-000060030000}"/>
    <cellStyle name="Standard 17 3" xfId="657" xr:uid="{00000000-0005-0000-0000-000061030000}"/>
    <cellStyle name="Standard 17 3 2" xfId="1055" xr:uid="{00000000-0005-0000-0000-000062030000}"/>
    <cellStyle name="Standard 17 4" xfId="789" xr:uid="{00000000-0005-0000-0000-000063030000}"/>
    <cellStyle name="Standard 18" xfId="355" xr:uid="{00000000-0005-0000-0000-000064030000}"/>
    <cellStyle name="Standard 18 2" xfId="431" xr:uid="{00000000-0005-0000-0000-000065030000}"/>
    <cellStyle name="Standard 18 2 2" xfId="702" xr:uid="{00000000-0005-0000-0000-000066030000}"/>
    <cellStyle name="Standard 18 2 2 2" xfId="1100" xr:uid="{00000000-0005-0000-0000-000067030000}"/>
    <cellStyle name="Standard 18 2 3" xfId="829" xr:uid="{00000000-0005-0000-0000-000068030000}"/>
    <cellStyle name="Standard 18 3" xfId="658" xr:uid="{00000000-0005-0000-0000-000069030000}"/>
    <cellStyle name="Standard 18 3 2" xfId="1056" xr:uid="{00000000-0005-0000-0000-00006A030000}"/>
    <cellStyle name="Standard 18 4" xfId="790" xr:uid="{00000000-0005-0000-0000-00006B030000}"/>
    <cellStyle name="Standard 19" xfId="356" xr:uid="{00000000-0005-0000-0000-00006C030000}"/>
    <cellStyle name="Standard 2" xfId="15" xr:uid="{00000000-0005-0000-0000-00006D030000}"/>
    <cellStyle name="Standard 2 10" xfId="249" xr:uid="{00000000-0005-0000-0000-00006E030000}"/>
    <cellStyle name="Standard 2 11" xfId="250" xr:uid="{00000000-0005-0000-0000-00006F030000}"/>
    <cellStyle name="Standard 2 2" xfId="16" xr:uid="{00000000-0005-0000-0000-000070030000}"/>
    <cellStyle name="Standard 2 2 2" xfId="17" xr:uid="{00000000-0005-0000-0000-000071030000}"/>
    <cellStyle name="Standard 2 2 2 2" xfId="253" xr:uid="{00000000-0005-0000-0000-000072030000}"/>
    <cellStyle name="Standard 2 2 2 3" xfId="252" xr:uid="{00000000-0005-0000-0000-000073030000}"/>
    <cellStyle name="Standard 2 2 3" xfId="254" xr:uid="{00000000-0005-0000-0000-000074030000}"/>
    <cellStyle name="Standard 2 2 4" xfId="251" xr:uid="{00000000-0005-0000-0000-000075030000}"/>
    <cellStyle name="Standard 2 2_EEG-Vergütungen und vNNE" xfId="255" xr:uid="{00000000-0005-0000-0000-000076030000}"/>
    <cellStyle name="Standard 2 3" xfId="18" xr:uid="{00000000-0005-0000-0000-000077030000}"/>
    <cellStyle name="Standard 2 3 2" xfId="257" xr:uid="{00000000-0005-0000-0000-000078030000}"/>
    <cellStyle name="Standard 2 3 3" xfId="256" xr:uid="{00000000-0005-0000-0000-000079030000}"/>
    <cellStyle name="Standard 2 4" xfId="43" xr:uid="{00000000-0005-0000-0000-00007A030000}"/>
    <cellStyle name="Standard 2 4 2" xfId="258" xr:uid="{00000000-0005-0000-0000-00007B030000}"/>
    <cellStyle name="Standard 2 4 3" xfId="336" xr:uid="{00000000-0005-0000-0000-00007C030000}"/>
    <cellStyle name="Standard 2 5" xfId="79" xr:uid="{00000000-0005-0000-0000-00007D030000}"/>
    <cellStyle name="Standard 2 5 2" xfId="259" xr:uid="{00000000-0005-0000-0000-00007E030000}"/>
    <cellStyle name="Standard 2 5 3" xfId="343" xr:uid="{00000000-0005-0000-0000-00007F030000}"/>
    <cellStyle name="Standard 2 5 3 2" xfId="419" xr:uid="{00000000-0005-0000-0000-000080030000}"/>
    <cellStyle name="Standard 2 5 3 2 2" xfId="698" xr:uid="{00000000-0005-0000-0000-000081030000}"/>
    <cellStyle name="Standard 2 5 3 2 2 2" xfId="1096" xr:uid="{00000000-0005-0000-0000-000082030000}"/>
    <cellStyle name="Standard 2 5 3 2 3" xfId="827" xr:uid="{00000000-0005-0000-0000-000083030000}"/>
    <cellStyle name="Standard 2 5 3 3" xfId="652" xr:uid="{00000000-0005-0000-0000-000084030000}"/>
    <cellStyle name="Standard 2 5 3 3 2" xfId="1050" xr:uid="{00000000-0005-0000-0000-000085030000}"/>
    <cellStyle name="Standard 2 5 3 4" xfId="788" xr:uid="{00000000-0005-0000-0000-000086030000}"/>
    <cellStyle name="Standard 2 5 4" xfId="383" xr:uid="{00000000-0005-0000-0000-000087030000}"/>
    <cellStyle name="Standard 2 5 4 2" xfId="675" xr:uid="{00000000-0005-0000-0000-000088030000}"/>
    <cellStyle name="Standard 2 5 4 2 2" xfId="1073" xr:uid="{00000000-0005-0000-0000-000089030000}"/>
    <cellStyle name="Standard 2 5 4 3" xfId="806" xr:uid="{00000000-0005-0000-0000-00008A030000}"/>
    <cellStyle name="Standard 2 5 5" xfId="463" xr:uid="{00000000-0005-0000-0000-00008B030000}"/>
    <cellStyle name="Standard 2 5 5 2" xfId="861" xr:uid="{00000000-0005-0000-0000-00008C030000}"/>
    <cellStyle name="Standard 2 5 6" xfId="767" xr:uid="{00000000-0005-0000-0000-00008D030000}"/>
    <cellStyle name="Standard 2 6" xfId="260" xr:uid="{00000000-0005-0000-0000-00008E030000}"/>
    <cellStyle name="Standard 2 7" xfId="261" xr:uid="{00000000-0005-0000-0000-00008F030000}"/>
    <cellStyle name="Standard 2 8" xfId="262" xr:uid="{00000000-0005-0000-0000-000090030000}"/>
    <cellStyle name="Standard 2 9" xfId="263" xr:uid="{00000000-0005-0000-0000-000091030000}"/>
    <cellStyle name="Standard 20" xfId="706" xr:uid="{00000000-0005-0000-0000-000092030000}"/>
    <cellStyle name="Standard 20 2" xfId="1104" xr:uid="{00000000-0005-0000-0000-000093030000}"/>
    <cellStyle name="Standard 21" xfId="707" xr:uid="{00000000-0005-0000-0000-000094030000}"/>
    <cellStyle name="Standard 22" xfId="709" xr:uid="{00000000-0005-0000-0000-000095030000}"/>
    <cellStyle name="Standard 23" xfId="708" xr:uid="{00000000-0005-0000-0000-000096030000}"/>
    <cellStyle name="Standard 24" xfId="710" xr:uid="{00000000-0005-0000-0000-000097030000}"/>
    <cellStyle name="Standard 24 2" xfId="1105" xr:uid="{00000000-0005-0000-0000-000098030000}"/>
    <cellStyle name="Standard 3" xfId="19" xr:uid="{00000000-0005-0000-0000-000099030000}"/>
    <cellStyle name="Standard 3 2" xfId="20" xr:uid="{00000000-0005-0000-0000-00009A030000}"/>
    <cellStyle name="Standard 3 2 2" xfId="266" xr:uid="{00000000-0005-0000-0000-00009B030000}"/>
    <cellStyle name="Standard 3 2 3" xfId="265" xr:uid="{00000000-0005-0000-0000-00009C030000}"/>
    <cellStyle name="Standard 3 3" xfId="267" xr:uid="{00000000-0005-0000-0000-00009D030000}"/>
    <cellStyle name="Standard 3 3 2" xfId="268" xr:uid="{00000000-0005-0000-0000-00009E030000}"/>
    <cellStyle name="Standard 3 4" xfId="269" xr:uid="{00000000-0005-0000-0000-00009F030000}"/>
    <cellStyle name="Standard 3 4 2" xfId="344" xr:uid="{00000000-0005-0000-0000-0000A0030000}"/>
    <cellStyle name="Standard 3 4 2 2" xfId="420" xr:uid="{00000000-0005-0000-0000-0000A1030000}"/>
    <cellStyle name="Standard 3 4 3" xfId="387" xr:uid="{00000000-0005-0000-0000-0000A2030000}"/>
    <cellStyle name="Standard 3 5" xfId="270" xr:uid="{00000000-0005-0000-0000-0000A3030000}"/>
    <cellStyle name="Standard 3 5 2" xfId="345" xr:uid="{00000000-0005-0000-0000-0000A4030000}"/>
    <cellStyle name="Standard 3 5 2 2" xfId="421" xr:uid="{00000000-0005-0000-0000-0000A5030000}"/>
    <cellStyle name="Standard 3 5 3" xfId="388" xr:uid="{00000000-0005-0000-0000-0000A6030000}"/>
    <cellStyle name="Standard 3 6" xfId="271" xr:uid="{00000000-0005-0000-0000-0000A7030000}"/>
    <cellStyle name="Standard 3 7" xfId="264" xr:uid="{00000000-0005-0000-0000-0000A8030000}"/>
    <cellStyle name="Standard 3 8" xfId="360" xr:uid="{00000000-0005-0000-0000-0000A9030000}"/>
    <cellStyle name="Standard 4" xfId="21" xr:uid="{00000000-0005-0000-0000-0000AA030000}"/>
    <cellStyle name="Standard 4 2" xfId="22" xr:uid="{00000000-0005-0000-0000-0000AB030000}"/>
    <cellStyle name="Standard 4 2 2" xfId="274" xr:uid="{00000000-0005-0000-0000-0000AC030000}"/>
    <cellStyle name="Standard 4 2 2 2" xfId="348" xr:uid="{00000000-0005-0000-0000-0000AD030000}"/>
    <cellStyle name="Standard 4 2 2 2 2" xfId="424" xr:uid="{00000000-0005-0000-0000-0000AE030000}"/>
    <cellStyle name="Standard 4 2 2 3" xfId="391" xr:uid="{00000000-0005-0000-0000-0000AF030000}"/>
    <cellStyle name="Standard 4 2 3" xfId="273" xr:uid="{00000000-0005-0000-0000-0000B0030000}"/>
    <cellStyle name="Standard 4 2 3 2" xfId="347" xr:uid="{00000000-0005-0000-0000-0000B1030000}"/>
    <cellStyle name="Standard 4 2 3 2 2" xfId="423" xr:uid="{00000000-0005-0000-0000-0000B2030000}"/>
    <cellStyle name="Standard 4 2 3 3" xfId="390" xr:uid="{00000000-0005-0000-0000-0000B3030000}"/>
    <cellStyle name="Standard 4 2 4" xfId="325" xr:uid="{00000000-0005-0000-0000-0000B4030000}"/>
    <cellStyle name="Standard 4 3" xfId="23" xr:uid="{00000000-0005-0000-0000-0000B5030000}"/>
    <cellStyle name="Standard 4 3 2" xfId="275" xr:uid="{00000000-0005-0000-0000-0000B6030000}"/>
    <cellStyle name="Standard 4 3 2 2" xfId="349" xr:uid="{00000000-0005-0000-0000-0000B7030000}"/>
    <cellStyle name="Standard 4 3 2 2 2" xfId="425" xr:uid="{00000000-0005-0000-0000-0000B8030000}"/>
    <cellStyle name="Standard 4 3 2 3" xfId="392" xr:uid="{00000000-0005-0000-0000-0000B9030000}"/>
    <cellStyle name="Standard 4 3 3" xfId="326" xr:uid="{00000000-0005-0000-0000-0000BA030000}"/>
    <cellStyle name="Standard 4 4" xfId="276" xr:uid="{00000000-0005-0000-0000-0000BB030000}"/>
    <cellStyle name="Standard 4 4 2" xfId="350" xr:uid="{00000000-0005-0000-0000-0000BC030000}"/>
    <cellStyle name="Standard 4 4 2 2" xfId="426" xr:uid="{00000000-0005-0000-0000-0000BD030000}"/>
    <cellStyle name="Standard 4 4 3" xfId="393" xr:uid="{00000000-0005-0000-0000-0000BE030000}"/>
    <cellStyle name="Standard 4 5" xfId="277" xr:uid="{00000000-0005-0000-0000-0000BF030000}"/>
    <cellStyle name="Standard 4 6" xfId="272" xr:uid="{00000000-0005-0000-0000-0000C0030000}"/>
    <cellStyle name="Standard 4 6 2" xfId="346" xr:uid="{00000000-0005-0000-0000-0000C1030000}"/>
    <cellStyle name="Standard 4 6 2 2" xfId="422" xr:uid="{00000000-0005-0000-0000-0000C2030000}"/>
    <cellStyle name="Standard 4 6 3" xfId="389" xr:uid="{00000000-0005-0000-0000-0000C3030000}"/>
    <cellStyle name="Standard 4 7" xfId="361" xr:uid="{00000000-0005-0000-0000-0000C4030000}"/>
    <cellStyle name="Standard 4 7 2" xfId="432" xr:uid="{00000000-0005-0000-0000-0000C5030000}"/>
    <cellStyle name="Standard 4 7 2 2" xfId="703" xr:uid="{00000000-0005-0000-0000-0000C6030000}"/>
    <cellStyle name="Standard 4 7 2 2 2" xfId="1101" xr:uid="{00000000-0005-0000-0000-0000C7030000}"/>
    <cellStyle name="Standard 4 7 2 3" xfId="830" xr:uid="{00000000-0005-0000-0000-0000C8030000}"/>
    <cellStyle name="Standard 4 7 3" xfId="663" xr:uid="{00000000-0005-0000-0000-0000C9030000}"/>
    <cellStyle name="Standard 4 7 3 2" xfId="1061" xr:uid="{00000000-0005-0000-0000-0000CA030000}"/>
    <cellStyle name="Standard 4 7 4" xfId="791" xr:uid="{00000000-0005-0000-0000-0000CB030000}"/>
    <cellStyle name="Standard 5" xfId="24" xr:uid="{00000000-0005-0000-0000-0000CC030000}"/>
    <cellStyle name="Standard 5 2" xfId="279" xr:uid="{00000000-0005-0000-0000-0000CD030000}"/>
    <cellStyle name="Standard 5 2 2" xfId="280" xr:uid="{00000000-0005-0000-0000-0000CE030000}"/>
    <cellStyle name="Standard 5 3" xfId="281" xr:uid="{00000000-0005-0000-0000-0000CF030000}"/>
    <cellStyle name="Standard 5 4" xfId="278" xr:uid="{00000000-0005-0000-0000-0000D0030000}"/>
    <cellStyle name="Standard 5 4 2" xfId="351" xr:uid="{00000000-0005-0000-0000-0000D1030000}"/>
    <cellStyle name="Standard 5 4 2 2" xfId="427" xr:uid="{00000000-0005-0000-0000-0000D2030000}"/>
    <cellStyle name="Standard 5 4 3" xfId="394" xr:uid="{00000000-0005-0000-0000-0000D3030000}"/>
    <cellStyle name="Standard 6" xfId="25" xr:uid="{00000000-0005-0000-0000-0000D4030000}"/>
    <cellStyle name="Standard 6 2" xfId="283" xr:uid="{00000000-0005-0000-0000-0000D5030000}"/>
    <cellStyle name="Standard 6 2 2" xfId="395" xr:uid="{00000000-0005-0000-0000-0000D6030000}"/>
    <cellStyle name="Standard 6 2 2 2" xfId="684" xr:uid="{00000000-0005-0000-0000-0000D7030000}"/>
    <cellStyle name="Standard 6 2 2 2 2" xfId="1082" xr:uid="{00000000-0005-0000-0000-0000D8030000}"/>
    <cellStyle name="Standard 6 2 2 3" xfId="810" xr:uid="{00000000-0005-0000-0000-0000D9030000}"/>
    <cellStyle name="Standard 6 2 3" xfId="622" xr:uid="{00000000-0005-0000-0000-0000DA030000}"/>
    <cellStyle name="Standard 6 2 3 2" xfId="1020" xr:uid="{00000000-0005-0000-0000-0000DB030000}"/>
    <cellStyle name="Standard 6 2 4" xfId="771" xr:uid="{00000000-0005-0000-0000-0000DC030000}"/>
    <cellStyle name="Standard 6 3" xfId="284" xr:uid="{00000000-0005-0000-0000-0000DD030000}"/>
    <cellStyle name="Standard 6 4" xfId="282" xr:uid="{00000000-0005-0000-0000-0000DE030000}"/>
    <cellStyle name="Standard 7" xfId="26" xr:uid="{00000000-0005-0000-0000-0000DF030000}"/>
    <cellStyle name="Standard 7 2" xfId="286" xr:uid="{00000000-0005-0000-0000-0000E0030000}"/>
    <cellStyle name="Standard 7 2 2" xfId="353" xr:uid="{00000000-0005-0000-0000-0000E1030000}"/>
    <cellStyle name="Standard 7 2 2 2" xfId="429" xr:uid="{00000000-0005-0000-0000-0000E2030000}"/>
    <cellStyle name="Standard 7 2 3" xfId="397" xr:uid="{00000000-0005-0000-0000-0000E3030000}"/>
    <cellStyle name="Standard 7 3" xfId="287" xr:uid="{00000000-0005-0000-0000-0000E4030000}"/>
    <cellStyle name="Standard 7 3 2" xfId="398" xr:uid="{00000000-0005-0000-0000-0000E5030000}"/>
    <cellStyle name="Standard 7 3 2 2" xfId="686" xr:uid="{00000000-0005-0000-0000-0000E6030000}"/>
    <cellStyle name="Standard 7 3 2 2 2" xfId="1084" xr:uid="{00000000-0005-0000-0000-0000E7030000}"/>
    <cellStyle name="Standard 7 3 2 3" xfId="811" xr:uid="{00000000-0005-0000-0000-0000E8030000}"/>
    <cellStyle name="Standard 7 3 3" xfId="625" xr:uid="{00000000-0005-0000-0000-0000E9030000}"/>
    <cellStyle name="Standard 7 3 3 2" xfId="1023" xr:uid="{00000000-0005-0000-0000-0000EA030000}"/>
    <cellStyle name="Standard 7 3 4" xfId="772" xr:uid="{00000000-0005-0000-0000-0000EB030000}"/>
    <cellStyle name="Standard 7 4" xfId="285" xr:uid="{00000000-0005-0000-0000-0000EC030000}"/>
    <cellStyle name="Standard 7 4 2" xfId="352" xr:uid="{00000000-0005-0000-0000-0000ED030000}"/>
    <cellStyle name="Standard 7 4 2 2" xfId="428" xr:uid="{00000000-0005-0000-0000-0000EE030000}"/>
    <cellStyle name="Standard 7 4 3" xfId="396" xr:uid="{00000000-0005-0000-0000-0000EF030000}"/>
    <cellStyle name="Standard 7 5" xfId="327" xr:uid="{00000000-0005-0000-0000-0000F0030000}"/>
    <cellStyle name="Standard 8" xfId="27" xr:uid="{00000000-0005-0000-0000-0000F1030000}"/>
    <cellStyle name="Standard 8 2" xfId="289" xr:uid="{00000000-0005-0000-0000-0000F2030000}"/>
    <cellStyle name="Standard 8 2 2" xfId="399" xr:uid="{00000000-0005-0000-0000-0000F3030000}"/>
    <cellStyle name="Standard 8 2 2 2" xfId="687" xr:uid="{00000000-0005-0000-0000-0000F4030000}"/>
    <cellStyle name="Standard 8 2 2 2 2" xfId="1085" xr:uid="{00000000-0005-0000-0000-0000F5030000}"/>
    <cellStyle name="Standard 8 2 2 3" xfId="812" xr:uid="{00000000-0005-0000-0000-0000F6030000}"/>
    <cellStyle name="Standard 8 2 3" xfId="626" xr:uid="{00000000-0005-0000-0000-0000F7030000}"/>
    <cellStyle name="Standard 8 2 3 2" xfId="1024" xr:uid="{00000000-0005-0000-0000-0000F8030000}"/>
    <cellStyle name="Standard 8 2 4" xfId="773" xr:uid="{00000000-0005-0000-0000-0000F9030000}"/>
    <cellStyle name="Standard 8 3" xfId="290" xr:uid="{00000000-0005-0000-0000-0000FA030000}"/>
    <cellStyle name="Standard 8 4" xfId="288" xr:uid="{00000000-0005-0000-0000-0000FB030000}"/>
    <cellStyle name="Standard 9" xfId="28" xr:uid="{00000000-0005-0000-0000-0000FC030000}"/>
    <cellStyle name="Standard 9 2" xfId="292" xr:uid="{00000000-0005-0000-0000-0000FD030000}"/>
    <cellStyle name="Standard 9 2 2" xfId="293" xr:uid="{00000000-0005-0000-0000-0000FE030000}"/>
    <cellStyle name="Standard 9 3" xfId="294" xr:uid="{00000000-0005-0000-0000-0000FF030000}"/>
    <cellStyle name="Standard 9 3 2" xfId="401" xr:uid="{00000000-0005-0000-0000-000000040000}"/>
    <cellStyle name="Standard 9 3 2 2" xfId="689" xr:uid="{00000000-0005-0000-0000-000001040000}"/>
    <cellStyle name="Standard 9 3 2 2 2" xfId="1087" xr:uid="{00000000-0005-0000-0000-000002040000}"/>
    <cellStyle name="Standard 9 3 2 3" xfId="814" xr:uid="{00000000-0005-0000-0000-000003040000}"/>
    <cellStyle name="Standard 9 3 3" xfId="628" xr:uid="{00000000-0005-0000-0000-000004040000}"/>
    <cellStyle name="Standard 9 3 3 2" xfId="1026" xr:uid="{00000000-0005-0000-0000-000005040000}"/>
    <cellStyle name="Standard 9 3 4" xfId="775" xr:uid="{00000000-0005-0000-0000-000006040000}"/>
    <cellStyle name="Standard 9 4" xfId="295" xr:uid="{00000000-0005-0000-0000-000007040000}"/>
    <cellStyle name="Standard 9 4 2" xfId="402" xr:uid="{00000000-0005-0000-0000-000008040000}"/>
    <cellStyle name="Standard 9 4 2 2" xfId="690" xr:uid="{00000000-0005-0000-0000-000009040000}"/>
    <cellStyle name="Standard 9 4 2 2 2" xfId="1088" xr:uid="{00000000-0005-0000-0000-00000A040000}"/>
    <cellStyle name="Standard 9 4 2 3" xfId="815" xr:uid="{00000000-0005-0000-0000-00000B040000}"/>
    <cellStyle name="Standard 9 4 3" xfId="629" xr:uid="{00000000-0005-0000-0000-00000C040000}"/>
    <cellStyle name="Standard 9 4 3 2" xfId="1027" xr:uid="{00000000-0005-0000-0000-00000D040000}"/>
    <cellStyle name="Standard 9 4 4" xfId="776" xr:uid="{00000000-0005-0000-0000-00000E040000}"/>
    <cellStyle name="Standard 9 5" xfId="291" xr:uid="{00000000-0005-0000-0000-00000F040000}"/>
    <cellStyle name="Standard 9 5 2" xfId="400" xr:uid="{00000000-0005-0000-0000-000010040000}"/>
    <cellStyle name="Standard 9 5 2 2" xfId="688" xr:uid="{00000000-0005-0000-0000-000011040000}"/>
    <cellStyle name="Standard 9 5 2 2 2" xfId="1086" xr:uid="{00000000-0005-0000-0000-000012040000}"/>
    <cellStyle name="Standard 9 5 2 3" xfId="813" xr:uid="{00000000-0005-0000-0000-000013040000}"/>
    <cellStyle name="Standard 9 5 3" xfId="627" xr:uid="{00000000-0005-0000-0000-000014040000}"/>
    <cellStyle name="Standard 9 5 3 2" xfId="1025" xr:uid="{00000000-0005-0000-0000-000015040000}"/>
    <cellStyle name="Standard 9 5 4" xfId="774" xr:uid="{00000000-0005-0000-0000-000016040000}"/>
    <cellStyle name="Tabelle Text 10" xfId="49" xr:uid="{00000000-0005-0000-0000-000017040000}"/>
    <cellStyle name="Tabelle Text 10 2" xfId="337" xr:uid="{00000000-0005-0000-0000-000018040000}"/>
    <cellStyle name="Tabelle Text 10 Z" xfId="50" xr:uid="{00000000-0005-0000-0000-000019040000}"/>
    <cellStyle name="Tabelle Text 10 Z 2" xfId="338" xr:uid="{00000000-0005-0000-0000-00001A040000}"/>
    <cellStyle name="Tabelle Text 11" xfId="51" xr:uid="{00000000-0005-0000-0000-00001B040000}"/>
    <cellStyle name="Tabelle Text 11 Z" xfId="52" xr:uid="{00000000-0005-0000-0000-00001C040000}"/>
    <cellStyle name="Tabelle Text 12" xfId="53" xr:uid="{00000000-0005-0000-0000-00001D040000}"/>
    <cellStyle name="Tabelle Text 12 Z" xfId="54" xr:uid="{00000000-0005-0000-0000-00001E040000}"/>
    <cellStyle name="Tabelle Text 8" xfId="55" xr:uid="{00000000-0005-0000-0000-00001F040000}"/>
    <cellStyle name="Tabelle Text 8 Z" xfId="56" xr:uid="{00000000-0005-0000-0000-000020040000}"/>
    <cellStyle name="Tabelle Text 9" xfId="29" xr:uid="{00000000-0005-0000-0000-000021040000}"/>
    <cellStyle name="Tabelle Text 9 2" xfId="57" xr:uid="{00000000-0005-0000-0000-000022040000}"/>
    <cellStyle name="Tabelle Text 9 Z" xfId="58" xr:uid="{00000000-0005-0000-0000-000023040000}"/>
    <cellStyle name="Tabelle Überschrift 10" xfId="59" xr:uid="{00000000-0005-0000-0000-000024040000}"/>
    <cellStyle name="Tabelle Überschrift 11" xfId="60" xr:uid="{00000000-0005-0000-0000-000025040000}"/>
    <cellStyle name="Tabelle Überschrift 12" xfId="61" xr:uid="{00000000-0005-0000-0000-000026040000}"/>
    <cellStyle name="Tabelle Überschrift 8" xfId="62" xr:uid="{00000000-0005-0000-0000-000027040000}"/>
    <cellStyle name="Tabelle Überschrift 9" xfId="30" xr:uid="{00000000-0005-0000-0000-000028040000}"/>
    <cellStyle name="Tabelle Überschrift 9 2" xfId="63" xr:uid="{00000000-0005-0000-0000-000029040000}"/>
    <cellStyle name="Tabelle Zahl 0 10" xfId="64" xr:uid="{00000000-0005-0000-0000-00002A040000}"/>
    <cellStyle name="Tabelle Zahl 0 10 2" xfId="339" xr:uid="{00000000-0005-0000-0000-00002B040000}"/>
    <cellStyle name="Tabelle Zahl 0 11" xfId="65" xr:uid="{00000000-0005-0000-0000-00002C040000}"/>
    <cellStyle name="Tabelle Zahl 0 12" xfId="66" xr:uid="{00000000-0005-0000-0000-00002D040000}"/>
    <cellStyle name="Tabelle Zahl 0 8" xfId="67" xr:uid="{00000000-0005-0000-0000-00002E040000}"/>
    <cellStyle name="Tabelle Zahl 0 9" xfId="31" xr:uid="{00000000-0005-0000-0000-00002F040000}"/>
    <cellStyle name="Tabelle Zahl 0 9 2" xfId="32" xr:uid="{00000000-0005-0000-0000-000030040000}"/>
    <cellStyle name="Tabelle Zahl 1 10" xfId="68" xr:uid="{00000000-0005-0000-0000-000031040000}"/>
    <cellStyle name="Tabelle Zahl 1 10 2" xfId="340" xr:uid="{00000000-0005-0000-0000-000032040000}"/>
    <cellStyle name="Tabelle Zahl 1 11" xfId="69" xr:uid="{00000000-0005-0000-0000-000033040000}"/>
    <cellStyle name="Tabelle Zahl 1 12" xfId="70" xr:uid="{00000000-0005-0000-0000-000034040000}"/>
    <cellStyle name="Tabelle Zahl 1 8" xfId="71" xr:uid="{00000000-0005-0000-0000-000035040000}"/>
    <cellStyle name="Tabelle Zahl 1 9" xfId="72" xr:uid="{00000000-0005-0000-0000-000036040000}"/>
    <cellStyle name="Tabelle Zahl 2 10" xfId="73" xr:uid="{00000000-0005-0000-0000-000037040000}"/>
    <cellStyle name="Tabelle Zahl 2 10 2" xfId="341" xr:uid="{00000000-0005-0000-0000-000038040000}"/>
    <cellStyle name="Tabelle Zahl 2 11" xfId="74" xr:uid="{00000000-0005-0000-0000-000039040000}"/>
    <cellStyle name="Tabelle Zahl 2 12" xfId="75" xr:uid="{00000000-0005-0000-0000-00003A040000}"/>
    <cellStyle name="Tabelle Zahl 2 8" xfId="76" xr:uid="{00000000-0005-0000-0000-00003B040000}"/>
    <cellStyle name="Tabelle Zahl 2 9" xfId="77" xr:uid="{00000000-0005-0000-0000-00003C040000}"/>
    <cellStyle name="Überschrift 1 2" xfId="296" xr:uid="{00000000-0005-0000-0000-00003D040000}"/>
    <cellStyle name="Überschrift 1 3" xfId="297" xr:uid="{00000000-0005-0000-0000-00003E040000}"/>
    <cellStyle name="Überschrift 2 2" xfId="298" xr:uid="{00000000-0005-0000-0000-00003F040000}"/>
    <cellStyle name="Überschrift 2 3" xfId="299" xr:uid="{00000000-0005-0000-0000-000040040000}"/>
    <cellStyle name="Überschrift 3 2" xfId="300" xr:uid="{00000000-0005-0000-0000-000041040000}"/>
    <cellStyle name="Überschrift 3 3" xfId="301" xr:uid="{00000000-0005-0000-0000-000042040000}"/>
    <cellStyle name="Überschrift 4 2" xfId="302" xr:uid="{00000000-0005-0000-0000-000043040000}"/>
    <cellStyle name="Überschrift 4 3" xfId="303" xr:uid="{00000000-0005-0000-0000-000044040000}"/>
    <cellStyle name="Verknüpfte Zelle 2" xfId="304" xr:uid="{00000000-0005-0000-0000-000045040000}"/>
    <cellStyle name="Verknüpfte Zelle 3" xfId="305" xr:uid="{00000000-0005-0000-0000-000046040000}"/>
    <cellStyle name="Währung" xfId="1153" builtinId="4"/>
    <cellStyle name="Währung 2" xfId="33" xr:uid="{00000000-0005-0000-0000-000047040000}"/>
    <cellStyle name="Währung 2 2" xfId="307" xr:uid="{00000000-0005-0000-0000-000048040000}"/>
    <cellStyle name="Währung 2 2 2" xfId="404" xr:uid="{00000000-0005-0000-0000-000049040000}"/>
    <cellStyle name="Währung 2 2 2 2" xfId="817" xr:uid="{00000000-0005-0000-0000-00004A040000}"/>
    <cellStyle name="Währung 2 2 3" xfId="778" xr:uid="{00000000-0005-0000-0000-00004B040000}"/>
    <cellStyle name="Währung 2 3" xfId="306" xr:uid="{00000000-0005-0000-0000-00004C040000}"/>
    <cellStyle name="Währung 2 3 2" xfId="403" xr:uid="{00000000-0005-0000-0000-00004D040000}"/>
    <cellStyle name="Währung 2 3 2 2" xfId="816" xr:uid="{00000000-0005-0000-0000-00004E040000}"/>
    <cellStyle name="Währung 2 3 3" xfId="777" xr:uid="{00000000-0005-0000-0000-00004F040000}"/>
    <cellStyle name="Währung 2 4" xfId="375" xr:uid="{00000000-0005-0000-0000-000050040000}"/>
    <cellStyle name="Währung 2 4 2" xfId="801" xr:uid="{00000000-0005-0000-0000-000051040000}"/>
    <cellStyle name="Währung 2 5" xfId="762" xr:uid="{00000000-0005-0000-0000-000052040000}"/>
    <cellStyle name="Währung 3" xfId="34" xr:uid="{00000000-0005-0000-0000-000053040000}"/>
    <cellStyle name="Währung 3 2" xfId="309" xr:uid="{00000000-0005-0000-0000-000054040000}"/>
    <cellStyle name="Währung 3 2 2" xfId="406" xr:uid="{00000000-0005-0000-0000-000055040000}"/>
    <cellStyle name="Währung 3 2 2 2" xfId="819" xr:uid="{00000000-0005-0000-0000-000056040000}"/>
    <cellStyle name="Währung 3 2 3" xfId="780" xr:uid="{00000000-0005-0000-0000-000057040000}"/>
    <cellStyle name="Währung 3 3" xfId="308" xr:uid="{00000000-0005-0000-0000-000058040000}"/>
    <cellStyle name="Währung 3 3 2" xfId="405" xr:uid="{00000000-0005-0000-0000-000059040000}"/>
    <cellStyle name="Währung 3 3 2 2" xfId="818" xr:uid="{00000000-0005-0000-0000-00005A040000}"/>
    <cellStyle name="Währung 3 3 3" xfId="779" xr:uid="{00000000-0005-0000-0000-00005B040000}"/>
    <cellStyle name="Währung 3 4" xfId="376" xr:uid="{00000000-0005-0000-0000-00005C040000}"/>
    <cellStyle name="Währung 3 4 2" xfId="802" xr:uid="{00000000-0005-0000-0000-00005D040000}"/>
    <cellStyle name="Währung 3 5" xfId="763" xr:uid="{00000000-0005-0000-0000-00005E040000}"/>
    <cellStyle name="Währung 4" xfId="35" xr:uid="{00000000-0005-0000-0000-00005F040000}"/>
    <cellStyle name="Währung 4 2" xfId="328" xr:uid="{00000000-0005-0000-0000-000060040000}"/>
    <cellStyle name="Währung 4 2 2" xfId="413" xr:uid="{00000000-0005-0000-0000-000061040000}"/>
    <cellStyle name="Währung 4 2 2 2" xfId="824" xr:uid="{00000000-0005-0000-0000-000062040000}"/>
    <cellStyle name="Währung 4 2 3" xfId="785" xr:uid="{00000000-0005-0000-0000-000063040000}"/>
    <cellStyle name="Währung 4 3" xfId="377" xr:uid="{00000000-0005-0000-0000-000064040000}"/>
    <cellStyle name="Währung 4 3 2" xfId="803" xr:uid="{00000000-0005-0000-0000-000065040000}"/>
    <cellStyle name="Währung 4 4" xfId="764" xr:uid="{00000000-0005-0000-0000-000066040000}"/>
    <cellStyle name="Währung 5" xfId="36" xr:uid="{00000000-0005-0000-0000-000067040000}"/>
    <cellStyle name="Währung 5 2" xfId="41" xr:uid="{00000000-0005-0000-0000-000068040000}"/>
    <cellStyle name="Währung 5 2 2" xfId="334" xr:uid="{00000000-0005-0000-0000-000069040000}"/>
    <cellStyle name="Währung 5 2 2 2" xfId="417" xr:uid="{00000000-0005-0000-0000-00006A040000}"/>
    <cellStyle name="Währung 5 2 2 2 2" xfId="826" xr:uid="{00000000-0005-0000-0000-00006B040000}"/>
    <cellStyle name="Währung 5 2 2 3" xfId="787" xr:uid="{00000000-0005-0000-0000-00006C040000}"/>
    <cellStyle name="Währung 5 2 3" xfId="381" xr:uid="{00000000-0005-0000-0000-00006D040000}"/>
    <cellStyle name="Währung 5 2 3 2" xfId="805" xr:uid="{00000000-0005-0000-0000-00006E040000}"/>
    <cellStyle name="Währung 5 2 4" xfId="766" xr:uid="{00000000-0005-0000-0000-00006F040000}"/>
    <cellStyle name="Währung 5 3" xfId="329" xr:uid="{00000000-0005-0000-0000-000070040000}"/>
    <cellStyle name="Währung 5 3 2" xfId="414" xr:uid="{00000000-0005-0000-0000-000071040000}"/>
    <cellStyle name="Währung 5 3 2 2" xfId="825" xr:uid="{00000000-0005-0000-0000-000072040000}"/>
    <cellStyle name="Währung 5 3 3" xfId="786" xr:uid="{00000000-0005-0000-0000-000073040000}"/>
    <cellStyle name="Währung 5 4" xfId="378" xr:uid="{00000000-0005-0000-0000-000074040000}"/>
    <cellStyle name="Währung 5 4 2" xfId="804" xr:uid="{00000000-0005-0000-0000-000075040000}"/>
    <cellStyle name="Währung 5 5" xfId="765" xr:uid="{00000000-0005-0000-0000-000076040000}"/>
    <cellStyle name="Währung 6" xfId="363" xr:uid="{00000000-0005-0000-0000-000077040000}"/>
    <cellStyle name="Währung 6 2" xfId="434" xr:uid="{00000000-0005-0000-0000-000078040000}"/>
    <cellStyle name="Währung 6 2 2" xfId="832" xr:uid="{00000000-0005-0000-0000-000079040000}"/>
    <cellStyle name="Währung 6 3" xfId="793" xr:uid="{00000000-0005-0000-0000-00007A040000}"/>
    <cellStyle name="Währung 7" xfId="362" xr:uid="{00000000-0005-0000-0000-00007B040000}"/>
    <cellStyle name="Währung 7 2" xfId="433" xr:uid="{00000000-0005-0000-0000-00007C040000}"/>
    <cellStyle name="Währung 7 2 2" xfId="831" xr:uid="{00000000-0005-0000-0000-00007D040000}"/>
    <cellStyle name="Währung 7 3" xfId="792" xr:uid="{00000000-0005-0000-0000-00007E040000}"/>
    <cellStyle name="Warnender Text 2" xfId="310" xr:uid="{00000000-0005-0000-0000-00007F040000}"/>
    <cellStyle name="Warnender Text 3" xfId="311" xr:uid="{00000000-0005-0000-0000-000080040000}"/>
    <cellStyle name="Zelle überprüfen 2" xfId="312" xr:uid="{00000000-0005-0000-0000-000081040000}"/>
    <cellStyle name="Zelle überprüfen 3" xfId="313" xr:uid="{00000000-0005-0000-0000-000082040000}"/>
  </cellStyles>
  <dxfs count="0"/>
  <tableStyles count="0" defaultTableStyle="TableStyleMedium9" defaultPivotStyle="PivotStyleLight16"/>
  <colors>
    <mruColors>
      <color rgb="FFFFFFCC"/>
      <color rgb="FFFFFF99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Bühler Holger-Peter" id="{9147670A-25BE-400F-B704-119E2F9914DB}" userId="S::h.buehler_transnetbw.de#ext#@tsonetworkde.onmicrosoft.com::6e50ed05-5061-4f72-a174-c5d2a06c45ec" providerId="AD"/>
</personList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836" dT="2025-09-03T05:41:45.12" personId="{9147670A-25BE-400F-B704-119E2F9914DB}" id="{6A53519C-8830-4C64-A0CC-49D217A1AE7B}">
    <text xml:space="preserve">Wert korrigiert. RZ-Testierter Wert nicht korrekt. In Absprache mit RZ Testierer und D-Testierer erfolgt die Erfassung des richtigen Wertes. 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../../../../../../../../:w:/r/sites/lk_sn/_layouts/15/Doc.aspx?sourcedoc=%7B795C1C2E-072D-4E82-9EB3-77A935165E8E%7D&amp;file=LK%20SN%20Beschlussliste%2013.03.2025.docx&amp;wdLOR=cA2051713-4E7E-491A-A7F4-265F23D59EA4&amp;action=default&amp;mobileredirect=true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5DED4-E33A-4493-AABD-2089C6D85705}">
  <sheetPr codeName="Tabelle7">
    <tabColor rgb="FFFF0000"/>
    <pageSetUpPr fitToPage="1"/>
  </sheetPr>
  <dimension ref="A2:C110"/>
  <sheetViews>
    <sheetView workbookViewId="0">
      <selection activeCell="N111" sqref="N111"/>
    </sheetView>
  </sheetViews>
  <sheetFormatPr baseColWidth="10" defaultColWidth="11.42578125" defaultRowHeight="12.75"/>
  <cols>
    <col min="1" max="1" width="24.140625" bestFit="1" customWidth="1"/>
  </cols>
  <sheetData>
    <row r="2" spans="1:3">
      <c r="A2" t="s">
        <v>0</v>
      </c>
      <c r="B2" s="658">
        <v>45915</v>
      </c>
    </row>
    <row r="3" spans="1:3">
      <c r="A3" t="s">
        <v>1</v>
      </c>
      <c r="B3" s="659">
        <v>2024</v>
      </c>
    </row>
    <row r="6" spans="1:3">
      <c r="A6" s="8" t="s">
        <v>2</v>
      </c>
      <c r="B6" t="s">
        <v>3</v>
      </c>
    </row>
    <row r="7" spans="1:3">
      <c r="C7" s="8" t="s">
        <v>4</v>
      </c>
    </row>
    <row r="8" spans="1:3">
      <c r="C8" s="8" t="s">
        <v>5</v>
      </c>
    </row>
    <row r="9" spans="1:3">
      <c r="C9" s="8" t="s">
        <v>6</v>
      </c>
    </row>
    <row r="10" spans="1:3">
      <c r="C10" s="44" t="s">
        <v>7</v>
      </c>
    </row>
    <row r="11" spans="1:3">
      <c r="C11" s="44"/>
    </row>
    <row r="12" spans="1:3">
      <c r="B12" s="8" t="s">
        <v>8</v>
      </c>
    </row>
    <row r="13" spans="1:3">
      <c r="C13" s="8" t="s">
        <v>9</v>
      </c>
    </row>
    <row r="14" spans="1:3">
      <c r="C14" s="8" t="s">
        <v>10</v>
      </c>
    </row>
    <row r="15" spans="1:3">
      <c r="C15" s="8" t="s">
        <v>11</v>
      </c>
    </row>
    <row r="16" spans="1:3">
      <c r="C16" s="8" t="s">
        <v>12</v>
      </c>
    </row>
    <row r="17" spans="2:3">
      <c r="C17" s="8"/>
    </row>
    <row r="18" spans="2:3">
      <c r="B18" s="8" t="s">
        <v>13</v>
      </c>
    </row>
    <row r="19" spans="2:3">
      <c r="C19" s="8" t="s">
        <v>14</v>
      </c>
    </row>
    <row r="20" spans="2:3">
      <c r="C20" s="8" t="s">
        <v>11</v>
      </c>
    </row>
    <row r="22" spans="2:3">
      <c r="C22" s="8" t="s">
        <v>15</v>
      </c>
    </row>
    <row r="25" spans="2:3">
      <c r="B25" s="8" t="s">
        <v>16</v>
      </c>
    </row>
    <row r="26" spans="2:3">
      <c r="C26" s="8" t="s">
        <v>17</v>
      </c>
    </row>
    <row r="27" spans="2:3">
      <c r="C27" s="8" t="s">
        <v>11</v>
      </c>
    </row>
    <row r="28" spans="2:3">
      <c r="C28" s="8" t="s">
        <v>18</v>
      </c>
    </row>
    <row r="29" spans="2:3">
      <c r="C29" s="8" t="s">
        <v>12</v>
      </c>
    </row>
    <row r="30" spans="2:3">
      <c r="C30" s="8" t="s">
        <v>19</v>
      </c>
    </row>
    <row r="31" spans="2:3">
      <c r="C31" s="8"/>
    </row>
    <row r="33" spans="2:3">
      <c r="B33" s="8" t="s">
        <v>20</v>
      </c>
    </row>
    <row r="34" spans="2:3">
      <c r="C34" s="8" t="s">
        <v>21</v>
      </c>
    </row>
    <row r="36" spans="2:3">
      <c r="B36" s="8" t="s">
        <v>22</v>
      </c>
    </row>
    <row r="37" spans="2:3">
      <c r="C37" s="8" t="s">
        <v>23</v>
      </c>
    </row>
    <row r="38" spans="2:3">
      <c r="C38" s="8" t="s">
        <v>24</v>
      </c>
    </row>
    <row r="40" spans="2:3">
      <c r="B40" s="8" t="s">
        <v>25</v>
      </c>
    </row>
    <row r="41" spans="2:3">
      <c r="C41" s="8" t="s">
        <v>26</v>
      </c>
    </row>
    <row r="42" spans="2:3">
      <c r="C42" s="44" t="s">
        <v>27</v>
      </c>
    </row>
    <row r="43" spans="2:3">
      <c r="C43" s="44"/>
    </row>
    <row r="44" spans="2:3">
      <c r="B44" s="8" t="s">
        <v>28</v>
      </c>
    </row>
    <row r="45" spans="2:3">
      <c r="C45" s="8" t="s">
        <v>29</v>
      </c>
    </row>
    <row r="46" spans="2:3">
      <c r="C46" s="8" t="s">
        <v>30</v>
      </c>
    </row>
    <row r="48" spans="2:3">
      <c r="B48" s="8" t="s">
        <v>31</v>
      </c>
    </row>
    <row r="49" spans="3:3">
      <c r="C49" s="8" t="s">
        <v>32</v>
      </c>
    </row>
    <row r="50" spans="3:3">
      <c r="C50" s="8" t="s">
        <v>33</v>
      </c>
    </row>
    <row r="51" spans="3:3">
      <c r="C51" s="8" t="s">
        <v>34</v>
      </c>
    </row>
    <row r="52" spans="3:3">
      <c r="C52" s="8" t="s">
        <v>33</v>
      </c>
    </row>
    <row r="53" spans="3:3">
      <c r="C53" s="8" t="s">
        <v>35</v>
      </c>
    </row>
    <row r="54" spans="3:3">
      <c r="C54" s="8" t="s">
        <v>33</v>
      </c>
    </row>
    <row r="55" spans="3:3">
      <c r="C55" s="8" t="s">
        <v>36</v>
      </c>
    </row>
    <row r="56" spans="3:3">
      <c r="C56" s="8" t="s">
        <v>37</v>
      </c>
    </row>
    <row r="57" spans="3:3">
      <c r="C57" s="8" t="s">
        <v>38</v>
      </c>
    </row>
    <row r="58" spans="3:3">
      <c r="C58" s="8" t="s">
        <v>39</v>
      </c>
    </row>
    <row r="59" spans="3:3">
      <c r="C59" s="8" t="s">
        <v>40</v>
      </c>
    </row>
    <row r="60" spans="3:3">
      <c r="C60" s="8" t="s">
        <v>41</v>
      </c>
    </row>
    <row r="61" spans="3:3">
      <c r="C61" s="8" t="s">
        <v>42</v>
      </c>
    </row>
    <row r="62" spans="3:3">
      <c r="C62" s="8"/>
    </row>
    <row r="63" spans="3:3">
      <c r="C63" s="8"/>
    </row>
    <row r="64" spans="3:3">
      <c r="C64" s="8"/>
    </row>
    <row r="65" spans="2:3">
      <c r="B65" s="8" t="s">
        <v>43</v>
      </c>
    </row>
    <row r="66" spans="2:3">
      <c r="C66" s="8" t="s">
        <v>44</v>
      </c>
    </row>
    <row r="67" spans="2:3">
      <c r="C67" s="8" t="s">
        <v>45</v>
      </c>
    </row>
    <row r="68" spans="2:3">
      <c r="C68" s="8" t="s">
        <v>46</v>
      </c>
    </row>
    <row r="69" spans="2:3">
      <c r="C69" s="8" t="s">
        <v>47</v>
      </c>
    </row>
    <row r="70" spans="2:3">
      <c r="C70" s="8" t="s">
        <v>48</v>
      </c>
    </row>
    <row r="71" spans="2:3">
      <c r="C71" s="8" t="s">
        <v>49</v>
      </c>
    </row>
    <row r="72" spans="2:3">
      <c r="C72" s="8" t="s">
        <v>50</v>
      </c>
    </row>
    <row r="73" spans="2:3">
      <c r="C73" s="8" t="s">
        <v>51</v>
      </c>
    </row>
    <row r="74" spans="2:3">
      <c r="C74" s="8" t="s">
        <v>52</v>
      </c>
    </row>
    <row r="75" spans="2:3">
      <c r="C75" s="720"/>
    </row>
    <row r="78" spans="2:3" ht="19.899999999999999" customHeight="1">
      <c r="B78" s="8" t="s">
        <v>53</v>
      </c>
    </row>
    <row r="79" spans="2:3">
      <c r="C79" s="8" t="s">
        <v>54</v>
      </c>
    </row>
    <row r="81" spans="2:3">
      <c r="B81" s="8" t="s">
        <v>55</v>
      </c>
    </row>
    <row r="82" spans="2:3">
      <c r="C82" s="8" t="s">
        <v>56</v>
      </c>
    </row>
    <row r="83" spans="2:3">
      <c r="C83" s="8" t="s">
        <v>57</v>
      </c>
    </row>
    <row r="84" spans="2:3">
      <c r="C84" s="8" t="s">
        <v>58</v>
      </c>
    </row>
    <row r="85" spans="2:3">
      <c r="C85" s="8" t="s">
        <v>59</v>
      </c>
    </row>
    <row r="86" spans="2:3">
      <c r="C86" s="8" t="s">
        <v>60</v>
      </c>
    </row>
    <row r="87" spans="2:3">
      <c r="C87" s="8" t="s">
        <v>61</v>
      </c>
    </row>
    <row r="88" spans="2:3">
      <c r="C88" s="8" t="s">
        <v>62</v>
      </c>
    </row>
    <row r="89" spans="2:3">
      <c r="C89" s="8" t="s">
        <v>63</v>
      </c>
    </row>
    <row r="90" spans="2:3">
      <c r="C90" s="8" t="s">
        <v>64</v>
      </c>
    </row>
    <row r="91" spans="2:3">
      <c r="C91" s="8" t="s">
        <v>65</v>
      </c>
    </row>
    <row r="92" spans="2:3">
      <c r="C92" s="8" t="s">
        <v>66</v>
      </c>
    </row>
    <row r="93" spans="2:3">
      <c r="C93" s="8" t="s">
        <v>67</v>
      </c>
    </row>
    <row r="94" spans="2:3">
      <c r="C94" s="8" t="s">
        <v>68</v>
      </c>
    </row>
    <row r="95" spans="2:3">
      <c r="C95" s="8" t="s">
        <v>69</v>
      </c>
    </row>
    <row r="96" spans="2:3">
      <c r="C96" s="8"/>
    </row>
    <row r="97" spans="2:3">
      <c r="C97" s="8"/>
    </row>
    <row r="98" spans="2:3">
      <c r="B98" s="8" t="s">
        <v>70</v>
      </c>
    </row>
    <row r="99" spans="2:3">
      <c r="C99" s="8" t="s">
        <v>71</v>
      </c>
    </row>
    <row r="100" spans="2:3">
      <c r="C100" s="8" t="s">
        <v>72</v>
      </c>
    </row>
    <row r="101" spans="2:3">
      <c r="C101" s="8" t="s">
        <v>73</v>
      </c>
    </row>
    <row r="102" spans="2:3">
      <c r="C102" s="8" t="s">
        <v>65</v>
      </c>
    </row>
    <row r="103" spans="2:3">
      <c r="C103" s="8" t="s">
        <v>74</v>
      </c>
    </row>
    <row r="104" spans="2:3">
      <c r="C104" s="8" t="s">
        <v>67</v>
      </c>
    </row>
    <row r="105" spans="2:3">
      <c r="C105" s="8" t="s">
        <v>75</v>
      </c>
    </row>
    <row r="106" spans="2:3">
      <c r="C106" s="8" t="s">
        <v>69</v>
      </c>
    </row>
    <row r="107" spans="2:3">
      <c r="B107" s="8"/>
    </row>
    <row r="108" spans="2:3">
      <c r="B108" s="8" t="s">
        <v>76</v>
      </c>
    </row>
    <row r="109" spans="2:3" s="8" customFormat="1">
      <c r="C109" s="721" t="s">
        <v>77</v>
      </c>
    </row>
    <row r="110" spans="2:3" s="8" customFormat="1">
      <c r="C110" s="44" t="s">
        <v>78</v>
      </c>
    </row>
  </sheetData>
  <sheetProtection algorithmName="SHA-512" hashValue="A9HgbeExDH+5QPlRAb/vCpmwzMReJPzmpEN+kvQJ0wWJPJYJ5hD+WFxtzORlAkaWGgCi7gjES1z9lzncIKkW/w==" saltValue="VaakTgy9OAl+lL7xPe/g3Q==" spinCount="100000" sheet="1" objects="1" scenarios="1"/>
  <hyperlinks>
    <hyperlink ref="C109" r:id="rId1" display="Eintragung des testierten LV gem. VNB-Meldungen. Das sind lt. LK SN Beschluss in der 64. LK SN Sitzung zu TOP 2.2 die Summe der umlagepflichtigen Netzentnahmen der VNB Meldungen aus dem RZ-Testat je ÜNB. Also inkl. der BesAR-Strommengen, die der VNB uns mitteilt. " xr:uid="{B0F7BD46-9018-4B2C-BA22-6C273FD2DBAE}"/>
  </hyperlinks>
  <pageMargins left="0.70866141732283472" right="0.70866141732283472" top="0.78740157480314965" bottom="0.78740157480314965" header="0.31496062992125984" footer="0.31496062992125984"/>
  <pageSetup paperSize="9" scale="50" fitToHeight="2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5"/>
  <dimension ref="A1:O1366"/>
  <sheetViews>
    <sheetView zoomScaleNormal="100" zoomScalePageLayoutView="70" workbookViewId="0">
      <selection activeCell="F1219" sqref="F1219"/>
    </sheetView>
  </sheetViews>
  <sheetFormatPr baseColWidth="10" defaultColWidth="9.140625" defaultRowHeight="12.75" outlineLevelRow="1"/>
  <cols>
    <col min="1" max="1" width="29.28515625" style="86" customWidth="1"/>
    <col min="2" max="2" width="35" style="16" customWidth="1"/>
    <col min="3" max="3" width="41.140625" style="8" customWidth="1"/>
    <col min="4" max="6" width="19.42578125" style="203" customWidth="1"/>
    <col min="7" max="7" width="45.28515625" style="8" customWidth="1"/>
    <col min="8" max="8" width="16.28515625" style="665" customWidth="1"/>
    <col min="9" max="9" width="12.140625" style="8" customWidth="1"/>
    <col min="10" max="10" width="18" style="8" customWidth="1"/>
    <col min="11" max="11" width="9.85546875" style="8" bestFit="1" customWidth="1"/>
    <col min="12" max="12" width="11.140625" style="8" bestFit="1" customWidth="1"/>
    <col min="13" max="13" width="9.42578125" style="8" bestFit="1" customWidth="1"/>
    <col min="14" max="14" width="9.5703125" style="8" bestFit="1" customWidth="1"/>
    <col min="15" max="15" width="11" style="8" bestFit="1" customWidth="1"/>
    <col min="16" max="16384" width="9.140625" style="8"/>
  </cols>
  <sheetData>
    <row r="1" spans="1:9">
      <c r="A1" s="11" t="s">
        <v>2009</v>
      </c>
      <c r="B1" s="11"/>
      <c r="C1" s="1"/>
      <c r="D1" s="186"/>
      <c r="E1" s="186"/>
      <c r="F1" s="256">
        <f>'Anlage 1a_Zuschlagszahlungen_NB'!E1</f>
        <v>45915</v>
      </c>
    </row>
    <row r="2" spans="1:9">
      <c r="A2" s="11"/>
      <c r="B2" s="11"/>
      <c r="C2" s="1"/>
      <c r="D2" s="186"/>
      <c r="E2" s="186"/>
      <c r="F2" s="186"/>
      <c r="H2" s="666"/>
      <c r="I2" s="662"/>
    </row>
    <row r="3" spans="1:9">
      <c r="A3" s="19"/>
      <c r="B3" s="19"/>
      <c r="C3" s="1"/>
      <c r="D3" s="186"/>
      <c r="E3" s="186"/>
      <c r="F3" s="186"/>
      <c r="H3" s="666"/>
      <c r="I3" s="662"/>
    </row>
    <row r="4" spans="1:9">
      <c r="A4" s="16" t="s">
        <v>2010</v>
      </c>
      <c r="C4" s="1"/>
      <c r="D4" s="186"/>
      <c r="E4" s="186"/>
      <c r="H4" s="666"/>
      <c r="I4" s="662"/>
    </row>
    <row r="5" spans="1:9" ht="15" thickBot="1">
      <c r="A5" s="87"/>
      <c r="B5" s="65"/>
      <c r="C5" s="1"/>
      <c r="D5" s="186"/>
      <c r="E5" s="186"/>
      <c r="H5" s="666"/>
      <c r="I5" s="662"/>
    </row>
    <row r="6" spans="1:9" ht="92.25" customHeight="1" thickBot="1">
      <c r="A6" s="558" t="s">
        <v>1739</v>
      </c>
      <c r="B6" s="1056" t="s">
        <v>2011</v>
      </c>
      <c r="C6" s="559" t="s">
        <v>2012</v>
      </c>
      <c r="D6" s="618" t="s">
        <v>2013</v>
      </c>
      <c r="E6" s="247" t="s">
        <v>2014</v>
      </c>
      <c r="F6" s="248" t="s">
        <v>2015</v>
      </c>
      <c r="H6" s="666"/>
      <c r="I6" s="662"/>
    </row>
    <row r="7" spans="1:9" ht="13.5" thickBot="1">
      <c r="A7" s="555"/>
      <c r="B7" s="556"/>
      <c r="C7" s="557"/>
      <c r="D7" s="581" t="s">
        <v>84</v>
      </c>
      <c r="E7" s="583" t="s">
        <v>1722</v>
      </c>
      <c r="F7" s="585" t="s">
        <v>1722</v>
      </c>
      <c r="H7" s="666"/>
      <c r="I7" s="662"/>
    </row>
    <row r="8" spans="1:9" ht="13.5" hidden="1" outlineLevel="1" thickBot="1">
      <c r="A8" s="61">
        <v>2019</v>
      </c>
      <c r="B8" s="1071" t="s">
        <v>348</v>
      </c>
      <c r="C8" s="794" t="s">
        <v>2016</v>
      </c>
      <c r="D8" s="58">
        <v>107322</v>
      </c>
      <c r="E8" s="58">
        <v>300.5</v>
      </c>
      <c r="F8" s="1073">
        <v>446.46</v>
      </c>
      <c r="G8" s="8" t="s">
        <v>349</v>
      </c>
      <c r="H8" s="667" t="s">
        <v>85</v>
      </c>
      <c r="I8" s="662"/>
    </row>
    <row r="9" spans="1:9" ht="13.5" hidden="1" outlineLevel="1" thickBot="1">
      <c r="A9" s="1074">
        <v>2020</v>
      </c>
      <c r="B9" s="1075" t="s">
        <v>348</v>
      </c>
      <c r="C9" s="767" t="s">
        <v>2016</v>
      </c>
      <c r="D9" s="768">
        <v>119361</v>
      </c>
      <c r="E9" s="768">
        <v>269.76</v>
      </c>
      <c r="F9" s="1076">
        <v>496.54</v>
      </c>
      <c r="G9" s="8" t="s">
        <v>349</v>
      </c>
      <c r="H9" s="666" t="str">
        <f>+H8</f>
        <v>Regelzone 50Hertz (gesamt)</v>
      </c>
      <c r="I9" s="662"/>
    </row>
    <row r="10" spans="1:9" hidden="1" outlineLevel="1">
      <c r="A10" s="61">
        <v>2021</v>
      </c>
      <c r="B10" s="80" t="s">
        <v>86</v>
      </c>
      <c r="C10" s="60" t="s">
        <v>2016</v>
      </c>
      <c r="D10" s="55">
        <v>115875</v>
      </c>
      <c r="E10" s="55">
        <v>294.32</v>
      </c>
      <c r="F10" s="808">
        <v>457.71</v>
      </c>
      <c r="G10" s="8" t="s">
        <v>87</v>
      </c>
      <c r="H10" s="666" t="str">
        <f t="shared" ref="H10:H73" si="0">+H9</f>
        <v>Regelzone 50Hertz (gesamt)</v>
      </c>
      <c r="I10" s="662"/>
    </row>
    <row r="11" spans="1:9" hidden="1" outlineLevel="1">
      <c r="A11" s="61">
        <v>2021</v>
      </c>
      <c r="B11" s="80" t="s">
        <v>88</v>
      </c>
      <c r="C11" s="60" t="s">
        <v>2016</v>
      </c>
      <c r="D11" s="55">
        <v>13639</v>
      </c>
      <c r="E11" s="55">
        <v>34.64</v>
      </c>
      <c r="F11" s="808">
        <v>53.87</v>
      </c>
      <c r="G11" s="8" t="s">
        <v>89</v>
      </c>
      <c r="H11" s="666" t="str">
        <f t="shared" si="0"/>
        <v>Regelzone 50Hertz (gesamt)</v>
      </c>
      <c r="I11" s="662"/>
    </row>
    <row r="12" spans="1:9" hidden="1" outlineLevel="1">
      <c r="A12" s="61">
        <v>2021</v>
      </c>
      <c r="B12" s="80" t="s">
        <v>94</v>
      </c>
      <c r="C12" s="60" t="s">
        <v>2016</v>
      </c>
      <c r="D12" s="55">
        <v>85315</v>
      </c>
      <c r="E12" s="55">
        <v>216.7</v>
      </c>
      <c r="F12" s="808">
        <v>336.99</v>
      </c>
      <c r="G12" s="8" t="s">
        <v>95</v>
      </c>
      <c r="H12" s="666" t="str">
        <f t="shared" si="0"/>
        <v>Regelzone 50Hertz (gesamt)</v>
      </c>
      <c r="I12" s="662"/>
    </row>
    <row r="13" spans="1:9" hidden="1" outlineLevel="1">
      <c r="A13" s="61">
        <v>2021</v>
      </c>
      <c r="B13" s="80" t="s">
        <v>114</v>
      </c>
      <c r="C13" s="60" t="s">
        <v>2016</v>
      </c>
      <c r="D13" s="55">
        <v>-1749005</v>
      </c>
      <c r="E13" s="55">
        <v>-4442.47</v>
      </c>
      <c r="F13" s="808">
        <v>-6908.57</v>
      </c>
      <c r="G13" s="8" t="s">
        <v>115</v>
      </c>
      <c r="H13" s="666" t="str">
        <f t="shared" si="0"/>
        <v>Regelzone 50Hertz (gesamt)</v>
      </c>
      <c r="I13" s="662"/>
    </row>
    <row r="14" spans="1:9" hidden="1" outlineLevel="1">
      <c r="A14" s="61">
        <v>2021</v>
      </c>
      <c r="B14" s="80" t="s">
        <v>120</v>
      </c>
      <c r="C14" s="60" t="s">
        <v>2016</v>
      </c>
      <c r="D14" s="55">
        <v>15933</v>
      </c>
      <c r="E14" s="55">
        <v>40.47</v>
      </c>
      <c r="F14" s="808">
        <v>62.94</v>
      </c>
      <c r="G14" s="8" t="s">
        <v>121</v>
      </c>
      <c r="H14" s="666" t="str">
        <f t="shared" si="0"/>
        <v>Regelzone 50Hertz (gesamt)</v>
      </c>
      <c r="I14" s="662"/>
    </row>
    <row r="15" spans="1:9" hidden="1" outlineLevel="1">
      <c r="A15" s="61">
        <v>2021</v>
      </c>
      <c r="B15" s="80" t="s">
        <v>124</v>
      </c>
      <c r="C15" s="60" t="s">
        <v>2016</v>
      </c>
      <c r="D15" s="55">
        <v>-239746</v>
      </c>
      <c r="E15" s="55">
        <v>-608.95000000000005</v>
      </c>
      <c r="F15" s="808">
        <v>-947</v>
      </c>
      <c r="G15" s="8" t="s">
        <v>125</v>
      </c>
      <c r="H15" s="666" t="str">
        <f t="shared" si="0"/>
        <v>Regelzone 50Hertz (gesamt)</v>
      </c>
      <c r="I15" s="662"/>
    </row>
    <row r="16" spans="1:9" hidden="1" outlineLevel="1">
      <c r="A16" s="61">
        <v>2021</v>
      </c>
      <c r="B16" s="80" t="s">
        <v>134</v>
      </c>
      <c r="C16" s="60" t="s">
        <v>2016</v>
      </c>
      <c r="D16" s="55">
        <v>-6516</v>
      </c>
      <c r="E16" s="55">
        <v>-16.55</v>
      </c>
      <c r="F16" s="808">
        <v>-25.74</v>
      </c>
      <c r="G16" s="8" t="s">
        <v>135</v>
      </c>
      <c r="H16" s="666" t="str">
        <f t="shared" si="0"/>
        <v>Regelzone 50Hertz (gesamt)</v>
      </c>
      <c r="I16" s="662"/>
    </row>
    <row r="17" spans="1:9" hidden="1" outlineLevel="1">
      <c r="A17" s="61">
        <v>2021</v>
      </c>
      <c r="B17" s="80" t="s">
        <v>140</v>
      </c>
      <c r="C17" s="60" t="s">
        <v>2016</v>
      </c>
      <c r="D17" s="55">
        <v>-31827</v>
      </c>
      <c r="E17" s="55">
        <v>-80.84</v>
      </c>
      <c r="F17" s="808">
        <v>-125.72</v>
      </c>
      <c r="G17" s="8" t="s">
        <v>141</v>
      </c>
      <c r="H17" s="666" t="str">
        <f t="shared" si="0"/>
        <v>Regelzone 50Hertz (gesamt)</v>
      </c>
      <c r="I17" s="662"/>
    </row>
    <row r="18" spans="1:9" hidden="1" outlineLevel="1">
      <c r="A18" s="61">
        <v>2021</v>
      </c>
      <c r="B18" s="80" t="s">
        <v>144</v>
      </c>
      <c r="C18" s="60" t="s">
        <v>2016</v>
      </c>
      <c r="D18" s="55">
        <v>15014</v>
      </c>
      <c r="E18" s="55">
        <v>38.14</v>
      </c>
      <c r="F18" s="808">
        <v>59.31</v>
      </c>
      <c r="G18" s="8" t="s">
        <v>145</v>
      </c>
      <c r="H18" s="666" t="str">
        <f t="shared" si="0"/>
        <v>Regelzone 50Hertz (gesamt)</v>
      </c>
      <c r="I18" s="662"/>
    </row>
    <row r="19" spans="1:9" hidden="1" outlineLevel="1">
      <c r="A19" s="61">
        <v>2021</v>
      </c>
      <c r="B19" s="80" t="s">
        <v>150</v>
      </c>
      <c r="C19" s="60" t="s">
        <v>2016</v>
      </c>
      <c r="D19" s="55">
        <v>22889</v>
      </c>
      <c r="E19" s="55">
        <v>58.14</v>
      </c>
      <c r="F19" s="808">
        <v>90.41</v>
      </c>
      <c r="G19" s="8" t="s">
        <v>151</v>
      </c>
      <c r="H19" s="666" t="str">
        <f t="shared" si="0"/>
        <v>Regelzone 50Hertz (gesamt)</v>
      </c>
      <c r="I19" s="662"/>
    </row>
    <row r="20" spans="1:9" hidden="1" outlineLevel="1">
      <c r="A20" s="61">
        <v>2021</v>
      </c>
      <c r="B20" s="80" t="s">
        <v>158</v>
      </c>
      <c r="C20" s="60" t="s">
        <v>2016</v>
      </c>
      <c r="D20" s="55">
        <v>63294</v>
      </c>
      <c r="E20" s="55">
        <v>160.77000000000001</v>
      </c>
      <c r="F20" s="808">
        <v>250.01</v>
      </c>
      <c r="G20" s="8" t="s">
        <v>159</v>
      </c>
      <c r="H20" s="666" t="str">
        <f t="shared" si="0"/>
        <v>Regelzone 50Hertz (gesamt)</v>
      </c>
      <c r="I20" s="662"/>
    </row>
    <row r="21" spans="1:9" hidden="1" outlineLevel="1">
      <c r="A21" s="61">
        <v>2021</v>
      </c>
      <c r="B21" s="80" t="s">
        <v>160</v>
      </c>
      <c r="C21" s="60" t="s">
        <v>2016</v>
      </c>
      <c r="D21" s="55">
        <v>65760</v>
      </c>
      <c r="E21" s="55">
        <v>167.03</v>
      </c>
      <c r="F21" s="808">
        <v>259.75</v>
      </c>
      <c r="G21" s="8" t="s">
        <v>161</v>
      </c>
      <c r="H21" s="666" t="str">
        <f t="shared" si="0"/>
        <v>Regelzone 50Hertz (gesamt)</v>
      </c>
      <c r="I21" s="662"/>
    </row>
    <row r="22" spans="1:9" hidden="1" outlineLevel="1">
      <c r="A22" s="61">
        <v>2021</v>
      </c>
      <c r="B22" s="80" t="s">
        <v>162</v>
      </c>
      <c r="C22" s="60" t="s">
        <v>2016</v>
      </c>
      <c r="D22" s="55">
        <v>-40892</v>
      </c>
      <c r="E22" s="55">
        <v>-103.87</v>
      </c>
      <c r="F22" s="808">
        <v>-161.52000000000001</v>
      </c>
      <c r="G22" s="8" t="s">
        <v>163</v>
      </c>
      <c r="H22" s="666" t="str">
        <f t="shared" si="0"/>
        <v>Regelzone 50Hertz (gesamt)</v>
      </c>
      <c r="I22" s="662"/>
    </row>
    <row r="23" spans="1:9" hidden="1" outlineLevel="1">
      <c r="A23" s="61">
        <v>2021</v>
      </c>
      <c r="B23" s="80" t="s">
        <v>170</v>
      </c>
      <c r="C23" s="60" t="s">
        <v>2016</v>
      </c>
      <c r="D23" s="55">
        <v>-3849</v>
      </c>
      <c r="E23" s="55">
        <v>-9.7799999999999994</v>
      </c>
      <c r="F23" s="808">
        <v>-15.2</v>
      </c>
      <c r="G23" s="8" t="s">
        <v>171</v>
      </c>
      <c r="H23" s="666" t="str">
        <f t="shared" si="0"/>
        <v>Regelzone 50Hertz (gesamt)</v>
      </c>
      <c r="I23" s="662"/>
    </row>
    <row r="24" spans="1:9" hidden="1" outlineLevel="1">
      <c r="A24" s="61">
        <v>2021</v>
      </c>
      <c r="B24" s="80" t="s">
        <v>182</v>
      </c>
      <c r="C24" s="60" t="s">
        <v>2016</v>
      </c>
      <c r="D24" s="55">
        <v>557104</v>
      </c>
      <c r="E24" s="55">
        <v>1415.04</v>
      </c>
      <c r="F24" s="808">
        <v>2200.56</v>
      </c>
      <c r="G24" s="8" t="s">
        <v>183</v>
      </c>
      <c r="H24" s="666" t="str">
        <f t="shared" si="0"/>
        <v>Regelzone 50Hertz (gesamt)</v>
      </c>
      <c r="I24" s="662"/>
    </row>
    <row r="25" spans="1:9" hidden="1" outlineLevel="1">
      <c r="A25" s="61">
        <v>2021</v>
      </c>
      <c r="B25" s="80" t="s">
        <v>188</v>
      </c>
      <c r="C25" s="60" t="s">
        <v>2016</v>
      </c>
      <c r="D25" s="55">
        <v>66378</v>
      </c>
      <c r="E25" s="55">
        <v>168.6</v>
      </c>
      <c r="F25" s="808">
        <v>262.19</v>
      </c>
      <c r="G25" s="8" t="s">
        <v>189</v>
      </c>
      <c r="H25" s="666" t="str">
        <f t="shared" si="0"/>
        <v>Regelzone 50Hertz (gesamt)</v>
      </c>
      <c r="I25" s="662"/>
    </row>
    <row r="26" spans="1:9" hidden="1" outlineLevel="1">
      <c r="A26" s="61">
        <v>2021</v>
      </c>
      <c r="B26" s="80" t="s">
        <v>200</v>
      </c>
      <c r="C26" s="60" t="s">
        <v>2016</v>
      </c>
      <c r="D26" s="55">
        <v>-9725</v>
      </c>
      <c r="E26" s="55">
        <v>-24.7</v>
      </c>
      <c r="F26" s="808">
        <v>-38.409999999999997</v>
      </c>
      <c r="G26" s="8" t="s">
        <v>201</v>
      </c>
      <c r="H26" s="666" t="str">
        <f t="shared" si="0"/>
        <v>Regelzone 50Hertz (gesamt)</v>
      </c>
      <c r="I26" s="662"/>
    </row>
    <row r="27" spans="1:9" hidden="1" outlineLevel="1">
      <c r="A27" s="61">
        <v>2021</v>
      </c>
      <c r="B27" s="80" t="s">
        <v>204</v>
      </c>
      <c r="C27" s="60" t="s">
        <v>2016</v>
      </c>
      <c r="D27" s="55">
        <v>30</v>
      </c>
      <c r="E27" s="55">
        <v>0.08</v>
      </c>
      <c r="F27" s="808">
        <v>0.12</v>
      </c>
      <c r="G27" s="8" t="s">
        <v>205</v>
      </c>
      <c r="H27" s="666" t="str">
        <f t="shared" si="0"/>
        <v>Regelzone 50Hertz (gesamt)</v>
      </c>
      <c r="I27" s="662"/>
    </row>
    <row r="28" spans="1:9" hidden="1" outlineLevel="1">
      <c r="A28" s="61">
        <v>2021</v>
      </c>
      <c r="B28" s="80" t="s">
        <v>212</v>
      </c>
      <c r="C28" s="60" t="s">
        <v>2016</v>
      </c>
      <c r="D28" s="55">
        <v>57388</v>
      </c>
      <c r="E28" s="55">
        <v>145.77000000000001</v>
      </c>
      <c r="F28" s="808">
        <v>226.68</v>
      </c>
      <c r="G28" s="8" t="s">
        <v>213</v>
      </c>
      <c r="H28" s="666" t="str">
        <f t="shared" si="0"/>
        <v>Regelzone 50Hertz (gesamt)</v>
      </c>
      <c r="I28" s="662"/>
    </row>
    <row r="29" spans="1:9" hidden="1" outlineLevel="1">
      <c r="A29" s="61">
        <v>2021</v>
      </c>
      <c r="B29" s="80" t="s">
        <v>214</v>
      </c>
      <c r="C29" s="60" t="s">
        <v>2016</v>
      </c>
      <c r="D29" s="55">
        <v>8302</v>
      </c>
      <c r="E29" s="55">
        <v>21.09</v>
      </c>
      <c r="F29" s="808">
        <v>32.79</v>
      </c>
      <c r="G29" s="8" t="s">
        <v>215</v>
      </c>
      <c r="H29" s="666" t="str">
        <f t="shared" si="0"/>
        <v>Regelzone 50Hertz (gesamt)</v>
      </c>
      <c r="I29" s="662"/>
    </row>
    <row r="30" spans="1:9" hidden="1" outlineLevel="1">
      <c r="A30" s="61">
        <v>2021</v>
      </c>
      <c r="B30" s="80" t="s">
        <v>216</v>
      </c>
      <c r="C30" s="60" t="s">
        <v>2016</v>
      </c>
      <c r="D30" s="55">
        <v>-4656</v>
      </c>
      <c r="E30" s="55">
        <v>-11.83</v>
      </c>
      <c r="F30" s="808">
        <v>-18.39</v>
      </c>
      <c r="G30" s="8" t="s">
        <v>217</v>
      </c>
      <c r="H30" s="666" t="str">
        <f t="shared" si="0"/>
        <v>Regelzone 50Hertz (gesamt)</v>
      </c>
      <c r="I30" s="662"/>
    </row>
    <row r="31" spans="1:9" hidden="1" outlineLevel="1">
      <c r="A31" s="61">
        <v>2021</v>
      </c>
      <c r="B31" s="80" t="s">
        <v>220</v>
      </c>
      <c r="C31" s="60" t="s">
        <v>2016</v>
      </c>
      <c r="D31" s="55">
        <v>-59709</v>
      </c>
      <c r="E31" s="55">
        <v>-151.66</v>
      </c>
      <c r="F31" s="808">
        <v>-235.85</v>
      </c>
      <c r="G31" s="8" t="s">
        <v>221</v>
      </c>
      <c r="H31" s="666" t="str">
        <f t="shared" si="0"/>
        <v>Regelzone 50Hertz (gesamt)</v>
      </c>
      <c r="I31" s="662"/>
    </row>
    <row r="32" spans="1:9" hidden="1" outlineLevel="1">
      <c r="A32" s="61">
        <v>2021</v>
      </c>
      <c r="B32" s="80" t="s">
        <v>228</v>
      </c>
      <c r="C32" s="60" t="s">
        <v>2016</v>
      </c>
      <c r="D32" s="55">
        <v>6590799</v>
      </c>
      <c r="E32" s="55">
        <v>16740.63</v>
      </c>
      <c r="F32" s="808">
        <v>26033.66</v>
      </c>
      <c r="G32" s="8" t="s">
        <v>229</v>
      </c>
      <c r="H32" s="666" t="str">
        <f t="shared" si="0"/>
        <v>Regelzone 50Hertz (gesamt)</v>
      </c>
      <c r="I32" s="662"/>
    </row>
    <row r="33" spans="1:9" hidden="1" outlineLevel="1">
      <c r="A33" s="61">
        <v>2021</v>
      </c>
      <c r="B33" s="80" t="s">
        <v>230</v>
      </c>
      <c r="C33" s="60" t="s">
        <v>2016</v>
      </c>
      <c r="D33" s="55">
        <v>60622</v>
      </c>
      <c r="E33" s="55">
        <v>153.97999999999999</v>
      </c>
      <c r="F33" s="808">
        <v>239.46</v>
      </c>
      <c r="G33" s="8" t="s">
        <v>231</v>
      </c>
      <c r="H33" s="666" t="str">
        <f t="shared" si="0"/>
        <v>Regelzone 50Hertz (gesamt)</v>
      </c>
      <c r="I33" s="662"/>
    </row>
    <row r="34" spans="1:9" hidden="1" outlineLevel="1">
      <c r="A34" s="61">
        <v>2021</v>
      </c>
      <c r="B34" s="80" t="s">
        <v>577</v>
      </c>
      <c r="C34" s="60" t="s">
        <v>2016</v>
      </c>
      <c r="D34" s="55">
        <v>-74332</v>
      </c>
      <c r="E34" s="55">
        <v>-188.79999999999998</v>
      </c>
      <c r="F34" s="808">
        <v>-293.61</v>
      </c>
      <c r="G34" s="8" t="s">
        <v>578</v>
      </c>
      <c r="H34" s="666" t="str">
        <f t="shared" si="0"/>
        <v>Regelzone 50Hertz (gesamt)</v>
      </c>
      <c r="I34" s="662"/>
    </row>
    <row r="35" spans="1:9" hidden="1" outlineLevel="1">
      <c r="A35" s="61">
        <v>2021</v>
      </c>
      <c r="B35" s="80" t="s">
        <v>234</v>
      </c>
      <c r="C35" s="60" t="s">
        <v>2016</v>
      </c>
      <c r="D35" s="55">
        <v>-95703</v>
      </c>
      <c r="E35" s="55">
        <v>-243.09</v>
      </c>
      <c r="F35" s="808">
        <v>-378.03</v>
      </c>
      <c r="G35" s="8" t="s">
        <v>235</v>
      </c>
      <c r="H35" s="666" t="str">
        <f t="shared" si="0"/>
        <v>Regelzone 50Hertz (gesamt)</v>
      </c>
      <c r="I35" s="662"/>
    </row>
    <row r="36" spans="1:9" hidden="1" outlineLevel="1">
      <c r="A36" s="61">
        <v>2021</v>
      </c>
      <c r="B36" s="80" t="s">
        <v>240</v>
      </c>
      <c r="C36" s="60" t="s">
        <v>2016</v>
      </c>
      <c r="D36" s="55">
        <v>25549</v>
      </c>
      <c r="E36" s="55">
        <v>64.89</v>
      </c>
      <c r="F36" s="808">
        <v>100.92</v>
      </c>
      <c r="G36" s="8" t="s">
        <v>241</v>
      </c>
      <c r="H36" s="666" t="str">
        <f t="shared" si="0"/>
        <v>Regelzone 50Hertz (gesamt)</v>
      </c>
      <c r="I36" s="662"/>
    </row>
    <row r="37" spans="1:9" hidden="1" outlineLevel="1">
      <c r="A37" s="61">
        <v>2021</v>
      </c>
      <c r="B37" s="80" t="s">
        <v>242</v>
      </c>
      <c r="C37" s="60" t="s">
        <v>2016</v>
      </c>
      <c r="D37" s="55">
        <v>-5369</v>
      </c>
      <c r="E37" s="55">
        <v>-13.64</v>
      </c>
      <c r="F37" s="808">
        <v>-21.21</v>
      </c>
      <c r="G37" s="8" t="s">
        <v>243</v>
      </c>
      <c r="H37" s="666" t="str">
        <f t="shared" si="0"/>
        <v>Regelzone 50Hertz (gesamt)</v>
      </c>
      <c r="I37" s="662"/>
    </row>
    <row r="38" spans="1:9" hidden="1" outlineLevel="1">
      <c r="A38" s="61">
        <v>2021</v>
      </c>
      <c r="B38" s="80" t="s">
        <v>244</v>
      </c>
      <c r="C38" s="60" t="s">
        <v>2016</v>
      </c>
      <c r="D38" s="55">
        <v>276175</v>
      </c>
      <c r="E38" s="55">
        <v>701.48</v>
      </c>
      <c r="F38" s="808">
        <v>1090.8900000000001</v>
      </c>
      <c r="G38" s="8" t="s">
        <v>245</v>
      </c>
      <c r="H38" s="666" t="str">
        <f t="shared" si="0"/>
        <v>Regelzone 50Hertz (gesamt)</v>
      </c>
      <c r="I38" s="662"/>
    </row>
    <row r="39" spans="1:9" hidden="1" outlineLevel="1">
      <c r="A39" s="61">
        <v>2021</v>
      </c>
      <c r="B39" s="80" t="s">
        <v>252</v>
      </c>
      <c r="C39" s="60" t="s">
        <v>2016</v>
      </c>
      <c r="D39" s="55">
        <v>2089771</v>
      </c>
      <c r="E39" s="55">
        <v>5308.02</v>
      </c>
      <c r="F39" s="808">
        <v>8254.6</v>
      </c>
      <c r="G39" s="8" t="s">
        <v>253</v>
      </c>
      <c r="H39" s="666" t="str">
        <f t="shared" si="0"/>
        <v>Regelzone 50Hertz (gesamt)</v>
      </c>
      <c r="I39" s="662"/>
    </row>
    <row r="40" spans="1:9" hidden="1" outlineLevel="1">
      <c r="A40" s="61">
        <v>2021</v>
      </c>
      <c r="B40" s="80" t="s">
        <v>256</v>
      </c>
      <c r="C40" s="60" t="s">
        <v>2016</v>
      </c>
      <c r="D40" s="55">
        <v>-1441</v>
      </c>
      <c r="E40" s="55">
        <v>-3.66</v>
      </c>
      <c r="F40" s="808">
        <v>-5.69</v>
      </c>
      <c r="G40" s="8" t="s">
        <v>257</v>
      </c>
      <c r="H40" s="666" t="str">
        <f t="shared" si="0"/>
        <v>Regelzone 50Hertz (gesamt)</v>
      </c>
      <c r="I40" s="662"/>
    </row>
    <row r="41" spans="1:9" hidden="1" outlineLevel="1">
      <c r="A41" s="61">
        <v>2021</v>
      </c>
      <c r="B41" s="80" t="s">
        <v>276</v>
      </c>
      <c r="C41" s="60" t="s">
        <v>2016</v>
      </c>
      <c r="D41" s="55">
        <v>129</v>
      </c>
      <c r="E41" s="55">
        <v>0.33</v>
      </c>
      <c r="F41" s="808">
        <v>0.51</v>
      </c>
      <c r="G41" s="8" t="s">
        <v>277</v>
      </c>
      <c r="H41" s="666" t="str">
        <f t="shared" si="0"/>
        <v>Regelzone 50Hertz (gesamt)</v>
      </c>
      <c r="I41" s="662"/>
    </row>
    <row r="42" spans="1:9" hidden="1" outlineLevel="1">
      <c r="A42" s="61">
        <v>2021</v>
      </c>
      <c r="B42" s="80" t="s">
        <v>284</v>
      </c>
      <c r="C42" s="60" t="s">
        <v>2016</v>
      </c>
      <c r="D42" s="55">
        <v>-103369</v>
      </c>
      <c r="E42" s="55">
        <v>-262.56</v>
      </c>
      <c r="F42" s="808">
        <v>-408.31</v>
      </c>
      <c r="G42" s="8" t="s">
        <v>285</v>
      </c>
      <c r="H42" s="666" t="str">
        <f t="shared" si="0"/>
        <v>Regelzone 50Hertz (gesamt)</v>
      </c>
      <c r="I42" s="662"/>
    </row>
    <row r="43" spans="1:9" hidden="1" outlineLevel="1">
      <c r="A43" s="61">
        <v>2021</v>
      </c>
      <c r="B43" s="80" t="s">
        <v>286</v>
      </c>
      <c r="C43" s="60" t="s">
        <v>2016</v>
      </c>
      <c r="D43" s="55">
        <v>-1257391</v>
      </c>
      <c r="E43" s="55">
        <v>-3193.77</v>
      </c>
      <c r="F43" s="808">
        <v>-4966.6899999999996</v>
      </c>
      <c r="G43" s="8" t="s">
        <v>287</v>
      </c>
      <c r="H43" s="666" t="str">
        <f t="shared" si="0"/>
        <v>Regelzone 50Hertz (gesamt)</v>
      </c>
      <c r="I43" s="662"/>
    </row>
    <row r="44" spans="1:9" hidden="1" outlineLevel="1">
      <c r="A44" s="61">
        <v>2021</v>
      </c>
      <c r="B44" s="80" t="s">
        <v>296</v>
      </c>
      <c r="C44" s="60" t="s">
        <v>2016</v>
      </c>
      <c r="D44" s="55">
        <v>20580</v>
      </c>
      <c r="E44" s="55">
        <v>52.27</v>
      </c>
      <c r="F44" s="808">
        <v>81.290000000000006</v>
      </c>
      <c r="G44" s="8" t="s">
        <v>297</v>
      </c>
      <c r="H44" s="666" t="str">
        <f t="shared" si="0"/>
        <v>Regelzone 50Hertz (gesamt)</v>
      </c>
      <c r="I44" s="662"/>
    </row>
    <row r="45" spans="1:9" hidden="1" outlineLevel="1">
      <c r="A45" s="61">
        <v>2021</v>
      </c>
      <c r="B45" s="80" t="s">
        <v>300</v>
      </c>
      <c r="C45" s="60" t="s">
        <v>2016</v>
      </c>
      <c r="D45" s="55">
        <v>-7187</v>
      </c>
      <c r="E45" s="55">
        <v>-18.25</v>
      </c>
      <c r="F45" s="808">
        <v>-28.39</v>
      </c>
      <c r="G45" s="8" t="s">
        <v>301</v>
      </c>
      <c r="H45" s="666" t="str">
        <f t="shared" si="0"/>
        <v>Regelzone 50Hertz (gesamt)</v>
      </c>
      <c r="I45" s="662"/>
    </row>
    <row r="46" spans="1:9" hidden="1" outlineLevel="1">
      <c r="A46" s="61">
        <v>2021</v>
      </c>
      <c r="B46" s="80" t="s">
        <v>302</v>
      </c>
      <c r="C46" s="60" t="s">
        <v>2016</v>
      </c>
      <c r="D46" s="55">
        <v>143914</v>
      </c>
      <c r="E46" s="55">
        <v>365.54</v>
      </c>
      <c r="F46" s="808">
        <v>568.46</v>
      </c>
      <c r="G46" s="8" t="s">
        <v>303</v>
      </c>
      <c r="H46" s="666" t="str">
        <f t="shared" si="0"/>
        <v>Regelzone 50Hertz (gesamt)</v>
      </c>
      <c r="I46" s="662"/>
    </row>
    <row r="47" spans="1:9" hidden="1" outlineLevel="1">
      <c r="A47" s="61">
        <v>2021</v>
      </c>
      <c r="B47" s="80" t="s">
        <v>304</v>
      </c>
      <c r="C47" s="60" t="s">
        <v>2016</v>
      </c>
      <c r="D47" s="55">
        <v>189207</v>
      </c>
      <c r="E47" s="55">
        <v>480.59</v>
      </c>
      <c r="F47" s="808">
        <v>747.37</v>
      </c>
      <c r="G47" s="8" t="s">
        <v>305</v>
      </c>
      <c r="H47" s="666" t="str">
        <f t="shared" si="0"/>
        <v>Regelzone 50Hertz (gesamt)</v>
      </c>
      <c r="I47" s="662"/>
    </row>
    <row r="48" spans="1:9" hidden="1" outlineLevel="1">
      <c r="A48" s="61">
        <v>2021</v>
      </c>
      <c r="B48" s="80" t="s">
        <v>316</v>
      </c>
      <c r="C48" s="60" t="s">
        <v>2016</v>
      </c>
      <c r="D48" s="55">
        <v>18834643</v>
      </c>
      <c r="E48" s="55">
        <v>47839.99</v>
      </c>
      <c r="F48" s="808">
        <v>74396.84</v>
      </c>
      <c r="G48" s="8" t="s">
        <v>317</v>
      </c>
      <c r="H48" s="666" t="str">
        <f t="shared" si="0"/>
        <v>Regelzone 50Hertz (gesamt)</v>
      </c>
      <c r="I48" s="662"/>
    </row>
    <row r="49" spans="1:9" hidden="1" outlineLevel="1">
      <c r="A49" s="61">
        <v>2021</v>
      </c>
      <c r="B49" s="80" t="s">
        <v>318</v>
      </c>
      <c r="C49" s="60" t="s">
        <v>2016</v>
      </c>
      <c r="D49" s="55">
        <v>84052</v>
      </c>
      <c r="E49" s="55">
        <v>213.49</v>
      </c>
      <c r="F49" s="808">
        <v>332.01</v>
      </c>
      <c r="G49" s="8" t="s">
        <v>319</v>
      </c>
      <c r="H49" s="666" t="str">
        <f t="shared" si="0"/>
        <v>Regelzone 50Hertz (gesamt)</v>
      </c>
      <c r="I49" s="662"/>
    </row>
    <row r="50" spans="1:9" hidden="1" outlineLevel="1">
      <c r="A50" s="61">
        <v>2021</v>
      </c>
      <c r="B50" s="80" t="s">
        <v>346</v>
      </c>
      <c r="C50" s="60" t="s">
        <v>2016</v>
      </c>
      <c r="D50" s="55">
        <v>-7058</v>
      </c>
      <c r="E50" s="55">
        <v>-17.93</v>
      </c>
      <c r="F50" s="808">
        <v>-27.88</v>
      </c>
      <c r="G50" s="8" t="s">
        <v>347</v>
      </c>
      <c r="H50" s="666" t="str">
        <f t="shared" si="0"/>
        <v>Regelzone 50Hertz (gesamt)</v>
      </c>
      <c r="I50" s="662"/>
    </row>
    <row r="51" spans="1:9" hidden="1" outlineLevel="1">
      <c r="A51" s="61">
        <v>2021</v>
      </c>
      <c r="B51" s="80" t="s">
        <v>348</v>
      </c>
      <c r="C51" s="60" t="s">
        <v>2016</v>
      </c>
      <c r="D51" s="55">
        <v>161886</v>
      </c>
      <c r="E51" s="55">
        <v>411.19</v>
      </c>
      <c r="F51" s="808">
        <v>639.45000000000005</v>
      </c>
      <c r="G51" s="8" t="s">
        <v>349</v>
      </c>
      <c r="H51" s="666" t="str">
        <f t="shared" si="0"/>
        <v>Regelzone 50Hertz (gesamt)</v>
      </c>
      <c r="I51" s="662"/>
    </row>
    <row r="52" spans="1:9" hidden="1" outlineLevel="1">
      <c r="A52" s="61">
        <v>2021</v>
      </c>
      <c r="B52" s="80" t="s">
        <v>350</v>
      </c>
      <c r="C52" s="60" t="s">
        <v>2016</v>
      </c>
      <c r="D52" s="55">
        <v>43901</v>
      </c>
      <c r="E52" s="55">
        <v>111.51</v>
      </c>
      <c r="F52" s="808">
        <v>173.41</v>
      </c>
      <c r="G52" s="8" t="s">
        <v>351</v>
      </c>
      <c r="H52" s="666" t="str">
        <f t="shared" si="0"/>
        <v>Regelzone 50Hertz (gesamt)</v>
      </c>
      <c r="I52" s="662"/>
    </row>
    <row r="53" spans="1:9" hidden="1" outlineLevel="1">
      <c r="A53" s="61">
        <v>2021</v>
      </c>
      <c r="B53" s="80" t="s">
        <v>352</v>
      </c>
      <c r="C53" s="60" t="s">
        <v>2016</v>
      </c>
      <c r="D53" s="55">
        <v>-2513055</v>
      </c>
      <c r="E53" s="55">
        <v>-6383.16</v>
      </c>
      <c r="F53" s="808">
        <v>-9926.57</v>
      </c>
      <c r="G53" s="8" t="s">
        <v>353</v>
      </c>
      <c r="H53" s="666" t="str">
        <f t="shared" si="0"/>
        <v>Regelzone 50Hertz (gesamt)</v>
      </c>
      <c r="I53" s="662"/>
    </row>
    <row r="54" spans="1:9" hidden="1" outlineLevel="1">
      <c r="A54" s="61">
        <v>2021</v>
      </c>
      <c r="B54" s="80" t="s">
        <v>400</v>
      </c>
      <c r="C54" s="60" t="s">
        <v>2016</v>
      </c>
      <c r="D54" s="55">
        <v>4662</v>
      </c>
      <c r="E54" s="55">
        <v>11.84</v>
      </c>
      <c r="F54" s="808">
        <v>18.41</v>
      </c>
      <c r="G54" s="8" t="s">
        <v>401</v>
      </c>
      <c r="H54" s="666" t="str">
        <f t="shared" si="0"/>
        <v>Regelzone 50Hertz (gesamt)</v>
      </c>
      <c r="I54" s="662"/>
    </row>
    <row r="55" spans="1:9" hidden="1" outlineLevel="1">
      <c r="A55" s="61">
        <v>2021</v>
      </c>
      <c r="B55" s="80" t="s">
        <v>577</v>
      </c>
      <c r="C55" s="60" t="s">
        <v>2017</v>
      </c>
      <c r="D55" s="55">
        <v>-496371</v>
      </c>
      <c r="E55" s="55">
        <v>-203.82000000000002</v>
      </c>
      <c r="F55" s="808">
        <v>-203.82</v>
      </c>
      <c r="G55" s="8" t="s">
        <v>578</v>
      </c>
      <c r="H55" s="666" t="str">
        <f t="shared" si="0"/>
        <v>Regelzone 50Hertz (gesamt)</v>
      </c>
      <c r="I55" s="662"/>
    </row>
    <row r="56" spans="1:9" hidden="1" outlineLevel="1">
      <c r="A56" s="61">
        <v>2021</v>
      </c>
      <c r="B56" s="80" t="s">
        <v>234</v>
      </c>
      <c r="C56" s="60" t="s">
        <v>2018</v>
      </c>
      <c r="D56" s="55">
        <v>-965630</v>
      </c>
      <c r="E56" s="55">
        <v>2452.6999999999998</v>
      </c>
      <c r="F56" s="808">
        <v>3814.24</v>
      </c>
      <c r="G56" s="8" t="s">
        <v>235</v>
      </c>
      <c r="H56" s="666" t="str">
        <f t="shared" si="0"/>
        <v>Regelzone 50Hertz (gesamt)</v>
      </c>
      <c r="I56" s="662"/>
    </row>
    <row r="57" spans="1:9" ht="13.5" hidden="1" outlineLevel="1" thickBot="1">
      <c r="A57" s="61">
        <v>2021</v>
      </c>
      <c r="B57" s="1071" t="s">
        <v>316</v>
      </c>
      <c r="C57" s="794" t="s">
        <v>2018</v>
      </c>
      <c r="D57" s="58">
        <v>2125</v>
      </c>
      <c r="E57" s="58">
        <v>-5.4</v>
      </c>
      <c r="F57" s="1059">
        <v>-8.39</v>
      </c>
      <c r="G57" s="8" t="s">
        <v>317</v>
      </c>
      <c r="H57" s="666" t="str">
        <f t="shared" si="0"/>
        <v>Regelzone 50Hertz (gesamt)</v>
      </c>
      <c r="I57" s="662"/>
    </row>
    <row r="58" spans="1:9" hidden="1" outlineLevel="1">
      <c r="A58" s="1066">
        <v>2022</v>
      </c>
      <c r="B58" s="77" t="s">
        <v>86</v>
      </c>
      <c r="C58" s="59" t="s">
        <v>2016</v>
      </c>
      <c r="D58" s="47">
        <v>6204</v>
      </c>
      <c r="E58" s="47">
        <v>23.45</v>
      </c>
      <c r="F58" s="1067">
        <v>25.99</v>
      </c>
      <c r="G58" s="8" t="s">
        <v>87</v>
      </c>
      <c r="H58" s="666" t="str">
        <f t="shared" si="0"/>
        <v>Regelzone 50Hertz (gesamt)</v>
      </c>
      <c r="I58" s="662"/>
    </row>
    <row r="59" spans="1:9" hidden="1" outlineLevel="1">
      <c r="A59" s="61">
        <v>2022</v>
      </c>
      <c r="B59" s="80" t="s">
        <v>88</v>
      </c>
      <c r="C59" s="60" t="s">
        <v>2016</v>
      </c>
      <c r="D59" s="55">
        <v>55974</v>
      </c>
      <c r="E59" s="55">
        <v>211.58</v>
      </c>
      <c r="F59" s="808">
        <v>234.53</v>
      </c>
      <c r="G59" s="8" t="s">
        <v>89</v>
      </c>
      <c r="H59" s="666" t="str">
        <f t="shared" si="0"/>
        <v>Regelzone 50Hertz (gesamt)</v>
      </c>
      <c r="I59" s="662"/>
    </row>
    <row r="60" spans="1:9" hidden="1" outlineLevel="1">
      <c r="A60" s="61">
        <v>2022</v>
      </c>
      <c r="B60" s="609" t="s">
        <v>94</v>
      </c>
      <c r="C60" s="60" t="s">
        <v>2016</v>
      </c>
      <c r="D60" s="55">
        <v>304311</v>
      </c>
      <c r="E60" s="55">
        <v>1150.3</v>
      </c>
      <c r="F60" s="808">
        <v>1275.06</v>
      </c>
      <c r="G60" s="8" t="s">
        <v>95</v>
      </c>
      <c r="H60" s="666" t="str">
        <f t="shared" si="0"/>
        <v>Regelzone 50Hertz (gesamt)</v>
      </c>
      <c r="I60" s="662"/>
    </row>
    <row r="61" spans="1:9" hidden="1" outlineLevel="1">
      <c r="A61" s="61">
        <v>2022</v>
      </c>
      <c r="B61" s="80" t="s">
        <v>114</v>
      </c>
      <c r="C61" s="60" t="s">
        <v>2016</v>
      </c>
      <c r="D61" s="55">
        <v>-10920142</v>
      </c>
      <c r="E61" s="55">
        <v>-41278.14</v>
      </c>
      <c r="F61" s="808">
        <v>-45755.39</v>
      </c>
      <c r="G61" s="8" t="s">
        <v>115</v>
      </c>
      <c r="H61" s="666" t="str">
        <f t="shared" si="0"/>
        <v>Regelzone 50Hertz (gesamt)</v>
      </c>
      <c r="I61" s="662"/>
    </row>
    <row r="62" spans="1:9" hidden="1" outlineLevel="1">
      <c r="A62" s="61">
        <v>2022</v>
      </c>
      <c r="B62" s="80" t="s">
        <v>120</v>
      </c>
      <c r="C62" s="60" t="s">
        <v>2016</v>
      </c>
      <c r="D62" s="55">
        <v>-17703</v>
      </c>
      <c r="E62" s="55">
        <v>-66.92</v>
      </c>
      <c r="F62" s="808">
        <v>-74.180000000000007</v>
      </c>
      <c r="G62" s="8" t="s">
        <v>121</v>
      </c>
      <c r="H62" s="666" t="str">
        <f t="shared" si="0"/>
        <v>Regelzone 50Hertz (gesamt)</v>
      </c>
      <c r="I62" s="662"/>
    </row>
    <row r="63" spans="1:9" hidden="1" outlineLevel="1">
      <c r="A63" s="61">
        <v>2022</v>
      </c>
      <c r="B63" s="75" t="s">
        <v>128</v>
      </c>
      <c r="C63" s="60" t="s">
        <v>2016</v>
      </c>
      <c r="D63" s="48">
        <v>-8473</v>
      </c>
      <c r="E63" s="48">
        <v>-32.03</v>
      </c>
      <c r="F63" s="808">
        <v>-35.5</v>
      </c>
      <c r="G63" s="8" t="s">
        <v>129</v>
      </c>
      <c r="H63" s="666" t="str">
        <f t="shared" si="0"/>
        <v>Regelzone 50Hertz (gesamt)</v>
      </c>
      <c r="I63" s="662"/>
    </row>
    <row r="64" spans="1:9" hidden="1" outlineLevel="1">
      <c r="A64" s="61">
        <v>2022</v>
      </c>
      <c r="B64" s="75" t="s">
        <v>134</v>
      </c>
      <c r="C64" s="60" t="s">
        <v>2016</v>
      </c>
      <c r="D64" s="57">
        <v>-14503</v>
      </c>
      <c r="E64" s="57">
        <v>-54.82</v>
      </c>
      <c r="F64" s="808">
        <v>-60.77</v>
      </c>
      <c r="G64" s="8" t="s">
        <v>135</v>
      </c>
      <c r="H64" s="666" t="str">
        <f t="shared" si="0"/>
        <v>Regelzone 50Hertz (gesamt)</v>
      </c>
      <c r="I64" s="662"/>
    </row>
    <row r="65" spans="1:9" hidden="1" outlineLevel="1">
      <c r="A65" s="61">
        <v>2022</v>
      </c>
      <c r="B65" s="75" t="s">
        <v>140</v>
      </c>
      <c r="C65" s="60" t="s">
        <v>2016</v>
      </c>
      <c r="D65" s="48">
        <v>158815</v>
      </c>
      <c r="E65" s="48">
        <v>600.32000000000005</v>
      </c>
      <c r="F65" s="808">
        <v>665.43</v>
      </c>
      <c r="G65" s="8" t="s">
        <v>141</v>
      </c>
      <c r="H65" s="666" t="str">
        <f t="shared" si="0"/>
        <v>Regelzone 50Hertz (gesamt)</v>
      </c>
      <c r="I65" s="662"/>
    </row>
    <row r="66" spans="1:9" hidden="1" outlineLevel="1">
      <c r="A66" s="61">
        <v>2022</v>
      </c>
      <c r="B66" s="75" t="s">
        <v>144</v>
      </c>
      <c r="C66" s="60" t="s">
        <v>2016</v>
      </c>
      <c r="D66" s="55">
        <v>31301</v>
      </c>
      <c r="E66" s="55">
        <v>118.32</v>
      </c>
      <c r="F66" s="808">
        <v>131.15</v>
      </c>
      <c r="G66" s="8" t="s">
        <v>145</v>
      </c>
      <c r="H66" s="666" t="str">
        <f t="shared" si="0"/>
        <v>Regelzone 50Hertz (gesamt)</v>
      </c>
      <c r="I66" s="662"/>
    </row>
    <row r="67" spans="1:9" hidden="1" outlineLevel="1">
      <c r="A67" s="61">
        <v>2022</v>
      </c>
      <c r="B67" s="75" t="s">
        <v>150</v>
      </c>
      <c r="C67" s="60" t="s">
        <v>2016</v>
      </c>
      <c r="D67" s="48">
        <v>19573</v>
      </c>
      <c r="E67" s="48">
        <v>73.989999999999995</v>
      </c>
      <c r="F67" s="808">
        <v>82.01</v>
      </c>
      <c r="G67" s="8" t="s">
        <v>151</v>
      </c>
      <c r="H67" s="666" t="str">
        <f t="shared" si="0"/>
        <v>Regelzone 50Hertz (gesamt)</v>
      </c>
      <c r="I67" s="662"/>
    </row>
    <row r="68" spans="1:9" hidden="1" outlineLevel="1">
      <c r="A68" s="61">
        <v>2022</v>
      </c>
      <c r="B68" s="75" t="s">
        <v>158</v>
      </c>
      <c r="C68" s="60" t="s">
        <v>2016</v>
      </c>
      <c r="D68" s="48">
        <v>-199898</v>
      </c>
      <c r="E68" s="48">
        <v>-755.61</v>
      </c>
      <c r="F68" s="808">
        <v>-837.57</v>
      </c>
      <c r="G68" s="8" t="s">
        <v>159</v>
      </c>
      <c r="H68" s="666" t="str">
        <f t="shared" si="0"/>
        <v>Regelzone 50Hertz (gesamt)</v>
      </c>
      <c r="I68" s="662"/>
    </row>
    <row r="69" spans="1:9" hidden="1" outlineLevel="1">
      <c r="A69" s="61">
        <v>2022</v>
      </c>
      <c r="B69" s="75" t="s">
        <v>160</v>
      </c>
      <c r="C69" s="60" t="s">
        <v>2016</v>
      </c>
      <c r="D69" s="48">
        <v>29653</v>
      </c>
      <c r="E69" s="48">
        <v>112.09</v>
      </c>
      <c r="F69" s="808">
        <v>124.25</v>
      </c>
      <c r="G69" s="8" t="s">
        <v>161</v>
      </c>
      <c r="H69" s="666" t="str">
        <f t="shared" si="0"/>
        <v>Regelzone 50Hertz (gesamt)</v>
      </c>
      <c r="I69" s="662"/>
    </row>
    <row r="70" spans="1:9" hidden="1" outlineLevel="1">
      <c r="A70" s="61">
        <v>2022</v>
      </c>
      <c r="B70" s="75" t="s">
        <v>162</v>
      </c>
      <c r="C70" s="60" t="s">
        <v>2016</v>
      </c>
      <c r="D70" s="48">
        <v>-25296</v>
      </c>
      <c r="E70" s="48">
        <v>-95.62</v>
      </c>
      <c r="F70" s="808">
        <v>-105.99</v>
      </c>
      <c r="G70" s="8" t="s">
        <v>163</v>
      </c>
      <c r="H70" s="666" t="str">
        <f t="shared" si="0"/>
        <v>Regelzone 50Hertz (gesamt)</v>
      </c>
      <c r="I70" s="662"/>
    </row>
    <row r="71" spans="1:9" hidden="1" outlineLevel="1">
      <c r="A71" s="61">
        <v>2022</v>
      </c>
      <c r="B71" s="75" t="s">
        <v>166</v>
      </c>
      <c r="C71" s="60" t="s">
        <v>2016</v>
      </c>
      <c r="D71" s="57">
        <v>-8878585</v>
      </c>
      <c r="E71" s="57">
        <v>-33561.050000000003</v>
      </c>
      <c r="F71" s="808">
        <v>-37201.269999999997</v>
      </c>
      <c r="G71" s="8" t="s">
        <v>167</v>
      </c>
      <c r="H71" s="666" t="str">
        <f t="shared" si="0"/>
        <v>Regelzone 50Hertz (gesamt)</v>
      </c>
      <c r="I71" s="662"/>
    </row>
    <row r="72" spans="1:9" hidden="1" outlineLevel="1">
      <c r="A72" s="61">
        <v>2022</v>
      </c>
      <c r="B72" s="75" t="s">
        <v>168</v>
      </c>
      <c r="C72" s="60" t="s">
        <v>2016</v>
      </c>
      <c r="D72" s="57">
        <v>-94817</v>
      </c>
      <c r="E72" s="57">
        <v>-358.41</v>
      </c>
      <c r="F72" s="808">
        <v>-397.28</v>
      </c>
      <c r="G72" s="8" t="s">
        <v>169</v>
      </c>
      <c r="H72" s="666" t="str">
        <f t="shared" si="0"/>
        <v>Regelzone 50Hertz (gesamt)</v>
      </c>
      <c r="I72" s="662"/>
    </row>
    <row r="73" spans="1:9" hidden="1" outlineLevel="1">
      <c r="A73" s="61">
        <v>2022</v>
      </c>
      <c r="B73" s="75" t="s">
        <v>170</v>
      </c>
      <c r="C73" s="60" t="s">
        <v>2016</v>
      </c>
      <c r="D73" s="57">
        <v>27226</v>
      </c>
      <c r="E73" s="57">
        <v>102.91</v>
      </c>
      <c r="F73" s="808">
        <v>114.08</v>
      </c>
      <c r="G73" s="8" t="s">
        <v>171</v>
      </c>
      <c r="H73" s="666" t="str">
        <f t="shared" si="0"/>
        <v>Regelzone 50Hertz (gesamt)</v>
      </c>
      <c r="I73" s="662"/>
    </row>
    <row r="74" spans="1:9" hidden="1" outlineLevel="1">
      <c r="A74" s="61">
        <v>2022</v>
      </c>
      <c r="B74" s="75" t="s">
        <v>182</v>
      </c>
      <c r="C74" s="60" t="s">
        <v>2016</v>
      </c>
      <c r="D74" s="57">
        <v>-457141</v>
      </c>
      <c r="E74" s="57">
        <v>-1727.99</v>
      </c>
      <c r="F74" s="808">
        <v>-1915.42</v>
      </c>
      <c r="G74" s="8" t="s">
        <v>183</v>
      </c>
      <c r="H74" s="666" t="str">
        <f t="shared" ref="H74:H137" si="1">+H73</f>
        <v>Regelzone 50Hertz (gesamt)</v>
      </c>
      <c r="I74" s="662"/>
    </row>
    <row r="75" spans="1:9" hidden="1" outlineLevel="1">
      <c r="A75" s="61">
        <v>2022</v>
      </c>
      <c r="B75" s="75" t="s">
        <v>188</v>
      </c>
      <c r="C75" s="60" t="s">
        <v>2016</v>
      </c>
      <c r="D75" s="57">
        <v>762094</v>
      </c>
      <c r="E75" s="57">
        <v>2880.72</v>
      </c>
      <c r="F75" s="808">
        <v>3193.17</v>
      </c>
      <c r="G75" s="8" t="s">
        <v>189</v>
      </c>
      <c r="H75" s="666" t="str">
        <f t="shared" si="1"/>
        <v>Regelzone 50Hertz (gesamt)</v>
      </c>
      <c r="I75" s="662"/>
    </row>
    <row r="76" spans="1:9" hidden="1" outlineLevel="1">
      <c r="A76" s="61">
        <v>2022</v>
      </c>
      <c r="B76" s="75" t="s">
        <v>200</v>
      </c>
      <c r="C76" s="60" t="s">
        <v>2016</v>
      </c>
      <c r="D76" s="57">
        <v>-19113</v>
      </c>
      <c r="E76" s="57">
        <v>-72.25</v>
      </c>
      <c r="F76" s="808">
        <v>-80.08</v>
      </c>
      <c r="G76" s="8" t="s">
        <v>201</v>
      </c>
      <c r="H76" s="666" t="str">
        <f t="shared" si="1"/>
        <v>Regelzone 50Hertz (gesamt)</v>
      </c>
      <c r="I76" s="662"/>
    </row>
    <row r="77" spans="1:9" hidden="1" outlineLevel="1">
      <c r="A77" s="61">
        <v>2022</v>
      </c>
      <c r="B77" s="75" t="s">
        <v>204</v>
      </c>
      <c r="C77" s="60" t="s">
        <v>2016</v>
      </c>
      <c r="D77" s="57">
        <v>-37044</v>
      </c>
      <c r="E77" s="57">
        <v>-140.03</v>
      </c>
      <c r="F77" s="808">
        <v>-155.21</v>
      </c>
      <c r="G77" s="8" t="s">
        <v>205</v>
      </c>
      <c r="H77" s="666" t="str">
        <f t="shared" si="1"/>
        <v>Regelzone 50Hertz (gesamt)</v>
      </c>
      <c r="I77" s="662"/>
    </row>
    <row r="78" spans="1:9" hidden="1" outlineLevel="1">
      <c r="A78" s="61">
        <v>2022</v>
      </c>
      <c r="B78" s="75" t="s">
        <v>212</v>
      </c>
      <c r="C78" s="60" t="s">
        <v>2016</v>
      </c>
      <c r="D78" s="57">
        <v>156474</v>
      </c>
      <c r="E78" s="57">
        <v>591.47</v>
      </c>
      <c r="F78" s="808">
        <v>655.63</v>
      </c>
      <c r="G78" s="8" t="s">
        <v>213</v>
      </c>
      <c r="H78" s="666" t="str">
        <f t="shared" si="1"/>
        <v>Regelzone 50Hertz (gesamt)</v>
      </c>
      <c r="I78" s="662"/>
    </row>
    <row r="79" spans="1:9" hidden="1" outlineLevel="1">
      <c r="A79" s="61">
        <v>2022</v>
      </c>
      <c r="B79" s="75" t="s">
        <v>214</v>
      </c>
      <c r="C79" s="60" t="s">
        <v>2016</v>
      </c>
      <c r="D79" s="57">
        <v>8122</v>
      </c>
      <c r="E79" s="57">
        <v>30.7</v>
      </c>
      <c r="F79" s="808">
        <v>34.03</v>
      </c>
      <c r="G79" s="8" t="s">
        <v>215</v>
      </c>
      <c r="H79" s="666" t="str">
        <f t="shared" si="1"/>
        <v>Regelzone 50Hertz (gesamt)</v>
      </c>
      <c r="I79" s="662"/>
    </row>
    <row r="80" spans="1:9" hidden="1" outlineLevel="1">
      <c r="A80" s="61">
        <v>2022</v>
      </c>
      <c r="B80" s="75" t="s">
        <v>216</v>
      </c>
      <c r="C80" s="60" t="s">
        <v>2016</v>
      </c>
      <c r="D80" s="57">
        <v>-10179</v>
      </c>
      <c r="E80" s="57">
        <v>-38.479999999999997</v>
      </c>
      <c r="F80" s="808">
        <v>-42.65</v>
      </c>
      <c r="G80" s="8" t="s">
        <v>217</v>
      </c>
      <c r="H80" s="666" t="str">
        <f t="shared" si="1"/>
        <v>Regelzone 50Hertz (gesamt)</v>
      </c>
      <c r="I80" s="662"/>
    </row>
    <row r="81" spans="1:9" hidden="1" outlineLevel="1">
      <c r="A81" s="61">
        <v>2022</v>
      </c>
      <c r="B81" s="75" t="s">
        <v>220</v>
      </c>
      <c r="C81" s="60" t="s">
        <v>2016</v>
      </c>
      <c r="D81" s="57">
        <v>-159164</v>
      </c>
      <c r="E81" s="57">
        <v>-601.64</v>
      </c>
      <c r="F81" s="808">
        <v>-666.9</v>
      </c>
      <c r="G81" s="8" t="s">
        <v>221</v>
      </c>
      <c r="H81" s="666" t="str">
        <f t="shared" si="1"/>
        <v>Regelzone 50Hertz (gesamt)</v>
      </c>
      <c r="I81" s="662"/>
    </row>
    <row r="82" spans="1:9" hidden="1" outlineLevel="1">
      <c r="A82" s="61">
        <v>2022</v>
      </c>
      <c r="B82" s="75" t="s">
        <v>228</v>
      </c>
      <c r="C82" s="60" t="s">
        <v>2016</v>
      </c>
      <c r="D82" s="57">
        <v>14308075</v>
      </c>
      <c r="E82" s="57">
        <v>54084.52</v>
      </c>
      <c r="F82" s="808">
        <v>59950.83</v>
      </c>
      <c r="G82" s="8" t="s">
        <v>229</v>
      </c>
      <c r="H82" s="666" t="str">
        <f t="shared" si="1"/>
        <v>Regelzone 50Hertz (gesamt)</v>
      </c>
      <c r="I82" s="662"/>
    </row>
    <row r="83" spans="1:9" hidden="1" outlineLevel="1">
      <c r="A83" s="61">
        <v>2022</v>
      </c>
      <c r="B83" s="75" t="s">
        <v>230</v>
      </c>
      <c r="C83" s="60" t="s">
        <v>2016</v>
      </c>
      <c r="D83" s="57">
        <v>302823</v>
      </c>
      <c r="E83" s="57">
        <v>1144.67</v>
      </c>
      <c r="F83" s="808">
        <v>1268.83</v>
      </c>
      <c r="G83" s="8" t="s">
        <v>231</v>
      </c>
      <c r="H83" s="666" t="str">
        <f t="shared" si="1"/>
        <v>Regelzone 50Hertz (gesamt)</v>
      </c>
      <c r="I83" s="662"/>
    </row>
    <row r="84" spans="1:9" hidden="1" outlineLevel="1">
      <c r="A84" s="61">
        <v>2022</v>
      </c>
      <c r="B84" s="75" t="s">
        <v>577</v>
      </c>
      <c r="C84" s="60" t="s">
        <v>2016</v>
      </c>
      <c r="D84" s="57">
        <v>-579530</v>
      </c>
      <c r="E84" s="57">
        <v>-2190.63</v>
      </c>
      <c r="F84" s="808">
        <v>-2428.23</v>
      </c>
      <c r="G84" s="8" t="s">
        <v>578</v>
      </c>
      <c r="H84" s="666" t="str">
        <f t="shared" si="1"/>
        <v>Regelzone 50Hertz (gesamt)</v>
      </c>
      <c r="I84" s="662"/>
    </row>
    <row r="85" spans="1:9" hidden="1" outlineLevel="1">
      <c r="A85" s="61">
        <v>2022</v>
      </c>
      <c r="B85" s="75" t="s">
        <v>234</v>
      </c>
      <c r="C85" s="60" t="s">
        <v>2016</v>
      </c>
      <c r="D85" s="57">
        <v>382646</v>
      </c>
      <c r="E85" s="57">
        <v>1446.4</v>
      </c>
      <c r="F85" s="808">
        <v>1603.29</v>
      </c>
      <c r="G85" s="8" t="s">
        <v>235</v>
      </c>
      <c r="H85" s="666" t="str">
        <f t="shared" si="1"/>
        <v>Regelzone 50Hertz (gesamt)</v>
      </c>
      <c r="I85" s="662"/>
    </row>
    <row r="86" spans="1:9" hidden="1" outlineLevel="1">
      <c r="A86" s="61">
        <v>2022</v>
      </c>
      <c r="B86" s="75" t="s">
        <v>238</v>
      </c>
      <c r="C86" s="60" t="s">
        <v>2016</v>
      </c>
      <c r="D86" s="57">
        <v>-479816</v>
      </c>
      <c r="E86" s="57">
        <v>-1813.7</v>
      </c>
      <c r="F86" s="808">
        <v>-2010.43</v>
      </c>
      <c r="G86" s="8" t="s">
        <v>239</v>
      </c>
      <c r="H86" s="666" t="str">
        <f t="shared" si="1"/>
        <v>Regelzone 50Hertz (gesamt)</v>
      </c>
      <c r="I86" s="662"/>
    </row>
    <row r="87" spans="1:9" hidden="1" outlineLevel="1">
      <c r="A87" s="61">
        <v>2022</v>
      </c>
      <c r="B87" s="75" t="s">
        <v>240</v>
      </c>
      <c r="C87" s="60" t="s">
        <v>2016</v>
      </c>
      <c r="D87" s="57">
        <v>18511</v>
      </c>
      <c r="E87" s="57">
        <v>69.97</v>
      </c>
      <c r="F87" s="808">
        <v>77.56</v>
      </c>
      <c r="G87" s="8" t="s">
        <v>241</v>
      </c>
      <c r="H87" s="666" t="str">
        <f t="shared" si="1"/>
        <v>Regelzone 50Hertz (gesamt)</v>
      </c>
      <c r="I87" s="662"/>
    </row>
    <row r="88" spans="1:9" hidden="1" outlineLevel="1">
      <c r="A88" s="61">
        <v>2022</v>
      </c>
      <c r="B88" s="75" t="s">
        <v>242</v>
      </c>
      <c r="C88" s="60" t="s">
        <v>2016</v>
      </c>
      <c r="D88" s="57">
        <v>-418639</v>
      </c>
      <c r="E88" s="57">
        <v>-1582.46</v>
      </c>
      <c r="F88" s="808">
        <v>-1754.1</v>
      </c>
      <c r="G88" s="8" t="s">
        <v>243</v>
      </c>
      <c r="H88" s="666" t="str">
        <f t="shared" si="1"/>
        <v>Regelzone 50Hertz (gesamt)</v>
      </c>
      <c r="I88" s="662"/>
    </row>
    <row r="89" spans="1:9" hidden="1" outlineLevel="1">
      <c r="A89" s="61">
        <v>2022</v>
      </c>
      <c r="B89" s="75" t="s">
        <v>244</v>
      </c>
      <c r="C89" s="60" t="s">
        <v>2016</v>
      </c>
      <c r="D89" s="57">
        <v>508210</v>
      </c>
      <c r="E89" s="57">
        <v>1921.03</v>
      </c>
      <c r="F89" s="808">
        <v>2129.4</v>
      </c>
      <c r="G89" s="8" t="s">
        <v>245</v>
      </c>
      <c r="H89" s="666" t="str">
        <f t="shared" si="1"/>
        <v>Regelzone 50Hertz (gesamt)</v>
      </c>
      <c r="I89" s="662"/>
    </row>
    <row r="90" spans="1:9" hidden="1" outlineLevel="1">
      <c r="A90" s="61">
        <v>2022</v>
      </c>
      <c r="B90" s="75" t="s">
        <v>248</v>
      </c>
      <c r="C90" s="60" t="s">
        <v>2016</v>
      </c>
      <c r="D90" s="57">
        <v>171891</v>
      </c>
      <c r="E90" s="57">
        <v>649.75</v>
      </c>
      <c r="F90" s="808">
        <v>720.22</v>
      </c>
      <c r="G90" s="8" t="s">
        <v>249</v>
      </c>
      <c r="H90" s="666" t="str">
        <f t="shared" si="1"/>
        <v>Regelzone 50Hertz (gesamt)</v>
      </c>
      <c r="I90" s="662"/>
    </row>
    <row r="91" spans="1:9" hidden="1" outlineLevel="1">
      <c r="A91" s="61">
        <v>2022</v>
      </c>
      <c r="B91" s="75" t="s">
        <v>252</v>
      </c>
      <c r="C91" s="60" t="s">
        <v>2016</v>
      </c>
      <c r="D91" s="57">
        <v>3957794</v>
      </c>
      <c r="E91" s="57">
        <v>14960.46</v>
      </c>
      <c r="F91" s="808">
        <v>16583.16</v>
      </c>
      <c r="G91" s="8" t="s">
        <v>253</v>
      </c>
      <c r="H91" s="666" t="str">
        <f t="shared" si="1"/>
        <v>Regelzone 50Hertz (gesamt)</v>
      </c>
      <c r="I91" s="662"/>
    </row>
    <row r="92" spans="1:9" hidden="1" outlineLevel="1">
      <c r="A92" s="61">
        <v>2022</v>
      </c>
      <c r="B92" s="75" t="s">
        <v>256</v>
      </c>
      <c r="C92" s="60" t="s">
        <v>2016</v>
      </c>
      <c r="D92" s="57">
        <v>18328</v>
      </c>
      <c r="E92" s="57">
        <v>69.28</v>
      </c>
      <c r="F92" s="808">
        <v>76.790000000000006</v>
      </c>
      <c r="G92" s="8" t="s">
        <v>257</v>
      </c>
      <c r="H92" s="666" t="str">
        <f t="shared" si="1"/>
        <v>Regelzone 50Hertz (gesamt)</v>
      </c>
      <c r="I92" s="662"/>
    </row>
    <row r="93" spans="1:9" hidden="1" outlineLevel="1">
      <c r="A93" s="61">
        <v>2022</v>
      </c>
      <c r="B93" s="75" t="s">
        <v>276</v>
      </c>
      <c r="C93" s="60" t="s">
        <v>2016</v>
      </c>
      <c r="D93" s="57">
        <v>2223</v>
      </c>
      <c r="E93" s="57">
        <v>8.4</v>
      </c>
      <c r="F93" s="808">
        <v>9.31</v>
      </c>
      <c r="G93" s="8" t="s">
        <v>277</v>
      </c>
      <c r="H93" s="666" t="str">
        <f t="shared" si="1"/>
        <v>Regelzone 50Hertz (gesamt)</v>
      </c>
      <c r="I93" s="662"/>
    </row>
    <row r="94" spans="1:9" hidden="1" outlineLevel="1">
      <c r="A94" s="61">
        <v>2022</v>
      </c>
      <c r="B94" s="75" t="s">
        <v>284</v>
      </c>
      <c r="C94" s="60" t="s">
        <v>2016</v>
      </c>
      <c r="D94" s="57">
        <v>233666</v>
      </c>
      <c r="E94" s="57">
        <v>883.26</v>
      </c>
      <c r="F94" s="808">
        <v>979.06</v>
      </c>
      <c r="G94" s="8" t="s">
        <v>285</v>
      </c>
      <c r="H94" s="666" t="str">
        <f t="shared" si="1"/>
        <v>Regelzone 50Hertz (gesamt)</v>
      </c>
      <c r="I94" s="662"/>
    </row>
    <row r="95" spans="1:9" hidden="1" outlineLevel="1">
      <c r="A95" s="61">
        <v>2022</v>
      </c>
      <c r="B95" s="75" t="s">
        <v>286</v>
      </c>
      <c r="C95" s="60" t="s">
        <v>2016</v>
      </c>
      <c r="D95" s="57">
        <v>-543779</v>
      </c>
      <c r="E95" s="57">
        <v>-2055.48</v>
      </c>
      <c r="F95" s="808">
        <v>-2278.4299999999998</v>
      </c>
      <c r="G95" s="8" t="s">
        <v>287</v>
      </c>
      <c r="H95" s="666" t="str">
        <f t="shared" si="1"/>
        <v>Regelzone 50Hertz (gesamt)</v>
      </c>
      <c r="I95" s="662"/>
    </row>
    <row r="96" spans="1:9" hidden="1" outlineLevel="1">
      <c r="A96" s="61">
        <v>2022</v>
      </c>
      <c r="B96" s="75" t="s">
        <v>296</v>
      </c>
      <c r="C96" s="60" t="s">
        <v>2016</v>
      </c>
      <c r="D96" s="57">
        <v>21585</v>
      </c>
      <c r="E96" s="57">
        <v>81.59</v>
      </c>
      <c r="F96" s="808">
        <v>90.44</v>
      </c>
      <c r="G96" s="8" t="s">
        <v>297</v>
      </c>
      <c r="H96" s="666" t="str">
        <f t="shared" si="1"/>
        <v>Regelzone 50Hertz (gesamt)</v>
      </c>
      <c r="I96" s="662"/>
    </row>
    <row r="97" spans="1:9" hidden="1" outlineLevel="1">
      <c r="A97" s="61">
        <v>2022</v>
      </c>
      <c r="B97" s="75" t="s">
        <v>300</v>
      </c>
      <c r="C97" s="60" t="s">
        <v>2016</v>
      </c>
      <c r="D97" s="57">
        <v>98607</v>
      </c>
      <c r="E97" s="57">
        <v>372.73</v>
      </c>
      <c r="F97" s="808">
        <v>413.16</v>
      </c>
      <c r="G97" s="8" t="s">
        <v>301</v>
      </c>
      <c r="H97" s="666" t="str">
        <f t="shared" si="1"/>
        <v>Regelzone 50Hertz (gesamt)</v>
      </c>
      <c r="I97" s="662"/>
    </row>
    <row r="98" spans="1:9" hidden="1" outlineLevel="1">
      <c r="A98" s="61">
        <v>2022</v>
      </c>
      <c r="B98" s="75" t="s">
        <v>302</v>
      </c>
      <c r="C98" s="60" t="s">
        <v>2016</v>
      </c>
      <c r="D98" s="57">
        <v>63952</v>
      </c>
      <c r="E98" s="57">
        <v>241.74</v>
      </c>
      <c r="F98" s="808">
        <v>267.95999999999998</v>
      </c>
      <c r="G98" s="8" t="s">
        <v>303</v>
      </c>
      <c r="H98" s="666" t="str">
        <f t="shared" si="1"/>
        <v>Regelzone 50Hertz (gesamt)</v>
      </c>
      <c r="I98" s="662"/>
    </row>
    <row r="99" spans="1:9" hidden="1" outlineLevel="1">
      <c r="A99" s="61">
        <v>2022</v>
      </c>
      <c r="B99" s="75" t="s">
        <v>304</v>
      </c>
      <c r="C99" s="60" t="s">
        <v>2016</v>
      </c>
      <c r="D99" s="57">
        <v>112804</v>
      </c>
      <c r="E99" s="57">
        <v>426.4</v>
      </c>
      <c r="F99" s="808">
        <v>472.65</v>
      </c>
      <c r="G99" s="8" t="s">
        <v>305</v>
      </c>
      <c r="H99" s="666" t="str">
        <f t="shared" si="1"/>
        <v>Regelzone 50Hertz (gesamt)</v>
      </c>
      <c r="I99" s="662"/>
    </row>
    <row r="100" spans="1:9" hidden="1" outlineLevel="1">
      <c r="A100" s="61">
        <v>2022</v>
      </c>
      <c r="B100" s="75" t="s">
        <v>316</v>
      </c>
      <c r="C100" s="60" t="s">
        <v>2016</v>
      </c>
      <c r="D100" s="57">
        <v>59657619</v>
      </c>
      <c r="E100" s="57">
        <v>225505.8</v>
      </c>
      <c r="F100" s="808">
        <v>249965.42</v>
      </c>
      <c r="G100" s="8" t="s">
        <v>317</v>
      </c>
      <c r="H100" s="666" t="str">
        <f t="shared" si="1"/>
        <v>Regelzone 50Hertz (gesamt)</v>
      </c>
      <c r="I100" s="662"/>
    </row>
    <row r="101" spans="1:9" hidden="1" outlineLevel="1">
      <c r="A101" s="61">
        <v>2022</v>
      </c>
      <c r="B101" s="75" t="s">
        <v>318</v>
      </c>
      <c r="C101" s="60" t="s">
        <v>2016</v>
      </c>
      <c r="D101" s="57">
        <v>244553</v>
      </c>
      <c r="E101" s="57">
        <v>924.41</v>
      </c>
      <c r="F101" s="808">
        <v>1024.68</v>
      </c>
      <c r="G101" s="8" t="s">
        <v>319</v>
      </c>
      <c r="H101" s="666" t="str">
        <f t="shared" si="1"/>
        <v>Regelzone 50Hertz (gesamt)</v>
      </c>
      <c r="I101" s="662"/>
    </row>
    <row r="102" spans="1:9" hidden="1" outlineLevel="1">
      <c r="A102" s="61">
        <v>2022</v>
      </c>
      <c r="B102" s="75" t="s">
        <v>346</v>
      </c>
      <c r="C102" s="60" t="s">
        <v>2016</v>
      </c>
      <c r="D102" s="57">
        <v>-75847</v>
      </c>
      <c r="E102" s="57">
        <v>-286.7</v>
      </c>
      <c r="F102" s="808">
        <v>-317.8</v>
      </c>
      <c r="G102" s="8" t="s">
        <v>347</v>
      </c>
      <c r="H102" s="666" t="str">
        <f t="shared" si="1"/>
        <v>Regelzone 50Hertz (gesamt)</v>
      </c>
      <c r="I102" s="662"/>
    </row>
    <row r="103" spans="1:9" hidden="1" outlineLevel="1">
      <c r="A103" s="61">
        <v>2022</v>
      </c>
      <c r="B103" s="75" t="s">
        <v>348</v>
      </c>
      <c r="C103" s="60" t="s">
        <v>2016</v>
      </c>
      <c r="D103" s="57">
        <v>548767</v>
      </c>
      <c r="E103" s="57">
        <v>2074.34</v>
      </c>
      <c r="F103" s="808">
        <v>2299.33</v>
      </c>
      <c r="G103" s="8" t="s">
        <v>349</v>
      </c>
      <c r="H103" s="666" t="str">
        <f t="shared" si="1"/>
        <v>Regelzone 50Hertz (gesamt)</v>
      </c>
      <c r="I103" s="662"/>
    </row>
    <row r="104" spans="1:9" hidden="1" outlineLevel="1">
      <c r="A104" s="61">
        <v>2022</v>
      </c>
      <c r="B104" s="75" t="s">
        <v>350</v>
      </c>
      <c r="C104" s="60" t="s">
        <v>2016</v>
      </c>
      <c r="D104" s="57">
        <v>293184</v>
      </c>
      <c r="E104" s="57">
        <v>1108.24</v>
      </c>
      <c r="F104" s="808">
        <v>1228.44</v>
      </c>
      <c r="G104" s="8" t="s">
        <v>351</v>
      </c>
      <c r="H104" s="666" t="str">
        <f t="shared" si="1"/>
        <v>Regelzone 50Hertz (gesamt)</v>
      </c>
      <c r="I104" s="662"/>
    </row>
    <row r="105" spans="1:9" hidden="1" outlineLevel="1">
      <c r="A105" s="61">
        <v>2022</v>
      </c>
      <c r="B105" s="75" t="s">
        <v>352</v>
      </c>
      <c r="C105" s="60" t="s">
        <v>2016</v>
      </c>
      <c r="D105" s="57">
        <v>158072808</v>
      </c>
      <c r="E105" s="57">
        <v>597515.21</v>
      </c>
      <c r="F105" s="808">
        <v>662325.06999999995</v>
      </c>
      <c r="G105" s="8" t="s">
        <v>353</v>
      </c>
      <c r="H105" s="666" t="str">
        <f t="shared" si="1"/>
        <v>Regelzone 50Hertz (gesamt)</v>
      </c>
      <c r="I105" s="662"/>
    </row>
    <row r="106" spans="1:9" hidden="1" outlineLevel="1">
      <c r="A106" s="61">
        <v>2022</v>
      </c>
      <c r="B106" s="75" t="s">
        <v>380</v>
      </c>
      <c r="C106" s="60" t="s">
        <v>2016</v>
      </c>
      <c r="D106" s="57">
        <v>-843281</v>
      </c>
      <c r="E106" s="57">
        <v>-3187.6</v>
      </c>
      <c r="F106" s="808">
        <v>-3533.35</v>
      </c>
      <c r="G106" s="8" t="s">
        <v>381</v>
      </c>
      <c r="H106" s="666" t="str">
        <f t="shared" si="1"/>
        <v>Regelzone 50Hertz (gesamt)</v>
      </c>
      <c r="I106" s="662"/>
    </row>
    <row r="107" spans="1:9" hidden="1" outlineLevel="1">
      <c r="A107" s="61">
        <v>2022</v>
      </c>
      <c r="B107" s="75" t="s">
        <v>386</v>
      </c>
      <c r="C107" s="60" t="s">
        <v>2016</v>
      </c>
      <c r="D107" s="57">
        <v>34484</v>
      </c>
      <c r="E107" s="57">
        <v>130.35</v>
      </c>
      <c r="F107" s="808">
        <v>144.49</v>
      </c>
      <c r="G107" s="8" t="s">
        <v>387</v>
      </c>
      <c r="H107" s="666" t="str">
        <f t="shared" si="1"/>
        <v>Regelzone 50Hertz (gesamt)</v>
      </c>
      <c r="I107" s="662"/>
    </row>
    <row r="108" spans="1:9" hidden="1" outlineLevel="1">
      <c r="A108" s="61">
        <v>2022</v>
      </c>
      <c r="B108" s="75" t="s">
        <v>388</v>
      </c>
      <c r="C108" s="60" t="s">
        <v>2016</v>
      </c>
      <c r="D108" s="57">
        <v>-588010</v>
      </c>
      <c r="E108" s="57">
        <v>-2222.6799999999998</v>
      </c>
      <c r="F108" s="808">
        <v>-2463.7600000000002</v>
      </c>
      <c r="G108" s="8" t="s">
        <v>389</v>
      </c>
      <c r="H108" s="666" t="str">
        <f t="shared" si="1"/>
        <v>Regelzone 50Hertz (gesamt)</v>
      </c>
      <c r="I108" s="662"/>
    </row>
    <row r="109" spans="1:9" hidden="1" outlineLevel="1">
      <c r="A109" s="61">
        <v>2022</v>
      </c>
      <c r="B109" s="75" t="s">
        <v>398</v>
      </c>
      <c r="C109" s="60" t="s">
        <v>2016</v>
      </c>
      <c r="D109" s="57">
        <v>2528835</v>
      </c>
      <c r="E109" s="57">
        <v>9559</v>
      </c>
      <c r="F109" s="808">
        <v>10595.82</v>
      </c>
      <c r="G109" s="8" t="s">
        <v>399</v>
      </c>
      <c r="H109" s="666" t="str">
        <f t="shared" si="1"/>
        <v>Regelzone 50Hertz (gesamt)</v>
      </c>
      <c r="I109" s="662"/>
    </row>
    <row r="110" spans="1:9" hidden="1" outlineLevel="1">
      <c r="A110" s="61">
        <v>2022</v>
      </c>
      <c r="B110" s="75" t="s">
        <v>400</v>
      </c>
      <c r="C110" s="60" t="s">
        <v>2016</v>
      </c>
      <c r="D110" s="57">
        <v>18354</v>
      </c>
      <c r="E110" s="57">
        <v>69.38</v>
      </c>
      <c r="F110" s="808">
        <v>76.900000000000006</v>
      </c>
      <c r="G110" s="8" t="s">
        <v>401</v>
      </c>
      <c r="H110" s="666" t="str">
        <f t="shared" si="1"/>
        <v>Regelzone 50Hertz (gesamt)</v>
      </c>
      <c r="I110" s="662"/>
    </row>
    <row r="111" spans="1:9" hidden="1" outlineLevel="1">
      <c r="A111" s="61">
        <v>2022</v>
      </c>
      <c r="B111" s="75" t="s">
        <v>577</v>
      </c>
      <c r="C111" s="60" t="s">
        <v>2017</v>
      </c>
      <c r="D111" s="57">
        <v>-49490</v>
      </c>
      <c r="E111" s="57">
        <v>-67.02</v>
      </c>
      <c r="F111" s="101">
        <v>-67.02</v>
      </c>
      <c r="G111" s="8" t="s">
        <v>578</v>
      </c>
      <c r="H111" s="666" t="str">
        <f t="shared" si="1"/>
        <v>Regelzone 50Hertz (gesamt)</v>
      </c>
      <c r="I111" s="662"/>
    </row>
    <row r="112" spans="1:9" ht="13.5" hidden="1" outlineLevel="1" thickBot="1">
      <c r="A112" s="1069">
        <v>2022</v>
      </c>
      <c r="B112" s="76" t="s">
        <v>316</v>
      </c>
      <c r="C112" s="797" t="s">
        <v>2018</v>
      </c>
      <c r="D112" s="49">
        <v>-3631</v>
      </c>
      <c r="E112" s="49">
        <v>13.73</v>
      </c>
      <c r="F112" s="1072">
        <v>15.21</v>
      </c>
      <c r="G112" s="8" t="s">
        <v>317</v>
      </c>
      <c r="H112" s="666" t="str">
        <f t="shared" si="1"/>
        <v>Regelzone 50Hertz (gesamt)</v>
      </c>
      <c r="I112" s="662"/>
    </row>
    <row r="113" spans="1:9" hidden="1" outlineLevel="1">
      <c r="A113" s="1066">
        <v>2023</v>
      </c>
      <c r="B113" s="77" t="s">
        <v>86</v>
      </c>
      <c r="C113" s="59" t="s">
        <v>2016</v>
      </c>
      <c r="D113" s="50">
        <v>-72649</v>
      </c>
      <c r="E113" s="50">
        <v>-259.36</v>
      </c>
      <c r="F113" s="1067">
        <v>-429.36</v>
      </c>
      <c r="G113" s="8" t="s">
        <v>87</v>
      </c>
      <c r="H113" s="666" t="str">
        <f t="shared" si="1"/>
        <v>Regelzone 50Hertz (gesamt)</v>
      </c>
      <c r="I113" s="662"/>
    </row>
    <row r="114" spans="1:9" hidden="1" outlineLevel="1">
      <c r="A114" s="61">
        <v>2023</v>
      </c>
      <c r="B114" s="75" t="s">
        <v>88</v>
      </c>
      <c r="C114" s="60" t="s">
        <v>2016</v>
      </c>
      <c r="D114" s="57">
        <v>-175999</v>
      </c>
      <c r="E114" s="57">
        <v>-628.32000000000005</v>
      </c>
      <c r="F114" s="808">
        <v>-1040.1500000000001</v>
      </c>
      <c r="G114" s="8" t="s">
        <v>89</v>
      </c>
      <c r="H114" s="666" t="str">
        <f t="shared" si="1"/>
        <v>Regelzone 50Hertz (gesamt)</v>
      </c>
      <c r="I114" s="662"/>
    </row>
    <row r="115" spans="1:9" hidden="1" outlineLevel="1">
      <c r="A115" s="61">
        <v>2023</v>
      </c>
      <c r="B115" s="75" t="s">
        <v>92</v>
      </c>
      <c r="C115" s="60" t="s">
        <v>2016</v>
      </c>
      <c r="D115" s="57">
        <v>-198361</v>
      </c>
      <c r="E115" s="57">
        <v>-708.15</v>
      </c>
      <c r="F115" s="808">
        <v>-1172.31</v>
      </c>
      <c r="G115" s="8" t="s">
        <v>93</v>
      </c>
      <c r="H115" s="666" t="str">
        <f t="shared" si="1"/>
        <v>Regelzone 50Hertz (gesamt)</v>
      </c>
      <c r="I115" s="662"/>
    </row>
    <row r="116" spans="1:9" hidden="1" outlineLevel="1">
      <c r="A116" s="61">
        <v>2023</v>
      </c>
      <c r="B116" s="75" t="s">
        <v>94</v>
      </c>
      <c r="C116" s="60" t="s">
        <v>2016</v>
      </c>
      <c r="D116" s="57">
        <v>-139238</v>
      </c>
      <c r="E116" s="57">
        <v>-497.08</v>
      </c>
      <c r="F116" s="808">
        <v>-822.9</v>
      </c>
      <c r="G116" s="8" t="s">
        <v>95</v>
      </c>
      <c r="H116" s="666" t="str">
        <f t="shared" si="1"/>
        <v>Regelzone 50Hertz (gesamt)</v>
      </c>
      <c r="I116" s="662"/>
    </row>
    <row r="117" spans="1:9" hidden="1" outlineLevel="1">
      <c r="A117" s="61">
        <v>2023</v>
      </c>
      <c r="B117" s="75" t="s">
        <v>100</v>
      </c>
      <c r="C117" s="60" t="s">
        <v>2016</v>
      </c>
      <c r="D117" s="57">
        <v>346122</v>
      </c>
      <c r="E117" s="57">
        <v>1235.6600000000001</v>
      </c>
      <c r="F117" s="808">
        <v>2045.58</v>
      </c>
      <c r="G117" s="8" t="s">
        <v>101</v>
      </c>
      <c r="H117" s="666" t="str">
        <f t="shared" si="1"/>
        <v>Regelzone 50Hertz (gesamt)</v>
      </c>
      <c r="I117" s="662"/>
    </row>
    <row r="118" spans="1:9" hidden="1" outlineLevel="1">
      <c r="A118" s="61">
        <v>2023</v>
      </c>
      <c r="B118" s="75" t="s">
        <v>114</v>
      </c>
      <c r="C118" s="60" t="s">
        <v>2016</v>
      </c>
      <c r="D118" s="57">
        <v>-51593111</v>
      </c>
      <c r="E118" s="57">
        <v>-184187.41</v>
      </c>
      <c r="F118" s="808">
        <v>-304915.28999999998</v>
      </c>
      <c r="G118" s="8" t="s">
        <v>115</v>
      </c>
      <c r="H118" s="666" t="str">
        <f t="shared" si="1"/>
        <v>Regelzone 50Hertz (gesamt)</v>
      </c>
      <c r="I118" s="662"/>
    </row>
    <row r="119" spans="1:9" hidden="1" outlineLevel="1">
      <c r="A119" s="61">
        <v>2023</v>
      </c>
      <c r="B119" s="75" t="s">
        <v>120</v>
      </c>
      <c r="C119" s="60" t="s">
        <v>2016</v>
      </c>
      <c r="D119" s="57">
        <v>353055</v>
      </c>
      <c r="E119" s="57">
        <v>1260.4100000000001</v>
      </c>
      <c r="F119" s="808">
        <v>2086.56</v>
      </c>
      <c r="G119" s="8" t="s">
        <v>121</v>
      </c>
      <c r="H119" s="666" t="str">
        <f t="shared" si="1"/>
        <v>Regelzone 50Hertz (gesamt)</v>
      </c>
      <c r="I119" s="662"/>
    </row>
    <row r="120" spans="1:9" hidden="1" outlineLevel="1">
      <c r="A120" s="61">
        <v>2023</v>
      </c>
      <c r="B120" s="75" t="s">
        <v>128</v>
      </c>
      <c r="C120" s="60" t="s">
        <v>2016</v>
      </c>
      <c r="D120" s="57">
        <v>-86194</v>
      </c>
      <c r="E120" s="57">
        <v>-307.70999999999998</v>
      </c>
      <c r="F120" s="808">
        <v>-509.41</v>
      </c>
      <c r="G120" s="8" t="s">
        <v>129</v>
      </c>
      <c r="H120" s="666" t="str">
        <f t="shared" si="1"/>
        <v>Regelzone 50Hertz (gesamt)</v>
      </c>
      <c r="I120" s="662"/>
    </row>
    <row r="121" spans="1:9" hidden="1" outlineLevel="1">
      <c r="A121" s="61">
        <v>2023</v>
      </c>
      <c r="B121" s="75" t="s">
        <v>132</v>
      </c>
      <c r="C121" s="60" t="s">
        <v>2016</v>
      </c>
      <c r="D121" s="57">
        <v>-24856</v>
      </c>
      <c r="E121" s="57">
        <v>-88.74</v>
      </c>
      <c r="F121" s="808">
        <v>-146.9</v>
      </c>
      <c r="G121" s="8" t="s">
        <v>133</v>
      </c>
      <c r="H121" s="666" t="str">
        <f t="shared" si="1"/>
        <v>Regelzone 50Hertz (gesamt)</v>
      </c>
      <c r="I121" s="662"/>
    </row>
    <row r="122" spans="1:9" hidden="1" outlineLevel="1">
      <c r="A122" s="61">
        <v>2023</v>
      </c>
      <c r="B122" s="75" t="s">
        <v>1855</v>
      </c>
      <c r="C122" s="60" t="s">
        <v>2016</v>
      </c>
      <c r="D122" s="55">
        <v>90902</v>
      </c>
      <c r="E122" s="48">
        <v>324.52</v>
      </c>
      <c r="F122" s="808">
        <v>537.23</v>
      </c>
      <c r="G122" t="s">
        <v>2019</v>
      </c>
      <c r="H122" s="666" t="str">
        <f t="shared" si="1"/>
        <v>Regelzone 50Hertz (gesamt)</v>
      </c>
      <c r="I122" s="662"/>
    </row>
    <row r="123" spans="1:9" hidden="1" outlineLevel="1">
      <c r="A123" s="61">
        <v>2023</v>
      </c>
      <c r="B123" s="75" t="s">
        <v>134</v>
      </c>
      <c r="C123" s="60" t="s">
        <v>2016</v>
      </c>
      <c r="D123" s="48">
        <v>-117967</v>
      </c>
      <c r="E123" s="48">
        <v>-421.15</v>
      </c>
      <c r="F123" s="808">
        <v>-697.18</v>
      </c>
      <c r="G123" s="8" t="s">
        <v>135</v>
      </c>
      <c r="H123" s="666" t="str">
        <f t="shared" si="1"/>
        <v>Regelzone 50Hertz (gesamt)</v>
      </c>
      <c r="I123" s="662"/>
    </row>
    <row r="124" spans="1:9" hidden="1" outlineLevel="1">
      <c r="A124" s="61">
        <v>2023</v>
      </c>
      <c r="B124" s="75" t="s">
        <v>136</v>
      </c>
      <c r="C124" s="60" t="s">
        <v>2016</v>
      </c>
      <c r="D124" s="48">
        <v>1344063</v>
      </c>
      <c r="E124" s="48">
        <v>4798.3</v>
      </c>
      <c r="F124" s="808">
        <v>7943.41</v>
      </c>
      <c r="G124" s="8" t="s">
        <v>137</v>
      </c>
      <c r="H124" s="666" t="str">
        <f t="shared" si="1"/>
        <v>Regelzone 50Hertz (gesamt)</v>
      </c>
      <c r="I124" s="662"/>
    </row>
    <row r="125" spans="1:9" hidden="1" outlineLevel="1">
      <c r="A125" s="61">
        <v>2023</v>
      </c>
      <c r="B125" s="75" t="s">
        <v>140</v>
      </c>
      <c r="C125" s="60" t="s">
        <v>2016</v>
      </c>
      <c r="D125" s="48">
        <v>5322046</v>
      </c>
      <c r="E125" s="48">
        <v>18999.7</v>
      </c>
      <c r="F125" s="808">
        <v>31453.29</v>
      </c>
      <c r="G125" s="8" t="s">
        <v>141</v>
      </c>
      <c r="H125" s="666" t="str">
        <f t="shared" si="1"/>
        <v>Regelzone 50Hertz (gesamt)</v>
      </c>
      <c r="I125" s="662"/>
    </row>
    <row r="126" spans="1:9" hidden="1" outlineLevel="1">
      <c r="A126" s="61">
        <v>2023</v>
      </c>
      <c r="B126" s="75" t="s">
        <v>144</v>
      </c>
      <c r="C126" s="60" t="s">
        <v>2016</v>
      </c>
      <c r="D126" s="57">
        <v>224895</v>
      </c>
      <c r="E126" s="57">
        <v>802.88</v>
      </c>
      <c r="F126" s="808">
        <v>1329.13</v>
      </c>
      <c r="G126" s="8" t="s">
        <v>145</v>
      </c>
      <c r="H126" s="666" t="str">
        <f t="shared" si="1"/>
        <v>Regelzone 50Hertz (gesamt)</v>
      </c>
      <c r="I126" s="662"/>
    </row>
    <row r="127" spans="1:9" hidden="1" outlineLevel="1">
      <c r="A127" s="61">
        <v>2023</v>
      </c>
      <c r="B127" s="75" t="s">
        <v>150</v>
      </c>
      <c r="C127" s="60" t="s">
        <v>2016</v>
      </c>
      <c r="D127" s="57">
        <v>1741180</v>
      </c>
      <c r="E127" s="57">
        <v>6216.01</v>
      </c>
      <c r="F127" s="808">
        <v>10290.370000000001</v>
      </c>
      <c r="G127" s="8" t="s">
        <v>151</v>
      </c>
      <c r="H127" s="666" t="str">
        <f t="shared" si="1"/>
        <v>Regelzone 50Hertz (gesamt)</v>
      </c>
      <c r="I127" s="662"/>
    </row>
    <row r="128" spans="1:9" hidden="1" outlineLevel="1">
      <c r="A128" s="61">
        <v>2023</v>
      </c>
      <c r="B128" s="75" t="s">
        <v>154</v>
      </c>
      <c r="C128" s="60" t="s">
        <v>2016</v>
      </c>
      <c r="D128" s="57">
        <v>-992208</v>
      </c>
      <c r="E128" s="57">
        <v>-3542.1800000000003</v>
      </c>
      <c r="F128" s="808">
        <v>-5863.95</v>
      </c>
      <c r="G128" s="8" t="s">
        <v>155</v>
      </c>
      <c r="H128" s="666" t="str">
        <f t="shared" si="1"/>
        <v>Regelzone 50Hertz (gesamt)</v>
      </c>
      <c r="I128" s="662"/>
    </row>
    <row r="129" spans="1:9" hidden="1" outlineLevel="1">
      <c r="A129" s="61">
        <v>2023</v>
      </c>
      <c r="B129" s="75" t="s">
        <v>158</v>
      </c>
      <c r="C129" s="60" t="s">
        <v>2016</v>
      </c>
      <c r="D129" s="57">
        <v>-488909</v>
      </c>
      <c r="E129" s="57">
        <v>-1745.41</v>
      </c>
      <c r="F129" s="808">
        <v>-2889.45</v>
      </c>
      <c r="G129" s="8" t="s">
        <v>159</v>
      </c>
      <c r="H129" s="666" t="str">
        <f t="shared" si="1"/>
        <v>Regelzone 50Hertz (gesamt)</v>
      </c>
      <c r="I129" s="662"/>
    </row>
    <row r="130" spans="1:9" hidden="1" outlineLevel="1">
      <c r="A130" s="61">
        <v>2023</v>
      </c>
      <c r="B130" s="75" t="s">
        <v>160</v>
      </c>
      <c r="C130" s="60" t="s">
        <v>2016</v>
      </c>
      <c r="D130" s="57">
        <v>8274</v>
      </c>
      <c r="E130" s="57">
        <v>29.54</v>
      </c>
      <c r="F130" s="808">
        <v>48.9</v>
      </c>
      <c r="G130" s="8" t="s">
        <v>161</v>
      </c>
      <c r="H130" s="666" t="str">
        <f t="shared" si="1"/>
        <v>Regelzone 50Hertz (gesamt)</v>
      </c>
      <c r="I130" s="662"/>
    </row>
    <row r="131" spans="1:9" hidden="1" outlineLevel="1">
      <c r="A131" s="61">
        <v>2023</v>
      </c>
      <c r="B131" s="75" t="s">
        <v>162</v>
      </c>
      <c r="C131" s="60" t="s">
        <v>2016</v>
      </c>
      <c r="D131" s="57">
        <v>-85120</v>
      </c>
      <c r="E131" s="57">
        <v>-303.88</v>
      </c>
      <c r="F131" s="808">
        <v>-503.06</v>
      </c>
      <c r="G131" s="8" t="s">
        <v>163</v>
      </c>
      <c r="H131" s="666" t="str">
        <f t="shared" si="1"/>
        <v>Regelzone 50Hertz (gesamt)</v>
      </c>
      <c r="I131" s="662"/>
    </row>
    <row r="132" spans="1:9" hidden="1" outlineLevel="1">
      <c r="A132" s="61">
        <v>2023</v>
      </c>
      <c r="B132" s="75" t="s">
        <v>166</v>
      </c>
      <c r="C132" s="60" t="s">
        <v>2016</v>
      </c>
      <c r="D132" s="57">
        <v>-26338201</v>
      </c>
      <c r="E132" s="57">
        <v>-94027.38</v>
      </c>
      <c r="F132" s="808">
        <v>-155658.76999999999</v>
      </c>
      <c r="G132" s="8" t="s">
        <v>167</v>
      </c>
      <c r="H132" s="666" t="str">
        <f t="shared" si="1"/>
        <v>Regelzone 50Hertz (gesamt)</v>
      </c>
      <c r="I132" s="662"/>
    </row>
    <row r="133" spans="1:9" hidden="1" outlineLevel="1">
      <c r="A133" s="61">
        <v>2023</v>
      </c>
      <c r="B133" s="75" t="s">
        <v>168</v>
      </c>
      <c r="C133" s="60" t="s">
        <v>2016</v>
      </c>
      <c r="D133" s="57">
        <v>444620</v>
      </c>
      <c r="E133" s="57">
        <v>1587.29</v>
      </c>
      <c r="F133" s="808">
        <v>2627.7</v>
      </c>
      <c r="G133" s="8" t="s">
        <v>169</v>
      </c>
      <c r="H133" s="666" t="str">
        <f t="shared" si="1"/>
        <v>Regelzone 50Hertz (gesamt)</v>
      </c>
      <c r="I133" s="662"/>
    </row>
    <row r="134" spans="1:9" hidden="1" outlineLevel="1">
      <c r="A134" s="61">
        <v>2023</v>
      </c>
      <c r="B134" s="75" t="s">
        <v>170</v>
      </c>
      <c r="C134" s="60" t="s">
        <v>2016</v>
      </c>
      <c r="D134" s="57">
        <v>3139</v>
      </c>
      <c r="E134" s="57">
        <v>11.21</v>
      </c>
      <c r="F134" s="808">
        <v>18.55</v>
      </c>
      <c r="G134" s="8" t="s">
        <v>171</v>
      </c>
      <c r="H134" s="666" t="str">
        <f t="shared" si="1"/>
        <v>Regelzone 50Hertz (gesamt)</v>
      </c>
      <c r="I134" s="662"/>
    </row>
    <row r="135" spans="1:9" hidden="1" outlineLevel="1">
      <c r="A135" s="61">
        <v>2023</v>
      </c>
      <c r="B135" s="75" t="s">
        <v>172</v>
      </c>
      <c r="C135" s="60" t="s">
        <v>2016</v>
      </c>
      <c r="D135" s="57">
        <v>23918</v>
      </c>
      <c r="E135" s="57">
        <v>85.39</v>
      </c>
      <c r="F135" s="808">
        <v>141.36000000000001</v>
      </c>
      <c r="G135" s="8" t="s">
        <v>173</v>
      </c>
      <c r="H135" s="666" t="str">
        <f t="shared" si="1"/>
        <v>Regelzone 50Hertz (gesamt)</v>
      </c>
      <c r="I135" s="662"/>
    </row>
    <row r="136" spans="1:9" hidden="1" outlineLevel="1">
      <c r="A136" s="61">
        <v>2023</v>
      </c>
      <c r="B136" s="75" t="s">
        <v>182</v>
      </c>
      <c r="C136" s="60" t="s">
        <v>2016</v>
      </c>
      <c r="D136" s="57">
        <v>-2006217</v>
      </c>
      <c r="E136" s="57">
        <v>-7162.19</v>
      </c>
      <c r="F136" s="808">
        <v>-11856.74</v>
      </c>
      <c r="G136" s="8" t="s">
        <v>183</v>
      </c>
      <c r="H136" s="666" t="str">
        <f t="shared" si="1"/>
        <v>Regelzone 50Hertz (gesamt)</v>
      </c>
      <c r="I136" s="662"/>
    </row>
    <row r="137" spans="1:9" hidden="1" outlineLevel="1">
      <c r="A137" s="61">
        <v>2023</v>
      </c>
      <c r="B137" s="75" t="s">
        <v>188</v>
      </c>
      <c r="C137" s="60" t="s">
        <v>2016</v>
      </c>
      <c r="D137" s="57">
        <v>-1033897</v>
      </c>
      <c r="E137" s="57">
        <v>-3691.01</v>
      </c>
      <c r="F137" s="808">
        <v>-6110.33</v>
      </c>
      <c r="G137" s="8" t="s">
        <v>189</v>
      </c>
      <c r="H137" s="666" t="str">
        <f t="shared" si="1"/>
        <v>Regelzone 50Hertz (gesamt)</v>
      </c>
      <c r="I137" s="662"/>
    </row>
    <row r="138" spans="1:9" hidden="1" outlineLevel="1">
      <c r="A138" s="61">
        <v>2023</v>
      </c>
      <c r="B138" s="75" t="s">
        <v>190</v>
      </c>
      <c r="C138" s="60" t="s">
        <v>2016</v>
      </c>
      <c r="D138" s="57">
        <v>-163087</v>
      </c>
      <c r="E138" s="57">
        <v>-582.22</v>
      </c>
      <c r="F138" s="808">
        <v>-963.84</v>
      </c>
      <c r="G138" s="8" t="s">
        <v>191</v>
      </c>
      <c r="H138" s="666" t="str">
        <f t="shared" ref="H138:H201" si="2">+H137</f>
        <v>Regelzone 50Hertz (gesamt)</v>
      </c>
      <c r="I138" s="662"/>
    </row>
    <row r="139" spans="1:9" hidden="1" outlineLevel="1">
      <c r="A139" s="61">
        <v>2023</v>
      </c>
      <c r="B139" s="75" t="s">
        <v>192</v>
      </c>
      <c r="C139" s="60" t="s">
        <v>2016</v>
      </c>
      <c r="D139" s="57">
        <v>-14692825</v>
      </c>
      <c r="E139" s="57">
        <v>-52453.39</v>
      </c>
      <c r="F139" s="808">
        <v>-86834.6</v>
      </c>
      <c r="G139" s="8" t="s">
        <v>193</v>
      </c>
      <c r="H139" s="666" t="str">
        <f t="shared" si="2"/>
        <v>Regelzone 50Hertz (gesamt)</v>
      </c>
      <c r="I139" s="662"/>
    </row>
    <row r="140" spans="1:9" hidden="1" outlineLevel="1">
      <c r="A140" s="61">
        <v>2023</v>
      </c>
      <c r="B140" s="75" t="s">
        <v>196</v>
      </c>
      <c r="C140" s="60" t="s">
        <v>2016</v>
      </c>
      <c r="D140" s="57">
        <v>-6108</v>
      </c>
      <c r="E140" s="57">
        <v>-21.81</v>
      </c>
      <c r="F140" s="808">
        <v>-36.1</v>
      </c>
      <c r="G140" s="8" t="s">
        <v>197</v>
      </c>
      <c r="H140" s="666" t="str">
        <f t="shared" si="2"/>
        <v>Regelzone 50Hertz (gesamt)</v>
      </c>
      <c r="I140" s="662"/>
    </row>
    <row r="141" spans="1:9" hidden="1" outlineLevel="1">
      <c r="A141" s="61">
        <v>2023</v>
      </c>
      <c r="B141" s="75" t="s">
        <v>200</v>
      </c>
      <c r="C141" s="60" t="s">
        <v>2016</v>
      </c>
      <c r="D141" s="57">
        <v>-169588</v>
      </c>
      <c r="E141" s="57">
        <v>-605.42999999999995</v>
      </c>
      <c r="F141" s="808">
        <v>-1002.27</v>
      </c>
      <c r="G141" s="8" t="s">
        <v>201</v>
      </c>
      <c r="H141" s="666" t="str">
        <f t="shared" si="2"/>
        <v>Regelzone 50Hertz (gesamt)</v>
      </c>
      <c r="I141" s="662"/>
    </row>
    <row r="142" spans="1:9" hidden="1" outlineLevel="1">
      <c r="A142" s="61">
        <v>2023</v>
      </c>
      <c r="B142" s="75" t="s">
        <v>204</v>
      </c>
      <c r="C142" s="60" t="s">
        <v>2016</v>
      </c>
      <c r="D142" s="57">
        <v>-153818</v>
      </c>
      <c r="E142" s="57">
        <v>-549.13000000000011</v>
      </c>
      <c r="F142" s="808">
        <v>-909.06</v>
      </c>
      <c r="G142" s="8" t="s">
        <v>205</v>
      </c>
      <c r="H142" s="666" t="str">
        <f t="shared" si="2"/>
        <v>Regelzone 50Hertz (gesamt)</v>
      </c>
      <c r="I142" s="662"/>
    </row>
    <row r="143" spans="1:9" hidden="1" outlineLevel="1">
      <c r="A143" s="61">
        <v>2023</v>
      </c>
      <c r="B143" s="75" t="s">
        <v>212</v>
      </c>
      <c r="C143" s="60" t="s">
        <v>2016</v>
      </c>
      <c r="D143" s="57">
        <v>-44660</v>
      </c>
      <c r="E143" s="57">
        <v>-159.44000000000005</v>
      </c>
      <c r="F143" s="808">
        <v>-263.94</v>
      </c>
      <c r="G143" s="8" t="s">
        <v>213</v>
      </c>
      <c r="H143" s="666" t="str">
        <f t="shared" si="2"/>
        <v>Regelzone 50Hertz (gesamt)</v>
      </c>
      <c r="I143" s="662"/>
    </row>
    <row r="144" spans="1:9" hidden="1" outlineLevel="1">
      <c r="A144" s="61">
        <v>2023</v>
      </c>
      <c r="B144" s="75" t="s">
        <v>214</v>
      </c>
      <c r="C144" s="60" t="s">
        <v>2016</v>
      </c>
      <c r="D144" s="57">
        <v>-19588</v>
      </c>
      <c r="E144" s="57">
        <v>-69.930000000000007</v>
      </c>
      <c r="F144" s="808">
        <v>-115.77</v>
      </c>
      <c r="G144" s="8" t="s">
        <v>215</v>
      </c>
      <c r="H144" s="666" t="str">
        <f t="shared" si="2"/>
        <v>Regelzone 50Hertz (gesamt)</v>
      </c>
      <c r="I144" s="662"/>
    </row>
    <row r="145" spans="1:9" hidden="1" outlineLevel="1">
      <c r="A145" s="61">
        <v>2023</v>
      </c>
      <c r="B145" s="75" t="s">
        <v>216</v>
      </c>
      <c r="C145" s="60" t="s">
        <v>2016</v>
      </c>
      <c r="D145" s="57">
        <v>-37153</v>
      </c>
      <c r="E145" s="57">
        <v>-132.63999999999999</v>
      </c>
      <c r="F145" s="808">
        <v>-219.57</v>
      </c>
      <c r="G145" s="8" t="s">
        <v>217</v>
      </c>
      <c r="H145" s="666" t="str">
        <f t="shared" si="2"/>
        <v>Regelzone 50Hertz (gesamt)</v>
      </c>
      <c r="I145" s="662"/>
    </row>
    <row r="146" spans="1:9" hidden="1" outlineLevel="1">
      <c r="A146" s="61">
        <v>2023</v>
      </c>
      <c r="B146" s="75" t="s">
        <v>1856</v>
      </c>
      <c r="C146" s="60" t="s">
        <v>2016</v>
      </c>
      <c r="D146" s="57">
        <v>5684914</v>
      </c>
      <c r="E146" s="57">
        <v>20295.14</v>
      </c>
      <c r="F146" s="808">
        <v>33597.839999999997</v>
      </c>
      <c r="G146" s="8" t="s">
        <v>2020</v>
      </c>
      <c r="H146" s="666" t="str">
        <f t="shared" si="2"/>
        <v>Regelzone 50Hertz (gesamt)</v>
      </c>
      <c r="I146" s="662"/>
    </row>
    <row r="147" spans="1:9" hidden="1" outlineLevel="1">
      <c r="A147" s="61">
        <v>2023</v>
      </c>
      <c r="B147" s="75" t="s">
        <v>220</v>
      </c>
      <c r="C147" s="60" t="s">
        <v>2016</v>
      </c>
      <c r="D147" s="57">
        <v>742152</v>
      </c>
      <c r="E147" s="57">
        <v>2649.48</v>
      </c>
      <c r="F147" s="808">
        <v>4386.12</v>
      </c>
      <c r="G147" s="8" t="s">
        <v>221</v>
      </c>
      <c r="H147" s="666" t="str">
        <f t="shared" si="2"/>
        <v>Regelzone 50Hertz (gesamt)</v>
      </c>
      <c r="I147" s="662"/>
    </row>
    <row r="148" spans="1:9" hidden="1" outlineLevel="1">
      <c r="A148" s="61">
        <v>2023</v>
      </c>
      <c r="B148" s="75" t="s">
        <v>226</v>
      </c>
      <c r="C148" s="60" t="s">
        <v>2016</v>
      </c>
      <c r="D148" s="57">
        <v>-62044</v>
      </c>
      <c r="E148" s="57">
        <v>-221.5</v>
      </c>
      <c r="F148" s="808">
        <v>-366.68</v>
      </c>
      <c r="G148" s="8" t="s">
        <v>227</v>
      </c>
      <c r="H148" s="666" t="str">
        <f t="shared" si="2"/>
        <v>Regelzone 50Hertz (gesamt)</v>
      </c>
      <c r="I148" s="662"/>
    </row>
    <row r="149" spans="1:9" hidden="1" outlineLevel="1">
      <c r="A149" s="61">
        <v>2023</v>
      </c>
      <c r="B149" s="75" t="s">
        <v>228</v>
      </c>
      <c r="C149" s="60" t="s">
        <v>2016</v>
      </c>
      <c r="D149" s="57">
        <v>-62732806</v>
      </c>
      <c r="E149" s="57">
        <v>-223956.12</v>
      </c>
      <c r="F149" s="808">
        <v>-370750.88</v>
      </c>
      <c r="G149" s="8" t="s">
        <v>229</v>
      </c>
      <c r="H149" s="666" t="str">
        <f t="shared" si="2"/>
        <v>Regelzone 50Hertz (gesamt)</v>
      </c>
      <c r="I149" s="662"/>
    </row>
    <row r="150" spans="1:9" hidden="1" outlineLevel="1">
      <c r="A150" s="61">
        <v>2023</v>
      </c>
      <c r="B150" s="75" t="s">
        <v>230</v>
      </c>
      <c r="C150" s="60" t="s">
        <v>2016</v>
      </c>
      <c r="D150" s="57">
        <v>232750</v>
      </c>
      <c r="E150" s="57">
        <v>830.92</v>
      </c>
      <c r="F150" s="808">
        <v>1375.55</v>
      </c>
      <c r="G150" s="8" t="s">
        <v>231</v>
      </c>
      <c r="H150" s="666" t="str">
        <f t="shared" si="2"/>
        <v>Regelzone 50Hertz (gesamt)</v>
      </c>
      <c r="I150" s="662"/>
    </row>
    <row r="151" spans="1:9" hidden="1" outlineLevel="1">
      <c r="A151" s="61">
        <v>2023</v>
      </c>
      <c r="B151" s="75" t="s">
        <v>577</v>
      </c>
      <c r="C151" s="60" t="s">
        <v>2016</v>
      </c>
      <c r="D151" s="57">
        <v>1002260</v>
      </c>
      <c r="E151" s="57">
        <v>3578.07</v>
      </c>
      <c r="F151" s="808">
        <v>5923.36</v>
      </c>
      <c r="G151" s="8" t="s">
        <v>578</v>
      </c>
      <c r="H151" s="666" t="str">
        <f t="shared" si="2"/>
        <v>Regelzone 50Hertz (gesamt)</v>
      </c>
      <c r="I151" s="662"/>
    </row>
    <row r="152" spans="1:9" hidden="1" outlineLevel="1">
      <c r="A152" s="61">
        <v>2023</v>
      </c>
      <c r="B152" s="75" t="s">
        <v>234</v>
      </c>
      <c r="C152" s="60" t="s">
        <v>2016</v>
      </c>
      <c r="D152" s="57">
        <v>-210285</v>
      </c>
      <c r="E152" s="57">
        <v>-750.72</v>
      </c>
      <c r="F152" s="808">
        <v>-1242.78</v>
      </c>
      <c r="G152" s="8" t="s">
        <v>235</v>
      </c>
      <c r="H152" s="666" t="str">
        <f t="shared" si="2"/>
        <v>Regelzone 50Hertz (gesamt)</v>
      </c>
      <c r="I152" s="662"/>
    </row>
    <row r="153" spans="1:9" hidden="1" outlineLevel="1">
      <c r="A153" s="61">
        <v>2023</v>
      </c>
      <c r="B153" s="75" t="s">
        <v>238</v>
      </c>
      <c r="C153" s="60" t="s">
        <v>2016</v>
      </c>
      <c r="D153" s="57">
        <v>524423</v>
      </c>
      <c r="E153" s="57">
        <v>1872.19</v>
      </c>
      <c r="F153" s="808">
        <v>3099.34</v>
      </c>
      <c r="G153" s="8" t="s">
        <v>239</v>
      </c>
      <c r="H153" s="666" t="str">
        <f t="shared" si="2"/>
        <v>Regelzone 50Hertz (gesamt)</v>
      </c>
      <c r="I153" s="662"/>
    </row>
    <row r="154" spans="1:9" hidden="1" outlineLevel="1">
      <c r="A154" s="61">
        <v>2023</v>
      </c>
      <c r="B154" s="75" t="s">
        <v>240</v>
      </c>
      <c r="C154" s="60" t="s">
        <v>2016</v>
      </c>
      <c r="D154" s="57">
        <v>15541</v>
      </c>
      <c r="E154" s="57">
        <v>55.480000000000018</v>
      </c>
      <c r="F154" s="808">
        <v>91.85</v>
      </c>
      <c r="G154" s="8" t="s">
        <v>241</v>
      </c>
      <c r="H154" s="666" t="str">
        <f t="shared" si="2"/>
        <v>Regelzone 50Hertz (gesamt)</v>
      </c>
      <c r="I154" s="662"/>
    </row>
    <row r="155" spans="1:9" hidden="1" outlineLevel="1">
      <c r="A155" s="61">
        <v>2023</v>
      </c>
      <c r="B155" s="75" t="s">
        <v>242</v>
      </c>
      <c r="C155" s="60" t="s">
        <v>2016</v>
      </c>
      <c r="D155" s="57">
        <v>-438869</v>
      </c>
      <c r="E155" s="57">
        <v>-1566.76</v>
      </c>
      <c r="F155" s="808">
        <v>-2593.7199999999998</v>
      </c>
      <c r="G155" s="8" t="s">
        <v>243</v>
      </c>
      <c r="H155" s="666" t="str">
        <f t="shared" si="2"/>
        <v>Regelzone 50Hertz (gesamt)</v>
      </c>
      <c r="I155" s="662"/>
    </row>
    <row r="156" spans="1:9" hidden="1" outlineLevel="1">
      <c r="A156" s="61">
        <v>2023</v>
      </c>
      <c r="B156" s="75" t="s">
        <v>244</v>
      </c>
      <c r="C156" s="60" t="s">
        <v>2016</v>
      </c>
      <c r="D156" s="57">
        <v>-1948567</v>
      </c>
      <c r="E156" s="57">
        <v>-6956.38</v>
      </c>
      <c r="F156" s="808">
        <v>-11516.03</v>
      </c>
      <c r="G156" s="8" t="s">
        <v>245</v>
      </c>
      <c r="H156" s="666" t="str">
        <f t="shared" si="2"/>
        <v>Regelzone 50Hertz (gesamt)</v>
      </c>
      <c r="I156" s="662"/>
    </row>
    <row r="157" spans="1:9" hidden="1" outlineLevel="1">
      <c r="A157" s="61">
        <v>2023</v>
      </c>
      <c r="B157" s="75" t="s">
        <v>246</v>
      </c>
      <c r="C157" s="60" t="s">
        <v>2016</v>
      </c>
      <c r="D157" s="57">
        <v>0</v>
      </c>
      <c r="E157" s="57">
        <v>0</v>
      </c>
      <c r="F157" s="808">
        <v>0</v>
      </c>
      <c r="G157" s="8" t="s">
        <v>247</v>
      </c>
      <c r="H157" s="666" t="str">
        <f t="shared" si="2"/>
        <v>Regelzone 50Hertz (gesamt)</v>
      </c>
      <c r="I157" s="662"/>
    </row>
    <row r="158" spans="1:9" hidden="1" outlineLevel="1">
      <c r="A158" s="61">
        <v>2023</v>
      </c>
      <c r="B158" s="75" t="s">
        <v>248</v>
      </c>
      <c r="C158" s="60" t="s">
        <v>2016</v>
      </c>
      <c r="D158" s="57">
        <v>466197</v>
      </c>
      <c r="E158" s="57">
        <v>1664.32</v>
      </c>
      <c r="F158" s="808">
        <v>2755.22</v>
      </c>
      <c r="G158" s="8" t="s">
        <v>249</v>
      </c>
      <c r="H158" s="666" t="str">
        <f t="shared" si="2"/>
        <v>Regelzone 50Hertz (gesamt)</v>
      </c>
      <c r="I158" s="662"/>
    </row>
    <row r="159" spans="1:9" hidden="1" outlineLevel="1">
      <c r="A159" s="61">
        <v>2023</v>
      </c>
      <c r="B159" s="75" t="s">
        <v>250</v>
      </c>
      <c r="C159" s="60" t="s">
        <v>2016</v>
      </c>
      <c r="D159" s="57">
        <v>921955</v>
      </c>
      <c r="E159" s="57">
        <v>3291.38</v>
      </c>
      <c r="F159" s="808">
        <v>5448.75</v>
      </c>
      <c r="G159" s="8" t="s">
        <v>251</v>
      </c>
      <c r="H159" s="666" t="str">
        <f t="shared" si="2"/>
        <v>Regelzone 50Hertz (gesamt)</v>
      </c>
      <c r="I159" s="662"/>
    </row>
    <row r="160" spans="1:9" hidden="1" outlineLevel="1">
      <c r="A160" s="61">
        <v>2023</v>
      </c>
      <c r="B160" s="75" t="s">
        <v>252</v>
      </c>
      <c r="C160" s="60" t="s">
        <v>2016</v>
      </c>
      <c r="D160" s="57">
        <v>-10755677</v>
      </c>
      <c r="E160" s="57">
        <v>-38397.770000000004</v>
      </c>
      <c r="F160" s="808">
        <v>-63566.05</v>
      </c>
      <c r="G160" s="8" t="s">
        <v>253</v>
      </c>
      <c r="H160" s="666" t="str">
        <f t="shared" si="2"/>
        <v>Regelzone 50Hertz (gesamt)</v>
      </c>
      <c r="I160" s="662"/>
    </row>
    <row r="161" spans="1:9" hidden="1" outlineLevel="1">
      <c r="A161" s="61">
        <v>2023</v>
      </c>
      <c r="B161" s="75" t="s">
        <v>254</v>
      </c>
      <c r="C161" s="60" t="s">
        <v>2016</v>
      </c>
      <c r="D161" s="57">
        <v>-1086580</v>
      </c>
      <c r="E161" s="57">
        <v>-3879.09</v>
      </c>
      <c r="F161" s="808">
        <v>-6421.69</v>
      </c>
      <c r="G161" s="8" t="s">
        <v>255</v>
      </c>
      <c r="H161" s="666" t="str">
        <f t="shared" si="2"/>
        <v>Regelzone 50Hertz (gesamt)</v>
      </c>
      <c r="I161" s="662"/>
    </row>
    <row r="162" spans="1:9" hidden="1" outlineLevel="1">
      <c r="A162" s="61">
        <v>2023</v>
      </c>
      <c r="B162" s="75" t="s">
        <v>256</v>
      </c>
      <c r="C162" s="60" t="s">
        <v>2016</v>
      </c>
      <c r="D162" s="57">
        <v>25611</v>
      </c>
      <c r="E162" s="57">
        <v>91.43</v>
      </c>
      <c r="F162" s="808">
        <v>151.36000000000001</v>
      </c>
      <c r="G162" s="8" t="s">
        <v>257</v>
      </c>
      <c r="H162" s="666" t="str">
        <f t="shared" si="2"/>
        <v>Regelzone 50Hertz (gesamt)</v>
      </c>
      <c r="I162" s="662"/>
    </row>
    <row r="163" spans="1:9" hidden="1" outlineLevel="1">
      <c r="A163" s="61">
        <v>2023</v>
      </c>
      <c r="B163" s="75" t="s">
        <v>258</v>
      </c>
      <c r="C163" s="60" t="s">
        <v>2016</v>
      </c>
      <c r="D163" s="57">
        <v>289259</v>
      </c>
      <c r="E163" s="57">
        <v>1032.6500000000001</v>
      </c>
      <c r="F163" s="808">
        <v>1709.52</v>
      </c>
      <c r="G163" s="8" t="s">
        <v>259</v>
      </c>
      <c r="H163" s="666" t="str">
        <f t="shared" si="2"/>
        <v>Regelzone 50Hertz (gesamt)</v>
      </c>
      <c r="I163" s="662"/>
    </row>
    <row r="164" spans="1:9" hidden="1" outlineLevel="1">
      <c r="A164" s="61">
        <v>2023</v>
      </c>
      <c r="B164" s="75" t="s">
        <v>264</v>
      </c>
      <c r="C164" s="60" t="s">
        <v>2016</v>
      </c>
      <c r="D164" s="57">
        <v>-1943325</v>
      </c>
      <c r="E164" s="57">
        <v>-6937.67</v>
      </c>
      <c r="F164" s="808">
        <v>-11485.05</v>
      </c>
      <c r="G164" s="8" t="s">
        <v>265</v>
      </c>
      <c r="H164" s="666" t="str">
        <f t="shared" si="2"/>
        <v>Regelzone 50Hertz (gesamt)</v>
      </c>
      <c r="I164" s="662"/>
    </row>
    <row r="165" spans="1:9" hidden="1" outlineLevel="1">
      <c r="A165" s="61">
        <v>2023</v>
      </c>
      <c r="B165" s="75" t="s">
        <v>276</v>
      </c>
      <c r="C165" s="60" t="s">
        <v>2016</v>
      </c>
      <c r="D165" s="57">
        <v>-95315</v>
      </c>
      <c r="E165" s="57">
        <v>-340.27</v>
      </c>
      <c r="F165" s="808">
        <v>-563.30999999999995</v>
      </c>
      <c r="G165" s="8" t="s">
        <v>277</v>
      </c>
      <c r="H165" s="666" t="str">
        <f t="shared" si="2"/>
        <v>Regelzone 50Hertz (gesamt)</v>
      </c>
      <c r="I165" s="662"/>
    </row>
    <row r="166" spans="1:9" hidden="1" outlineLevel="1">
      <c r="A166" s="61">
        <v>2023</v>
      </c>
      <c r="B166" s="75" t="s">
        <v>284</v>
      </c>
      <c r="C166" s="60" t="s">
        <v>2016</v>
      </c>
      <c r="D166" s="57">
        <v>-206135</v>
      </c>
      <c r="E166" s="57">
        <v>-735.9</v>
      </c>
      <c r="F166" s="808">
        <v>-1218.26</v>
      </c>
      <c r="G166" s="8" t="s">
        <v>285</v>
      </c>
      <c r="H166" s="666" t="str">
        <f t="shared" si="2"/>
        <v>Regelzone 50Hertz (gesamt)</v>
      </c>
      <c r="I166" s="662"/>
    </row>
    <row r="167" spans="1:9" hidden="1" outlineLevel="1">
      <c r="A167" s="61">
        <v>2023</v>
      </c>
      <c r="B167" s="75" t="s">
        <v>286</v>
      </c>
      <c r="C167" s="60" t="s">
        <v>2016</v>
      </c>
      <c r="D167" s="57">
        <v>121489</v>
      </c>
      <c r="E167" s="57">
        <v>433.72</v>
      </c>
      <c r="F167" s="808">
        <v>718</v>
      </c>
      <c r="G167" s="8" t="s">
        <v>287</v>
      </c>
      <c r="H167" s="666" t="str">
        <f t="shared" si="2"/>
        <v>Regelzone 50Hertz (gesamt)</v>
      </c>
      <c r="I167" s="662"/>
    </row>
    <row r="168" spans="1:9" hidden="1" outlineLevel="1">
      <c r="A168" s="61">
        <v>2023</v>
      </c>
      <c r="B168" s="75" t="s">
        <v>294</v>
      </c>
      <c r="C168" s="60" t="s">
        <v>2016</v>
      </c>
      <c r="D168" s="57">
        <v>-312253</v>
      </c>
      <c r="E168" s="57">
        <v>-1114.74</v>
      </c>
      <c r="F168" s="808">
        <v>-1845.42</v>
      </c>
      <c r="G168" s="8" t="s">
        <v>295</v>
      </c>
      <c r="H168" s="666" t="str">
        <f t="shared" si="2"/>
        <v>Regelzone 50Hertz (gesamt)</v>
      </c>
      <c r="I168" s="662"/>
    </row>
    <row r="169" spans="1:9" hidden="1" outlineLevel="1">
      <c r="A169" s="61">
        <v>2023</v>
      </c>
      <c r="B169" s="75" t="s">
        <v>296</v>
      </c>
      <c r="C169" s="60" t="s">
        <v>2016</v>
      </c>
      <c r="D169" s="57">
        <v>484451</v>
      </c>
      <c r="E169" s="57">
        <v>1729.49</v>
      </c>
      <c r="F169" s="808">
        <v>2863.11</v>
      </c>
      <c r="G169" s="8" t="s">
        <v>297</v>
      </c>
      <c r="H169" s="666" t="str">
        <f t="shared" si="2"/>
        <v>Regelzone 50Hertz (gesamt)</v>
      </c>
      <c r="I169" s="662"/>
    </row>
    <row r="170" spans="1:9" hidden="1" outlineLevel="1">
      <c r="A170" s="61">
        <v>2023</v>
      </c>
      <c r="B170" s="75" t="s">
        <v>300</v>
      </c>
      <c r="C170" s="60" t="s">
        <v>2016</v>
      </c>
      <c r="D170" s="57">
        <v>-64840</v>
      </c>
      <c r="E170" s="57">
        <v>-231.48</v>
      </c>
      <c r="F170" s="808">
        <v>-383.2</v>
      </c>
      <c r="G170" s="8" t="s">
        <v>301</v>
      </c>
      <c r="H170" s="666" t="str">
        <f t="shared" si="2"/>
        <v>Regelzone 50Hertz (gesamt)</v>
      </c>
      <c r="I170" s="662"/>
    </row>
    <row r="171" spans="1:9" hidden="1" outlineLevel="1">
      <c r="A171" s="61">
        <v>2023</v>
      </c>
      <c r="B171" s="75" t="s">
        <v>302</v>
      </c>
      <c r="C171" s="60" t="s">
        <v>2016</v>
      </c>
      <c r="D171" s="57">
        <v>-276776</v>
      </c>
      <c r="E171" s="57">
        <v>-988.09</v>
      </c>
      <c r="F171" s="808">
        <v>-1635.75</v>
      </c>
      <c r="G171" s="8" t="s">
        <v>303</v>
      </c>
      <c r="H171" s="666" t="str">
        <f t="shared" si="2"/>
        <v>Regelzone 50Hertz (gesamt)</v>
      </c>
      <c r="I171" s="662"/>
    </row>
    <row r="172" spans="1:9" hidden="1" outlineLevel="1">
      <c r="A172" s="61">
        <v>2023</v>
      </c>
      <c r="B172" s="75" t="s">
        <v>304</v>
      </c>
      <c r="C172" s="60" t="s">
        <v>2016</v>
      </c>
      <c r="D172" s="57">
        <v>135230</v>
      </c>
      <c r="E172" s="57">
        <v>482.77</v>
      </c>
      <c r="F172" s="808">
        <v>799.21</v>
      </c>
      <c r="G172" s="8" t="s">
        <v>305</v>
      </c>
      <c r="H172" s="666" t="str">
        <f t="shared" si="2"/>
        <v>Regelzone 50Hertz (gesamt)</v>
      </c>
      <c r="I172" s="662"/>
    </row>
    <row r="173" spans="1:9" hidden="1" outlineLevel="1">
      <c r="A173" s="61">
        <v>2023</v>
      </c>
      <c r="B173" s="75" t="s">
        <v>310</v>
      </c>
      <c r="C173" s="60" t="s">
        <v>2016</v>
      </c>
      <c r="D173" s="57">
        <v>-465340</v>
      </c>
      <c r="E173" s="57">
        <v>-1661.26</v>
      </c>
      <c r="F173" s="808">
        <v>-2750.16</v>
      </c>
      <c r="G173" s="8" t="s">
        <v>311</v>
      </c>
      <c r="H173" s="666" t="str">
        <f t="shared" si="2"/>
        <v>Regelzone 50Hertz (gesamt)</v>
      </c>
      <c r="I173" s="662"/>
    </row>
    <row r="174" spans="1:9" hidden="1" outlineLevel="1">
      <c r="A174" s="61">
        <v>2023</v>
      </c>
      <c r="B174" s="75" t="s">
        <v>312</v>
      </c>
      <c r="C174" s="60" t="s">
        <v>2016</v>
      </c>
      <c r="D174" s="57">
        <v>38541880</v>
      </c>
      <c r="E174" s="57">
        <v>137594.51</v>
      </c>
      <c r="F174" s="808">
        <v>227782.51</v>
      </c>
      <c r="G174" s="8" t="s">
        <v>313</v>
      </c>
      <c r="H174" s="666" t="str">
        <f t="shared" si="2"/>
        <v>Regelzone 50Hertz (gesamt)</v>
      </c>
      <c r="I174" s="662"/>
    </row>
    <row r="175" spans="1:9" hidden="1" outlineLevel="1">
      <c r="A175" s="61">
        <v>2023</v>
      </c>
      <c r="B175" s="75" t="s">
        <v>316</v>
      </c>
      <c r="C175" s="60" t="s">
        <v>2016</v>
      </c>
      <c r="D175" s="57">
        <v>12458078</v>
      </c>
      <c r="E175" s="57">
        <v>44475.34</v>
      </c>
      <c r="F175" s="808">
        <v>73627.240000000005</v>
      </c>
      <c r="G175" s="8" t="s">
        <v>317</v>
      </c>
      <c r="H175" s="666" t="str">
        <f t="shared" si="2"/>
        <v>Regelzone 50Hertz (gesamt)</v>
      </c>
      <c r="I175" s="662"/>
    </row>
    <row r="176" spans="1:9" hidden="1" outlineLevel="1">
      <c r="A176" s="61">
        <v>2023</v>
      </c>
      <c r="B176" s="75" t="s">
        <v>318</v>
      </c>
      <c r="C176" s="60" t="s">
        <v>2016</v>
      </c>
      <c r="D176" s="57">
        <v>-3150225</v>
      </c>
      <c r="E176" s="57">
        <v>-11246.3</v>
      </c>
      <c r="F176" s="808">
        <v>-18617.830000000002</v>
      </c>
      <c r="G176" s="8" t="s">
        <v>319</v>
      </c>
      <c r="H176" s="666" t="str">
        <f t="shared" si="2"/>
        <v>Regelzone 50Hertz (gesamt)</v>
      </c>
      <c r="I176" s="662"/>
    </row>
    <row r="177" spans="1:9" hidden="1" outlineLevel="1">
      <c r="A177" s="61">
        <v>2023</v>
      </c>
      <c r="B177" s="75" t="s">
        <v>322</v>
      </c>
      <c r="C177" s="60" t="s">
        <v>2016</v>
      </c>
      <c r="D177" s="57">
        <v>-191176</v>
      </c>
      <c r="E177" s="57">
        <v>-682.5</v>
      </c>
      <c r="F177" s="808">
        <v>-1129.8499999999999</v>
      </c>
      <c r="G177" s="8" t="s">
        <v>323</v>
      </c>
      <c r="H177" s="666" t="str">
        <f t="shared" si="2"/>
        <v>Regelzone 50Hertz (gesamt)</v>
      </c>
      <c r="I177" s="662"/>
    </row>
    <row r="178" spans="1:9" hidden="1" outlineLevel="1">
      <c r="A178" s="61">
        <v>2023</v>
      </c>
      <c r="B178" s="75" t="s">
        <v>330</v>
      </c>
      <c r="C178" s="60" t="s">
        <v>2016</v>
      </c>
      <c r="D178" s="57">
        <v>292323</v>
      </c>
      <c r="E178" s="57">
        <v>1043.5899999999999</v>
      </c>
      <c r="F178" s="808">
        <v>1727.63</v>
      </c>
      <c r="G178" s="8" t="s">
        <v>331</v>
      </c>
      <c r="H178" s="666" t="str">
        <f t="shared" si="2"/>
        <v>Regelzone 50Hertz (gesamt)</v>
      </c>
      <c r="I178" s="662"/>
    </row>
    <row r="179" spans="1:9" hidden="1" outlineLevel="1">
      <c r="A179" s="61">
        <v>2023</v>
      </c>
      <c r="B179" s="75" t="s">
        <v>1858</v>
      </c>
      <c r="C179" s="60" t="s">
        <v>2016</v>
      </c>
      <c r="D179" s="57">
        <v>33311</v>
      </c>
      <c r="E179" s="57">
        <v>118.92</v>
      </c>
      <c r="F179" s="808">
        <v>196.87</v>
      </c>
      <c r="G179" s="8" t="s">
        <v>2021</v>
      </c>
      <c r="H179" s="666" t="str">
        <f t="shared" si="2"/>
        <v>Regelzone 50Hertz (gesamt)</v>
      </c>
      <c r="I179" s="662"/>
    </row>
    <row r="180" spans="1:9" hidden="1" outlineLevel="1">
      <c r="A180" s="61">
        <v>2023</v>
      </c>
      <c r="B180" s="75" t="s">
        <v>334</v>
      </c>
      <c r="C180" s="60" t="s">
        <v>2016</v>
      </c>
      <c r="D180" s="57">
        <v>0</v>
      </c>
      <c r="E180" s="57">
        <v>0</v>
      </c>
      <c r="F180" s="808">
        <v>0</v>
      </c>
      <c r="G180" s="8" t="s">
        <v>335</v>
      </c>
      <c r="H180" s="666" t="str">
        <f t="shared" si="2"/>
        <v>Regelzone 50Hertz (gesamt)</v>
      </c>
      <c r="I180" s="662"/>
    </row>
    <row r="181" spans="1:9" hidden="1" outlineLevel="1">
      <c r="A181" s="61">
        <v>2023</v>
      </c>
      <c r="B181" s="75" t="s">
        <v>338</v>
      </c>
      <c r="C181" s="60" t="s">
        <v>2016</v>
      </c>
      <c r="D181" s="57">
        <v>106725</v>
      </c>
      <c r="E181" s="57">
        <v>381.01</v>
      </c>
      <c r="F181" s="808">
        <v>630.74</v>
      </c>
      <c r="G181" s="8" t="s">
        <v>339</v>
      </c>
      <c r="H181" s="666" t="str">
        <f t="shared" si="2"/>
        <v>Regelzone 50Hertz (gesamt)</v>
      </c>
      <c r="I181" s="662"/>
    </row>
    <row r="182" spans="1:9" hidden="1" outlineLevel="1">
      <c r="A182" s="61">
        <v>2023</v>
      </c>
      <c r="B182" s="75" t="s">
        <v>342</v>
      </c>
      <c r="C182" s="60" t="s">
        <v>2016</v>
      </c>
      <c r="D182" s="57">
        <v>0</v>
      </c>
      <c r="E182" s="57">
        <v>0</v>
      </c>
      <c r="F182" s="808">
        <v>0</v>
      </c>
      <c r="G182" s="8" t="s">
        <v>343</v>
      </c>
      <c r="H182" s="666" t="str">
        <f t="shared" si="2"/>
        <v>Regelzone 50Hertz (gesamt)</v>
      </c>
      <c r="I182" s="662"/>
    </row>
    <row r="183" spans="1:9" hidden="1" outlineLevel="1">
      <c r="A183" s="61">
        <v>2023</v>
      </c>
      <c r="B183" s="75" t="s">
        <v>346</v>
      </c>
      <c r="C183" s="60" t="s">
        <v>2016</v>
      </c>
      <c r="D183" s="57">
        <v>-756030</v>
      </c>
      <c r="E183" s="57">
        <v>-2699.03</v>
      </c>
      <c r="F183" s="808">
        <v>-4468.1400000000003</v>
      </c>
      <c r="G183" s="8" t="s">
        <v>347</v>
      </c>
      <c r="H183" s="666" t="str">
        <f t="shared" si="2"/>
        <v>Regelzone 50Hertz (gesamt)</v>
      </c>
      <c r="I183" s="662"/>
    </row>
    <row r="184" spans="1:9" hidden="1" outlineLevel="1">
      <c r="A184" s="61">
        <v>2023</v>
      </c>
      <c r="B184" s="75" t="s">
        <v>348</v>
      </c>
      <c r="C184" s="60" t="s">
        <v>2016</v>
      </c>
      <c r="D184" s="57">
        <v>653342</v>
      </c>
      <c r="E184" s="57">
        <v>2332.4299999999998</v>
      </c>
      <c r="F184" s="808">
        <v>3861.25</v>
      </c>
      <c r="G184" s="8" t="s">
        <v>349</v>
      </c>
      <c r="H184" s="666" t="str">
        <f t="shared" si="2"/>
        <v>Regelzone 50Hertz (gesamt)</v>
      </c>
      <c r="I184" s="662"/>
    </row>
    <row r="185" spans="1:9" hidden="1" outlineLevel="1">
      <c r="A185" s="61">
        <v>2023</v>
      </c>
      <c r="B185" s="75" t="s">
        <v>350</v>
      </c>
      <c r="C185" s="60" t="s">
        <v>2016</v>
      </c>
      <c r="D185" s="57">
        <v>251889</v>
      </c>
      <c r="E185" s="57">
        <v>899.24</v>
      </c>
      <c r="F185" s="808">
        <v>1488.66</v>
      </c>
      <c r="G185" s="8" t="s">
        <v>351</v>
      </c>
      <c r="H185" s="666" t="str">
        <f t="shared" si="2"/>
        <v>Regelzone 50Hertz (gesamt)</v>
      </c>
      <c r="I185" s="662"/>
    </row>
    <row r="186" spans="1:9" hidden="1" outlineLevel="1">
      <c r="A186" s="61">
        <v>2023</v>
      </c>
      <c r="B186" s="75" t="s">
        <v>352</v>
      </c>
      <c r="C186" s="60" t="s">
        <v>2016</v>
      </c>
      <c r="D186" s="57">
        <v>36792008</v>
      </c>
      <c r="E186" s="57">
        <v>131347.47</v>
      </c>
      <c r="F186" s="808">
        <v>217440.77</v>
      </c>
      <c r="G186" s="8" t="s">
        <v>353</v>
      </c>
      <c r="H186" s="666" t="str">
        <f t="shared" si="2"/>
        <v>Regelzone 50Hertz (gesamt)</v>
      </c>
      <c r="I186" s="662"/>
    </row>
    <row r="187" spans="1:9" hidden="1" outlineLevel="1">
      <c r="A187" s="61">
        <v>2023</v>
      </c>
      <c r="B187" s="75" t="s">
        <v>358</v>
      </c>
      <c r="C187" s="60" t="s">
        <v>2016</v>
      </c>
      <c r="D187" s="57">
        <v>12617159</v>
      </c>
      <c r="E187" s="57">
        <v>45043.26</v>
      </c>
      <c r="F187" s="808">
        <v>74567.41</v>
      </c>
      <c r="G187" s="8" t="s">
        <v>359</v>
      </c>
      <c r="H187" s="666" t="str">
        <f t="shared" si="2"/>
        <v>Regelzone 50Hertz (gesamt)</v>
      </c>
      <c r="I187" s="662"/>
    </row>
    <row r="188" spans="1:9" hidden="1" outlineLevel="1">
      <c r="A188" s="61">
        <v>2023</v>
      </c>
      <c r="B188" s="75" t="s">
        <v>362</v>
      </c>
      <c r="C188" s="60" t="s">
        <v>2016</v>
      </c>
      <c r="D188" s="57">
        <v>-92408</v>
      </c>
      <c r="E188" s="57">
        <v>-329.9</v>
      </c>
      <c r="F188" s="808">
        <v>-546.13</v>
      </c>
      <c r="G188" s="8" t="s">
        <v>363</v>
      </c>
      <c r="H188" s="666" t="str">
        <f t="shared" si="2"/>
        <v>Regelzone 50Hertz (gesamt)</v>
      </c>
      <c r="I188" s="662"/>
    </row>
    <row r="189" spans="1:9" hidden="1" outlineLevel="1">
      <c r="A189" s="61">
        <v>2023</v>
      </c>
      <c r="B189" s="75" t="s">
        <v>402</v>
      </c>
      <c r="C189" s="60" t="s">
        <v>2016</v>
      </c>
      <c r="D189" s="57">
        <v>-35626</v>
      </c>
      <c r="E189" s="57">
        <v>-127.18</v>
      </c>
      <c r="F189" s="808">
        <v>-210.55</v>
      </c>
      <c r="G189" s="8" t="s">
        <v>403</v>
      </c>
      <c r="H189" s="666" t="str">
        <f t="shared" si="2"/>
        <v>Regelzone 50Hertz (gesamt)</v>
      </c>
      <c r="I189" s="662"/>
    </row>
    <row r="190" spans="1:9" hidden="1" outlineLevel="1">
      <c r="A190" s="61">
        <v>2023</v>
      </c>
      <c r="B190" s="75" t="s">
        <v>380</v>
      </c>
      <c r="C190" s="60" t="s">
        <v>2016</v>
      </c>
      <c r="D190" s="57">
        <v>-1842653</v>
      </c>
      <c r="E190" s="57">
        <v>-6578.27</v>
      </c>
      <c r="F190" s="808">
        <v>-10890.08</v>
      </c>
      <c r="G190" s="8" t="s">
        <v>381</v>
      </c>
      <c r="H190" s="666" t="str">
        <f t="shared" si="2"/>
        <v>Regelzone 50Hertz (gesamt)</v>
      </c>
      <c r="I190" s="662"/>
    </row>
    <row r="191" spans="1:9" hidden="1" outlineLevel="1">
      <c r="A191" s="61">
        <v>2023</v>
      </c>
      <c r="B191" s="75" t="s">
        <v>386</v>
      </c>
      <c r="C191" s="60" t="s">
        <v>2016</v>
      </c>
      <c r="D191" s="57">
        <v>52093</v>
      </c>
      <c r="E191" s="57">
        <v>185.97</v>
      </c>
      <c r="F191" s="808">
        <v>307.87</v>
      </c>
      <c r="G191" s="8" t="s">
        <v>387</v>
      </c>
      <c r="H191" s="666" t="str">
        <f t="shared" si="2"/>
        <v>Regelzone 50Hertz (gesamt)</v>
      </c>
      <c r="I191" s="662"/>
    </row>
    <row r="192" spans="1:9" hidden="1" outlineLevel="1">
      <c r="A192" s="61">
        <v>2023</v>
      </c>
      <c r="B192" s="75" t="s">
        <v>388</v>
      </c>
      <c r="C192" s="60" t="s">
        <v>2016</v>
      </c>
      <c r="D192" s="57">
        <v>-413495</v>
      </c>
      <c r="E192" s="57">
        <v>-1476.18</v>
      </c>
      <c r="F192" s="808">
        <v>-2443.7600000000002</v>
      </c>
      <c r="G192" s="8" t="s">
        <v>389</v>
      </c>
      <c r="H192" s="666" t="str">
        <f t="shared" si="2"/>
        <v>Regelzone 50Hertz (gesamt)</v>
      </c>
      <c r="I192" s="662"/>
    </row>
    <row r="193" spans="1:9" hidden="1" outlineLevel="1">
      <c r="A193" s="61">
        <v>2023</v>
      </c>
      <c r="B193" s="75" t="s">
        <v>390</v>
      </c>
      <c r="C193" s="60" t="s">
        <v>2016</v>
      </c>
      <c r="D193" s="57">
        <v>1128840</v>
      </c>
      <c r="E193" s="57">
        <v>4029.96</v>
      </c>
      <c r="F193" s="808">
        <v>6671.44</v>
      </c>
      <c r="G193" s="8" t="s">
        <v>391</v>
      </c>
      <c r="H193" s="666" t="str">
        <f t="shared" si="2"/>
        <v>Regelzone 50Hertz (gesamt)</v>
      </c>
      <c r="I193" s="662"/>
    </row>
    <row r="194" spans="1:9" hidden="1" outlineLevel="1">
      <c r="A194" s="61">
        <v>2023</v>
      </c>
      <c r="B194" s="75" t="s">
        <v>398</v>
      </c>
      <c r="C194" s="60" t="s">
        <v>2016</v>
      </c>
      <c r="D194" s="57">
        <v>4563758</v>
      </c>
      <c r="E194" s="57">
        <v>16292.62</v>
      </c>
      <c r="F194" s="808">
        <v>26971.81</v>
      </c>
      <c r="G194" s="8" t="s">
        <v>399</v>
      </c>
      <c r="H194" s="666" t="str">
        <f t="shared" si="2"/>
        <v>Regelzone 50Hertz (gesamt)</v>
      </c>
      <c r="I194" s="662"/>
    </row>
    <row r="195" spans="1:9" hidden="1" outlineLevel="1">
      <c r="A195" s="61">
        <v>2023</v>
      </c>
      <c r="B195" s="75" t="s">
        <v>400</v>
      </c>
      <c r="C195" s="60" t="s">
        <v>2016</v>
      </c>
      <c r="D195" s="57">
        <v>-25713</v>
      </c>
      <c r="E195" s="57">
        <v>-91.789999999999964</v>
      </c>
      <c r="F195" s="808">
        <v>-151.96</v>
      </c>
      <c r="G195" s="8" t="s">
        <v>401</v>
      </c>
      <c r="H195" s="666" t="str">
        <f t="shared" si="2"/>
        <v>Regelzone 50Hertz (gesamt)</v>
      </c>
      <c r="I195" s="662"/>
    </row>
    <row r="196" spans="1:9" hidden="1" outlineLevel="1">
      <c r="A196" s="61">
        <v>2023</v>
      </c>
      <c r="B196" s="75" t="s">
        <v>577</v>
      </c>
      <c r="C196" s="60" t="s">
        <v>2017</v>
      </c>
      <c r="D196" s="57">
        <v>2566003</v>
      </c>
      <c r="E196" s="57">
        <v>976.94</v>
      </c>
      <c r="F196" s="784">
        <v>976.94</v>
      </c>
      <c r="G196" s="8" t="s">
        <v>578</v>
      </c>
      <c r="H196" s="666" t="str">
        <f t="shared" si="2"/>
        <v>Regelzone 50Hertz (gesamt)</v>
      </c>
      <c r="I196" s="662"/>
    </row>
    <row r="197" spans="1:9" hidden="1" outlineLevel="1">
      <c r="A197" s="61">
        <v>2023</v>
      </c>
      <c r="B197" s="75" t="s">
        <v>252</v>
      </c>
      <c r="C197" s="60" t="s">
        <v>2017</v>
      </c>
      <c r="D197" s="57">
        <v>0</v>
      </c>
      <c r="E197" s="57">
        <v>-1635.51</v>
      </c>
      <c r="F197" s="784">
        <v>-1635.51</v>
      </c>
      <c r="G197" s="8" t="s">
        <v>253</v>
      </c>
      <c r="H197" s="666" t="str">
        <f t="shared" si="2"/>
        <v>Regelzone 50Hertz (gesamt)</v>
      </c>
      <c r="I197" s="662"/>
    </row>
    <row r="198" spans="1:9" hidden="1" outlineLevel="1">
      <c r="A198" s="61">
        <v>2023</v>
      </c>
      <c r="B198" s="75" t="s">
        <v>352</v>
      </c>
      <c r="C198" s="60" t="s">
        <v>2017</v>
      </c>
      <c r="D198" s="57">
        <v>279718</v>
      </c>
      <c r="E198" s="57">
        <v>111.89</v>
      </c>
      <c r="F198" s="784">
        <v>111.89</v>
      </c>
      <c r="G198" s="8" t="s">
        <v>353</v>
      </c>
      <c r="H198" s="666" t="str">
        <f t="shared" si="2"/>
        <v>Regelzone 50Hertz (gesamt)</v>
      </c>
      <c r="I198" s="662"/>
    </row>
    <row r="199" spans="1:9" hidden="1" outlineLevel="1">
      <c r="A199" s="61">
        <v>2023</v>
      </c>
      <c r="B199" s="75" t="s">
        <v>190</v>
      </c>
      <c r="C199" s="60" t="s">
        <v>2022</v>
      </c>
      <c r="D199" s="57">
        <v>163087</v>
      </c>
      <c r="E199" s="57">
        <v>48.93</v>
      </c>
      <c r="F199" s="784">
        <v>48.93</v>
      </c>
      <c r="G199" s="8" t="s">
        <v>191</v>
      </c>
      <c r="H199" s="666" t="str">
        <f t="shared" si="2"/>
        <v>Regelzone 50Hertz (gesamt)</v>
      </c>
      <c r="I199" s="662"/>
    </row>
    <row r="200" spans="1:9" hidden="1" outlineLevel="1">
      <c r="A200" s="61">
        <v>2023</v>
      </c>
      <c r="B200" s="75" t="s">
        <v>250</v>
      </c>
      <c r="C200" s="60" t="s">
        <v>2022</v>
      </c>
      <c r="D200" s="57">
        <v>-921955</v>
      </c>
      <c r="E200" s="57">
        <v>-276.58999999999997</v>
      </c>
      <c r="F200" s="784">
        <v>-276.58999999999997</v>
      </c>
      <c r="G200" s="8" t="s">
        <v>251</v>
      </c>
      <c r="H200" s="666" t="str">
        <f t="shared" si="2"/>
        <v>Regelzone 50Hertz (gesamt)</v>
      </c>
      <c r="I200" s="662"/>
    </row>
    <row r="201" spans="1:9" hidden="1" outlineLevel="1">
      <c r="A201" s="61">
        <v>2023</v>
      </c>
      <c r="B201" s="75" t="s">
        <v>316</v>
      </c>
      <c r="C201" s="60" t="s">
        <v>2018</v>
      </c>
      <c r="D201" s="57">
        <v>-713458</v>
      </c>
      <c r="E201" s="810">
        <v>2547.0500000000002</v>
      </c>
      <c r="F201" s="1068">
        <v>4216.54</v>
      </c>
      <c r="G201" s="8" t="s">
        <v>317</v>
      </c>
      <c r="H201" s="666" t="str">
        <f t="shared" si="2"/>
        <v>Regelzone 50Hertz (gesamt)</v>
      </c>
      <c r="I201" s="662"/>
    </row>
    <row r="202" spans="1:9" ht="13.5" hidden="1" outlineLevel="1" thickBot="1">
      <c r="A202" s="1069">
        <v>2023</v>
      </c>
      <c r="B202" s="76" t="s">
        <v>402</v>
      </c>
      <c r="C202" s="797" t="s">
        <v>2018</v>
      </c>
      <c r="D202" s="49">
        <v>-35626</v>
      </c>
      <c r="E202" s="49">
        <v>127.18</v>
      </c>
      <c r="F202" s="1070">
        <v>210.55</v>
      </c>
      <c r="G202" s="8" t="s">
        <v>403</v>
      </c>
      <c r="H202" s="666" t="str">
        <f t="shared" ref="H202" si="3">+H201</f>
        <v>Regelzone 50Hertz (gesamt)</v>
      </c>
      <c r="I202" s="662"/>
    </row>
    <row r="203" spans="1:9" ht="18" customHeight="1" collapsed="1" thickBot="1">
      <c r="A203" s="1060" t="s">
        <v>2023</v>
      </c>
      <c r="B203" s="1061"/>
      <c r="C203" s="1062"/>
      <c r="D203" s="1063">
        <f>+SUM(D8:D202)</f>
        <v>184535902</v>
      </c>
      <c r="E203" s="1064">
        <f>+SUM(E8:E202)</f>
        <v>685111.3199999996</v>
      </c>
      <c r="F203" s="1065">
        <f>+SUM(F8:F202)</f>
        <v>676264.90999999992</v>
      </c>
      <c r="H203" s="666"/>
      <c r="I203" s="662"/>
    </row>
    <row r="204" spans="1:9">
      <c r="H204" s="666"/>
      <c r="I204" s="662"/>
    </row>
    <row r="205" spans="1:9">
      <c r="A205" s="1053"/>
      <c r="B205" s="1054"/>
      <c r="C205" s="1"/>
      <c r="D205" s="15"/>
      <c r="E205" s="15"/>
      <c r="F205" s="15"/>
      <c r="H205" s="666"/>
      <c r="I205" s="662"/>
    </row>
    <row r="206" spans="1:9">
      <c r="A206" s="1055" t="s">
        <v>2024</v>
      </c>
      <c r="B206" s="1055"/>
      <c r="C206" s="1"/>
      <c r="D206" s="186"/>
      <c r="E206" s="15"/>
      <c r="F206" s="15"/>
      <c r="H206" s="666"/>
      <c r="I206" s="662"/>
    </row>
    <row r="207" spans="1:9" ht="13.5" thickBot="1">
      <c r="A207" s="1053"/>
      <c r="B207" s="1054"/>
      <c r="D207" s="15"/>
      <c r="E207" s="15"/>
      <c r="F207" s="15"/>
      <c r="H207" s="666"/>
      <c r="I207" s="662"/>
    </row>
    <row r="208" spans="1:9" ht="90" customHeight="1">
      <c r="A208" s="558" t="s">
        <v>1739</v>
      </c>
      <c r="B208" s="1056" t="s">
        <v>2011</v>
      </c>
      <c r="C208" s="559" t="s">
        <v>2012</v>
      </c>
      <c r="D208" s="691" t="s">
        <v>2013</v>
      </c>
      <c r="E208" s="553" t="s">
        <v>2014</v>
      </c>
      <c r="F208" s="554" t="s">
        <v>2015</v>
      </c>
      <c r="H208" s="666"/>
      <c r="I208" s="662"/>
    </row>
    <row r="209" spans="1:9" ht="13.5" thickBot="1">
      <c r="A209" s="555"/>
      <c r="B209" s="556"/>
      <c r="C209" s="560"/>
      <c r="D209" s="581" t="s">
        <v>84</v>
      </c>
      <c r="E209" s="583" t="s">
        <v>1722</v>
      </c>
      <c r="F209" s="585" t="s">
        <v>1722</v>
      </c>
      <c r="H209" s="666"/>
      <c r="I209" s="662"/>
    </row>
    <row r="210" spans="1:9" ht="13.5" hidden="1" outlineLevel="1" thickBot="1">
      <c r="A210" s="761">
        <v>2010</v>
      </c>
      <c r="B210" s="764" t="s">
        <v>773</v>
      </c>
      <c r="C210" s="62" t="s">
        <v>2025</v>
      </c>
      <c r="D210" s="50">
        <v>7793</v>
      </c>
      <c r="E210" s="50">
        <v>9.9700000000000006</v>
      </c>
      <c r="F210" s="771" t="s">
        <v>2026</v>
      </c>
      <c r="G210" s="8" t="s">
        <v>774</v>
      </c>
      <c r="H210" s="666" t="s">
        <v>404</v>
      </c>
      <c r="I210" s="662"/>
    </row>
    <row r="211" spans="1:9" ht="13.5" hidden="1" outlineLevel="1" thickBot="1">
      <c r="A211" s="765">
        <v>2011</v>
      </c>
      <c r="B211" s="766" t="s">
        <v>773</v>
      </c>
      <c r="C211" s="767" t="s">
        <v>2025</v>
      </c>
      <c r="D211" s="768">
        <v>6375</v>
      </c>
      <c r="E211" s="768">
        <v>3.57</v>
      </c>
      <c r="F211" s="772" t="s">
        <v>2026</v>
      </c>
      <c r="G211" s="8" t="s">
        <v>774</v>
      </c>
      <c r="H211" s="666" t="s">
        <v>404</v>
      </c>
      <c r="I211" s="662"/>
    </row>
    <row r="212" spans="1:9" ht="13.5" hidden="1" outlineLevel="1" thickBot="1">
      <c r="A212" s="765">
        <v>2012</v>
      </c>
      <c r="B212" s="766" t="s">
        <v>773</v>
      </c>
      <c r="C212" s="767" t="s">
        <v>2025</v>
      </c>
      <c r="D212" s="768">
        <v>1866</v>
      </c>
      <c r="E212" s="768">
        <v>1.19</v>
      </c>
      <c r="F212" s="772" t="s">
        <v>2026</v>
      </c>
      <c r="G212" s="8" t="s">
        <v>774</v>
      </c>
      <c r="H212" s="666" t="s">
        <v>404</v>
      </c>
      <c r="I212" s="662"/>
    </row>
    <row r="213" spans="1:9" hidden="1" outlineLevel="1">
      <c r="A213" s="763">
        <v>2013</v>
      </c>
      <c r="B213" s="78" t="s">
        <v>773</v>
      </c>
      <c r="C213" s="59" t="s">
        <v>2025</v>
      </c>
      <c r="D213" s="47">
        <v>6620</v>
      </c>
      <c r="E213" s="47">
        <v>7.62</v>
      </c>
      <c r="F213" s="79" t="s">
        <v>2026</v>
      </c>
      <c r="G213" s="8" t="s">
        <v>774</v>
      </c>
      <c r="H213" s="666" t="s">
        <v>404</v>
      </c>
      <c r="I213" s="662"/>
    </row>
    <row r="214" spans="1:9" ht="13.5" hidden="1" outlineLevel="1" thickBot="1">
      <c r="A214" s="773">
        <v>2013</v>
      </c>
      <c r="B214" s="33" t="s">
        <v>773</v>
      </c>
      <c r="C214" s="34" t="s">
        <v>2027</v>
      </c>
      <c r="D214" s="49">
        <v>6620</v>
      </c>
      <c r="E214" s="49" t="s">
        <v>2026</v>
      </c>
      <c r="F214" s="785">
        <f>ROUND(D214*0.25/100,2)</f>
        <v>16.55</v>
      </c>
      <c r="G214" s="8" t="s">
        <v>774</v>
      </c>
      <c r="H214" s="666" t="s">
        <v>404</v>
      </c>
      <c r="I214" s="662"/>
    </row>
    <row r="215" spans="1:9" hidden="1" outlineLevel="1">
      <c r="A215" s="66">
        <v>2014</v>
      </c>
      <c r="B215" s="78" t="s">
        <v>773</v>
      </c>
      <c r="C215" s="59" t="s">
        <v>2025</v>
      </c>
      <c r="D215" s="47">
        <v>5887</v>
      </c>
      <c r="E215" s="55">
        <v>10.48</v>
      </c>
      <c r="F215" s="784">
        <v>0</v>
      </c>
      <c r="G215" s="8" t="s">
        <v>774</v>
      </c>
      <c r="H215" s="666" t="s">
        <v>404</v>
      </c>
      <c r="I215" s="662"/>
    </row>
    <row r="216" spans="1:9" hidden="1" outlineLevel="1">
      <c r="A216" s="66">
        <v>2014</v>
      </c>
      <c r="B216" s="796" t="s">
        <v>773</v>
      </c>
      <c r="C216" s="60" t="s">
        <v>2027</v>
      </c>
      <c r="D216" s="48">
        <v>5887</v>
      </c>
      <c r="E216" s="48">
        <v>0</v>
      </c>
      <c r="F216" s="784">
        <v>14.72</v>
      </c>
      <c r="G216" s="8" t="s">
        <v>774</v>
      </c>
      <c r="H216" s="666" t="s">
        <v>404</v>
      </c>
      <c r="I216" s="662"/>
    </row>
    <row r="217" spans="1:9" hidden="1" outlineLevel="1">
      <c r="A217" s="66">
        <v>2014</v>
      </c>
      <c r="B217" s="31" t="s">
        <v>779</v>
      </c>
      <c r="C217" s="794" t="s">
        <v>2027</v>
      </c>
      <c r="D217" s="48">
        <v>27027</v>
      </c>
      <c r="E217" s="48">
        <v>0</v>
      </c>
      <c r="F217" s="784">
        <v>67.569999999999993</v>
      </c>
      <c r="G217" s="8" t="s">
        <v>780</v>
      </c>
      <c r="H217" s="666" t="s">
        <v>404</v>
      </c>
      <c r="I217" s="662"/>
    </row>
    <row r="218" spans="1:9" ht="13.5" hidden="1" outlineLevel="1" thickBot="1">
      <c r="A218" s="66">
        <v>2014</v>
      </c>
      <c r="B218" s="795" t="s">
        <v>779</v>
      </c>
      <c r="C218" s="34" t="s">
        <v>2025</v>
      </c>
      <c r="D218" s="56">
        <v>27027</v>
      </c>
      <c r="E218" s="780">
        <v>48.1</v>
      </c>
      <c r="F218" s="785">
        <v>0</v>
      </c>
      <c r="G218" s="8" t="s">
        <v>780</v>
      </c>
      <c r="H218" s="666" t="s">
        <v>404</v>
      </c>
      <c r="I218" s="662"/>
    </row>
    <row r="219" spans="1:9" hidden="1" outlineLevel="1">
      <c r="A219" s="761">
        <v>2015</v>
      </c>
      <c r="B219" s="78" t="s">
        <v>773</v>
      </c>
      <c r="C219" s="59" t="s">
        <v>2025</v>
      </c>
      <c r="D219" s="47">
        <v>9960</v>
      </c>
      <c r="E219" s="47">
        <v>25.3</v>
      </c>
      <c r="F219" s="799">
        <v>0</v>
      </c>
      <c r="G219" s="8" t="s">
        <v>774</v>
      </c>
      <c r="H219" s="666" t="s">
        <v>404</v>
      </c>
      <c r="I219" s="662"/>
    </row>
    <row r="220" spans="1:9" hidden="1" outlineLevel="1">
      <c r="A220" s="66">
        <v>2015</v>
      </c>
      <c r="B220" s="31" t="s">
        <v>773</v>
      </c>
      <c r="C220" s="32" t="s">
        <v>2027</v>
      </c>
      <c r="D220" s="48">
        <v>9960</v>
      </c>
      <c r="E220" s="800">
        <v>0</v>
      </c>
      <c r="F220" s="101">
        <v>-5.08</v>
      </c>
      <c r="G220" s="8" t="s">
        <v>774</v>
      </c>
      <c r="H220" s="666" t="s">
        <v>404</v>
      </c>
      <c r="I220" s="662"/>
    </row>
    <row r="221" spans="1:9" hidden="1" outlineLevel="1">
      <c r="A221" s="66">
        <v>2015</v>
      </c>
      <c r="B221" s="31" t="s">
        <v>779</v>
      </c>
      <c r="C221" s="32" t="s">
        <v>2027</v>
      </c>
      <c r="D221" s="48">
        <v>57983</v>
      </c>
      <c r="E221" s="800">
        <v>0</v>
      </c>
      <c r="F221" s="101">
        <v>-29.57</v>
      </c>
      <c r="G221" s="8" t="s">
        <v>780</v>
      </c>
      <c r="H221" s="666" t="s">
        <v>404</v>
      </c>
      <c r="I221" s="662"/>
    </row>
    <row r="222" spans="1:9" ht="13.5" hidden="1" outlineLevel="1" thickBot="1">
      <c r="A222" s="762">
        <v>2015</v>
      </c>
      <c r="B222" s="795" t="s">
        <v>779</v>
      </c>
      <c r="C222" s="797" t="s">
        <v>2025</v>
      </c>
      <c r="D222" s="56">
        <v>57983</v>
      </c>
      <c r="E222" s="781">
        <v>147.28</v>
      </c>
      <c r="F222" s="798">
        <v>0</v>
      </c>
      <c r="G222" s="8" t="s">
        <v>780</v>
      </c>
      <c r="H222" s="666" t="s">
        <v>404</v>
      </c>
      <c r="I222" s="662"/>
    </row>
    <row r="223" spans="1:9" hidden="1" outlineLevel="1">
      <c r="A223" s="774">
        <v>2016</v>
      </c>
      <c r="B223" s="775" t="s">
        <v>773</v>
      </c>
      <c r="C223" s="59" t="s">
        <v>2027</v>
      </c>
      <c r="D223" s="776">
        <v>72186</v>
      </c>
      <c r="E223" s="782">
        <f>ROUND(D223*0.445/100,2)</f>
        <v>321.23</v>
      </c>
      <c r="F223" s="784">
        <f>ROUND(D223*0.04/100,2)</f>
        <v>28.87</v>
      </c>
      <c r="G223" s="8" t="s">
        <v>774</v>
      </c>
      <c r="H223" s="666" t="s">
        <v>404</v>
      </c>
      <c r="I223" s="662"/>
    </row>
    <row r="224" spans="1:9" ht="13.5" hidden="1" outlineLevel="1" thickBot="1">
      <c r="A224" s="66">
        <v>2016</v>
      </c>
      <c r="B224" s="777" t="s">
        <v>779</v>
      </c>
      <c r="C224" s="34" t="s">
        <v>2027</v>
      </c>
      <c r="D224" s="783">
        <v>14247</v>
      </c>
      <c r="E224" s="778">
        <f>ROUND(D224*0.445/100,2)</f>
        <v>63.4</v>
      </c>
      <c r="F224" s="785">
        <f>ROUND(D224*0.04/100,2)</f>
        <v>5.7</v>
      </c>
      <c r="G224" s="8" t="s">
        <v>780</v>
      </c>
      <c r="H224" s="666" t="s">
        <v>404</v>
      </c>
      <c r="I224" s="662"/>
    </row>
    <row r="225" spans="1:9" hidden="1" outlineLevel="1">
      <c r="A225" s="82">
        <v>2017</v>
      </c>
      <c r="B225" s="59" t="s">
        <v>541</v>
      </c>
      <c r="C225" s="59" t="s">
        <v>2016</v>
      </c>
      <c r="D225" s="801">
        <v>8587</v>
      </c>
      <c r="E225" s="47">
        <v>37.61</v>
      </c>
      <c r="F225" s="799">
        <v>0</v>
      </c>
      <c r="G225" s="8" t="s">
        <v>542</v>
      </c>
      <c r="H225" s="666" t="s">
        <v>404</v>
      </c>
      <c r="I225" s="662"/>
    </row>
    <row r="226" spans="1:9" hidden="1" outlineLevel="1">
      <c r="A226" s="852">
        <v>2017</v>
      </c>
      <c r="B226" s="32" t="s">
        <v>541</v>
      </c>
      <c r="C226" s="32" t="s">
        <v>2027</v>
      </c>
      <c r="D226" s="802">
        <v>8587</v>
      </c>
      <c r="E226" s="803">
        <v>0</v>
      </c>
      <c r="F226" s="101">
        <f>ROUND(D226*-0.028/100,2)</f>
        <v>-2.4</v>
      </c>
      <c r="G226" s="8" t="s">
        <v>542</v>
      </c>
      <c r="H226" s="666" t="s">
        <v>404</v>
      </c>
      <c r="I226" s="662"/>
    </row>
    <row r="227" spans="1:9" hidden="1" outlineLevel="1">
      <c r="A227" s="63">
        <v>2017</v>
      </c>
      <c r="B227" s="32" t="s">
        <v>773</v>
      </c>
      <c r="C227" s="779" t="s">
        <v>2016</v>
      </c>
      <c r="D227" s="100">
        <v>16034</v>
      </c>
      <c r="E227" s="803">
        <v>70.23</v>
      </c>
      <c r="F227" s="101">
        <v>0</v>
      </c>
      <c r="G227" s="8" t="s">
        <v>774</v>
      </c>
      <c r="H227" s="666" t="s">
        <v>404</v>
      </c>
      <c r="I227" s="662"/>
    </row>
    <row r="228" spans="1:9" hidden="1" outlineLevel="1">
      <c r="A228" s="63">
        <v>2017</v>
      </c>
      <c r="B228" s="32" t="s">
        <v>773</v>
      </c>
      <c r="C228" s="32" t="s">
        <v>2027</v>
      </c>
      <c r="D228" s="100">
        <v>16034</v>
      </c>
      <c r="E228" s="803">
        <v>0</v>
      </c>
      <c r="F228" s="101">
        <f>ROUND(D228*-0.028/100,2)</f>
        <v>-4.49</v>
      </c>
      <c r="G228" s="8" t="s">
        <v>774</v>
      </c>
      <c r="H228" s="666" t="s">
        <v>404</v>
      </c>
      <c r="I228" s="662"/>
    </row>
    <row r="229" spans="1:9" hidden="1" outlineLevel="1">
      <c r="A229" s="63">
        <v>2017</v>
      </c>
      <c r="B229" s="32" t="s">
        <v>779</v>
      </c>
      <c r="C229" s="32" t="s">
        <v>2027</v>
      </c>
      <c r="D229" s="802">
        <v>71202</v>
      </c>
      <c r="E229" s="803">
        <v>0</v>
      </c>
      <c r="F229" s="101">
        <f>ROUND(D229*-0.028/100,2)</f>
        <v>-19.940000000000001</v>
      </c>
      <c r="G229" s="8" t="s">
        <v>780</v>
      </c>
      <c r="H229" s="666" t="s">
        <v>404</v>
      </c>
      <c r="I229" s="662"/>
    </row>
    <row r="230" spans="1:9" ht="13.5" hidden="1" outlineLevel="1" thickBot="1">
      <c r="A230" s="64">
        <v>2017</v>
      </c>
      <c r="B230" s="34" t="s">
        <v>779</v>
      </c>
      <c r="C230" s="34" t="s">
        <v>2016</v>
      </c>
      <c r="D230" s="804">
        <v>71202</v>
      </c>
      <c r="E230" s="49">
        <v>311.87</v>
      </c>
      <c r="F230" s="785">
        <v>0</v>
      </c>
      <c r="G230" s="8" t="s">
        <v>780</v>
      </c>
      <c r="H230" s="666" t="s">
        <v>404</v>
      </c>
      <c r="I230" s="662"/>
    </row>
    <row r="231" spans="1:9" hidden="1" outlineLevel="1">
      <c r="A231" s="761">
        <v>2018</v>
      </c>
      <c r="B231" s="78" t="s">
        <v>541</v>
      </c>
      <c r="C231" s="59" t="s">
        <v>2016</v>
      </c>
      <c r="D231" s="776">
        <v>65276</v>
      </c>
      <c r="E231" s="47">
        <v>225.2</v>
      </c>
      <c r="F231" s="799">
        <v>0</v>
      </c>
      <c r="G231" s="8" t="s">
        <v>542</v>
      </c>
      <c r="H231" s="666" t="s">
        <v>404</v>
      </c>
      <c r="I231" s="662"/>
    </row>
    <row r="232" spans="1:9" hidden="1" outlineLevel="1">
      <c r="A232" s="66">
        <v>2018</v>
      </c>
      <c r="B232" s="31" t="s">
        <v>541</v>
      </c>
      <c r="C232" s="32" t="s">
        <v>2027</v>
      </c>
      <c r="D232" s="100">
        <v>65276</v>
      </c>
      <c r="E232" s="48">
        <v>0</v>
      </c>
      <c r="F232" s="101">
        <v>24.15</v>
      </c>
      <c r="G232" s="8" t="s">
        <v>542</v>
      </c>
      <c r="H232" s="666" t="s">
        <v>404</v>
      </c>
      <c r="I232" s="662"/>
    </row>
    <row r="233" spans="1:9" hidden="1" outlineLevel="1">
      <c r="A233" s="66">
        <v>2018</v>
      </c>
      <c r="B233" s="31" t="s">
        <v>779</v>
      </c>
      <c r="C233" s="32" t="s">
        <v>2027</v>
      </c>
      <c r="D233" s="100">
        <v>69153</v>
      </c>
      <c r="E233" s="48">
        <v>0</v>
      </c>
      <c r="F233" s="101">
        <v>25.59</v>
      </c>
      <c r="G233" s="8" t="s">
        <v>780</v>
      </c>
      <c r="H233" s="666" t="s">
        <v>404</v>
      </c>
      <c r="I233" s="662"/>
    </row>
    <row r="234" spans="1:9" ht="13.5" hidden="1" outlineLevel="1" thickBot="1">
      <c r="A234" s="762">
        <v>2018</v>
      </c>
      <c r="B234" s="33" t="s">
        <v>779</v>
      </c>
      <c r="C234" s="34" t="s">
        <v>2016</v>
      </c>
      <c r="D234" s="778">
        <v>69153</v>
      </c>
      <c r="E234" s="49">
        <v>238.57</v>
      </c>
      <c r="F234" s="785">
        <v>0</v>
      </c>
      <c r="G234" s="8" t="s">
        <v>780</v>
      </c>
      <c r="H234" s="666" t="s">
        <v>404</v>
      </c>
      <c r="I234" s="662"/>
    </row>
    <row r="235" spans="1:9" hidden="1" outlineLevel="1">
      <c r="A235" s="761">
        <v>2019</v>
      </c>
      <c r="B235" s="78" t="s">
        <v>535</v>
      </c>
      <c r="C235" s="59" t="s">
        <v>2016</v>
      </c>
      <c r="D235" s="50">
        <v>50694</v>
      </c>
      <c r="E235" s="47">
        <v>141.94999999999999</v>
      </c>
      <c r="F235" s="784">
        <f t="shared" ref="F235:F240" si="4">ROUND(D235*0.416/100,2)</f>
        <v>210.89</v>
      </c>
      <c r="G235" s="8" t="s">
        <v>536</v>
      </c>
      <c r="H235" s="666" t="s">
        <v>404</v>
      </c>
      <c r="I235" s="662"/>
    </row>
    <row r="236" spans="1:9" hidden="1" outlineLevel="1">
      <c r="A236" s="66">
        <v>2019</v>
      </c>
      <c r="B236" s="31" t="s">
        <v>541</v>
      </c>
      <c r="C236" s="779" t="s">
        <v>2016</v>
      </c>
      <c r="D236" s="48">
        <v>203009</v>
      </c>
      <c r="E236" s="255">
        <v>568.42999999999995</v>
      </c>
      <c r="F236" s="784">
        <f t="shared" si="4"/>
        <v>844.52</v>
      </c>
      <c r="G236" s="250" t="s">
        <v>542</v>
      </c>
      <c r="H236" s="666" t="s">
        <v>404</v>
      </c>
      <c r="I236" s="662"/>
    </row>
    <row r="237" spans="1:9" hidden="1" outlineLevel="1">
      <c r="A237" s="66">
        <v>2019</v>
      </c>
      <c r="B237" s="30" t="s">
        <v>773</v>
      </c>
      <c r="C237" s="30" t="s">
        <v>2016</v>
      </c>
      <c r="D237" s="55">
        <v>8626</v>
      </c>
      <c r="E237" s="48">
        <v>24.16</v>
      </c>
      <c r="F237" s="784">
        <f t="shared" si="4"/>
        <v>35.880000000000003</v>
      </c>
      <c r="G237" s="250" t="s">
        <v>774</v>
      </c>
      <c r="H237" s="666" t="str">
        <f>+H236</f>
        <v>Regelzone Amprion (gesamt)</v>
      </c>
      <c r="I237" s="662"/>
    </row>
    <row r="238" spans="1:9" ht="13.5" hidden="1" outlineLevel="1" thickBot="1">
      <c r="A238" s="762">
        <v>2019</v>
      </c>
      <c r="B238" s="33" t="s">
        <v>779</v>
      </c>
      <c r="C238" s="34" t="s">
        <v>2016</v>
      </c>
      <c r="D238" s="49">
        <v>72726</v>
      </c>
      <c r="E238" s="56">
        <v>203.63</v>
      </c>
      <c r="F238" s="785">
        <f t="shared" si="4"/>
        <v>302.54000000000002</v>
      </c>
      <c r="G238" s="250" t="s">
        <v>780</v>
      </c>
      <c r="H238" s="666" t="str">
        <f t="shared" ref="H238:H303" si="5">+H237</f>
        <v>Regelzone Amprion (gesamt)</v>
      </c>
      <c r="I238" s="662"/>
    </row>
    <row r="239" spans="1:9" hidden="1" outlineLevel="1">
      <c r="A239" s="82">
        <v>2020</v>
      </c>
      <c r="B239" s="769" t="s">
        <v>447</v>
      </c>
      <c r="C239" s="769" t="s">
        <v>2016</v>
      </c>
      <c r="D239" s="47">
        <v>2828</v>
      </c>
      <c r="E239" s="47">
        <v>6.39</v>
      </c>
      <c r="F239" s="784">
        <f t="shared" si="4"/>
        <v>11.76</v>
      </c>
      <c r="G239" s="250" t="s">
        <v>448</v>
      </c>
      <c r="H239" s="666" t="str">
        <f t="shared" si="5"/>
        <v>Regelzone Amprion (gesamt)</v>
      </c>
      <c r="I239" s="662"/>
    </row>
    <row r="240" spans="1:9" hidden="1" outlineLevel="1">
      <c r="A240" s="63">
        <v>2020</v>
      </c>
      <c r="B240" s="31" t="s">
        <v>503</v>
      </c>
      <c r="C240" s="32" t="s">
        <v>2016</v>
      </c>
      <c r="D240" s="48">
        <v>-21491896</v>
      </c>
      <c r="E240" s="48">
        <v>-48571.68</v>
      </c>
      <c r="F240" s="784">
        <f t="shared" si="4"/>
        <v>-89406.29</v>
      </c>
      <c r="G240" s="8" t="s">
        <v>504</v>
      </c>
      <c r="H240" s="666" t="str">
        <f t="shared" si="5"/>
        <v>Regelzone Amprion (gesamt)</v>
      </c>
      <c r="I240" s="662"/>
    </row>
    <row r="241" spans="1:9" hidden="1" outlineLevel="1">
      <c r="A241" s="63">
        <v>2020</v>
      </c>
      <c r="B241" s="30" t="s">
        <v>503</v>
      </c>
      <c r="C241" s="30" t="s">
        <v>2017</v>
      </c>
      <c r="D241" s="48">
        <v>21491896</v>
      </c>
      <c r="E241" s="48">
        <v>8596.76</v>
      </c>
      <c r="F241" s="784">
        <f>ROUND(D241*0.04/100,2)</f>
        <v>8596.76</v>
      </c>
      <c r="G241" s="8" t="s">
        <v>504</v>
      </c>
      <c r="H241" s="666" t="str">
        <f t="shared" si="5"/>
        <v>Regelzone Amprion (gesamt)</v>
      </c>
      <c r="I241" s="662"/>
    </row>
    <row r="242" spans="1:9" hidden="1" outlineLevel="1">
      <c r="A242" s="63">
        <v>2020</v>
      </c>
      <c r="B242" s="31" t="s">
        <v>523</v>
      </c>
      <c r="C242" s="32" t="s">
        <v>2016</v>
      </c>
      <c r="D242" s="48">
        <v>34</v>
      </c>
      <c r="E242" s="48">
        <v>0.08</v>
      </c>
      <c r="F242" s="784">
        <f t="shared" ref="F242:F247" si="6">ROUND(D242*0.416/100,2)</f>
        <v>0.14000000000000001</v>
      </c>
      <c r="G242" s="8" t="s">
        <v>524</v>
      </c>
      <c r="H242" s="666" t="str">
        <f t="shared" si="5"/>
        <v>Regelzone Amprion (gesamt)</v>
      </c>
      <c r="I242" s="662"/>
    </row>
    <row r="243" spans="1:9" hidden="1" outlineLevel="1">
      <c r="A243" s="63">
        <v>2020</v>
      </c>
      <c r="B243" s="30" t="s">
        <v>535</v>
      </c>
      <c r="C243" s="30" t="s">
        <v>2016</v>
      </c>
      <c r="D243" s="48">
        <v>53992</v>
      </c>
      <c r="E243" s="48">
        <v>122.03</v>
      </c>
      <c r="F243" s="784">
        <f t="shared" si="6"/>
        <v>224.61</v>
      </c>
      <c r="G243" s="8" t="s">
        <v>536</v>
      </c>
      <c r="H243" s="666" t="str">
        <f t="shared" si="5"/>
        <v>Regelzone Amprion (gesamt)</v>
      </c>
      <c r="I243" s="662"/>
    </row>
    <row r="244" spans="1:9" hidden="1" outlineLevel="1">
      <c r="A244" s="89">
        <v>2020</v>
      </c>
      <c r="B244" s="75" t="s">
        <v>541</v>
      </c>
      <c r="C244" s="32" t="s">
        <v>2016</v>
      </c>
      <c r="D244" s="48">
        <v>594353</v>
      </c>
      <c r="E244" s="48">
        <v>1343.24</v>
      </c>
      <c r="F244" s="784">
        <f t="shared" si="6"/>
        <v>2472.5100000000002</v>
      </c>
      <c r="G244" s="8" t="s">
        <v>542</v>
      </c>
      <c r="H244" s="666" t="str">
        <f t="shared" si="5"/>
        <v>Regelzone Amprion (gesamt)</v>
      </c>
      <c r="I244" s="662"/>
    </row>
    <row r="245" spans="1:9" hidden="1" outlineLevel="1">
      <c r="A245" s="89">
        <v>2020</v>
      </c>
      <c r="B245" s="75" t="s">
        <v>555</v>
      </c>
      <c r="C245" s="31" t="s">
        <v>2016</v>
      </c>
      <c r="D245" s="48">
        <v>511901</v>
      </c>
      <c r="E245" s="48">
        <v>1156.9000000000001</v>
      </c>
      <c r="F245" s="784">
        <f t="shared" si="6"/>
        <v>2129.5100000000002</v>
      </c>
      <c r="G245" s="8" t="s">
        <v>556</v>
      </c>
      <c r="H245" s="666" t="str">
        <f t="shared" si="5"/>
        <v>Regelzone Amprion (gesamt)</v>
      </c>
      <c r="I245" s="662"/>
    </row>
    <row r="246" spans="1:9" hidden="1" outlineLevel="1">
      <c r="A246" s="89">
        <v>2020</v>
      </c>
      <c r="B246" s="75" t="s">
        <v>773</v>
      </c>
      <c r="C246" s="31" t="s">
        <v>2016</v>
      </c>
      <c r="D246" s="48">
        <v>472404</v>
      </c>
      <c r="E246" s="48">
        <v>1067.6300000000001</v>
      </c>
      <c r="F246" s="784">
        <f t="shared" si="6"/>
        <v>1965.2</v>
      </c>
      <c r="G246" s="8" t="s">
        <v>774</v>
      </c>
      <c r="H246" s="666" t="str">
        <f t="shared" si="5"/>
        <v>Regelzone Amprion (gesamt)</v>
      </c>
      <c r="I246" s="662"/>
    </row>
    <row r="247" spans="1:9" ht="13.5" hidden="1" outlineLevel="1" thickBot="1">
      <c r="A247" s="610">
        <v>2020</v>
      </c>
      <c r="B247" s="76" t="s">
        <v>779</v>
      </c>
      <c r="C247" s="33" t="s">
        <v>2016</v>
      </c>
      <c r="D247" s="49">
        <v>102177</v>
      </c>
      <c r="E247" s="49">
        <v>230.92</v>
      </c>
      <c r="F247" s="785">
        <f t="shared" si="6"/>
        <v>425.06</v>
      </c>
      <c r="G247" s="8" t="s">
        <v>780</v>
      </c>
      <c r="H247" s="666" t="str">
        <f t="shared" si="5"/>
        <v>Regelzone Amprion (gesamt)</v>
      </c>
      <c r="I247" s="662"/>
    </row>
    <row r="248" spans="1:9" hidden="1" outlineLevel="1">
      <c r="A248" s="88">
        <v>2021</v>
      </c>
      <c r="B248" s="77" t="s">
        <v>86</v>
      </c>
      <c r="C248" s="78" t="s">
        <v>2016</v>
      </c>
      <c r="D248" s="47">
        <v>-1509117</v>
      </c>
      <c r="E248" s="47">
        <f>D248*0.254/100</f>
        <v>-3833.1571800000002</v>
      </c>
      <c r="F248" s="784">
        <f t="shared" ref="F248:F267" si="7">ROUND(D248*0.395/100,2)</f>
        <v>-5961.01</v>
      </c>
      <c r="G248" s="8" t="s">
        <v>87</v>
      </c>
      <c r="H248" s="666" t="str">
        <f t="shared" ref="H248:H264" si="8">+H246</f>
        <v>Regelzone Amprion (gesamt)</v>
      </c>
      <c r="I248" s="662"/>
    </row>
    <row r="249" spans="1:9" hidden="1" outlineLevel="1">
      <c r="A249" s="89">
        <v>2021</v>
      </c>
      <c r="B249" s="75" t="s">
        <v>407</v>
      </c>
      <c r="C249" s="31" t="s">
        <v>2016</v>
      </c>
      <c r="D249" s="48">
        <v>215747</v>
      </c>
      <c r="E249" s="48">
        <v>548</v>
      </c>
      <c r="F249" s="784">
        <f t="shared" si="7"/>
        <v>852.2</v>
      </c>
      <c r="G249" s="8" t="s">
        <v>408</v>
      </c>
      <c r="H249" s="666" t="str">
        <f t="shared" si="8"/>
        <v>Regelzone Amprion (gesamt)</v>
      </c>
      <c r="I249" s="662"/>
    </row>
    <row r="250" spans="1:9" hidden="1" outlineLevel="1">
      <c r="A250" s="89">
        <v>2021</v>
      </c>
      <c r="B250" s="75" t="s">
        <v>411</v>
      </c>
      <c r="C250" s="31" t="s">
        <v>2016</v>
      </c>
      <c r="D250" s="48">
        <v>2634145</v>
      </c>
      <c r="E250" s="48">
        <v>6690.73</v>
      </c>
      <c r="F250" s="784">
        <f t="shared" si="7"/>
        <v>10404.870000000001</v>
      </c>
      <c r="G250" s="8" t="s">
        <v>412</v>
      </c>
      <c r="H250" s="666" t="str">
        <f t="shared" si="8"/>
        <v>Regelzone Amprion (gesamt)</v>
      </c>
      <c r="I250" s="662"/>
    </row>
    <row r="251" spans="1:9" hidden="1" outlineLevel="1">
      <c r="A251" s="89">
        <v>2021</v>
      </c>
      <c r="B251" s="75" t="s">
        <v>417</v>
      </c>
      <c r="C251" s="31" t="s">
        <v>2016</v>
      </c>
      <c r="D251" s="48">
        <v>1646193</v>
      </c>
      <c r="E251" s="48">
        <v>4181.33</v>
      </c>
      <c r="F251" s="784">
        <f t="shared" si="7"/>
        <v>6502.46</v>
      </c>
      <c r="G251" s="8" t="s">
        <v>418</v>
      </c>
      <c r="H251" s="666" t="str">
        <f t="shared" si="8"/>
        <v>Regelzone Amprion (gesamt)</v>
      </c>
      <c r="I251" s="662"/>
    </row>
    <row r="252" spans="1:9" hidden="1" outlineLevel="1">
      <c r="A252" s="89">
        <v>2021</v>
      </c>
      <c r="B252" s="75" t="s">
        <v>419</v>
      </c>
      <c r="C252" s="31" t="s">
        <v>2016</v>
      </c>
      <c r="D252" s="48">
        <v>19116</v>
      </c>
      <c r="E252" s="48">
        <v>48.55</v>
      </c>
      <c r="F252" s="784">
        <f t="shared" si="7"/>
        <v>75.510000000000005</v>
      </c>
      <c r="G252" s="8" t="s">
        <v>420</v>
      </c>
      <c r="H252" s="666" t="str">
        <f t="shared" si="8"/>
        <v>Regelzone Amprion (gesamt)</v>
      </c>
      <c r="I252" s="662"/>
    </row>
    <row r="253" spans="1:9" hidden="1" outlineLevel="1">
      <c r="A253" s="89">
        <v>2021</v>
      </c>
      <c r="B253" s="75" t="s">
        <v>423</v>
      </c>
      <c r="C253" s="31" t="s">
        <v>2016</v>
      </c>
      <c r="D253" s="48">
        <v>-12117</v>
      </c>
      <c r="E253" s="48">
        <v>-30.78</v>
      </c>
      <c r="F253" s="784">
        <f t="shared" si="7"/>
        <v>-47.86</v>
      </c>
      <c r="G253" s="8" t="s">
        <v>424</v>
      </c>
      <c r="H253" s="666" t="str">
        <f t="shared" si="8"/>
        <v>Regelzone Amprion (gesamt)</v>
      </c>
      <c r="I253" s="662"/>
    </row>
    <row r="254" spans="1:9" hidden="1" outlineLevel="1">
      <c r="A254" s="89">
        <v>2021</v>
      </c>
      <c r="B254" s="75" t="s">
        <v>435</v>
      </c>
      <c r="C254" s="31" t="s">
        <v>2016</v>
      </c>
      <c r="D254" s="48">
        <v>-15415</v>
      </c>
      <c r="E254" s="48">
        <v>-39.15</v>
      </c>
      <c r="F254" s="784">
        <f t="shared" si="7"/>
        <v>-60.89</v>
      </c>
      <c r="G254" s="8" t="s">
        <v>436</v>
      </c>
      <c r="H254" s="666" t="str">
        <f t="shared" si="8"/>
        <v>Regelzone Amprion (gesamt)</v>
      </c>
      <c r="I254" s="662"/>
    </row>
    <row r="255" spans="1:9" hidden="1" outlineLevel="1">
      <c r="A255" s="89">
        <v>2021</v>
      </c>
      <c r="B255" s="75" t="s">
        <v>439</v>
      </c>
      <c r="C255" s="31" t="s">
        <v>2016</v>
      </c>
      <c r="D255" s="48">
        <v>-39386</v>
      </c>
      <c r="E255" s="48">
        <v>-100.04</v>
      </c>
      <c r="F255" s="784">
        <f t="shared" si="7"/>
        <v>-155.57</v>
      </c>
      <c r="G255" s="8" t="s">
        <v>440</v>
      </c>
      <c r="H255" s="666" t="str">
        <f t="shared" si="8"/>
        <v>Regelzone Amprion (gesamt)</v>
      </c>
      <c r="I255" s="662"/>
    </row>
    <row r="256" spans="1:9" hidden="1" outlineLevel="1">
      <c r="A256" s="89">
        <v>2021</v>
      </c>
      <c r="B256" s="75" t="s">
        <v>441</v>
      </c>
      <c r="C256" s="31" t="s">
        <v>2016</v>
      </c>
      <c r="D256" s="48">
        <v>2279128</v>
      </c>
      <c r="E256" s="48">
        <v>5788.98</v>
      </c>
      <c r="F256" s="784">
        <f t="shared" si="7"/>
        <v>9002.56</v>
      </c>
      <c r="G256" s="8" t="s">
        <v>442</v>
      </c>
      <c r="H256" s="666" t="str">
        <f t="shared" si="8"/>
        <v>Regelzone Amprion (gesamt)</v>
      </c>
      <c r="I256" s="662"/>
    </row>
    <row r="257" spans="1:9" hidden="1" outlineLevel="1">
      <c r="A257" s="89">
        <v>2021</v>
      </c>
      <c r="B257" s="75" t="s">
        <v>443</v>
      </c>
      <c r="C257" s="31" t="s">
        <v>2016</v>
      </c>
      <c r="D257" s="48">
        <v>4363</v>
      </c>
      <c r="E257" s="48">
        <v>11.09</v>
      </c>
      <c r="F257" s="784">
        <f t="shared" si="7"/>
        <v>17.23</v>
      </c>
      <c r="G257" s="8" t="s">
        <v>444</v>
      </c>
      <c r="H257" s="666" t="str">
        <f t="shared" si="8"/>
        <v>Regelzone Amprion (gesamt)</v>
      </c>
      <c r="I257" s="662"/>
    </row>
    <row r="258" spans="1:9" hidden="1" outlineLevel="1">
      <c r="A258" s="89">
        <v>2021</v>
      </c>
      <c r="B258" s="75" t="s">
        <v>447</v>
      </c>
      <c r="C258" s="31" t="s">
        <v>2016</v>
      </c>
      <c r="D258" s="48">
        <v>-52895</v>
      </c>
      <c r="E258" s="48">
        <v>-134.35</v>
      </c>
      <c r="F258" s="784">
        <f t="shared" si="7"/>
        <v>-208.94</v>
      </c>
      <c r="G258" s="8" t="s">
        <v>448</v>
      </c>
      <c r="H258" s="666" t="str">
        <f t="shared" si="8"/>
        <v>Regelzone Amprion (gesamt)</v>
      </c>
      <c r="I258" s="662"/>
    </row>
    <row r="259" spans="1:9" hidden="1" outlineLevel="1">
      <c r="A259" s="89">
        <v>2021</v>
      </c>
      <c r="B259" s="75" t="s">
        <v>449</v>
      </c>
      <c r="C259" s="31" t="s">
        <v>2016</v>
      </c>
      <c r="D259" s="48">
        <v>-31312990</v>
      </c>
      <c r="E259" s="48">
        <v>-79535</v>
      </c>
      <c r="F259" s="784">
        <f t="shared" si="7"/>
        <v>-123686.31</v>
      </c>
      <c r="G259" s="8" t="s">
        <v>450</v>
      </c>
      <c r="H259" s="666" t="str">
        <f t="shared" si="8"/>
        <v>Regelzone Amprion (gesamt)</v>
      </c>
      <c r="I259" s="662"/>
    </row>
    <row r="260" spans="1:9" hidden="1" outlineLevel="1">
      <c r="A260" s="89">
        <v>2021</v>
      </c>
      <c r="B260" s="75" t="s">
        <v>451</v>
      </c>
      <c r="C260" s="31" t="s">
        <v>2016</v>
      </c>
      <c r="D260" s="48">
        <v>8079</v>
      </c>
      <c r="E260" s="48">
        <v>20.52</v>
      </c>
      <c r="F260" s="784">
        <f t="shared" si="7"/>
        <v>31.91</v>
      </c>
      <c r="G260" s="8" t="s">
        <v>452</v>
      </c>
      <c r="H260" s="666" t="str">
        <f t="shared" si="8"/>
        <v>Regelzone Amprion (gesamt)</v>
      </c>
      <c r="I260" s="662"/>
    </row>
    <row r="261" spans="1:9" hidden="1" outlineLevel="1">
      <c r="A261" s="89">
        <v>2021</v>
      </c>
      <c r="B261" s="75" t="s">
        <v>455</v>
      </c>
      <c r="C261" s="31" t="s">
        <v>2016</v>
      </c>
      <c r="D261" s="48">
        <v>38638</v>
      </c>
      <c r="E261" s="48">
        <v>98.15</v>
      </c>
      <c r="F261" s="784">
        <f t="shared" si="7"/>
        <v>152.62</v>
      </c>
      <c r="G261" s="8" t="s">
        <v>456</v>
      </c>
      <c r="H261" s="666" t="str">
        <f t="shared" si="8"/>
        <v>Regelzone Amprion (gesamt)</v>
      </c>
      <c r="I261" s="662"/>
    </row>
    <row r="262" spans="1:9" hidden="1" outlineLevel="1">
      <c r="A262" s="89">
        <v>2021</v>
      </c>
      <c r="B262" s="75" t="s">
        <v>457</v>
      </c>
      <c r="C262" s="31" t="s">
        <v>2016</v>
      </c>
      <c r="D262" s="48">
        <v>-485</v>
      </c>
      <c r="E262" s="48">
        <v>-1.23</v>
      </c>
      <c r="F262" s="784">
        <f t="shared" si="7"/>
        <v>-1.92</v>
      </c>
      <c r="G262" s="8" t="s">
        <v>458</v>
      </c>
      <c r="H262" s="666" t="str">
        <f t="shared" si="8"/>
        <v>Regelzone Amprion (gesamt)</v>
      </c>
      <c r="I262" s="662"/>
    </row>
    <row r="263" spans="1:9" hidden="1" outlineLevel="1">
      <c r="A263" s="89">
        <v>2021</v>
      </c>
      <c r="B263" s="75" t="s">
        <v>469</v>
      </c>
      <c r="C263" s="31" t="s">
        <v>2016</v>
      </c>
      <c r="D263" s="48">
        <v>-1975241</v>
      </c>
      <c r="E263" s="48">
        <f>D263*0.254/100</f>
        <v>-5017.1121400000002</v>
      </c>
      <c r="F263" s="784">
        <f t="shared" si="7"/>
        <v>-7802.2</v>
      </c>
      <c r="G263" s="8" t="s">
        <v>470</v>
      </c>
      <c r="H263" s="666" t="str">
        <f t="shared" si="8"/>
        <v>Regelzone Amprion (gesamt)</v>
      </c>
      <c r="I263" s="662"/>
    </row>
    <row r="264" spans="1:9" hidden="1" outlineLevel="1">
      <c r="A264" s="89">
        <v>2021</v>
      </c>
      <c r="B264" s="75" t="s">
        <v>471</v>
      </c>
      <c r="C264" s="31" t="s">
        <v>2016</v>
      </c>
      <c r="D264" s="48">
        <v>-14056</v>
      </c>
      <c r="E264" s="48">
        <v>-35.700000000000003</v>
      </c>
      <c r="F264" s="784">
        <f t="shared" si="7"/>
        <v>-55.52</v>
      </c>
      <c r="G264" s="8" t="s">
        <v>472</v>
      </c>
      <c r="H264" s="666" t="str">
        <f t="shared" si="8"/>
        <v>Regelzone Amprion (gesamt)</v>
      </c>
      <c r="I264" s="662"/>
    </row>
    <row r="265" spans="1:9" hidden="1" outlineLevel="1">
      <c r="A265" s="89">
        <v>2021</v>
      </c>
      <c r="B265" s="75" t="s">
        <v>475</v>
      </c>
      <c r="C265" s="31" t="s">
        <v>2016</v>
      </c>
      <c r="D265" s="48">
        <v>58457</v>
      </c>
      <c r="E265" s="48">
        <v>148.47999999999999</v>
      </c>
      <c r="F265" s="784">
        <f t="shared" si="7"/>
        <v>230.91</v>
      </c>
      <c r="G265" s="8" t="s">
        <v>476</v>
      </c>
      <c r="H265" s="666" t="str">
        <f t="shared" si="5"/>
        <v>Regelzone Amprion (gesamt)</v>
      </c>
      <c r="I265" s="662"/>
    </row>
    <row r="266" spans="1:9" hidden="1" outlineLevel="1">
      <c r="A266" s="89">
        <v>2021</v>
      </c>
      <c r="B266" s="75" t="s">
        <v>477</v>
      </c>
      <c r="C266" s="31" t="s">
        <v>2016</v>
      </c>
      <c r="D266" s="48">
        <v>478088</v>
      </c>
      <c r="E266" s="48">
        <v>1214.3399999999999</v>
      </c>
      <c r="F266" s="784">
        <f t="shared" si="7"/>
        <v>1888.45</v>
      </c>
      <c r="G266" s="8" t="s">
        <v>478</v>
      </c>
      <c r="H266" s="666" t="str">
        <f t="shared" si="5"/>
        <v>Regelzone Amprion (gesamt)</v>
      </c>
      <c r="I266" s="662"/>
    </row>
    <row r="267" spans="1:9" hidden="1" outlineLevel="1">
      <c r="A267" s="89">
        <v>2021</v>
      </c>
      <c r="B267" s="75" t="s">
        <v>483</v>
      </c>
      <c r="C267" s="31" t="s">
        <v>2016</v>
      </c>
      <c r="D267" s="48">
        <v>-30639176</v>
      </c>
      <c r="E267" s="48">
        <v>-77823.509999999995</v>
      </c>
      <c r="F267" s="784">
        <f t="shared" si="7"/>
        <v>-121024.75</v>
      </c>
      <c r="G267" s="8" t="s">
        <v>484</v>
      </c>
      <c r="H267" s="666" t="str">
        <f t="shared" si="5"/>
        <v>Regelzone Amprion (gesamt)</v>
      </c>
      <c r="I267" s="662"/>
    </row>
    <row r="268" spans="1:9" hidden="1" outlineLevel="1">
      <c r="A268" s="89">
        <v>2021</v>
      </c>
      <c r="B268" s="75" t="s">
        <v>483</v>
      </c>
      <c r="C268" s="31" t="s">
        <v>2028</v>
      </c>
      <c r="D268" s="48">
        <v>-10638713</v>
      </c>
      <c r="E268" s="48">
        <v>-3191.61</v>
      </c>
      <c r="F268" s="784">
        <f>ROUND(D268*0.03/100,2)</f>
        <v>-3191.61</v>
      </c>
      <c r="G268" s="8" t="s">
        <v>484</v>
      </c>
      <c r="H268" s="666" t="str">
        <f t="shared" si="5"/>
        <v>Regelzone Amprion (gesamt)</v>
      </c>
      <c r="I268" s="662"/>
    </row>
    <row r="269" spans="1:9" hidden="1" outlineLevel="1">
      <c r="A269" s="89">
        <v>2021</v>
      </c>
      <c r="B269" s="75" t="s">
        <v>487</v>
      </c>
      <c r="C269" s="31" t="s">
        <v>2016</v>
      </c>
      <c r="D269" s="48">
        <v>-13024</v>
      </c>
      <c r="E269" s="48">
        <v>-33.08</v>
      </c>
      <c r="F269" s="784">
        <f>ROUND(D269*0.395/100,2)</f>
        <v>-51.44</v>
      </c>
      <c r="G269" s="8" t="s">
        <v>488</v>
      </c>
      <c r="H269" s="666" t="str">
        <f t="shared" si="5"/>
        <v>Regelzone Amprion (gesamt)</v>
      </c>
      <c r="I269" s="662"/>
    </row>
    <row r="270" spans="1:9" hidden="1" outlineLevel="1">
      <c r="A270" s="89">
        <v>2021</v>
      </c>
      <c r="B270" s="75" t="s">
        <v>497</v>
      </c>
      <c r="C270" s="31" t="s">
        <v>2016</v>
      </c>
      <c r="D270" s="48">
        <v>77470</v>
      </c>
      <c r="E270" s="48">
        <v>196.77</v>
      </c>
      <c r="F270" s="784">
        <f>ROUND(D270*0.395/100,2)</f>
        <v>306.01</v>
      </c>
      <c r="G270" s="8" t="s">
        <v>498</v>
      </c>
      <c r="H270" s="666" t="str">
        <f t="shared" si="5"/>
        <v>Regelzone Amprion (gesamt)</v>
      </c>
      <c r="I270" s="662"/>
    </row>
    <row r="271" spans="1:9" hidden="1" outlineLevel="1">
      <c r="A271" s="89">
        <v>2021</v>
      </c>
      <c r="B271" s="75" t="s">
        <v>499</v>
      </c>
      <c r="C271" s="31" t="s">
        <v>2016</v>
      </c>
      <c r="D271" s="48">
        <v>1527</v>
      </c>
      <c r="E271" s="48">
        <v>3.87</v>
      </c>
      <c r="F271" s="784">
        <f>ROUND(D271*0.395/100,2)</f>
        <v>6.03</v>
      </c>
      <c r="G271" s="8" t="s">
        <v>500</v>
      </c>
      <c r="H271" s="666" t="str">
        <f t="shared" si="5"/>
        <v>Regelzone Amprion (gesamt)</v>
      </c>
      <c r="I271" s="662"/>
    </row>
    <row r="272" spans="1:9" hidden="1" outlineLevel="1">
      <c r="A272" s="89">
        <v>2021</v>
      </c>
      <c r="B272" s="75" t="s">
        <v>503</v>
      </c>
      <c r="C272" s="31" t="s">
        <v>2016</v>
      </c>
      <c r="D272" s="48">
        <v>-22889715</v>
      </c>
      <c r="E272" s="48">
        <v>-58139.88</v>
      </c>
      <c r="F272" s="784">
        <f>ROUND(D272*0.395/100,2)</f>
        <v>-90414.37</v>
      </c>
      <c r="G272" s="8" t="s">
        <v>504</v>
      </c>
      <c r="H272" s="666" t="str">
        <f t="shared" si="5"/>
        <v>Regelzone Amprion (gesamt)</v>
      </c>
      <c r="I272" s="662"/>
    </row>
    <row r="273" spans="1:9" hidden="1" outlineLevel="1">
      <c r="A273" s="89">
        <v>2021</v>
      </c>
      <c r="B273" s="75" t="s">
        <v>503</v>
      </c>
      <c r="C273" s="31" t="s">
        <v>2017</v>
      </c>
      <c r="D273" s="48">
        <v>22889715</v>
      </c>
      <c r="E273" s="48">
        <v>9155.89</v>
      </c>
      <c r="F273" s="784">
        <f>ROUND(D273*0.04/100,2)</f>
        <v>9155.89</v>
      </c>
      <c r="G273" s="8" t="s">
        <v>504</v>
      </c>
      <c r="H273" s="666" t="str">
        <f t="shared" si="5"/>
        <v>Regelzone Amprion (gesamt)</v>
      </c>
      <c r="I273" s="662"/>
    </row>
    <row r="274" spans="1:9" hidden="1" outlineLevel="1">
      <c r="A274" s="89">
        <v>2021</v>
      </c>
      <c r="B274" s="75" t="s">
        <v>505</v>
      </c>
      <c r="C274" s="31" t="s">
        <v>2016</v>
      </c>
      <c r="D274" s="48">
        <v>10142</v>
      </c>
      <c r="E274" s="48">
        <v>25.76</v>
      </c>
      <c r="F274" s="784">
        <f t="shared" ref="F274:F290" si="9">ROUND(D274*0.395/100,2)</f>
        <v>40.06</v>
      </c>
      <c r="G274" s="8" t="s">
        <v>506</v>
      </c>
      <c r="H274" s="666" t="str">
        <f t="shared" si="5"/>
        <v>Regelzone Amprion (gesamt)</v>
      </c>
      <c r="I274" s="662"/>
    </row>
    <row r="275" spans="1:9" hidden="1" outlineLevel="1">
      <c r="A275" s="89">
        <v>2021</v>
      </c>
      <c r="B275" s="75" t="s">
        <v>507</v>
      </c>
      <c r="C275" s="31" t="s">
        <v>2016</v>
      </c>
      <c r="D275" s="48">
        <v>128514</v>
      </c>
      <c r="E275" s="48">
        <v>326.43</v>
      </c>
      <c r="F275" s="784">
        <f t="shared" si="9"/>
        <v>507.63</v>
      </c>
      <c r="G275" s="8" t="s">
        <v>508</v>
      </c>
      <c r="H275" s="666" t="str">
        <f t="shared" si="5"/>
        <v>Regelzone Amprion (gesamt)</v>
      </c>
      <c r="I275" s="662"/>
    </row>
    <row r="276" spans="1:9" hidden="1" outlineLevel="1">
      <c r="A276" s="89">
        <v>2021</v>
      </c>
      <c r="B276" s="75" t="s">
        <v>523</v>
      </c>
      <c r="C276" s="31" t="s">
        <v>2016</v>
      </c>
      <c r="D276" s="48">
        <v>23636</v>
      </c>
      <c r="E276" s="48">
        <v>60.04</v>
      </c>
      <c r="F276" s="784">
        <f t="shared" si="9"/>
        <v>93.36</v>
      </c>
      <c r="G276" s="8" t="s">
        <v>524</v>
      </c>
      <c r="H276" s="666" t="str">
        <f t="shared" si="5"/>
        <v>Regelzone Amprion (gesamt)</v>
      </c>
      <c r="I276" s="662"/>
    </row>
    <row r="277" spans="1:9" hidden="1" outlineLevel="1">
      <c r="A277" s="89">
        <v>2021</v>
      </c>
      <c r="B277" s="75" t="s">
        <v>527</v>
      </c>
      <c r="C277" s="31" t="s">
        <v>2016</v>
      </c>
      <c r="D277" s="48">
        <v>-5782</v>
      </c>
      <c r="E277" s="48">
        <v>-14.69</v>
      </c>
      <c r="F277" s="784">
        <f t="shared" si="9"/>
        <v>-22.84</v>
      </c>
      <c r="G277" s="8" t="s">
        <v>528</v>
      </c>
      <c r="H277" s="666" t="str">
        <f t="shared" si="5"/>
        <v>Regelzone Amprion (gesamt)</v>
      </c>
      <c r="I277" s="662"/>
    </row>
    <row r="278" spans="1:9" hidden="1" outlineLevel="1">
      <c r="A278" s="89">
        <v>2021</v>
      </c>
      <c r="B278" s="75" t="s">
        <v>529</v>
      </c>
      <c r="C278" s="31" t="s">
        <v>2016</v>
      </c>
      <c r="D278" s="48">
        <v>30716</v>
      </c>
      <c r="E278" s="48">
        <v>78.02</v>
      </c>
      <c r="F278" s="784">
        <f t="shared" si="9"/>
        <v>121.33</v>
      </c>
      <c r="G278" s="8" t="s">
        <v>530</v>
      </c>
      <c r="H278" s="666" t="str">
        <f t="shared" si="5"/>
        <v>Regelzone Amprion (gesamt)</v>
      </c>
      <c r="I278" s="662"/>
    </row>
    <row r="279" spans="1:9" hidden="1" outlineLevel="1">
      <c r="A279" s="89">
        <v>2021</v>
      </c>
      <c r="B279" s="75" t="s">
        <v>535</v>
      </c>
      <c r="C279" s="31" t="s">
        <v>2016</v>
      </c>
      <c r="D279" s="48">
        <v>212023</v>
      </c>
      <c r="E279" s="48">
        <v>538.54</v>
      </c>
      <c r="F279" s="784">
        <f t="shared" si="9"/>
        <v>837.49</v>
      </c>
      <c r="G279" s="8" t="s">
        <v>536</v>
      </c>
      <c r="H279" s="666" t="str">
        <f t="shared" si="5"/>
        <v>Regelzone Amprion (gesamt)</v>
      </c>
      <c r="I279" s="662"/>
    </row>
    <row r="280" spans="1:9" hidden="1" outlineLevel="1">
      <c r="A280" s="89">
        <v>2021</v>
      </c>
      <c r="B280" s="75" t="s">
        <v>541</v>
      </c>
      <c r="C280" s="31" t="s">
        <v>2016</v>
      </c>
      <c r="D280" s="48">
        <v>2216910</v>
      </c>
      <c r="E280" s="48">
        <v>5630.95</v>
      </c>
      <c r="F280" s="784">
        <f t="shared" si="9"/>
        <v>8756.7900000000009</v>
      </c>
      <c r="G280" s="8" t="s">
        <v>542</v>
      </c>
      <c r="H280" s="666" t="str">
        <f t="shared" si="5"/>
        <v>Regelzone Amprion (gesamt)</v>
      </c>
      <c r="I280" s="662"/>
    </row>
    <row r="281" spans="1:9" hidden="1" outlineLevel="1">
      <c r="A281" s="89">
        <v>2021</v>
      </c>
      <c r="B281" s="75" t="s">
        <v>545</v>
      </c>
      <c r="C281" s="31" t="s">
        <v>2016</v>
      </c>
      <c r="D281" s="48">
        <v>6941</v>
      </c>
      <c r="E281" s="48">
        <v>17.63</v>
      </c>
      <c r="F281" s="784">
        <f t="shared" si="9"/>
        <v>27.42</v>
      </c>
      <c r="G281" s="8" t="s">
        <v>546</v>
      </c>
      <c r="H281" s="666" t="str">
        <f t="shared" si="5"/>
        <v>Regelzone Amprion (gesamt)</v>
      </c>
      <c r="I281" s="662"/>
    </row>
    <row r="282" spans="1:9" hidden="1" outlineLevel="1">
      <c r="A282" s="89">
        <v>2021</v>
      </c>
      <c r="B282" s="75" t="s">
        <v>547</v>
      </c>
      <c r="C282" s="31" t="s">
        <v>2016</v>
      </c>
      <c r="D282" s="48">
        <v>-39439</v>
      </c>
      <c r="E282" s="48">
        <v>-100.18</v>
      </c>
      <c r="F282" s="784">
        <f t="shared" si="9"/>
        <v>-155.78</v>
      </c>
      <c r="G282" s="8" t="s">
        <v>548</v>
      </c>
      <c r="H282" s="666" t="str">
        <f t="shared" si="5"/>
        <v>Regelzone Amprion (gesamt)</v>
      </c>
      <c r="I282" s="662"/>
    </row>
    <row r="283" spans="1:9" hidden="1" outlineLevel="1">
      <c r="A283" s="89">
        <v>2021</v>
      </c>
      <c r="B283" s="75" t="s">
        <v>549</v>
      </c>
      <c r="C283" s="31" t="s">
        <v>2016</v>
      </c>
      <c r="D283" s="48">
        <v>890</v>
      </c>
      <c r="E283" s="48">
        <v>2.2599999999999998</v>
      </c>
      <c r="F283" s="784">
        <f t="shared" si="9"/>
        <v>3.52</v>
      </c>
      <c r="G283" s="8" t="s">
        <v>550</v>
      </c>
      <c r="H283" s="666" t="str">
        <f t="shared" si="5"/>
        <v>Regelzone Amprion (gesamt)</v>
      </c>
      <c r="I283" s="662"/>
    </row>
    <row r="284" spans="1:9" hidden="1" outlineLevel="1">
      <c r="A284" s="89">
        <v>2021</v>
      </c>
      <c r="B284" s="75" t="s">
        <v>551</v>
      </c>
      <c r="C284" s="31" t="s">
        <v>2016</v>
      </c>
      <c r="D284" s="48">
        <v>-92594</v>
      </c>
      <c r="E284" s="48">
        <v>-235.19</v>
      </c>
      <c r="F284" s="784">
        <f t="shared" si="9"/>
        <v>-365.75</v>
      </c>
      <c r="G284" s="8" t="s">
        <v>552</v>
      </c>
      <c r="H284" s="666" t="str">
        <f t="shared" si="5"/>
        <v>Regelzone Amprion (gesamt)</v>
      </c>
      <c r="I284" s="662"/>
    </row>
    <row r="285" spans="1:9" hidden="1" outlineLevel="1">
      <c r="A285" s="89">
        <v>2021</v>
      </c>
      <c r="B285" s="75" t="s">
        <v>553</v>
      </c>
      <c r="C285" s="31" t="s">
        <v>2016</v>
      </c>
      <c r="D285" s="48">
        <v>-82172</v>
      </c>
      <c r="E285" s="48">
        <v>-208.72</v>
      </c>
      <c r="F285" s="784">
        <f t="shared" si="9"/>
        <v>-324.58</v>
      </c>
      <c r="G285" s="8" t="s">
        <v>554</v>
      </c>
      <c r="H285" s="666" t="str">
        <f t="shared" si="5"/>
        <v>Regelzone Amprion (gesamt)</v>
      </c>
      <c r="I285" s="662"/>
    </row>
    <row r="286" spans="1:9" hidden="1" outlineLevel="1">
      <c r="A286" s="89">
        <v>2021</v>
      </c>
      <c r="B286" s="75" t="s">
        <v>555</v>
      </c>
      <c r="C286" s="31" t="s">
        <v>2016</v>
      </c>
      <c r="D286" s="48">
        <v>-102825</v>
      </c>
      <c r="E286" s="48">
        <v>-261.18</v>
      </c>
      <c r="F286" s="784">
        <f t="shared" si="9"/>
        <v>-406.16</v>
      </c>
      <c r="G286" s="8" t="s">
        <v>556</v>
      </c>
      <c r="H286" s="666" t="str">
        <f t="shared" si="5"/>
        <v>Regelzone Amprion (gesamt)</v>
      </c>
      <c r="I286" s="662"/>
    </row>
    <row r="287" spans="1:9" hidden="1" outlineLevel="1">
      <c r="A287" s="89">
        <v>2021</v>
      </c>
      <c r="B287" s="75" t="s">
        <v>561</v>
      </c>
      <c r="C287" s="31" t="s">
        <v>2016</v>
      </c>
      <c r="D287" s="48">
        <v>-58</v>
      </c>
      <c r="E287" s="48">
        <v>-0.14000000000000001</v>
      </c>
      <c r="F287" s="784">
        <f t="shared" si="9"/>
        <v>-0.23</v>
      </c>
      <c r="G287" s="8" t="s">
        <v>562</v>
      </c>
      <c r="H287" s="666" t="str">
        <f t="shared" si="5"/>
        <v>Regelzone Amprion (gesamt)</v>
      </c>
      <c r="I287" s="662"/>
    </row>
    <row r="288" spans="1:9" hidden="1" outlineLevel="1">
      <c r="A288" s="89">
        <v>2021</v>
      </c>
      <c r="B288" s="75" t="s">
        <v>567</v>
      </c>
      <c r="C288" s="31" t="s">
        <v>2016</v>
      </c>
      <c r="D288" s="48">
        <v>10025</v>
      </c>
      <c r="E288" s="48">
        <v>25.46</v>
      </c>
      <c r="F288" s="784">
        <f t="shared" si="9"/>
        <v>39.6</v>
      </c>
      <c r="G288" s="8" t="s">
        <v>568</v>
      </c>
      <c r="H288" s="666" t="str">
        <f t="shared" si="5"/>
        <v>Regelzone Amprion (gesamt)</v>
      </c>
      <c r="I288" s="662"/>
    </row>
    <row r="289" spans="1:9" hidden="1" outlineLevel="1">
      <c r="A289" s="89">
        <v>2021</v>
      </c>
      <c r="B289" s="75" t="s">
        <v>575</v>
      </c>
      <c r="C289" s="31" t="s">
        <v>2016</v>
      </c>
      <c r="D289" s="48">
        <v>35113</v>
      </c>
      <c r="E289" s="48">
        <v>89.18</v>
      </c>
      <c r="F289" s="784">
        <f t="shared" si="9"/>
        <v>138.69999999999999</v>
      </c>
      <c r="G289" s="8" t="s">
        <v>576</v>
      </c>
      <c r="H289" s="666" t="str">
        <f t="shared" si="5"/>
        <v>Regelzone Amprion (gesamt)</v>
      </c>
      <c r="I289" s="662"/>
    </row>
    <row r="290" spans="1:9" hidden="1" outlineLevel="1">
      <c r="A290" s="89">
        <v>2021</v>
      </c>
      <c r="B290" s="75" t="s">
        <v>577</v>
      </c>
      <c r="C290" s="31" t="s">
        <v>2016</v>
      </c>
      <c r="D290" s="48">
        <v>65875</v>
      </c>
      <c r="E290" s="48">
        <v>167.32</v>
      </c>
      <c r="F290" s="784">
        <f t="shared" si="9"/>
        <v>260.20999999999998</v>
      </c>
      <c r="G290" s="8" t="s">
        <v>578</v>
      </c>
      <c r="H290" s="666" t="str">
        <f t="shared" si="5"/>
        <v>Regelzone Amprion (gesamt)</v>
      </c>
      <c r="I290" s="662"/>
    </row>
    <row r="291" spans="1:9" hidden="1" outlineLevel="1">
      <c r="A291" s="89">
        <v>2021</v>
      </c>
      <c r="B291" s="75" t="s">
        <v>577</v>
      </c>
      <c r="C291" s="31" t="s">
        <v>2017</v>
      </c>
      <c r="D291" s="48">
        <v>-714733</v>
      </c>
      <c r="E291" s="48">
        <v>-285.89</v>
      </c>
      <c r="F291" s="784">
        <f>ROUND(D291*0.04/100,2)</f>
        <v>-285.89</v>
      </c>
      <c r="G291" s="8" t="s">
        <v>578</v>
      </c>
      <c r="H291" s="666" t="str">
        <f t="shared" si="5"/>
        <v>Regelzone Amprion (gesamt)</v>
      </c>
      <c r="I291" s="662"/>
    </row>
    <row r="292" spans="1:9" hidden="1" outlineLevel="1">
      <c r="A292" s="89">
        <v>2021</v>
      </c>
      <c r="B292" s="75" t="s">
        <v>577</v>
      </c>
      <c r="C292" s="31" t="s">
        <v>2028</v>
      </c>
      <c r="D292" s="48">
        <v>64067</v>
      </c>
      <c r="E292" s="48">
        <v>19.22</v>
      </c>
      <c r="F292" s="784">
        <f>ROUND(D292*0.03/100,2)</f>
        <v>19.22</v>
      </c>
      <c r="G292" s="8" t="s">
        <v>578</v>
      </c>
      <c r="H292" s="666" t="str">
        <f t="shared" si="5"/>
        <v>Regelzone Amprion (gesamt)</v>
      </c>
      <c r="I292" s="662"/>
    </row>
    <row r="293" spans="1:9" hidden="1" outlineLevel="1">
      <c r="A293" s="89">
        <v>2021</v>
      </c>
      <c r="B293" s="75" t="s">
        <v>579</v>
      </c>
      <c r="C293" s="31" t="s">
        <v>2016</v>
      </c>
      <c r="D293" s="48">
        <v>22817</v>
      </c>
      <c r="E293" s="48">
        <v>57.96</v>
      </c>
      <c r="F293" s="784">
        <f t="shared" ref="F293:F312" si="10">ROUND(D293*0.395/100,2)</f>
        <v>90.13</v>
      </c>
      <c r="G293" s="8" t="s">
        <v>580</v>
      </c>
      <c r="H293" s="666" t="str">
        <f t="shared" si="5"/>
        <v>Regelzone Amprion (gesamt)</v>
      </c>
      <c r="I293" s="662"/>
    </row>
    <row r="294" spans="1:9" hidden="1" outlineLevel="1">
      <c r="A294" s="89">
        <v>2021</v>
      </c>
      <c r="B294" s="75" t="s">
        <v>583</v>
      </c>
      <c r="C294" s="31" t="s">
        <v>2016</v>
      </c>
      <c r="D294" s="48">
        <v>44093</v>
      </c>
      <c r="E294" s="48">
        <v>112</v>
      </c>
      <c r="F294" s="784">
        <f t="shared" si="10"/>
        <v>174.17</v>
      </c>
      <c r="G294" s="8" t="s">
        <v>584</v>
      </c>
      <c r="H294" s="666" t="str">
        <f t="shared" si="5"/>
        <v>Regelzone Amprion (gesamt)</v>
      </c>
      <c r="I294" s="662"/>
    </row>
    <row r="295" spans="1:9" hidden="1" outlineLevel="1">
      <c r="A295" s="89">
        <v>2021</v>
      </c>
      <c r="B295" s="75" t="s">
        <v>587</v>
      </c>
      <c r="C295" s="31" t="s">
        <v>2016</v>
      </c>
      <c r="D295" s="48">
        <v>11061</v>
      </c>
      <c r="E295" s="48">
        <v>28.1</v>
      </c>
      <c r="F295" s="784">
        <f t="shared" si="10"/>
        <v>43.69</v>
      </c>
      <c r="G295" s="8" t="s">
        <v>588</v>
      </c>
      <c r="H295" s="666" t="str">
        <f t="shared" si="5"/>
        <v>Regelzone Amprion (gesamt)</v>
      </c>
      <c r="I295" s="662"/>
    </row>
    <row r="296" spans="1:9" hidden="1" outlineLevel="1">
      <c r="A296" s="89">
        <v>2021</v>
      </c>
      <c r="B296" s="75" t="s">
        <v>589</v>
      </c>
      <c r="C296" s="31" t="s">
        <v>2016</v>
      </c>
      <c r="D296" s="48">
        <v>41738</v>
      </c>
      <c r="E296" s="48">
        <v>106.01</v>
      </c>
      <c r="F296" s="784">
        <f t="shared" si="10"/>
        <v>164.87</v>
      </c>
      <c r="G296" s="8" t="s">
        <v>590</v>
      </c>
      <c r="H296" s="666" t="str">
        <f t="shared" si="5"/>
        <v>Regelzone Amprion (gesamt)</v>
      </c>
      <c r="I296" s="662"/>
    </row>
    <row r="297" spans="1:9" hidden="1" outlineLevel="1">
      <c r="A297" s="89">
        <v>2021</v>
      </c>
      <c r="B297" s="75" t="s">
        <v>591</v>
      </c>
      <c r="C297" s="31" t="s">
        <v>2016</v>
      </c>
      <c r="D297" s="48">
        <v>489938</v>
      </c>
      <c r="E297" s="48">
        <v>1244.44</v>
      </c>
      <c r="F297" s="784">
        <f t="shared" si="10"/>
        <v>1935.26</v>
      </c>
      <c r="G297" s="8" t="s">
        <v>592</v>
      </c>
      <c r="H297" s="666" t="str">
        <f t="shared" si="5"/>
        <v>Regelzone Amprion (gesamt)</v>
      </c>
      <c r="I297" s="662"/>
    </row>
    <row r="298" spans="1:9" hidden="1" outlineLevel="1">
      <c r="A298" s="89">
        <v>2021</v>
      </c>
      <c r="B298" s="75" t="s">
        <v>597</v>
      </c>
      <c r="C298" s="31" t="s">
        <v>2016</v>
      </c>
      <c r="D298" s="48">
        <v>-182785</v>
      </c>
      <c r="E298" s="48">
        <v>-464.27</v>
      </c>
      <c r="F298" s="784">
        <f t="shared" si="10"/>
        <v>-722</v>
      </c>
      <c r="G298" s="8" t="s">
        <v>598</v>
      </c>
      <c r="H298" s="666" t="str">
        <f t="shared" si="5"/>
        <v>Regelzone Amprion (gesamt)</v>
      </c>
      <c r="I298" s="662"/>
    </row>
    <row r="299" spans="1:9" hidden="1" outlineLevel="1">
      <c r="A299" s="89">
        <v>2021</v>
      </c>
      <c r="B299" s="75" t="s">
        <v>603</v>
      </c>
      <c r="C299" s="31" t="s">
        <v>2016</v>
      </c>
      <c r="D299" s="48">
        <v>3124815</v>
      </c>
      <c r="E299" s="48">
        <v>7937.03</v>
      </c>
      <c r="F299" s="784">
        <f t="shared" si="10"/>
        <v>12343.02</v>
      </c>
      <c r="G299" s="8" t="s">
        <v>604</v>
      </c>
      <c r="H299" s="666" t="str">
        <f t="shared" si="5"/>
        <v>Regelzone Amprion (gesamt)</v>
      </c>
      <c r="I299" s="662"/>
    </row>
    <row r="300" spans="1:9" hidden="1" outlineLevel="1">
      <c r="A300" s="89">
        <v>2021</v>
      </c>
      <c r="B300" s="75" t="s">
        <v>607</v>
      </c>
      <c r="C300" s="31" t="s">
        <v>2016</v>
      </c>
      <c r="D300" s="48">
        <v>40909</v>
      </c>
      <c r="E300" s="48">
        <v>103.91</v>
      </c>
      <c r="F300" s="784">
        <f t="shared" si="10"/>
        <v>161.59</v>
      </c>
      <c r="G300" s="8" t="s">
        <v>608</v>
      </c>
      <c r="H300" s="666" t="str">
        <f t="shared" si="5"/>
        <v>Regelzone Amprion (gesamt)</v>
      </c>
      <c r="I300" s="662"/>
    </row>
    <row r="301" spans="1:9" hidden="1" outlineLevel="1">
      <c r="A301" s="89">
        <v>2021</v>
      </c>
      <c r="B301" s="75" t="s">
        <v>609</v>
      </c>
      <c r="C301" s="31" t="s">
        <v>2016</v>
      </c>
      <c r="D301" s="48">
        <v>-16949</v>
      </c>
      <c r="E301" s="48">
        <v>-43.05</v>
      </c>
      <c r="F301" s="784">
        <f t="shared" si="10"/>
        <v>-66.95</v>
      </c>
      <c r="G301" s="8" t="s">
        <v>610</v>
      </c>
      <c r="H301" s="666" t="str">
        <f t="shared" si="5"/>
        <v>Regelzone Amprion (gesamt)</v>
      </c>
      <c r="I301" s="662"/>
    </row>
    <row r="302" spans="1:9" hidden="1" outlineLevel="1">
      <c r="A302" s="89">
        <v>2021</v>
      </c>
      <c r="B302" s="75" t="s">
        <v>611</v>
      </c>
      <c r="C302" s="31" t="s">
        <v>2016</v>
      </c>
      <c r="D302" s="48">
        <v>-5067</v>
      </c>
      <c r="E302" s="48">
        <v>-12.87</v>
      </c>
      <c r="F302" s="784">
        <f t="shared" si="10"/>
        <v>-20.010000000000002</v>
      </c>
      <c r="G302" s="8" t="s">
        <v>612</v>
      </c>
      <c r="H302" s="666" t="str">
        <f t="shared" si="5"/>
        <v>Regelzone Amprion (gesamt)</v>
      </c>
      <c r="I302" s="662"/>
    </row>
    <row r="303" spans="1:9" hidden="1" outlineLevel="1">
      <c r="A303" s="89">
        <v>2021</v>
      </c>
      <c r="B303" s="75" t="s">
        <v>621</v>
      </c>
      <c r="C303" s="31" t="s">
        <v>2016</v>
      </c>
      <c r="D303" s="48">
        <v>305106</v>
      </c>
      <c r="E303" s="48">
        <v>774.97</v>
      </c>
      <c r="F303" s="784">
        <f t="shared" si="10"/>
        <v>1205.17</v>
      </c>
      <c r="G303" s="8" t="s">
        <v>622</v>
      </c>
      <c r="H303" s="666" t="str">
        <f t="shared" si="5"/>
        <v>Regelzone Amprion (gesamt)</v>
      </c>
      <c r="I303" s="662"/>
    </row>
    <row r="304" spans="1:9" hidden="1" outlineLevel="1">
      <c r="A304" s="89">
        <v>2021</v>
      </c>
      <c r="B304" s="75" t="s">
        <v>623</v>
      </c>
      <c r="C304" s="31" t="s">
        <v>2016</v>
      </c>
      <c r="D304" s="48">
        <v>15660</v>
      </c>
      <c r="E304" s="48">
        <v>39.78</v>
      </c>
      <c r="F304" s="784">
        <f t="shared" si="10"/>
        <v>61.86</v>
      </c>
      <c r="G304" s="8" t="s">
        <v>624</v>
      </c>
      <c r="H304" s="666" t="str">
        <f t="shared" ref="H304:H367" si="11">+H303</f>
        <v>Regelzone Amprion (gesamt)</v>
      </c>
      <c r="I304" s="662"/>
    </row>
    <row r="305" spans="1:9" hidden="1" outlineLevel="1">
      <c r="A305" s="89">
        <v>2021</v>
      </c>
      <c r="B305" s="75" t="s">
        <v>631</v>
      </c>
      <c r="C305" s="31" t="s">
        <v>2016</v>
      </c>
      <c r="D305" s="48">
        <v>-21490</v>
      </c>
      <c r="E305" s="48">
        <v>-54.59</v>
      </c>
      <c r="F305" s="784">
        <f t="shared" si="10"/>
        <v>-84.89</v>
      </c>
      <c r="G305" s="8" t="s">
        <v>632</v>
      </c>
      <c r="H305" s="666" t="str">
        <f t="shared" si="11"/>
        <v>Regelzone Amprion (gesamt)</v>
      </c>
      <c r="I305" s="662"/>
    </row>
    <row r="306" spans="1:9" hidden="1" outlineLevel="1">
      <c r="A306" s="89">
        <v>2021</v>
      </c>
      <c r="B306" s="75" t="s">
        <v>637</v>
      </c>
      <c r="C306" s="31" t="s">
        <v>2016</v>
      </c>
      <c r="D306" s="48">
        <v>-95204</v>
      </c>
      <c r="E306" s="48">
        <v>-241.81</v>
      </c>
      <c r="F306" s="784">
        <f t="shared" si="10"/>
        <v>-376.06</v>
      </c>
      <c r="G306" s="8" t="s">
        <v>638</v>
      </c>
      <c r="H306" s="666" t="str">
        <f t="shared" si="11"/>
        <v>Regelzone Amprion (gesamt)</v>
      </c>
      <c r="I306" s="662"/>
    </row>
    <row r="307" spans="1:9" hidden="1" outlineLevel="1">
      <c r="A307" s="89">
        <v>2021</v>
      </c>
      <c r="B307" s="75" t="s">
        <v>641</v>
      </c>
      <c r="C307" s="31" t="s">
        <v>2016</v>
      </c>
      <c r="D307" s="48">
        <v>-994</v>
      </c>
      <c r="E307" s="48">
        <v>-2.52</v>
      </c>
      <c r="F307" s="784">
        <f t="shared" si="10"/>
        <v>-3.93</v>
      </c>
      <c r="G307" s="8" t="s">
        <v>642</v>
      </c>
      <c r="H307" s="666" t="str">
        <f t="shared" si="11"/>
        <v>Regelzone Amprion (gesamt)</v>
      </c>
      <c r="I307" s="662"/>
    </row>
    <row r="308" spans="1:9" hidden="1" outlineLevel="1">
      <c r="A308" s="89">
        <v>2021</v>
      </c>
      <c r="B308" s="75" t="s">
        <v>643</v>
      </c>
      <c r="C308" s="31" t="s">
        <v>2016</v>
      </c>
      <c r="D308" s="48">
        <v>-18139</v>
      </c>
      <c r="E308" s="48">
        <v>-46.07</v>
      </c>
      <c r="F308" s="784">
        <f t="shared" si="10"/>
        <v>-71.650000000000006</v>
      </c>
      <c r="G308" s="8" t="s">
        <v>644</v>
      </c>
      <c r="H308" s="666" t="str">
        <f t="shared" si="11"/>
        <v>Regelzone Amprion (gesamt)</v>
      </c>
      <c r="I308" s="662"/>
    </row>
    <row r="309" spans="1:9" hidden="1" outlineLevel="1">
      <c r="A309" s="89">
        <v>2021</v>
      </c>
      <c r="B309" s="75" t="s">
        <v>645</v>
      </c>
      <c r="C309" s="31" t="s">
        <v>2016</v>
      </c>
      <c r="D309" s="48">
        <v>1863834</v>
      </c>
      <c r="E309" s="48">
        <v>4734.1400000000003</v>
      </c>
      <c r="F309" s="784">
        <f t="shared" si="10"/>
        <v>7362.14</v>
      </c>
      <c r="G309" s="8" t="s">
        <v>646</v>
      </c>
      <c r="H309" s="666" t="str">
        <f t="shared" si="11"/>
        <v>Regelzone Amprion (gesamt)</v>
      </c>
      <c r="I309" s="662"/>
    </row>
    <row r="310" spans="1:9" hidden="1" outlineLevel="1">
      <c r="A310" s="89">
        <v>2021</v>
      </c>
      <c r="B310" s="75" t="s">
        <v>649</v>
      </c>
      <c r="C310" s="31" t="s">
        <v>2016</v>
      </c>
      <c r="D310" s="48">
        <v>1612</v>
      </c>
      <c r="E310" s="48">
        <v>4.0999999999999996</v>
      </c>
      <c r="F310" s="784">
        <f t="shared" si="10"/>
        <v>6.37</v>
      </c>
      <c r="G310" s="8" t="s">
        <v>650</v>
      </c>
      <c r="H310" s="666" t="str">
        <f t="shared" si="11"/>
        <v>Regelzone Amprion (gesamt)</v>
      </c>
      <c r="I310" s="662"/>
    </row>
    <row r="311" spans="1:9" hidden="1" outlineLevel="1">
      <c r="A311" s="89">
        <v>2021</v>
      </c>
      <c r="B311" s="75" t="s">
        <v>653</v>
      </c>
      <c r="C311" s="31" t="s">
        <v>2016</v>
      </c>
      <c r="D311" s="48">
        <v>6537</v>
      </c>
      <c r="E311" s="48">
        <v>16.600000000000001</v>
      </c>
      <c r="F311" s="784">
        <f t="shared" si="10"/>
        <v>25.82</v>
      </c>
      <c r="G311" s="8" t="s">
        <v>654</v>
      </c>
      <c r="H311" s="666" t="str">
        <f t="shared" si="11"/>
        <v>Regelzone Amprion (gesamt)</v>
      </c>
      <c r="I311" s="662"/>
    </row>
    <row r="312" spans="1:9" hidden="1" outlineLevel="1">
      <c r="A312" s="89">
        <v>2021</v>
      </c>
      <c r="B312" s="75" t="s">
        <v>655</v>
      </c>
      <c r="C312" s="31" t="s">
        <v>2016</v>
      </c>
      <c r="D312" s="48">
        <v>-5262</v>
      </c>
      <c r="E312" s="48">
        <v>-13.37</v>
      </c>
      <c r="F312" s="784">
        <f t="shared" si="10"/>
        <v>-20.78</v>
      </c>
      <c r="G312" s="8" t="s">
        <v>578</v>
      </c>
      <c r="H312" s="666" t="str">
        <f t="shared" si="11"/>
        <v>Regelzone Amprion (gesamt)</v>
      </c>
      <c r="I312" s="662"/>
    </row>
    <row r="313" spans="1:9" hidden="1" outlineLevel="1">
      <c r="A313" s="89">
        <v>2021</v>
      </c>
      <c r="B313" s="75" t="s">
        <v>655</v>
      </c>
      <c r="C313" s="31" t="s">
        <v>2017</v>
      </c>
      <c r="D313" s="48">
        <v>673</v>
      </c>
      <c r="E313" s="48">
        <v>0.27</v>
      </c>
      <c r="F313" s="784">
        <f>ROUND(D313*0.04/100,2)</f>
        <v>0.27</v>
      </c>
      <c r="G313" s="8" t="s">
        <v>578</v>
      </c>
      <c r="H313" s="666" t="str">
        <f t="shared" si="11"/>
        <v>Regelzone Amprion (gesamt)</v>
      </c>
      <c r="I313" s="662"/>
    </row>
    <row r="314" spans="1:9" hidden="1" outlineLevel="1">
      <c r="A314" s="89">
        <v>2021</v>
      </c>
      <c r="B314" s="75" t="s">
        <v>655</v>
      </c>
      <c r="C314" s="31" t="s">
        <v>2028</v>
      </c>
      <c r="D314" s="48">
        <v>2124</v>
      </c>
      <c r="E314" s="48">
        <v>0.63</v>
      </c>
      <c r="F314" s="784">
        <f>ROUND(D314*0.03/100,2)</f>
        <v>0.64</v>
      </c>
      <c r="G314" s="8" t="s">
        <v>578</v>
      </c>
      <c r="H314" s="666" t="str">
        <f t="shared" si="11"/>
        <v>Regelzone Amprion (gesamt)</v>
      </c>
      <c r="I314" s="662"/>
    </row>
    <row r="315" spans="1:9" hidden="1" outlineLevel="1">
      <c r="A315" s="89">
        <v>2021</v>
      </c>
      <c r="B315" s="75" t="s">
        <v>660</v>
      </c>
      <c r="C315" s="31" t="s">
        <v>2016</v>
      </c>
      <c r="D315" s="48">
        <v>-731</v>
      </c>
      <c r="E315" s="48">
        <v>-1.85</v>
      </c>
      <c r="F315" s="784">
        <f t="shared" ref="F315:F352" si="12">ROUND(D315*0.395/100,2)</f>
        <v>-2.89</v>
      </c>
      <c r="G315" s="8" t="s">
        <v>661</v>
      </c>
      <c r="H315" s="666" t="str">
        <f t="shared" si="11"/>
        <v>Regelzone Amprion (gesamt)</v>
      </c>
      <c r="I315" s="662"/>
    </row>
    <row r="316" spans="1:9" hidden="1" outlineLevel="1">
      <c r="A316" s="89">
        <v>2021</v>
      </c>
      <c r="B316" s="75" t="s">
        <v>666</v>
      </c>
      <c r="C316" s="31" t="s">
        <v>2016</v>
      </c>
      <c r="D316" s="48">
        <v>34916</v>
      </c>
      <c r="E316" s="48">
        <v>88.69</v>
      </c>
      <c r="F316" s="784">
        <f t="shared" si="12"/>
        <v>137.91999999999999</v>
      </c>
      <c r="G316" s="8" t="s">
        <v>667</v>
      </c>
      <c r="H316" s="666" t="str">
        <f t="shared" si="11"/>
        <v>Regelzone Amprion (gesamt)</v>
      </c>
      <c r="I316" s="662"/>
    </row>
    <row r="317" spans="1:9" hidden="1" outlineLevel="1">
      <c r="A317" s="89">
        <v>2021</v>
      </c>
      <c r="B317" s="75" t="s">
        <v>676</v>
      </c>
      <c r="C317" s="31" t="s">
        <v>2016</v>
      </c>
      <c r="D317" s="48">
        <v>-7609</v>
      </c>
      <c r="E317" s="48">
        <v>-19.32</v>
      </c>
      <c r="F317" s="784">
        <f t="shared" si="12"/>
        <v>-30.06</v>
      </c>
      <c r="G317" s="8" t="s">
        <v>677</v>
      </c>
      <c r="H317" s="666" t="str">
        <f t="shared" si="11"/>
        <v>Regelzone Amprion (gesamt)</v>
      </c>
      <c r="I317" s="662"/>
    </row>
    <row r="318" spans="1:9" hidden="1" outlineLevel="1">
      <c r="A318" s="89">
        <v>2021</v>
      </c>
      <c r="B318" s="75" t="s">
        <v>678</v>
      </c>
      <c r="C318" s="31" t="s">
        <v>2016</v>
      </c>
      <c r="D318" s="48">
        <v>7584</v>
      </c>
      <c r="E318" s="48">
        <v>19.27</v>
      </c>
      <c r="F318" s="784">
        <f t="shared" si="12"/>
        <v>29.96</v>
      </c>
      <c r="G318" s="8" t="s">
        <v>679</v>
      </c>
      <c r="H318" s="666" t="str">
        <f t="shared" si="11"/>
        <v>Regelzone Amprion (gesamt)</v>
      </c>
      <c r="I318" s="662"/>
    </row>
    <row r="319" spans="1:9" hidden="1" outlineLevel="1">
      <c r="A319" s="89">
        <v>2021</v>
      </c>
      <c r="B319" s="75" t="s">
        <v>682</v>
      </c>
      <c r="C319" s="31" t="s">
        <v>2016</v>
      </c>
      <c r="D319" s="48">
        <v>434277</v>
      </c>
      <c r="E319" s="48">
        <v>1103.06</v>
      </c>
      <c r="F319" s="784">
        <f t="shared" si="12"/>
        <v>1715.39</v>
      </c>
      <c r="G319" s="8" t="s">
        <v>683</v>
      </c>
      <c r="H319" s="666" t="str">
        <f t="shared" si="11"/>
        <v>Regelzone Amprion (gesamt)</v>
      </c>
      <c r="I319" s="662"/>
    </row>
    <row r="320" spans="1:9" hidden="1" outlineLevel="1">
      <c r="A320" s="89">
        <v>2021</v>
      </c>
      <c r="B320" s="75" t="s">
        <v>696</v>
      </c>
      <c r="C320" s="31" t="s">
        <v>2016</v>
      </c>
      <c r="D320" s="48">
        <v>-26554</v>
      </c>
      <c r="E320" s="48">
        <v>-67.45</v>
      </c>
      <c r="F320" s="784">
        <f t="shared" si="12"/>
        <v>-104.89</v>
      </c>
      <c r="G320" s="8" t="s">
        <v>697</v>
      </c>
      <c r="H320" s="666" t="str">
        <f t="shared" si="11"/>
        <v>Regelzone Amprion (gesamt)</v>
      </c>
      <c r="I320" s="662"/>
    </row>
    <row r="321" spans="1:9" hidden="1" outlineLevel="1">
      <c r="A321" s="89">
        <v>2021</v>
      </c>
      <c r="B321" s="75" t="s">
        <v>698</v>
      </c>
      <c r="C321" s="31" t="s">
        <v>2016</v>
      </c>
      <c r="D321" s="48">
        <v>320767</v>
      </c>
      <c r="E321" s="48">
        <v>814.74</v>
      </c>
      <c r="F321" s="784">
        <f t="shared" si="12"/>
        <v>1267.03</v>
      </c>
      <c r="G321" s="8" t="s">
        <v>699</v>
      </c>
      <c r="H321" s="666" t="str">
        <f t="shared" si="11"/>
        <v>Regelzone Amprion (gesamt)</v>
      </c>
      <c r="I321" s="662"/>
    </row>
    <row r="322" spans="1:9" hidden="1" outlineLevel="1">
      <c r="A322" s="89">
        <v>2021</v>
      </c>
      <c r="B322" s="75" t="s">
        <v>702</v>
      </c>
      <c r="C322" s="31" t="s">
        <v>2016</v>
      </c>
      <c r="D322" s="48">
        <v>254069</v>
      </c>
      <c r="E322" s="48">
        <v>645.34</v>
      </c>
      <c r="F322" s="784">
        <f t="shared" si="12"/>
        <v>1003.57</v>
      </c>
      <c r="G322" s="8" t="s">
        <v>703</v>
      </c>
      <c r="H322" s="666" t="str">
        <f t="shared" si="11"/>
        <v>Regelzone Amprion (gesamt)</v>
      </c>
      <c r="I322" s="662"/>
    </row>
    <row r="323" spans="1:9" hidden="1" outlineLevel="1">
      <c r="A323" s="89">
        <v>2021</v>
      </c>
      <c r="B323" s="75" t="s">
        <v>706</v>
      </c>
      <c r="C323" s="31" t="s">
        <v>2016</v>
      </c>
      <c r="D323" s="48">
        <v>-438520</v>
      </c>
      <c r="E323" s="48">
        <v>-1113.8399999999999</v>
      </c>
      <c r="F323" s="784">
        <f t="shared" si="12"/>
        <v>-1732.15</v>
      </c>
      <c r="G323" s="8" t="s">
        <v>707</v>
      </c>
      <c r="H323" s="666" t="str">
        <f t="shared" si="11"/>
        <v>Regelzone Amprion (gesamt)</v>
      </c>
      <c r="I323" s="662"/>
    </row>
    <row r="324" spans="1:9" hidden="1" outlineLevel="1">
      <c r="A324" s="89">
        <v>2021</v>
      </c>
      <c r="B324" s="75" t="s">
        <v>710</v>
      </c>
      <c r="C324" s="31" t="s">
        <v>2016</v>
      </c>
      <c r="D324" s="48">
        <v>6551</v>
      </c>
      <c r="E324" s="48">
        <v>16.64</v>
      </c>
      <c r="F324" s="784">
        <f t="shared" si="12"/>
        <v>25.88</v>
      </c>
      <c r="G324" s="8" t="s">
        <v>711</v>
      </c>
      <c r="H324" s="666" t="str">
        <f t="shared" si="11"/>
        <v>Regelzone Amprion (gesamt)</v>
      </c>
      <c r="I324" s="662"/>
    </row>
    <row r="325" spans="1:9" hidden="1" outlineLevel="1">
      <c r="A325" s="89">
        <v>2021</v>
      </c>
      <c r="B325" s="75" t="s">
        <v>716</v>
      </c>
      <c r="C325" s="31" t="s">
        <v>2016</v>
      </c>
      <c r="D325" s="48">
        <v>582588</v>
      </c>
      <c r="E325" s="48">
        <v>1479.78</v>
      </c>
      <c r="F325" s="784">
        <f t="shared" si="12"/>
        <v>2301.2199999999998</v>
      </c>
      <c r="G325" s="8" t="s">
        <v>717</v>
      </c>
      <c r="H325" s="666" t="str">
        <f t="shared" si="11"/>
        <v>Regelzone Amprion (gesamt)</v>
      </c>
      <c r="I325" s="662"/>
    </row>
    <row r="326" spans="1:9" hidden="1" outlineLevel="1">
      <c r="A326" s="89">
        <v>2021</v>
      </c>
      <c r="B326" s="75" t="s">
        <v>726</v>
      </c>
      <c r="C326" s="31" t="s">
        <v>2016</v>
      </c>
      <c r="D326" s="48">
        <v>-188390</v>
      </c>
      <c r="E326" s="48">
        <v>-478.51</v>
      </c>
      <c r="F326" s="784">
        <f t="shared" si="12"/>
        <v>-744.14</v>
      </c>
      <c r="G326" s="8" t="s">
        <v>727</v>
      </c>
      <c r="H326" s="666" t="str">
        <f t="shared" si="11"/>
        <v>Regelzone Amprion (gesamt)</v>
      </c>
      <c r="I326" s="662"/>
    </row>
    <row r="327" spans="1:9" hidden="1" outlineLevel="1">
      <c r="A327" s="89">
        <v>2021</v>
      </c>
      <c r="B327" s="75" t="s">
        <v>728</v>
      </c>
      <c r="C327" s="31" t="s">
        <v>2016</v>
      </c>
      <c r="D327" s="48">
        <v>-561</v>
      </c>
      <c r="E327" s="48">
        <v>-1.43</v>
      </c>
      <c r="F327" s="784">
        <f t="shared" si="12"/>
        <v>-2.2200000000000002</v>
      </c>
      <c r="G327" s="8" t="s">
        <v>729</v>
      </c>
      <c r="H327" s="666" t="str">
        <f t="shared" si="11"/>
        <v>Regelzone Amprion (gesamt)</v>
      </c>
      <c r="I327" s="662"/>
    </row>
    <row r="328" spans="1:9" hidden="1" outlineLevel="1">
      <c r="A328" s="89">
        <v>2021</v>
      </c>
      <c r="B328" s="75" t="s">
        <v>734</v>
      </c>
      <c r="C328" s="31" t="s">
        <v>2016</v>
      </c>
      <c r="D328" s="48">
        <v>-191928</v>
      </c>
      <c r="E328" s="48">
        <v>-487.49</v>
      </c>
      <c r="F328" s="784">
        <f t="shared" si="12"/>
        <v>-758.12</v>
      </c>
      <c r="G328" s="8" t="s">
        <v>735</v>
      </c>
      <c r="H328" s="666" t="str">
        <f t="shared" si="11"/>
        <v>Regelzone Amprion (gesamt)</v>
      </c>
      <c r="I328" s="662"/>
    </row>
    <row r="329" spans="1:9" hidden="1" outlineLevel="1">
      <c r="A329" s="89">
        <v>2021</v>
      </c>
      <c r="B329" s="75" t="s">
        <v>738</v>
      </c>
      <c r="C329" s="31" t="s">
        <v>2016</v>
      </c>
      <c r="D329" s="48">
        <v>20501</v>
      </c>
      <c r="E329" s="48">
        <v>52.07</v>
      </c>
      <c r="F329" s="784">
        <f t="shared" si="12"/>
        <v>80.98</v>
      </c>
      <c r="G329" s="8" t="s">
        <v>739</v>
      </c>
      <c r="H329" s="666" t="str">
        <f t="shared" si="11"/>
        <v>Regelzone Amprion (gesamt)</v>
      </c>
      <c r="I329" s="662"/>
    </row>
    <row r="330" spans="1:9" hidden="1" outlineLevel="1">
      <c r="A330" s="89">
        <v>2021</v>
      </c>
      <c r="B330" s="75" t="s">
        <v>744</v>
      </c>
      <c r="C330" s="31" t="s">
        <v>2016</v>
      </c>
      <c r="D330" s="48">
        <v>8484</v>
      </c>
      <c r="E330" s="48">
        <v>21.55</v>
      </c>
      <c r="F330" s="784">
        <f t="shared" si="12"/>
        <v>33.51</v>
      </c>
      <c r="G330" s="8" t="s">
        <v>745</v>
      </c>
      <c r="H330" s="666" t="str">
        <f t="shared" si="11"/>
        <v>Regelzone Amprion (gesamt)</v>
      </c>
      <c r="I330" s="662"/>
    </row>
    <row r="331" spans="1:9" hidden="1" outlineLevel="1">
      <c r="A331" s="89">
        <v>2021</v>
      </c>
      <c r="B331" s="75" t="s">
        <v>748</v>
      </c>
      <c r="C331" s="31" t="s">
        <v>2016</v>
      </c>
      <c r="D331" s="48">
        <v>3658</v>
      </c>
      <c r="E331" s="48">
        <v>9.2899999999999991</v>
      </c>
      <c r="F331" s="784">
        <f t="shared" si="12"/>
        <v>14.45</v>
      </c>
      <c r="G331" s="8" t="s">
        <v>749</v>
      </c>
      <c r="H331" s="666" t="str">
        <f t="shared" si="11"/>
        <v>Regelzone Amprion (gesamt)</v>
      </c>
      <c r="I331" s="662"/>
    </row>
    <row r="332" spans="1:9" hidden="1" outlineLevel="1">
      <c r="A332" s="89">
        <v>2021</v>
      </c>
      <c r="B332" s="75" t="s">
        <v>752</v>
      </c>
      <c r="C332" s="31" t="s">
        <v>2016</v>
      </c>
      <c r="D332" s="48">
        <v>6138311</v>
      </c>
      <c r="E332" s="48">
        <v>15591.31</v>
      </c>
      <c r="F332" s="784">
        <f t="shared" si="12"/>
        <v>24246.33</v>
      </c>
      <c r="G332" s="8" t="s">
        <v>753</v>
      </c>
      <c r="H332" s="666" t="str">
        <f t="shared" si="11"/>
        <v>Regelzone Amprion (gesamt)</v>
      </c>
      <c r="I332" s="662"/>
    </row>
    <row r="333" spans="1:9" hidden="1" outlineLevel="1">
      <c r="A333" s="89">
        <v>2021</v>
      </c>
      <c r="B333" s="75" t="s">
        <v>756</v>
      </c>
      <c r="C333" s="31" t="s">
        <v>2016</v>
      </c>
      <c r="D333" s="48">
        <v>-278</v>
      </c>
      <c r="E333" s="48">
        <v>-0.71</v>
      </c>
      <c r="F333" s="784">
        <f t="shared" si="12"/>
        <v>-1.1000000000000001</v>
      </c>
      <c r="G333" s="8" t="s">
        <v>610</v>
      </c>
      <c r="H333" s="666" t="str">
        <f t="shared" si="11"/>
        <v>Regelzone Amprion (gesamt)</v>
      </c>
      <c r="I333" s="662"/>
    </row>
    <row r="334" spans="1:9" hidden="1" outlineLevel="1">
      <c r="A334" s="89">
        <v>2021</v>
      </c>
      <c r="B334" s="75" t="s">
        <v>773</v>
      </c>
      <c r="C334" s="31" t="s">
        <v>2016</v>
      </c>
      <c r="D334" s="48">
        <v>224115</v>
      </c>
      <c r="E334" s="48">
        <v>569.25</v>
      </c>
      <c r="F334" s="784">
        <f t="shared" si="12"/>
        <v>885.25</v>
      </c>
      <c r="G334" s="8" t="s">
        <v>774</v>
      </c>
      <c r="H334" s="666" t="str">
        <f t="shared" si="11"/>
        <v>Regelzone Amprion (gesamt)</v>
      </c>
      <c r="I334" s="662"/>
    </row>
    <row r="335" spans="1:9" hidden="1" outlineLevel="1">
      <c r="A335" s="89">
        <v>2021</v>
      </c>
      <c r="B335" s="75" t="s">
        <v>777</v>
      </c>
      <c r="C335" s="31" t="s">
        <v>2016</v>
      </c>
      <c r="D335" s="48">
        <v>7880251</v>
      </c>
      <c r="E335" s="48">
        <v>20015.84</v>
      </c>
      <c r="F335" s="784">
        <f t="shared" si="12"/>
        <v>31126.99</v>
      </c>
      <c r="G335" s="8" t="s">
        <v>778</v>
      </c>
      <c r="H335" s="666" t="str">
        <f t="shared" si="11"/>
        <v>Regelzone Amprion (gesamt)</v>
      </c>
      <c r="I335" s="662"/>
    </row>
    <row r="336" spans="1:9" hidden="1" outlineLevel="1">
      <c r="A336" s="89">
        <v>2021</v>
      </c>
      <c r="B336" s="75" t="s">
        <v>779</v>
      </c>
      <c r="C336" s="31" t="s">
        <v>2016</v>
      </c>
      <c r="D336" s="48">
        <v>88098</v>
      </c>
      <c r="E336" s="48">
        <v>223.76</v>
      </c>
      <c r="F336" s="784">
        <f t="shared" si="12"/>
        <v>347.99</v>
      </c>
      <c r="G336" s="8" t="s">
        <v>780</v>
      </c>
      <c r="H336" s="666" t="str">
        <f t="shared" si="11"/>
        <v>Regelzone Amprion (gesamt)</v>
      </c>
      <c r="I336" s="662"/>
    </row>
    <row r="337" spans="1:9" hidden="1" outlineLevel="1">
      <c r="A337" s="89">
        <v>2021</v>
      </c>
      <c r="B337" s="75" t="s">
        <v>781</v>
      </c>
      <c r="C337" s="31" t="s">
        <v>2016</v>
      </c>
      <c r="D337" s="48">
        <v>-14380</v>
      </c>
      <c r="E337" s="48">
        <v>-36.520000000000003</v>
      </c>
      <c r="F337" s="784">
        <f t="shared" si="12"/>
        <v>-56.8</v>
      </c>
      <c r="G337" s="8" t="s">
        <v>782</v>
      </c>
      <c r="H337" s="666" t="str">
        <f t="shared" si="11"/>
        <v>Regelzone Amprion (gesamt)</v>
      </c>
      <c r="I337" s="662"/>
    </row>
    <row r="338" spans="1:9" hidden="1" outlineLevel="1">
      <c r="A338" s="89">
        <v>2021</v>
      </c>
      <c r="B338" s="75" t="s">
        <v>783</v>
      </c>
      <c r="C338" s="31" t="s">
        <v>2016</v>
      </c>
      <c r="D338" s="48">
        <v>-17421</v>
      </c>
      <c r="E338" s="48">
        <v>-44.25</v>
      </c>
      <c r="F338" s="784">
        <f t="shared" si="12"/>
        <v>-68.81</v>
      </c>
      <c r="G338" s="8" t="s">
        <v>784</v>
      </c>
      <c r="H338" s="666" t="str">
        <f t="shared" si="11"/>
        <v>Regelzone Amprion (gesamt)</v>
      </c>
      <c r="I338" s="662"/>
    </row>
    <row r="339" spans="1:9" hidden="1" outlineLevel="1">
      <c r="A339" s="63">
        <v>2021</v>
      </c>
      <c r="B339" s="75" t="s">
        <v>787</v>
      </c>
      <c r="C339" s="84" t="s">
        <v>2016</v>
      </c>
      <c r="D339" s="48">
        <v>10416</v>
      </c>
      <c r="E339" s="48">
        <v>26.46</v>
      </c>
      <c r="F339" s="784">
        <f t="shared" si="12"/>
        <v>41.14</v>
      </c>
      <c r="G339" s="8" t="s">
        <v>788</v>
      </c>
      <c r="H339" s="666" t="str">
        <f t="shared" si="11"/>
        <v>Regelzone Amprion (gesamt)</v>
      </c>
      <c r="I339" s="662"/>
    </row>
    <row r="340" spans="1:9" hidden="1" outlineLevel="1">
      <c r="A340" s="63">
        <v>2021</v>
      </c>
      <c r="B340" s="75" t="s">
        <v>789</v>
      </c>
      <c r="C340" s="84" t="s">
        <v>2016</v>
      </c>
      <c r="D340" s="48">
        <v>-2999</v>
      </c>
      <c r="E340" s="48">
        <v>-7.61</v>
      </c>
      <c r="F340" s="784">
        <f t="shared" si="12"/>
        <v>-11.85</v>
      </c>
      <c r="G340" s="8" t="s">
        <v>790</v>
      </c>
      <c r="H340" s="666" t="str">
        <f t="shared" si="11"/>
        <v>Regelzone Amprion (gesamt)</v>
      </c>
      <c r="I340" s="662"/>
    </row>
    <row r="341" spans="1:9" hidden="1" outlineLevel="1">
      <c r="A341" s="63">
        <v>2021</v>
      </c>
      <c r="B341" s="75" t="s">
        <v>791</v>
      </c>
      <c r="C341" s="84" t="s">
        <v>2016</v>
      </c>
      <c r="D341" s="48">
        <v>-51303</v>
      </c>
      <c r="E341" s="48">
        <v>-130.31</v>
      </c>
      <c r="F341" s="784">
        <f t="shared" si="12"/>
        <v>-202.65</v>
      </c>
      <c r="G341" s="8" t="s">
        <v>792</v>
      </c>
      <c r="H341" s="666" t="str">
        <f t="shared" si="11"/>
        <v>Regelzone Amprion (gesamt)</v>
      </c>
      <c r="I341" s="662"/>
    </row>
    <row r="342" spans="1:9" hidden="1" outlineLevel="1">
      <c r="A342" s="63">
        <v>2021</v>
      </c>
      <c r="B342" s="75" t="s">
        <v>793</v>
      </c>
      <c r="C342" s="84" t="s">
        <v>2016</v>
      </c>
      <c r="D342" s="48">
        <v>2327720</v>
      </c>
      <c r="E342" s="48">
        <v>5912.4</v>
      </c>
      <c r="F342" s="784">
        <f t="shared" si="12"/>
        <v>9194.49</v>
      </c>
      <c r="G342" s="8" t="s">
        <v>794</v>
      </c>
      <c r="H342" s="666" t="str">
        <f t="shared" si="11"/>
        <v>Regelzone Amprion (gesamt)</v>
      </c>
      <c r="I342" s="662"/>
    </row>
    <row r="343" spans="1:9" hidden="1" outlineLevel="1">
      <c r="A343" s="63">
        <v>2021</v>
      </c>
      <c r="B343" s="75" t="s">
        <v>795</v>
      </c>
      <c r="C343" s="84" t="s">
        <v>2016</v>
      </c>
      <c r="D343" s="48">
        <v>253776</v>
      </c>
      <c r="E343" s="48">
        <v>644.59</v>
      </c>
      <c r="F343" s="784">
        <f t="shared" si="12"/>
        <v>1002.42</v>
      </c>
      <c r="G343" s="8" t="s">
        <v>796</v>
      </c>
      <c r="H343" s="666" t="str">
        <f t="shared" si="11"/>
        <v>Regelzone Amprion (gesamt)</v>
      </c>
      <c r="I343" s="662"/>
    </row>
    <row r="344" spans="1:9" hidden="1" outlineLevel="1">
      <c r="A344" s="63">
        <v>2021</v>
      </c>
      <c r="B344" s="75" t="s">
        <v>805</v>
      </c>
      <c r="C344" s="31" t="s">
        <v>2016</v>
      </c>
      <c r="D344" s="48">
        <v>93265</v>
      </c>
      <c r="E344" s="48">
        <v>236.9</v>
      </c>
      <c r="F344" s="784">
        <f t="shared" si="12"/>
        <v>368.4</v>
      </c>
      <c r="G344" s="8" t="s">
        <v>806</v>
      </c>
      <c r="H344" s="666" t="str">
        <f t="shared" si="11"/>
        <v>Regelzone Amprion (gesamt)</v>
      </c>
      <c r="I344" s="662"/>
    </row>
    <row r="345" spans="1:9" hidden="1" outlineLevel="1">
      <c r="A345" s="63">
        <v>2021</v>
      </c>
      <c r="B345" s="75" t="s">
        <v>809</v>
      </c>
      <c r="C345" s="31" t="s">
        <v>2016</v>
      </c>
      <c r="D345" s="48">
        <v>498444</v>
      </c>
      <c r="E345" s="48">
        <v>1266.04</v>
      </c>
      <c r="F345" s="784">
        <f t="shared" si="12"/>
        <v>1968.85</v>
      </c>
      <c r="G345" s="8" t="s">
        <v>810</v>
      </c>
      <c r="H345" s="666" t="str">
        <f t="shared" si="11"/>
        <v>Regelzone Amprion (gesamt)</v>
      </c>
      <c r="I345" s="662"/>
    </row>
    <row r="346" spans="1:9" hidden="1" outlineLevel="1">
      <c r="A346" s="63">
        <v>2021</v>
      </c>
      <c r="B346" s="75" t="s">
        <v>811</v>
      </c>
      <c r="C346" s="84" t="s">
        <v>2016</v>
      </c>
      <c r="D346" s="48">
        <v>287690</v>
      </c>
      <c r="E346" s="48">
        <v>730.73</v>
      </c>
      <c r="F346" s="784">
        <f t="shared" si="12"/>
        <v>1136.3800000000001</v>
      </c>
      <c r="G346" s="8" t="s">
        <v>812</v>
      </c>
      <c r="H346" s="666" t="str">
        <f t="shared" si="11"/>
        <v>Regelzone Amprion (gesamt)</v>
      </c>
      <c r="I346" s="662"/>
    </row>
    <row r="347" spans="1:9" hidden="1" outlineLevel="1">
      <c r="A347" s="63">
        <v>2021</v>
      </c>
      <c r="B347" s="75" t="s">
        <v>817</v>
      </c>
      <c r="C347" s="84" t="s">
        <v>2016</v>
      </c>
      <c r="D347" s="48">
        <v>-33276</v>
      </c>
      <c r="E347" s="48">
        <v>-84.52</v>
      </c>
      <c r="F347" s="784">
        <f t="shared" si="12"/>
        <v>-131.44</v>
      </c>
      <c r="G347" s="8" t="s">
        <v>818</v>
      </c>
      <c r="H347" s="666" t="str">
        <f t="shared" si="11"/>
        <v>Regelzone Amprion (gesamt)</v>
      </c>
      <c r="I347" s="662"/>
    </row>
    <row r="348" spans="1:9" hidden="1" outlineLevel="1">
      <c r="A348" s="63">
        <v>2021</v>
      </c>
      <c r="B348" s="75" t="s">
        <v>823</v>
      </c>
      <c r="C348" s="84" t="s">
        <v>2016</v>
      </c>
      <c r="D348" s="48">
        <v>6888</v>
      </c>
      <c r="E348" s="48">
        <v>17.5</v>
      </c>
      <c r="F348" s="784">
        <f t="shared" si="12"/>
        <v>27.21</v>
      </c>
      <c r="G348" s="8" t="s">
        <v>824</v>
      </c>
      <c r="H348" s="666" t="str">
        <f t="shared" si="11"/>
        <v>Regelzone Amprion (gesamt)</v>
      </c>
      <c r="I348" s="662"/>
    </row>
    <row r="349" spans="1:9" hidden="1" outlineLevel="1">
      <c r="A349" s="63">
        <v>2021</v>
      </c>
      <c r="B349" s="75" t="s">
        <v>827</v>
      </c>
      <c r="C349" s="84" t="s">
        <v>2016</v>
      </c>
      <c r="D349" s="48">
        <v>19168</v>
      </c>
      <c r="E349" s="48">
        <v>48.69</v>
      </c>
      <c r="F349" s="784">
        <f t="shared" si="12"/>
        <v>75.709999999999994</v>
      </c>
      <c r="G349" s="8" t="s">
        <v>828</v>
      </c>
      <c r="H349" s="666" t="str">
        <f t="shared" si="11"/>
        <v>Regelzone Amprion (gesamt)</v>
      </c>
      <c r="I349" s="662"/>
    </row>
    <row r="350" spans="1:9" hidden="1" outlineLevel="1">
      <c r="A350" s="63">
        <v>2021</v>
      </c>
      <c r="B350" s="75" t="s">
        <v>829</v>
      </c>
      <c r="C350" s="84" t="s">
        <v>2016</v>
      </c>
      <c r="D350" s="48">
        <v>-5483</v>
      </c>
      <c r="E350" s="48">
        <v>-13.92</v>
      </c>
      <c r="F350" s="784">
        <f t="shared" si="12"/>
        <v>-21.66</v>
      </c>
      <c r="G350" s="8" t="s">
        <v>830</v>
      </c>
      <c r="H350" s="666" t="str">
        <f t="shared" si="11"/>
        <v>Regelzone Amprion (gesamt)</v>
      </c>
      <c r="I350" s="662"/>
    </row>
    <row r="351" spans="1:9" hidden="1" outlineLevel="1">
      <c r="A351" s="63">
        <v>2021</v>
      </c>
      <c r="B351" s="75" t="s">
        <v>833</v>
      </c>
      <c r="C351" s="84" t="s">
        <v>2016</v>
      </c>
      <c r="D351" s="48">
        <v>22767</v>
      </c>
      <c r="E351" s="48">
        <v>57.82</v>
      </c>
      <c r="F351" s="784">
        <f t="shared" si="12"/>
        <v>89.93</v>
      </c>
      <c r="G351" s="8" t="s">
        <v>834</v>
      </c>
      <c r="H351" s="666" t="str">
        <f t="shared" si="11"/>
        <v>Regelzone Amprion (gesamt)</v>
      </c>
      <c r="I351" s="662"/>
    </row>
    <row r="352" spans="1:9" ht="13.5" hidden="1" outlineLevel="1" thickBot="1">
      <c r="A352" s="64">
        <v>2021</v>
      </c>
      <c r="B352" s="76" t="s">
        <v>835</v>
      </c>
      <c r="C352" s="770" t="s">
        <v>2016</v>
      </c>
      <c r="D352" s="49">
        <v>-75163</v>
      </c>
      <c r="E352" s="49">
        <v>-190.91</v>
      </c>
      <c r="F352" s="785">
        <f t="shared" si="12"/>
        <v>-296.89</v>
      </c>
      <c r="G352" s="8" t="s">
        <v>836</v>
      </c>
      <c r="H352" s="666" t="str">
        <f>+H351</f>
        <v>Regelzone Amprion (gesamt)</v>
      </c>
      <c r="I352" s="662"/>
    </row>
    <row r="353" spans="1:9" hidden="1" outlineLevel="1">
      <c r="A353" s="82">
        <v>2022</v>
      </c>
      <c r="B353" s="77" t="s">
        <v>86</v>
      </c>
      <c r="C353" s="83" t="s">
        <v>2016</v>
      </c>
      <c r="D353" s="47">
        <v>-2675605</v>
      </c>
      <c r="E353" s="47">
        <v>-10113.790000000001</v>
      </c>
      <c r="F353" s="786">
        <f>ROUND(D353*0.419/100,2)</f>
        <v>-11210.78</v>
      </c>
      <c r="G353" s="8" t="s">
        <v>87</v>
      </c>
      <c r="H353" s="666" t="str">
        <f t="shared" si="11"/>
        <v>Regelzone Amprion (gesamt)</v>
      </c>
      <c r="I353" s="662"/>
    </row>
    <row r="354" spans="1:9" hidden="1" outlineLevel="1">
      <c r="A354" s="63">
        <v>2022</v>
      </c>
      <c r="B354" s="80" t="s">
        <v>407</v>
      </c>
      <c r="C354" s="84" t="s">
        <v>2016</v>
      </c>
      <c r="D354" s="48">
        <v>127885</v>
      </c>
      <c r="E354" s="48">
        <v>483.4</v>
      </c>
      <c r="F354" s="784">
        <f>ROUND(D354*0.419/100,2)</f>
        <v>535.84</v>
      </c>
      <c r="G354" s="8" t="s">
        <v>408</v>
      </c>
      <c r="H354" s="666" t="str">
        <f t="shared" si="11"/>
        <v>Regelzone Amprion (gesamt)</v>
      </c>
      <c r="I354" s="662"/>
    </row>
    <row r="355" spans="1:9" hidden="1" outlineLevel="1">
      <c r="A355" s="63">
        <v>2022</v>
      </c>
      <c r="B355" s="80" t="s">
        <v>411</v>
      </c>
      <c r="C355" s="84" t="s">
        <v>2016</v>
      </c>
      <c r="D355" s="48">
        <v>7210823</v>
      </c>
      <c r="E355" s="48">
        <v>27256.91</v>
      </c>
      <c r="F355" s="784">
        <f>ROUND(D355*0.419/100,2)</f>
        <v>30213.35</v>
      </c>
      <c r="G355" s="8" t="s">
        <v>412</v>
      </c>
      <c r="H355" s="666" t="str">
        <f t="shared" si="11"/>
        <v>Regelzone Amprion (gesamt)</v>
      </c>
      <c r="I355" s="662"/>
    </row>
    <row r="356" spans="1:9" hidden="1" outlineLevel="1">
      <c r="A356" s="63">
        <v>2022</v>
      </c>
      <c r="B356" s="80" t="s">
        <v>411</v>
      </c>
      <c r="C356" s="84" t="s">
        <v>2017</v>
      </c>
      <c r="D356" s="48">
        <v>1</v>
      </c>
      <c r="E356" s="48">
        <v>0</v>
      </c>
      <c r="F356" s="784">
        <f>ROUND(D356*0.04/100,2)</f>
        <v>0</v>
      </c>
      <c r="G356" s="8" t="s">
        <v>412</v>
      </c>
      <c r="H356" s="666" t="str">
        <f t="shared" si="11"/>
        <v>Regelzone Amprion (gesamt)</v>
      </c>
      <c r="I356" s="662"/>
    </row>
    <row r="357" spans="1:9" hidden="1" outlineLevel="1">
      <c r="A357" s="63">
        <v>2022</v>
      </c>
      <c r="B357" s="80" t="s">
        <v>417</v>
      </c>
      <c r="C357" s="84" t="s">
        <v>2016</v>
      </c>
      <c r="D357" s="48">
        <v>-10290036</v>
      </c>
      <c r="E357" s="48">
        <v>-38896.33</v>
      </c>
      <c r="F357" s="784">
        <f t="shared" ref="F357:F362" si="13">ROUND(D357*0.419/100,2)</f>
        <v>-43115.25</v>
      </c>
      <c r="G357" s="8" t="s">
        <v>418</v>
      </c>
      <c r="H357" s="666" t="str">
        <f t="shared" si="11"/>
        <v>Regelzone Amprion (gesamt)</v>
      </c>
      <c r="I357" s="662"/>
    </row>
    <row r="358" spans="1:9" hidden="1" outlineLevel="1">
      <c r="A358" s="63">
        <v>2022</v>
      </c>
      <c r="B358" s="80" t="s">
        <v>419</v>
      </c>
      <c r="C358" s="84" t="s">
        <v>2016</v>
      </c>
      <c r="D358" s="48">
        <v>1901142</v>
      </c>
      <c r="E358" s="48">
        <v>7186.32</v>
      </c>
      <c r="F358" s="784">
        <f t="shared" si="13"/>
        <v>7965.78</v>
      </c>
      <c r="G358" s="8" t="s">
        <v>420</v>
      </c>
      <c r="H358" s="666" t="str">
        <f t="shared" si="11"/>
        <v>Regelzone Amprion (gesamt)</v>
      </c>
      <c r="I358" s="662"/>
    </row>
    <row r="359" spans="1:9" hidden="1" outlineLevel="1">
      <c r="A359" s="63">
        <v>2022</v>
      </c>
      <c r="B359" s="80" t="s">
        <v>423</v>
      </c>
      <c r="C359" s="84" t="s">
        <v>2016</v>
      </c>
      <c r="D359" s="48">
        <v>-62309</v>
      </c>
      <c r="E359" s="48">
        <v>-235.53</v>
      </c>
      <c r="F359" s="784">
        <f t="shared" si="13"/>
        <v>-261.07</v>
      </c>
      <c r="G359" s="8" t="s">
        <v>424</v>
      </c>
      <c r="H359" s="666" t="str">
        <f t="shared" si="11"/>
        <v>Regelzone Amprion (gesamt)</v>
      </c>
      <c r="I359" s="662"/>
    </row>
    <row r="360" spans="1:9" hidden="1" outlineLevel="1">
      <c r="A360" s="63">
        <v>2022</v>
      </c>
      <c r="B360" s="80" t="s">
        <v>435</v>
      </c>
      <c r="C360" s="84" t="s">
        <v>2016</v>
      </c>
      <c r="D360" s="48">
        <v>-99704</v>
      </c>
      <c r="E360" s="48">
        <v>-376.88</v>
      </c>
      <c r="F360" s="784">
        <f t="shared" si="13"/>
        <v>-417.76</v>
      </c>
      <c r="G360" s="8" t="s">
        <v>436</v>
      </c>
      <c r="H360" s="666" t="str">
        <f t="shared" si="11"/>
        <v>Regelzone Amprion (gesamt)</v>
      </c>
      <c r="I360" s="662"/>
    </row>
    <row r="361" spans="1:9" hidden="1" outlineLevel="1">
      <c r="A361" s="63">
        <v>2022</v>
      </c>
      <c r="B361" s="80" t="s">
        <v>439</v>
      </c>
      <c r="C361" s="84" t="s">
        <v>2016</v>
      </c>
      <c r="D361" s="48">
        <v>51436</v>
      </c>
      <c r="E361" s="48">
        <v>194.43</v>
      </c>
      <c r="F361" s="784">
        <f t="shared" si="13"/>
        <v>215.52</v>
      </c>
      <c r="G361" s="8" t="s">
        <v>440</v>
      </c>
      <c r="H361" s="666" t="str">
        <f t="shared" si="11"/>
        <v>Regelzone Amprion (gesamt)</v>
      </c>
      <c r="I361" s="662"/>
    </row>
    <row r="362" spans="1:9" hidden="1" outlineLevel="1">
      <c r="A362" s="63">
        <v>2022</v>
      </c>
      <c r="B362" s="80" t="s">
        <v>441</v>
      </c>
      <c r="C362" s="84" t="s">
        <v>2016</v>
      </c>
      <c r="D362" s="48">
        <v>-16592797</v>
      </c>
      <c r="E362" s="48">
        <v>-62720.77</v>
      </c>
      <c r="F362" s="784">
        <f t="shared" si="13"/>
        <v>-69523.820000000007</v>
      </c>
      <c r="G362" s="8" t="s">
        <v>442</v>
      </c>
      <c r="H362" s="666" t="str">
        <f t="shared" si="11"/>
        <v>Regelzone Amprion (gesamt)</v>
      </c>
      <c r="I362" s="662"/>
    </row>
    <row r="363" spans="1:9" hidden="1" outlineLevel="1">
      <c r="A363" s="63">
        <v>2022</v>
      </c>
      <c r="B363" s="80" t="s">
        <v>441</v>
      </c>
      <c r="C363" s="84" t="s">
        <v>2028</v>
      </c>
      <c r="D363" s="48">
        <v>13</v>
      </c>
      <c r="E363" s="48">
        <v>0</v>
      </c>
      <c r="F363" s="784">
        <f>ROUND(D363*0.03/100,2)</f>
        <v>0</v>
      </c>
      <c r="G363" s="8" t="s">
        <v>442</v>
      </c>
      <c r="H363" s="666" t="str">
        <f t="shared" si="11"/>
        <v>Regelzone Amprion (gesamt)</v>
      </c>
      <c r="I363" s="662"/>
    </row>
    <row r="364" spans="1:9" hidden="1" outlineLevel="1">
      <c r="A364" s="63">
        <v>2022</v>
      </c>
      <c r="B364" s="80" t="s">
        <v>443</v>
      </c>
      <c r="C364" s="84" t="s">
        <v>2016</v>
      </c>
      <c r="D364" s="48">
        <v>-5493</v>
      </c>
      <c r="E364" s="48">
        <v>-20.76</v>
      </c>
      <c r="F364" s="784">
        <f t="shared" ref="F364:F375" si="14">ROUND(D364*0.419/100,2)</f>
        <v>-23.02</v>
      </c>
      <c r="G364" s="8" t="s">
        <v>444</v>
      </c>
      <c r="H364" s="666" t="str">
        <f t="shared" si="11"/>
        <v>Regelzone Amprion (gesamt)</v>
      </c>
      <c r="I364" s="662"/>
    </row>
    <row r="365" spans="1:9" hidden="1" outlineLevel="1">
      <c r="A365" s="63">
        <v>2022</v>
      </c>
      <c r="B365" s="80" t="s">
        <v>445</v>
      </c>
      <c r="C365" s="84" t="s">
        <v>2016</v>
      </c>
      <c r="D365" s="48">
        <v>201401</v>
      </c>
      <c r="E365" s="48">
        <v>761.3</v>
      </c>
      <c r="F365" s="784">
        <f t="shared" si="14"/>
        <v>843.87</v>
      </c>
      <c r="G365" s="8" t="s">
        <v>446</v>
      </c>
      <c r="H365" s="666" t="str">
        <f t="shared" si="11"/>
        <v>Regelzone Amprion (gesamt)</v>
      </c>
      <c r="I365" s="662"/>
    </row>
    <row r="366" spans="1:9" hidden="1" outlineLevel="1">
      <c r="A366" s="63">
        <v>2022</v>
      </c>
      <c r="B366" s="80" t="s">
        <v>447</v>
      </c>
      <c r="C366" s="84" t="s">
        <v>2016</v>
      </c>
      <c r="D366" s="48">
        <v>-141383</v>
      </c>
      <c r="E366" s="48">
        <v>-534.42999999999995</v>
      </c>
      <c r="F366" s="784">
        <f t="shared" si="14"/>
        <v>-592.39</v>
      </c>
      <c r="G366" s="8" t="s">
        <v>448</v>
      </c>
      <c r="H366" s="666" t="str">
        <f t="shared" si="11"/>
        <v>Regelzone Amprion (gesamt)</v>
      </c>
      <c r="I366" s="662"/>
    </row>
    <row r="367" spans="1:9" hidden="1" outlineLevel="1">
      <c r="A367" s="63">
        <v>2022</v>
      </c>
      <c r="B367" s="80" t="s">
        <v>451</v>
      </c>
      <c r="C367" s="84" t="s">
        <v>2016</v>
      </c>
      <c r="D367" s="48">
        <v>164771</v>
      </c>
      <c r="E367" s="48">
        <v>622.84</v>
      </c>
      <c r="F367" s="784">
        <f t="shared" si="14"/>
        <v>690.39</v>
      </c>
      <c r="G367" s="8" t="s">
        <v>452</v>
      </c>
      <c r="H367" s="666" t="str">
        <f t="shared" si="11"/>
        <v>Regelzone Amprion (gesamt)</v>
      </c>
      <c r="I367" s="662"/>
    </row>
    <row r="368" spans="1:9" hidden="1" outlineLevel="1">
      <c r="A368" s="63">
        <v>2022</v>
      </c>
      <c r="B368" s="80" t="s">
        <v>455</v>
      </c>
      <c r="C368" s="84" t="s">
        <v>2016</v>
      </c>
      <c r="D368" s="48">
        <v>26215</v>
      </c>
      <c r="E368" s="48">
        <v>99.09</v>
      </c>
      <c r="F368" s="784">
        <f t="shared" si="14"/>
        <v>109.84</v>
      </c>
      <c r="G368" s="8" t="s">
        <v>456</v>
      </c>
      <c r="H368" s="666" t="str">
        <f t="shared" ref="H368:H432" si="15">+H367</f>
        <v>Regelzone Amprion (gesamt)</v>
      </c>
      <c r="I368" s="662"/>
    </row>
    <row r="369" spans="1:9" hidden="1" outlineLevel="1">
      <c r="A369" s="63">
        <v>2022</v>
      </c>
      <c r="B369" s="80" t="s">
        <v>457</v>
      </c>
      <c r="C369" s="84" t="s">
        <v>2016</v>
      </c>
      <c r="D369" s="48">
        <v>83977</v>
      </c>
      <c r="E369" s="784">
        <f>ROUND(D369*0.378/100,2)</f>
        <v>317.43</v>
      </c>
      <c r="F369" s="784">
        <f t="shared" si="14"/>
        <v>351.86</v>
      </c>
      <c r="G369" s="8" t="s">
        <v>458</v>
      </c>
      <c r="H369" s="666" t="str">
        <f t="shared" si="15"/>
        <v>Regelzone Amprion (gesamt)</v>
      </c>
      <c r="I369" s="662"/>
    </row>
    <row r="370" spans="1:9" hidden="1" outlineLevel="1">
      <c r="A370" s="63">
        <v>2022</v>
      </c>
      <c r="B370" s="80" t="s">
        <v>459</v>
      </c>
      <c r="C370" s="84" t="s">
        <v>2016</v>
      </c>
      <c r="D370" s="48">
        <v>34728</v>
      </c>
      <c r="E370" s="48">
        <v>131.27000000000001</v>
      </c>
      <c r="F370" s="784">
        <f t="shared" si="14"/>
        <v>145.51</v>
      </c>
      <c r="G370" s="8" t="s">
        <v>460</v>
      </c>
      <c r="H370" s="666" t="str">
        <f t="shared" si="15"/>
        <v>Regelzone Amprion (gesamt)</v>
      </c>
      <c r="I370" s="662"/>
    </row>
    <row r="371" spans="1:9" hidden="1" outlineLevel="1">
      <c r="A371" s="63">
        <v>2022</v>
      </c>
      <c r="B371" s="80" t="s">
        <v>465</v>
      </c>
      <c r="C371" s="84" t="s">
        <v>2016</v>
      </c>
      <c r="D371" s="48">
        <v>1542</v>
      </c>
      <c r="E371" s="48">
        <v>5.83</v>
      </c>
      <c r="F371" s="784">
        <f t="shared" si="14"/>
        <v>6.46</v>
      </c>
      <c r="G371" s="8" t="s">
        <v>466</v>
      </c>
      <c r="H371" s="666" t="str">
        <f t="shared" si="15"/>
        <v>Regelzone Amprion (gesamt)</v>
      </c>
      <c r="I371" s="662"/>
    </row>
    <row r="372" spans="1:9" hidden="1" outlineLevel="1">
      <c r="A372" s="63">
        <v>2022</v>
      </c>
      <c r="B372" s="80" t="s">
        <v>469</v>
      </c>
      <c r="C372" s="84" t="s">
        <v>2016</v>
      </c>
      <c r="D372" s="48">
        <v>-20397514</v>
      </c>
      <c r="E372" s="48">
        <v>-77102.600000000006</v>
      </c>
      <c r="F372" s="784">
        <f t="shared" si="14"/>
        <v>-85465.58</v>
      </c>
      <c r="G372" s="8" t="s">
        <v>470</v>
      </c>
      <c r="H372" s="666" t="str">
        <f>+H371</f>
        <v>Regelzone Amprion (gesamt)</v>
      </c>
      <c r="I372" s="662"/>
    </row>
    <row r="373" spans="1:9" hidden="1" outlineLevel="1">
      <c r="A373" s="63">
        <v>2022</v>
      </c>
      <c r="B373" s="80" t="s">
        <v>471</v>
      </c>
      <c r="C373" s="84" t="s">
        <v>2016</v>
      </c>
      <c r="D373" s="48">
        <v>-139903</v>
      </c>
      <c r="E373" s="48">
        <v>-528.83000000000004</v>
      </c>
      <c r="F373" s="784">
        <f t="shared" si="14"/>
        <v>-586.19000000000005</v>
      </c>
      <c r="G373" s="8" t="s">
        <v>472</v>
      </c>
      <c r="H373" s="666" t="str">
        <f>+H371</f>
        <v>Regelzone Amprion (gesamt)</v>
      </c>
      <c r="I373" s="662"/>
    </row>
    <row r="374" spans="1:9" hidden="1" outlineLevel="1">
      <c r="A374" s="63">
        <v>2022</v>
      </c>
      <c r="B374" s="75" t="s">
        <v>475</v>
      </c>
      <c r="C374" s="84" t="s">
        <v>2016</v>
      </c>
      <c r="D374" s="48">
        <v>300137</v>
      </c>
      <c r="E374" s="48">
        <v>1134.52</v>
      </c>
      <c r="F374" s="784">
        <f t="shared" si="14"/>
        <v>1257.57</v>
      </c>
      <c r="G374" s="8" t="s">
        <v>476</v>
      </c>
      <c r="H374" s="666" t="str">
        <f t="shared" si="15"/>
        <v>Regelzone Amprion (gesamt)</v>
      </c>
      <c r="I374" s="662"/>
    </row>
    <row r="375" spans="1:9" hidden="1" outlineLevel="1">
      <c r="A375" s="63">
        <v>2022</v>
      </c>
      <c r="B375" s="75" t="s">
        <v>477</v>
      </c>
      <c r="C375" s="84" t="s">
        <v>2016</v>
      </c>
      <c r="D375" s="48">
        <v>-3959971</v>
      </c>
      <c r="E375" s="48">
        <v>-14968.69</v>
      </c>
      <c r="F375" s="784">
        <f t="shared" si="14"/>
        <v>-16592.28</v>
      </c>
      <c r="G375" s="8" t="s">
        <v>478</v>
      </c>
      <c r="H375" s="666" t="str">
        <f t="shared" si="15"/>
        <v>Regelzone Amprion (gesamt)</v>
      </c>
      <c r="I375" s="662"/>
    </row>
    <row r="376" spans="1:9" hidden="1" outlineLevel="1">
      <c r="A376" s="63">
        <v>2022</v>
      </c>
      <c r="B376" s="75" t="s">
        <v>477</v>
      </c>
      <c r="C376" s="84" t="s">
        <v>2028</v>
      </c>
      <c r="D376" s="48">
        <v>-448800</v>
      </c>
      <c r="E376" s="48">
        <v>-134.63999999999999</v>
      </c>
      <c r="F376" s="784">
        <f>ROUND(D376*0.03/100,2)</f>
        <v>-134.63999999999999</v>
      </c>
      <c r="G376" s="8" t="s">
        <v>478</v>
      </c>
      <c r="H376" s="666" t="str">
        <f t="shared" si="15"/>
        <v>Regelzone Amprion (gesamt)</v>
      </c>
      <c r="I376" s="662"/>
    </row>
    <row r="377" spans="1:9" hidden="1" outlineLevel="1">
      <c r="A377" s="63">
        <v>2022</v>
      </c>
      <c r="B377" s="75" t="s">
        <v>487</v>
      </c>
      <c r="C377" s="84" t="s">
        <v>2016</v>
      </c>
      <c r="D377" s="48">
        <v>-9717</v>
      </c>
      <c r="E377" s="48">
        <v>-36.729999999999997</v>
      </c>
      <c r="F377" s="784">
        <f>ROUND(D377*0.419/100,2)</f>
        <v>-40.71</v>
      </c>
      <c r="G377" s="8" t="s">
        <v>488</v>
      </c>
      <c r="H377" s="666" t="str">
        <f t="shared" si="15"/>
        <v>Regelzone Amprion (gesamt)</v>
      </c>
      <c r="I377" s="662"/>
    </row>
    <row r="378" spans="1:9" hidden="1" outlineLevel="1">
      <c r="A378" s="63">
        <v>2022</v>
      </c>
      <c r="B378" s="85" t="s">
        <v>489</v>
      </c>
      <c r="C378" s="84" t="s">
        <v>2016</v>
      </c>
      <c r="D378" s="48">
        <v>18060</v>
      </c>
      <c r="E378" s="48">
        <v>68.27</v>
      </c>
      <c r="F378" s="784">
        <f>ROUND(D378*0.419/100,2)</f>
        <v>75.67</v>
      </c>
      <c r="G378" s="8" t="s">
        <v>490</v>
      </c>
      <c r="H378" s="666" t="str">
        <f t="shared" si="15"/>
        <v>Regelzone Amprion (gesamt)</v>
      </c>
      <c r="I378" s="662"/>
    </row>
    <row r="379" spans="1:9" hidden="1" outlineLevel="1">
      <c r="A379" s="63">
        <v>2022</v>
      </c>
      <c r="B379" s="85" t="s">
        <v>497</v>
      </c>
      <c r="C379" s="84" t="s">
        <v>2016</v>
      </c>
      <c r="D379" s="48">
        <v>2377</v>
      </c>
      <c r="E379" s="48">
        <v>8.99</v>
      </c>
      <c r="F379" s="784">
        <f>ROUND(D379*0.419/100,2)</f>
        <v>9.9600000000000009</v>
      </c>
      <c r="G379" s="8" t="s">
        <v>498</v>
      </c>
      <c r="H379" s="666" t="str">
        <f t="shared" si="15"/>
        <v>Regelzone Amprion (gesamt)</v>
      </c>
      <c r="I379" s="662"/>
    </row>
    <row r="380" spans="1:9" hidden="1" outlineLevel="1">
      <c r="A380" s="63">
        <v>2022</v>
      </c>
      <c r="B380" s="85" t="s">
        <v>499</v>
      </c>
      <c r="C380" s="84" t="s">
        <v>2016</v>
      </c>
      <c r="D380" s="48">
        <v>-5250</v>
      </c>
      <c r="E380" s="48">
        <v>-19.850000000000001</v>
      </c>
      <c r="F380" s="784">
        <f>ROUND(D380*0.419/100,2)</f>
        <v>-22</v>
      </c>
      <c r="G380" s="8" t="s">
        <v>500</v>
      </c>
      <c r="H380" s="666" t="str">
        <f t="shared" si="15"/>
        <v>Regelzone Amprion (gesamt)</v>
      </c>
      <c r="I380" s="662"/>
    </row>
    <row r="381" spans="1:9" hidden="1" outlineLevel="1">
      <c r="A381" s="63">
        <v>2022</v>
      </c>
      <c r="B381" s="85" t="s">
        <v>503</v>
      </c>
      <c r="C381" s="31" t="s">
        <v>2017</v>
      </c>
      <c r="D381" s="48">
        <v>26546379</v>
      </c>
      <c r="E381" s="48">
        <f>D381*0.04/100</f>
        <v>10618.551599999999</v>
      </c>
      <c r="F381" s="784">
        <f>E381</f>
        <v>10618.551599999999</v>
      </c>
      <c r="G381" s="8" t="s">
        <v>504</v>
      </c>
      <c r="H381" s="666" t="str">
        <f t="shared" si="15"/>
        <v>Regelzone Amprion (gesamt)</v>
      </c>
      <c r="I381" s="662"/>
    </row>
    <row r="382" spans="1:9" hidden="1" outlineLevel="1">
      <c r="A382" s="63">
        <v>2022</v>
      </c>
      <c r="B382" s="85" t="s">
        <v>503</v>
      </c>
      <c r="C382" s="84" t="s">
        <v>2016</v>
      </c>
      <c r="D382" s="48">
        <v>-26546379</v>
      </c>
      <c r="E382" s="784">
        <f>ROUND(D382*0.378/100,2)</f>
        <v>-100345.31</v>
      </c>
      <c r="F382" s="784">
        <f t="shared" ref="F382:F401" si="16">ROUND(D382*0.419/100,2)</f>
        <v>-111229.33</v>
      </c>
      <c r="G382" s="8" t="s">
        <v>504</v>
      </c>
      <c r="H382" s="666" t="str">
        <f t="shared" si="15"/>
        <v>Regelzone Amprion (gesamt)</v>
      </c>
      <c r="I382" s="662"/>
    </row>
    <row r="383" spans="1:9" hidden="1" outlineLevel="1">
      <c r="A383" s="63">
        <v>2022</v>
      </c>
      <c r="B383" s="85" t="s">
        <v>505</v>
      </c>
      <c r="C383" s="84" t="s">
        <v>2016</v>
      </c>
      <c r="D383" s="48">
        <v>-43597</v>
      </c>
      <c r="E383" s="48">
        <v>-164.79</v>
      </c>
      <c r="F383" s="784">
        <f t="shared" si="16"/>
        <v>-182.67</v>
      </c>
      <c r="G383" s="8" t="s">
        <v>506</v>
      </c>
      <c r="H383" s="666" t="str">
        <f t="shared" si="15"/>
        <v>Regelzone Amprion (gesamt)</v>
      </c>
      <c r="I383" s="662"/>
    </row>
    <row r="384" spans="1:9" hidden="1" outlineLevel="1">
      <c r="A384" s="63">
        <v>2022</v>
      </c>
      <c r="B384" s="85" t="s">
        <v>507</v>
      </c>
      <c r="C384" s="84" t="s">
        <v>2016</v>
      </c>
      <c r="D384" s="48">
        <v>130615</v>
      </c>
      <c r="E384" s="48">
        <v>493.73</v>
      </c>
      <c r="F384" s="784">
        <f t="shared" si="16"/>
        <v>547.28</v>
      </c>
      <c r="G384" s="8" t="s">
        <v>508</v>
      </c>
      <c r="H384" s="666" t="str">
        <f t="shared" si="15"/>
        <v>Regelzone Amprion (gesamt)</v>
      </c>
      <c r="I384" s="662"/>
    </row>
    <row r="385" spans="1:9" hidden="1" outlineLevel="1">
      <c r="A385" s="63">
        <v>2022</v>
      </c>
      <c r="B385" s="85" t="s">
        <v>523</v>
      </c>
      <c r="C385" s="84" t="s">
        <v>2016</v>
      </c>
      <c r="D385" s="48">
        <v>-700801</v>
      </c>
      <c r="E385" s="48">
        <v>-2649.02</v>
      </c>
      <c r="F385" s="784">
        <f t="shared" si="16"/>
        <v>-2936.36</v>
      </c>
      <c r="G385" s="8" t="s">
        <v>524</v>
      </c>
      <c r="H385" s="666" t="str">
        <f t="shared" si="15"/>
        <v>Regelzone Amprion (gesamt)</v>
      </c>
      <c r="I385" s="662"/>
    </row>
    <row r="386" spans="1:9" hidden="1" outlineLevel="1">
      <c r="A386" s="63">
        <v>2022</v>
      </c>
      <c r="B386" s="85" t="s">
        <v>527</v>
      </c>
      <c r="C386" s="84" t="s">
        <v>2016</v>
      </c>
      <c r="D386" s="48">
        <v>-76761</v>
      </c>
      <c r="E386" s="48">
        <v>-290.16000000000003</v>
      </c>
      <c r="F386" s="784">
        <f t="shared" si="16"/>
        <v>-321.63</v>
      </c>
      <c r="G386" s="8" t="s">
        <v>528</v>
      </c>
      <c r="H386" s="666" t="str">
        <f t="shared" si="15"/>
        <v>Regelzone Amprion (gesamt)</v>
      </c>
      <c r="I386" s="662"/>
    </row>
    <row r="387" spans="1:9" hidden="1" outlineLevel="1">
      <c r="A387" s="63">
        <v>2022</v>
      </c>
      <c r="B387" s="85" t="s">
        <v>529</v>
      </c>
      <c r="C387" s="84" t="s">
        <v>2016</v>
      </c>
      <c r="D387" s="48">
        <v>34026</v>
      </c>
      <c r="E387" s="48">
        <v>128.62</v>
      </c>
      <c r="F387" s="784">
        <f t="shared" si="16"/>
        <v>142.57</v>
      </c>
      <c r="G387" s="8" t="s">
        <v>530</v>
      </c>
      <c r="H387" s="666" t="str">
        <f t="shared" si="15"/>
        <v>Regelzone Amprion (gesamt)</v>
      </c>
      <c r="I387" s="662"/>
    </row>
    <row r="388" spans="1:9" hidden="1" outlineLevel="1">
      <c r="A388" s="63">
        <v>2022</v>
      </c>
      <c r="B388" s="85" t="s">
        <v>535</v>
      </c>
      <c r="C388" s="84" t="s">
        <v>2016</v>
      </c>
      <c r="D388" s="48">
        <v>408534</v>
      </c>
      <c r="E388" s="48">
        <v>1544.26</v>
      </c>
      <c r="F388" s="784">
        <f t="shared" si="16"/>
        <v>1711.76</v>
      </c>
      <c r="G388" s="8" t="s">
        <v>536</v>
      </c>
      <c r="H388" s="666" t="str">
        <f t="shared" si="15"/>
        <v>Regelzone Amprion (gesamt)</v>
      </c>
      <c r="I388" s="662"/>
    </row>
    <row r="389" spans="1:9" hidden="1" outlineLevel="1">
      <c r="A389" s="63">
        <v>2022</v>
      </c>
      <c r="B389" s="85" t="s">
        <v>541</v>
      </c>
      <c r="C389" s="84" t="s">
        <v>2016</v>
      </c>
      <c r="D389" s="48">
        <v>-1939419</v>
      </c>
      <c r="E389" s="48">
        <v>-7331</v>
      </c>
      <c r="F389" s="784">
        <f t="shared" si="16"/>
        <v>-8126.17</v>
      </c>
      <c r="G389" s="8" t="s">
        <v>542</v>
      </c>
      <c r="H389" s="666" t="str">
        <f t="shared" si="15"/>
        <v>Regelzone Amprion (gesamt)</v>
      </c>
      <c r="I389" s="662"/>
    </row>
    <row r="390" spans="1:9" hidden="1" outlineLevel="1">
      <c r="A390" s="63">
        <v>2022</v>
      </c>
      <c r="B390" s="85" t="s">
        <v>545</v>
      </c>
      <c r="C390" s="84" t="s">
        <v>2016</v>
      </c>
      <c r="D390" s="48">
        <v>-49701</v>
      </c>
      <c r="E390" s="48">
        <v>-187.87</v>
      </c>
      <c r="F390" s="784">
        <f t="shared" si="16"/>
        <v>-208.25</v>
      </c>
      <c r="G390" s="8" t="s">
        <v>546</v>
      </c>
      <c r="H390" s="666" t="str">
        <f t="shared" si="15"/>
        <v>Regelzone Amprion (gesamt)</v>
      </c>
      <c r="I390" s="662"/>
    </row>
    <row r="391" spans="1:9" hidden="1" outlineLevel="1">
      <c r="A391" s="63">
        <v>2022</v>
      </c>
      <c r="B391" s="85" t="s">
        <v>547</v>
      </c>
      <c r="C391" s="84" t="s">
        <v>2016</v>
      </c>
      <c r="D391" s="48">
        <v>-133732</v>
      </c>
      <c r="E391" s="48">
        <v>-505.51</v>
      </c>
      <c r="F391" s="784">
        <f t="shared" si="16"/>
        <v>-560.34</v>
      </c>
      <c r="G391" s="8" t="s">
        <v>548</v>
      </c>
      <c r="H391" s="666" t="str">
        <f t="shared" si="15"/>
        <v>Regelzone Amprion (gesamt)</v>
      </c>
      <c r="I391" s="662"/>
    </row>
    <row r="392" spans="1:9" hidden="1" outlineLevel="1">
      <c r="A392" s="63">
        <v>2022</v>
      </c>
      <c r="B392" s="85" t="s">
        <v>549</v>
      </c>
      <c r="C392" s="84" t="s">
        <v>2016</v>
      </c>
      <c r="D392" s="48">
        <v>-45201</v>
      </c>
      <c r="E392" s="48">
        <v>-170.86</v>
      </c>
      <c r="F392" s="784">
        <f t="shared" si="16"/>
        <v>-189.39</v>
      </c>
      <c r="G392" s="8" t="s">
        <v>550</v>
      </c>
      <c r="H392" s="666" t="str">
        <f t="shared" si="15"/>
        <v>Regelzone Amprion (gesamt)</v>
      </c>
      <c r="I392" s="662"/>
    </row>
    <row r="393" spans="1:9" hidden="1" outlineLevel="1">
      <c r="A393" s="63">
        <v>2022</v>
      </c>
      <c r="B393" s="85" t="s">
        <v>551</v>
      </c>
      <c r="C393" s="84" t="s">
        <v>2016</v>
      </c>
      <c r="D393" s="48">
        <v>-265488</v>
      </c>
      <c r="E393" s="48">
        <v>-1003.54</v>
      </c>
      <c r="F393" s="784">
        <f t="shared" si="16"/>
        <v>-1112.3900000000001</v>
      </c>
      <c r="G393" s="8" t="s">
        <v>552</v>
      </c>
      <c r="H393" s="666" t="str">
        <f t="shared" si="15"/>
        <v>Regelzone Amprion (gesamt)</v>
      </c>
      <c r="I393" s="662"/>
    </row>
    <row r="394" spans="1:9" hidden="1" outlineLevel="1">
      <c r="A394" s="63">
        <v>2022</v>
      </c>
      <c r="B394" s="85" t="s">
        <v>553</v>
      </c>
      <c r="C394" s="84" t="s">
        <v>2016</v>
      </c>
      <c r="D394" s="48">
        <v>207847</v>
      </c>
      <c r="E394" s="48">
        <v>785.66</v>
      </c>
      <c r="F394" s="784">
        <f t="shared" si="16"/>
        <v>870.88</v>
      </c>
      <c r="G394" s="8" t="s">
        <v>554</v>
      </c>
      <c r="H394" s="666" t="str">
        <f t="shared" si="15"/>
        <v>Regelzone Amprion (gesamt)</v>
      </c>
      <c r="I394" s="662"/>
    </row>
    <row r="395" spans="1:9" hidden="1" outlineLevel="1">
      <c r="A395" s="63">
        <v>2022</v>
      </c>
      <c r="B395" s="85" t="s">
        <v>555</v>
      </c>
      <c r="C395" s="84" t="s">
        <v>2016</v>
      </c>
      <c r="D395" s="48">
        <v>-20574</v>
      </c>
      <c r="E395" s="48">
        <v>-77.77</v>
      </c>
      <c r="F395" s="784">
        <f t="shared" si="16"/>
        <v>-86.21</v>
      </c>
      <c r="G395" s="8" t="s">
        <v>556</v>
      </c>
      <c r="H395" s="666" t="str">
        <f t="shared" si="15"/>
        <v>Regelzone Amprion (gesamt)</v>
      </c>
      <c r="I395" s="662"/>
    </row>
    <row r="396" spans="1:9" hidden="1" outlineLevel="1">
      <c r="A396" s="63">
        <v>2022</v>
      </c>
      <c r="B396" s="85" t="s">
        <v>559</v>
      </c>
      <c r="C396" s="84" t="s">
        <v>2016</v>
      </c>
      <c r="D396" s="48">
        <v>62571</v>
      </c>
      <c r="E396" s="48">
        <v>236.52</v>
      </c>
      <c r="F396" s="784">
        <f t="shared" si="16"/>
        <v>262.17</v>
      </c>
      <c r="G396" s="8" t="s">
        <v>560</v>
      </c>
      <c r="H396" s="666" t="str">
        <f t="shared" si="15"/>
        <v>Regelzone Amprion (gesamt)</v>
      </c>
      <c r="I396" s="662"/>
    </row>
    <row r="397" spans="1:9" hidden="1" outlineLevel="1">
      <c r="A397" s="63">
        <v>2022</v>
      </c>
      <c r="B397" s="85" t="s">
        <v>561</v>
      </c>
      <c r="C397" s="84" t="s">
        <v>2016</v>
      </c>
      <c r="D397" s="48">
        <v>-1085</v>
      </c>
      <c r="E397" s="48">
        <v>-4.0999999999999996</v>
      </c>
      <c r="F397" s="784">
        <f t="shared" si="16"/>
        <v>-4.55</v>
      </c>
      <c r="G397" s="8" t="s">
        <v>562</v>
      </c>
      <c r="H397" s="666" t="str">
        <f t="shared" si="15"/>
        <v>Regelzone Amprion (gesamt)</v>
      </c>
      <c r="I397" s="662"/>
    </row>
    <row r="398" spans="1:9" hidden="1" outlineLevel="1">
      <c r="A398" s="63">
        <v>2022</v>
      </c>
      <c r="B398" s="85" t="s">
        <v>563</v>
      </c>
      <c r="C398" s="84" t="s">
        <v>2016</v>
      </c>
      <c r="D398" s="48">
        <v>15928</v>
      </c>
      <c r="E398" s="48">
        <v>60.2</v>
      </c>
      <c r="F398" s="784">
        <f t="shared" si="16"/>
        <v>66.739999999999995</v>
      </c>
      <c r="G398" s="8" t="s">
        <v>564</v>
      </c>
      <c r="H398" s="666" t="str">
        <f t="shared" si="15"/>
        <v>Regelzone Amprion (gesamt)</v>
      </c>
      <c r="I398" s="662"/>
    </row>
    <row r="399" spans="1:9" hidden="1" outlineLevel="1">
      <c r="A399" s="63">
        <v>2022</v>
      </c>
      <c r="B399" s="85" t="s">
        <v>567</v>
      </c>
      <c r="C399" s="84" t="s">
        <v>2016</v>
      </c>
      <c r="D399" s="48">
        <v>-2198941</v>
      </c>
      <c r="E399" s="48">
        <v>-8311.99</v>
      </c>
      <c r="F399" s="784">
        <f t="shared" si="16"/>
        <v>-9213.56</v>
      </c>
      <c r="G399" s="8" t="s">
        <v>568</v>
      </c>
      <c r="H399" s="666" t="str">
        <f t="shared" si="15"/>
        <v>Regelzone Amprion (gesamt)</v>
      </c>
      <c r="I399" s="662"/>
    </row>
    <row r="400" spans="1:9" hidden="1" outlineLevel="1">
      <c r="A400" s="63">
        <v>2022</v>
      </c>
      <c r="B400" s="85" t="s">
        <v>575</v>
      </c>
      <c r="C400" s="84" t="s">
        <v>2016</v>
      </c>
      <c r="D400" s="48">
        <v>7892</v>
      </c>
      <c r="E400" s="48">
        <v>29.83</v>
      </c>
      <c r="F400" s="784">
        <f t="shared" si="16"/>
        <v>33.07</v>
      </c>
      <c r="G400" s="8" t="s">
        <v>576</v>
      </c>
      <c r="H400" s="666" t="str">
        <f t="shared" si="15"/>
        <v>Regelzone Amprion (gesamt)</v>
      </c>
      <c r="I400" s="662"/>
    </row>
    <row r="401" spans="1:9" hidden="1" outlineLevel="1">
      <c r="A401" s="63">
        <v>2022</v>
      </c>
      <c r="B401" s="85" t="s">
        <v>577</v>
      </c>
      <c r="C401" s="84" t="s">
        <v>2016</v>
      </c>
      <c r="D401" s="48">
        <v>-118211</v>
      </c>
      <c r="E401" s="48">
        <v>-446.83</v>
      </c>
      <c r="F401" s="784">
        <f t="shared" si="16"/>
        <v>-495.3</v>
      </c>
      <c r="G401" s="8" t="s">
        <v>578</v>
      </c>
      <c r="H401" s="666" t="str">
        <f t="shared" si="15"/>
        <v>Regelzone Amprion (gesamt)</v>
      </c>
      <c r="I401" s="662"/>
    </row>
    <row r="402" spans="1:9" hidden="1" outlineLevel="1">
      <c r="A402" s="63">
        <v>2022</v>
      </c>
      <c r="B402" s="85" t="s">
        <v>577</v>
      </c>
      <c r="C402" s="84" t="s">
        <v>2017</v>
      </c>
      <c r="D402" s="48">
        <v>881493</v>
      </c>
      <c r="E402" s="48">
        <v>352.6</v>
      </c>
      <c r="F402" s="784">
        <f>ROUND(D402*0.04/100,2)</f>
        <v>352.6</v>
      </c>
      <c r="G402" s="8" t="s">
        <v>578</v>
      </c>
      <c r="H402" s="666" t="str">
        <f t="shared" si="15"/>
        <v>Regelzone Amprion (gesamt)</v>
      </c>
      <c r="I402" s="662"/>
    </row>
    <row r="403" spans="1:9" hidden="1" outlineLevel="1">
      <c r="A403" s="63">
        <v>2022</v>
      </c>
      <c r="B403" s="85" t="s">
        <v>577</v>
      </c>
      <c r="C403" s="84" t="s">
        <v>2028</v>
      </c>
      <c r="D403" s="48">
        <v>780425</v>
      </c>
      <c r="E403" s="48">
        <v>234.13</v>
      </c>
      <c r="F403" s="784">
        <f>ROUND(D403*0.03/100,2)</f>
        <v>234.13</v>
      </c>
      <c r="G403" s="8" t="s">
        <v>578</v>
      </c>
      <c r="H403" s="666" t="str">
        <f t="shared" si="15"/>
        <v>Regelzone Amprion (gesamt)</v>
      </c>
      <c r="I403" s="662"/>
    </row>
    <row r="404" spans="1:9" hidden="1" outlineLevel="1">
      <c r="A404" s="63">
        <v>2022</v>
      </c>
      <c r="B404" s="85" t="s">
        <v>579</v>
      </c>
      <c r="C404" s="84" t="s">
        <v>2016</v>
      </c>
      <c r="D404" s="48">
        <v>20645</v>
      </c>
      <c r="E404" s="48">
        <v>78.040000000000006</v>
      </c>
      <c r="F404" s="784">
        <f t="shared" ref="F404:F424" si="17">ROUND(D404*0.419/100,2)</f>
        <v>86.5</v>
      </c>
      <c r="G404" s="8" t="s">
        <v>580</v>
      </c>
      <c r="H404" s="666" t="str">
        <f t="shared" si="15"/>
        <v>Regelzone Amprion (gesamt)</v>
      </c>
      <c r="I404" s="662"/>
    </row>
    <row r="405" spans="1:9" hidden="1" outlineLevel="1">
      <c r="A405" s="63">
        <v>2022</v>
      </c>
      <c r="B405" s="85" t="s">
        <v>583</v>
      </c>
      <c r="C405" s="84" t="s">
        <v>2016</v>
      </c>
      <c r="D405" s="48">
        <v>139078</v>
      </c>
      <c r="E405" s="48">
        <v>525.72</v>
      </c>
      <c r="F405" s="784">
        <f t="shared" si="17"/>
        <v>582.74</v>
      </c>
      <c r="G405" s="8" t="s">
        <v>584</v>
      </c>
      <c r="H405" s="666" t="str">
        <f t="shared" si="15"/>
        <v>Regelzone Amprion (gesamt)</v>
      </c>
      <c r="I405" s="662"/>
    </row>
    <row r="406" spans="1:9" hidden="1" outlineLevel="1">
      <c r="A406" s="63">
        <v>2022</v>
      </c>
      <c r="B406" s="85" t="s">
        <v>587</v>
      </c>
      <c r="C406" s="84" t="s">
        <v>2016</v>
      </c>
      <c r="D406" s="48">
        <v>69160</v>
      </c>
      <c r="E406" s="48">
        <v>261.42</v>
      </c>
      <c r="F406" s="784">
        <f t="shared" si="17"/>
        <v>289.77999999999997</v>
      </c>
      <c r="G406" s="8" t="s">
        <v>588</v>
      </c>
      <c r="H406" s="666" t="str">
        <f t="shared" si="15"/>
        <v>Regelzone Amprion (gesamt)</v>
      </c>
      <c r="I406" s="662"/>
    </row>
    <row r="407" spans="1:9" hidden="1" outlineLevel="1">
      <c r="A407" s="63">
        <v>2022</v>
      </c>
      <c r="B407" s="85" t="s">
        <v>589</v>
      </c>
      <c r="C407" s="84" t="s">
        <v>2016</v>
      </c>
      <c r="D407" s="48">
        <v>32097</v>
      </c>
      <c r="E407" s="48">
        <v>121.32</v>
      </c>
      <c r="F407" s="784">
        <f t="shared" si="17"/>
        <v>134.49</v>
      </c>
      <c r="G407" s="8" t="s">
        <v>590</v>
      </c>
      <c r="H407" s="666" t="str">
        <f t="shared" si="15"/>
        <v>Regelzone Amprion (gesamt)</v>
      </c>
      <c r="I407" s="662"/>
    </row>
    <row r="408" spans="1:9" hidden="1" outlineLevel="1">
      <c r="A408" s="63">
        <v>2022</v>
      </c>
      <c r="B408" s="85" t="s">
        <v>591</v>
      </c>
      <c r="C408" s="84" t="s">
        <v>2016</v>
      </c>
      <c r="D408" s="48">
        <v>1785914</v>
      </c>
      <c r="E408" s="48">
        <v>6750.76</v>
      </c>
      <c r="F408" s="784">
        <f t="shared" si="17"/>
        <v>7482.98</v>
      </c>
      <c r="G408" s="8" t="s">
        <v>592</v>
      </c>
      <c r="H408" s="666" t="str">
        <f t="shared" si="15"/>
        <v>Regelzone Amprion (gesamt)</v>
      </c>
      <c r="I408" s="662"/>
    </row>
    <row r="409" spans="1:9" hidden="1" outlineLevel="1">
      <c r="A409" s="63">
        <v>2022</v>
      </c>
      <c r="B409" s="85" t="s">
        <v>597</v>
      </c>
      <c r="C409" s="84" t="s">
        <v>2016</v>
      </c>
      <c r="D409" s="48">
        <v>-33218</v>
      </c>
      <c r="E409" s="48">
        <v>-125.57</v>
      </c>
      <c r="F409" s="784">
        <f t="shared" si="17"/>
        <v>-139.18</v>
      </c>
      <c r="G409" s="8" t="s">
        <v>598</v>
      </c>
      <c r="H409" s="666" t="str">
        <f t="shared" si="15"/>
        <v>Regelzone Amprion (gesamt)</v>
      </c>
      <c r="I409" s="662"/>
    </row>
    <row r="410" spans="1:9" hidden="1" outlineLevel="1">
      <c r="A410" s="63">
        <v>2022</v>
      </c>
      <c r="B410" s="85" t="s">
        <v>603</v>
      </c>
      <c r="C410" s="84" t="s">
        <v>2016</v>
      </c>
      <c r="D410" s="48">
        <v>13997</v>
      </c>
      <c r="E410" s="48">
        <v>52.91</v>
      </c>
      <c r="F410" s="784">
        <f t="shared" si="17"/>
        <v>58.65</v>
      </c>
      <c r="G410" s="8" t="s">
        <v>604</v>
      </c>
      <c r="H410" s="666" t="str">
        <f t="shared" si="15"/>
        <v>Regelzone Amprion (gesamt)</v>
      </c>
      <c r="I410" s="662"/>
    </row>
    <row r="411" spans="1:9" hidden="1" outlineLevel="1">
      <c r="A411" s="63">
        <v>2022</v>
      </c>
      <c r="B411" s="85" t="s">
        <v>607</v>
      </c>
      <c r="C411" s="84" t="s">
        <v>2016</v>
      </c>
      <c r="D411" s="48">
        <v>24529</v>
      </c>
      <c r="E411" s="48">
        <v>92.72</v>
      </c>
      <c r="F411" s="784">
        <f t="shared" si="17"/>
        <v>102.78</v>
      </c>
      <c r="G411" s="8" t="s">
        <v>608</v>
      </c>
      <c r="H411" s="666" t="str">
        <f t="shared" si="15"/>
        <v>Regelzone Amprion (gesamt)</v>
      </c>
      <c r="I411" s="662"/>
    </row>
    <row r="412" spans="1:9" hidden="1" outlineLevel="1">
      <c r="A412" s="63">
        <v>2022</v>
      </c>
      <c r="B412" s="85" t="s">
        <v>609</v>
      </c>
      <c r="C412" s="84" t="s">
        <v>2016</v>
      </c>
      <c r="D412" s="48">
        <v>-15495</v>
      </c>
      <c r="E412" s="48">
        <v>-58.57</v>
      </c>
      <c r="F412" s="784">
        <f t="shared" si="17"/>
        <v>-64.92</v>
      </c>
      <c r="G412" s="8" t="s">
        <v>610</v>
      </c>
      <c r="H412" s="666" t="str">
        <f t="shared" si="15"/>
        <v>Regelzone Amprion (gesamt)</v>
      </c>
      <c r="I412" s="662"/>
    </row>
    <row r="413" spans="1:9" hidden="1" outlineLevel="1">
      <c r="A413" s="63">
        <v>2022</v>
      </c>
      <c r="B413" s="85" t="s">
        <v>611</v>
      </c>
      <c r="C413" s="84" t="s">
        <v>2016</v>
      </c>
      <c r="D413" s="48">
        <v>-56950</v>
      </c>
      <c r="E413" s="48">
        <v>-215.27</v>
      </c>
      <c r="F413" s="784">
        <f t="shared" si="17"/>
        <v>-238.62</v>
      </c>
      <c r="G413" s="8" t="s">
        <v>612</v>
      </c>
      <c r="H413" s="666" t="str">
        <f t="shared" si="15"/>
        <v>Regelzone Amprion (gesamt)</v>
      </c>
      <c r="I413" s="662"/>
    </row>
    <row r="414" spans="1:9" hidden="1" outlineLevel="1">
      <c r="A414" s="63">
        <v>2022</v>
      </c>
      <c r="B414" s="85" t="s">
        <v>621</v>
      </c>
      <c r="C414" s="84" t="s">
        <v>2016</v>
      </c>
      <c r="D414" s="48">
        <v>3270745</v>
      </c>
      <c r="E414" s="48">
        <v>12363.41</v>
      </c>
      <c r="F414" s="784">
        <f t="shared" si="17"/>
        <v>13704.42</v>
      </c>
      <c r="G414" s="8" t="s">
        <v>622</v>
      </c>
      <c r="H414" s="666" t="str">
        <f t="shared" si="15"/>
        <v>Regelzone Amprion (gesamt)</v>
      </c>
      <c r="I414" s="662"/>
    </row>
    <row r="415" spans="1:9" hidden="1" outlineLevel="1">
      <c r="A415" s="63">
        <v>2022</v>
      </c>
      <c r="B415" s="85" t="s">
        <v>623</v>
      </c>
      <c r="C415" s="84" t="s">
        <v>2016</v>
      </c>
      <c r="D415" s="48">
        <v>31755</v>
      </c>
      <c r="E415" s="48">
        <v>120.04</v>
      </c>
      <c r="F415" s="784">
        <f t="shared" si="17"/>
        <v>133.05000000000001</v>
      </c>
      <c r="G415" s="8" t="s">
        <v>624</v>
      </c>
      <c r="H415" s="666" t="str">
        <f t="shared" si="15"/>
        <v>Regelzone Amprion (gesamt)</v>
      </c>
      <c r="I415" s="662"/>
    </row>
    <row r="416" spans="1:9" hidden="1" outlineLevel="1">
      <c r="A416" s="63">
        <v>2022</v>
      </c>
      <c r="B416" s="85" t="s">
        <v>625</v>
      </c>
      <c r="C416" s="84" t="s">
        <v>2016</v>
      </c>
      <c r="D416" s="48">
        <v>-18482</v>
      </c>
      <c r="E416" s="48">
        <v>-69.86</v>
      </c>
      <c r="F416" s="784">
        <f t="shared" si="17"/>
        <v>-77.44</v>
      </c>
      <c r="G416" s="8" t="s">
        <v>626</v>
      </c>
      <c r="H416" s="666" t="str">
        <f t="shared" si="15"/>
        <v>Regelzone Amprion (gesamt)</v>
      </c>
      <c r="I416" s="662"/>
    </row>
    <row r="417" spans="1:9" hidden="1" outlineLevel="1">
      <c r="A417" s="63">
        <v>2022</v>
      </c>
      <c r="B417" s="85" t="s">
        <v>631</v>
      </c>
      <c r="C417" s="84" t="s">
        <v>2016</v>
      </c>
      <c r="D417" s="48">
        <v>52680</v>
      </c>
      <c r="E417" s="48">
        <v>199.13</v>
      </c>
      <c r="F417" s="784">
        <f t="shared" si="17"/>
        <v>220.73</v>
      </c>
      <c r="G417" s="8" t="s">
        <v>632</v>
      </c>
      <c r="H417" s="666" t="str">
        <f t="shared" si="15"/>
        <v>Regelzone Amprion (gesamt)</v>
      </c>
      <c r="I417" s="662"/>
    </row>
    <row r="418" spans="1:9" hidden="1" outlineLevel="1">
      <c r="A418" s="63">
        <v>2022</v>
      </c>
      <c r="B418" s="85" t="s">
        <v>637</v>
      </c>
      <c r="C418" s="84" t="s">
        <v>2016</v>
      </c>
      <c r="D418" s="48">
        <v>-339078</v>
      </c>
      <c r="E418" s="48">
        <v>-1281.71</v>
      </c>
      <c r="F418" s="784">
        <f t="shared" si="17"/>
        <v>-1420.74</v>
      </c>
      <c r="G418" s="8" t="s">
        <v>638</v>
      </c>
      <c r="H418" s="666" t="str">
        <f t="shared" si="15"/>
        <v>Regelzone Amprion (gesamt)</v>
      </c>
      <c r="I418" s="662"/>
    </row>
    <row r="419" spans="1:9" hidden="1" outlineLevel="1">
      <c r="A419" s="63">
        <v>2022</v>
      </c>
      <c r="B419" s="85" t="s">
        <v>641</v>
      </c>
      <c r="C419" s="84" t="s">
        <v>2016</v>
      </c>
      <c r="D419" s="48">
        <v>-15525</v>
      </c>
      <c r="E419" s="48">
        <v>-58.69</v>
      </c>
      <c r="F419" s="784">
        <f t="shared" si="17"/>
        <v>-65.05</v>
      </c>
      <c r="G419" s="8" t="s">
        <v>642</v>
      </c>
      <c r="H419" s="666" t="str">
        <f t="shared" si="15"/>
        <v>Regelzone Amprion (gesamt)</v>
      </c>
      <c r="I419" s="662"/>
    </row>
    <row r="420" spans="1:9" hidden="1" outlineLevel="1">
      <c r="A420" s="63">
        <v>2022</v>
      </c>
      <c r="B420" s="85" t="s">
        <v>643</v>
      </c>
      <c r="C420" s="84" t="s">
        <v>2016</v>
      </c>
      <c r="D420" s="48">
        <v>-54674</v>
      </c>
      <c r="E420" s="48">
        <v>-206.66</v>
      </c>
      <c r="F420" s="784">
        <f t="shared" si="17"/>
        <v>-229.08</v>
      </c>
      <c r="G420" s="8" t="s">
        <v>644</v>
      </c>
      <c r="H420" s="666" t="str">
        <f t="shared" si="15"/>
        <v>Regelzone Amprion (gesamt)</v>
      </c>
      <c r="I420" s="662"/>
    </row>
    <row r="421" spans="1:9" hidden="1" outlineLevel="1">
      <c r="A421" s="63">
        <v>2022</v>
      </c>
      <c r="B421" s="85" t="s">
        <v>645</v>
      </c>
      <c r="C421" s="84" t="s">
        <v>2016</v>
      </c>
      <c r="D421" s="48">
        <v>-905507</v>
      </c>
      <c r="E421" s="48">
        <v>-3422.82</v>
      </c>
      <c r="F421" s="784">
        <f t="shared" si="17"/>
        <v>-3794.07</v>
      </c>
      <c r="G421" s="8" t="s">
        <v>646</v>
      </c>
      <c r="H421" s="666" t="str">
        <f t="shared" si="15"/>
        <v>Regelzone Amprion (gesamt)</v>
      </c>
      <c r="I421" s="662"/>
    </row>
    <row r="422" spans="1:9" hidden="1" outlineLevel="1">
      <c r="A422" s="63">
        <v>2022</v>
      </c>
      <c r="B422" s="85" t="s">
        <v>649</v>
      </c>
      <c r="C422" s="84" t="s">
        <v>2016</v>
      </c>
      <c r="D422" s="48">
        <v>10932</v>
      </c>
      <c r="E422" s="48">
        <v>41.32</v>
      </c>
      <c r="F422" s="784">
        <f t="shared" si="17"/>
        <v>45.81</v>
      </c>
      <c r="G422" s="8" t="s">
        <v>650</v>
      </c>
      <c r="H422" s="666" t="str">
        <f t="shared" si="15"/>
        <v>Regelzone Amprion (gesamt)</v>
      </c>
      <c r="I422" s="662"/>
    </row>
    <row r="423" spans="1:9" hidden="1" outlineLevel="1">
      <c r="A423" s="63">
        <v>2022</v>
      </c>
      <c r="B423" s="85" t="s">
        <v>653</v>
      </c>
      <c r="C423" s="84" t="s">
        <v>2016</v>
      </c>
      <c r="D423" s="48">
        <v>30616</v>
      </c>
      <c r="E423" s="48">
        <v>115.73</v>
      </c>
      <c r="F423" s="784">
        <f t="shared" si="17"/>
        <v>128.28</v>
      </c>
      <c r="G423" s="8" t="s">
        <v>654</v>
      </c>
      <c r="H423" s="666" t="str">
        <f t="shared" si="15"/>
        <v>Regelzone Amprion (gesamt)</v>
      </c>
      <c r="I423" s="662"/>
    </row>
    <row r="424" spans="1:9" hidden="1" outlineLevel="1">
      <c r="A424" s="63">
        <v>2022</v>
      </c>
      <c r="B424" s="85" t="s">
        <v>655</v>
      </c>
      <c r="C424" s="84" t="s">
        <v>2016</v>
      </c>
      <c r="D424" s="48">
        <v>-78143</v>
      </c>
      <c r="E424" s="48">
        <v>-295.38</v>
      </c>
      <c r="F424" s="784">
        <f t="shared" si="17"/>
        <v>-327.42</v>
      </c>
      <c r="G424" s="8" t="s">
        <v>578</v>
      </c>
      <c r="H424" s="666" t="str">
        <f t="shared" si="15"/>
        <v>Regelzone Amprion (gesamt)</v>
      </c>
      <c r="I424" s="662"/>
    </row>
    <row r="425" spans="1:9" hidden="1" outlineLevel="1">
      <c r="A425" s="63">
        <v>2022</v>
      </c>
      <c r="B425" s="85" t="s">
        <v>655</v>
      </c>
      <c r="C425" s="84" t="s">
        <v>2017</v>
      </c>
      <c r="D425" s="48">
        <v>-263966</v>
      </c>
      <c r="E425" s="48">
        <v>-105.58</v>
      </c>
      <c r="F425" s="784">
        <f>ROUND(D425*0.04/100,2)</f>
        <v>-105.59</v>
      </c>
      <c r="G425" s="8" t="s">
        <v>578</v>
      </c>
      <c r="H425" s="666" t="str">
        <f t="shared" si="15"/>
        <v>Regelzone Amprion (gesamt)</v>
      </c>
      <c r="I425" s="662"/>
    </row>
    <row r="426" spans="1:9" hidden="1" outlineLevel="1">
      <c r="A426" s="63">
        <v>2022</v>
      </c>
      <c r="B426" s="85" t="s">
        <v>655</v>
      </c>
      <c r="C426" s="84" t="s">
        <v>2028</v>
      </c>
      <c r="D426" s="48">
        <v>-10213</v>
      </c>
      <c r="E426" s="48">
        <v>-3.07</v>
      </c>
      <c r="F426" s="784">
        <f>ROUND(D426*0.03/100,2)</f>
        <v>-3.06</v>
      </c>
      <c r="G426" s="8" t="s">
        <v>578</v>
      </c>
      <c r="H426" s="666" t="str">
        <f t="shared" si="15"/>
        <v>Regelzone Amprion (gesamt)</v>
      </c>
      <c r="I426" s="662"/>
    </row>
    <row r="427" spans="1:9" hidden="1" outlineLevel="1">
      <c r="A427" s="63">
        <v>2022</v>
      </c>
      <c r="B427" s="85" t="s">
        <v>660</v>
      </c>
      <c r="C427" s="84" t="s">
        <v>2016</v>
      </c>
      <c r="D427" s="48">
        <v>-3393</v>
      </c>
      <c r="E427" s="48">
        <v>-12.83</v>
      </c>
      <c r="F427" s="784">
        <f t="shared" ref="F427:F466" si="18">ROUND(D427*0.419/100,2)</f>
        <v>-14.22</v>
      </c>
      <c r="G427" s="8" t="s">
        <v>661</v>
      </c>
      <c r="H427" s="666" t="str">
        <f t="shared" si="15"/>
        <v>Regelzone Amprion (gesamt)</v>
      </c>
      <c r="I427" s="662"/>
    </row>
    <row r="428" spans="1:9" hidden="1" outlineLevel="1">
      <c r="A428" s="63">
        <v>2022</v>
      </c>
      <c r="B428" s="85" t="s">
        <v>666</v>
      </c>
      <c r="C428" s="84" t="s">
        <v>2016</v>
      </c>
      <c r="D428" s="48">
        <v>1977598</v>
      </c>
      <c r="E428" s="48">
        <v>7475.32</v>
      </c>
      <c r="F428" s="784">
        <f t="shared" si="18"/>
        <v>8286.14</v>
      </c>
      <c r="G428" s="8" t="s">
        <v>667</v>
      </c>
      <c r="H428" s="666" t="str">
        <f t="shared" si="15"/>
        <v>Regelzone Amprion (gesamt)</v>
      </c>
      <c r="I428" s="662"/>
    </row>
    <row r="429" spans="1:9" hidden="1" outlineLevel="1">
      <c r="A429" s="63">
        <v>2022</v>
      </c>
      <c r="B429" s="85" t="s">
        <v>668</v>
      </c>
      <c r="C429" s="84" t="s">
        <v>2016</v>
      </c>
      <c r="D429" s="48">
        <v>-23069</v>
      </c>
      <c r="E429" s="48">
        <v>-87.2</v>
      </c>
      <c r="F429" s="784">
        <f t="shared" si="18"/>
        <v>-96.66</v>
      </c>
      <c r="G429" s="8" t="s">
        <v>669</v>
      </c>
      <c r="H429" s="666" t="str">
        <f t="shared" si="15"/>
        <v>Regelzone Amprion (gesamt)</v>
      </c>
      <c r="I429" s="662"/>
    </row>
    <row r="430" spans="1:9" hidden="1" outlineLevel="1">
      <c r="A430" s="63">
        <v>2022</v>
      </c>
      <c r="B430" s="85" t="s">
        <v>670</v>
      </c>
      <c r="C430" s="84" t="s">
        <v>2016</v>
      </c>
      <c r="D430" s="48">
        <v>297048</v>
      </c>
      <c r="E430" s="48">
        <v>1122.8399999999999</v>
      </c>
      <c r="F430" s="784">
        <f t="shared" si="18"/>
        <v>1244.6300000000001</v>
      </c>
      <c r="G430" s="8" t="s">
        <v>671</v>
      </c>
      <c r="H430" s="666" t="str">
        <f t="shared" si="15"/>
        <v>Regelzone Amprion (gesamt)</v>
      </c>
      <c r="I430" s="662"/>
    </row>
    <row r="431" spans="1:9" hidden="1" outlineLevel="1">
      <c r="A431" s="63">
        <v>2022</v>
      </c>
      <c r="B431" s="85" t="s">
        <v>676</v>
      </c>
      <c r="C431" s="84" t="s">
        <v>2016</v>
      </c>
      <c r="D431" s="48">
        <v>-26076</v>
      </c>
      <c r="E431" s="48">
        <v>-98.57</v>
      </c>
      <c r="F431" s="784">
        <f t="shared" si="18"/>
        <v>-109.26</v>
      </c>
      <c r="G431" s="8" t="s">
        <v>677</v>
      </c>
      <c r="H431" s="666" t="str">
        <f t="shared" si="15"/>
        <v>Regelzone Amprion (gesamt)</v>
      </c>
      <c r="I431" s="662"/>
    </row>
    <row r="432" spans="1:9" hidden="1" outlineLevel="1">
      <c r="A432" s="63">
        <v>2022</v>
      </c>
      <c r="B432" s="85" t="s">
        <v>678</v>
      </c>
      <c r="C432" s="84" t="s">
        <v>2016</v>
      </c>
      <c r="D432" s="48">
        <v>118003</v>
      </c>
      <c r="E432" s="48">
        <v>446.05</v>
      </c>
      <c r="F432" s="784">
        <f t="shared" si="18"/>
        <v>494.43</v>
      </c>
      <c r="G432" s="8" t="s">
        <v>679</v>
      </c>
      <c r="H432" s="666" t="str">
        <f t="shared" si="15"/>
        <v>Regelzone Amprion (gesamt)</v>
      </c>
      <c r="I432" s="662"/>
    </row>
    <row r="433" spans="1:9" hidden="1" outlineLevel="1">
      <c r="A433" s="63">
        <v>2022</v>
      </c>
      <c r="B433" s="85" t="s">
        <v>682</v>
      </c>
      <c r="C433" s="84" t="s">
        <v>2016</v>
      </c>
      <c r="D433" s="48">
        <v>290558</v>
      </c>
      <c r="E433" s="48">
        <v>1098.31</v>
      </c>
      <c r="F433" s="784">
        <f t="shared" si="18"/>
        <v>1217.44</v>
      </c>
      <c r="G433" s="8" t="s">
        <v>683</v>
      </c>
      <c r="H433" s="666" t="str">
        <f t="shared" ref="H433:H558" si="19">+H432</f>
        <v>Regelzone Amprion (gesamt)</v>
      </c>
      <c r="I433" s="662"/>
    </row>
    <row r="434" spans="1:9" hidden="1" outlineLevel="1">
      <c r="A434" s="63">
        <v>2022</v>
      </c>
      <c r="B434" s="85" t="s">
        <v>694</v>
      </c>
      <c r="C434" s="84" t="s">
        <v>2016</v>
      </c>
      <c r="D434" s="48">
        <v>-453</v>
      </c>
      <c r="E434" s="48">
        <v>-1.72</v>
      </c>
      <c r="F434" s="784">
        <f t="shared" si="18"/>
        <v>-1.9</v>
      </c>
      <c r="G434" s="8" t="s">
        <v>695</v>
      </c>
      <c r="H434" s="666" t="str">
        <f t="shared" si="19"/>
        <v>Regelzone Amprion (gesamt)</v>
      </c>
      <c r="I434" s="662"/>
    </row>
    <row r="435" spans="1:9" hidden="1" outlineLevel="1">
      <c r="A435" s="63">
        <v>2022</v>
      </c>
      <c r="B435" s="85" t="s">
        <v>696</v>
      </c>
      <c r="C435" s="84" t="s">
        <v>2016</v>
      </c>
      <c r="D435" s="48">
        <v>4718</v>
      </c>
      <c r="E435" s="48">
        <v>17.84</v>
      </c>
      <c r="F435" s="784">
        <f t="shared" si="18"/>
        <v>19.77</v>
      </c>
      <c r="G435" s="8" t="s">
        <v>697</v>
      </c>
      <c r="H435" s="666" t="str">
        <f t="shared" si="19"/>
        <v>Regelzone Amprion (gesamt)</v>
      </c>
      <c r="I435" s="662"/>
    </row>
    <row r="436" spans="1:9" hidden="1" outlineLevel="1">
      <c r="A436" s="63">
        <v>2022</v>
      </c>
      <c r="B436" s="85" t="s">
        <v>698</v>
      </c>
      <c r="C436" s="84" t="s">
        <v>2016</v>
      </c>
      <c r="D436" s="48">
        <v>422974</v>
      </c>
      <c r="E436" s="48">
        <v>1598.84</v>
      </c>
      <c r="F436" s="784">
        <f t="shared" si="18"/>
        <v>1772.26</v>
      </c>
      <c r="G436" s="8" t="s">
        <v>699</v>
      </c>
      <c r="H436" s="666" t="str">
        <f t="shared" si="19"/>
        <v>Regelzone Amprion (gesamt)</v>
      </c>
      <c r="I436" s="662"/>
    </row>
    <row r="437" spans="1:9" hidden="1" outlineLevel="1">
      <c r="A437" s="63">
        <v>2022</v>
      </c>
      <c r="B437" s="85" t="s">
        <v>700</v>
      </c>
      <c r="C437" s="84" t="s">
        <v>2016</v>
      </c>
      <c r="D437" s="48">
        <v>-1262</v>
      </c>
      <c r="E437" s="48">
        <v>-4.7699999999999996</v>
      </c>
      <c r="F437" s="784">
        <f t="shared" si="18"/>
        <v>-5.29</v>
      </c>
      <c r="G437" s="8" t="s">
        <v>701</v>
      </c>
      <c r="H437" s="666" t="str">
        <f t="shared" si="19"/>
        <v>Regelzone Amprion (gesamt)</v>
      </c>
      <c r="I437" s="662"/>
    </row>
    <row r="438" spans="1:9" hidden="1" outlineLevel="1">
      <c r="A438" s="63">
        <v>2022</v>
      </c>
      <c r="B438" s="85" t="s">
        <v>702</v>
      </c>
      <c r="C438" s="84" t="s">
        <v>2016</v>
      </c>
      <c r="D438" s="48">
        <v>248495</v>
      </c>
      <c r="E438" s="48">
        <v>939.31</v>
      </c>
      <c r="F438" s="784">
        <f t="shared" si="18"/>
        <v>1041.19</v>
      </c>
      <c r="G438" s="8" t="s">
        <v>703</v>
      </c>
      <c r="H438" s="666" t="str">
        <f t="shared" si="19"/>
        <v>Regelzone Amprion (gesamt)</v>
      </c>
      <c r="I438" s="662"/>
    </row>
    <row r="439" spans="1:9" hidden="1" outlineLevel="1">
      <c r="A439" s="63">
        <v>2022</v>
      </c>
      <c r="B439" s="85" t="s">
        <v>706</v>
      </c>
      <c r="C439" s="84" t="s">
        <v>2016</v>
      </c>
      <c r="D439" s="48">
        <v>-2364568</v>
      </c>
      <c r="E439" s="48">
        <v>-8938.06</v>
      </c>
      <c r="F439" s="784">
        <f t="shared" si="18"/>
        <v>-9907.5400000000009</v>
      </c>
      <c r="G439" s="8" t="s">
        <v>707</v>
      </c>
      <c r="H439" s="666" t="str">
        <f t="shared" si="19"/>
        <v>Regelzone Amprion (gesamt)</v>
      </c>
      <c r="I439" s="662"/>
    </row>
    <row r="440" spans="1:9" hidden="1" outlineLevel="1">
      <c r="A440" s="63">
        <v>2022</v>
      </c>
      <c r="B440" s="85" t="s">
        <v>710</v>
      </c>
      <c r="C440" s="84" t="s">
        <v>2016</v>
      </c>
      <c r="D440" s="48">
        <v>-87709</v>
      </c>
      <c r="E440" s="48">
        <v>-331.54</v>
      </c>
      <c r="F440" s="784">
        <f t="shared" si="18"/>
        <v>-367.5</v>
      </c>
      <c r="G440" s="8" t="s">
        <v>711</v>
      </c>
      <c r="H440" s="666" t="str">
        <f t="shared" si="19"/>
        <v>Regelzone Amprion (gesamt)</v>
      </c>
      <c r="I440" s="662"/>
    </row>
    <row r="441" spans="1:9" hidden="1" outlineLevel="1">
      <c r="A441" s="63">
        <v>2022</v>
      </c>
      <c r="B441" s="85" t="s">
        <v>716</v>
      </c>
      <c r="C441" s="84" t="s">
        <v>2016</v>
      </c>
      <c r="D441" s="48">
        <v>385362</v>
      </c>
      <c r="E441" s="48">
        <v>1456.67</v>
      </c>
      <c r="F441" s="784">
        <f t="shared" si="18"/>
        <v>1614.67</v>
      </c>
      <c r="G441" s="8" t="s">
        <v>717</v>
      </c>
      <c r="H441" s="666" t="str">
        <f t="shared" si="19"/>
        <v>Regelzone Amprion (gesamt)</v>
      </c>
      <c r="I441" s="662"/>
    </row>
    <row r="442" spans="1:9" hidden="1" outlineLevel="1">
      <c r="A442" s="63">
        <v>2022</v>
      </c>
      <c r="B442" s="85" t="s">
        <v>724</v>
      </c>
      <c r="C442" s="84" t="s">
        <v>2016</v>
      </c>
      <c r="D442" s="48">
        <v>78948</v>
      </c>
      <c r="E442" s="48">
        <v>298.43</v>
      </c>
      <c r="F442" s="784">
        <f t="shared" si="18"/>
        <v>330.79</v>
      </c>
      <c r="G442" s="8" t="s">
        <v>725</v>
      </c>
      <c r="H442" s="666" t="str">
        <f t="shared" si="19"/>
        <v>Regelzone Amprion (gesamt)</v>
      </c>
      <c r="I442" s="662"/>
    </row>
    <row r="443" spans="1:9" hidden="1" outlineLevel="1">
      <c r="A443" s="63">
        <v>2022</v>
      </c>
      <c r="B443" s="85" t="s">
        <v>726</v>
      </c>
      <c r="C443" s="84" t="s">
        <v>2016</v>
      </c>
      <c r="D443" s="48">
        <v>-1508390</v>
      </c>
      <c r="E443" s="48">
        <v>-5701.71</v>
      </c>
      <c r="F443" s="784">
        <f t="shared" si="18"/>
        <v>-6320.15</v>
      </c>
      <c r="G443" s="8" t="s">
        <v>727</v>
      </c>
      <c r="H443" s="666" t="str">
        <f t="shared" si="19"/>
        <v>Regelzone Amprion (gesamt)</v>
      </c>
      <c r="I443" s="662"/>
    </row>
    <row r="444" spans="1:9" hidden="1" outlineLevel="1">
      <c r="A444" s="63">
        <v>2022</v>
      </c>
      <c r="B444" s="85" t="s">
        <v>728</v>
      </c>
      <c r="C444" s="84" t="s">
        <v>2016</v>
      </c>
      <c r="D444" s="48">
        <v>-3598</v>
      </c>
      <c r="E444" s="48">
        <v>-13.6</v>
      </c>
      <c r="F444" s="784">
        <f t="shared" si="18"/>
        <v>-15.08</v>
      </c>
      <c r="G444" s="8" t="s">
        <v>729</v>
      </c>
      <c r="H444" s="666" t="str">
        <f t="shared" si="19"/>
        <v>Regelzone Amprion (gesamt)</v>
      </c>
      <c r="I444" s="662"/>
    </row>
    <row r="445" spans="1:9" hidden="1" outlineLevel="1">
      <c r="A445" s="63">
        <v>2022</v>
      </c>
      <c r="B445" s="85" t="s">
        <v>732</v>
      </c>
      <c r="C445" s="84" t="s">
        <v>2016</v>
      </c>
      <c r="D445" s="48">
        <v>28214</v>
      </c>
      <c r="E445" s="48">
        <v>106.65</v>
      </c>
      <c r="F445" s="784">
        <f t="shared" si="18"/>
        <v>118.22</v>
      </c>
      <c r="G445" s="8" t="s">
        <v>733</v>
      </c>
      <c r="H445" s="666" t="str">
        <f t="shared" si="19"/>
        <v>Regelzone Amprion (gesamt)</v>
      </c>
      <c r="I445" s="662"/>
    </row>
    <row r="446" spans="1:9" hidden="1" outlineLevel="1">
      <c r="A446" s="63">
        <v>2022</v>
      </c>
      <c r="B446" s="85" t="s">
        <v>734</v>
      </c>
      <c r="C446" s="84" t="s">
        <v>2016</v>
      </c>
      <c r="D446" s="48">
        <v>-459368</v>
      </c>
      <c r="E446" s="48">
        <v>-1736.41</v>
      </c>
      <c r="F446" s="784">
        <f t="shared" si="18"/>
        <v>-1924.75</v>
      </c>
      <c r="G446" s="8" t="s">
        <v>735</v>
      </c>
      <c r="H446" s="666" t="str">
        <f t="shared" si="19"/>
        <v>Regelzone Amprion (gesamt)</v>
      </c>
      <c r="I446" s="662"/>
    </row>
    <row r="447" spans="1:9" hidden="1" outlineLevel="1">
      <c r="A447" s="63">
        <v>2022</v>
      </c>
      <c r="B447" s="85" t="s">
        <v>738</v>
      </c>
      <c r="C447" s="84" t="s">
        <v>2016</v>
      </c>
      <c r="D447" s="48">
        <v>120192</v>
      </c>
      <c r="E447" s="48">
        <v>454.32</v>
      </c>
      <c r="F447" s="784">
        <f t="shared" si="18"/>
        <v>503.6</v>
      </c>
      <c r="G447" s="8" t="s">
        <v>739</v>
      </c>
      <c r="H447" s="666" t="str">
        <f t="shared" si="19"/>
        <v>Regelzone Amprion (gesamt)</v>
      </c>
      <c r="I447" s="662"/>
    </row>
    <row r="448" spans="1:9" hidden="1" outlineLevel="1">
      <c r="A448" s="63">
        <v>2022</v>
      </c>
      <c r="B448" s="85" t="s">
        <v>744</v>
      </c>
      <c r="C448" s="84" t="s">
        <v>2016</v>
      </c>
      <c r="D448" s="48">
        <v>-8473</v>
      </c>
      <c r="E448" s="48">
        <v>-32.03</v>
      </c>
      <c r="F448" s="784">
        <f t="shared" si="18"/>
        <v>-35.5</v>
      </c>
      <c r="G448" s="8" t="s">
        <v>745</v>
      </c>
      <c r="H448" s="666" t="str">
        <f t="shared" si="19"/>
        <v>Regelzone Amprion (gesamt)</v>
      </c>
      <c r="I448" s="662"/>
    </row>
    <row r="449" spans="1:9" hidden="1" outlineLevel="1">
      <c r="A449" s="63">
        <v>2022</v>
      </c>
      <c r="B449" s="85" t="s">
        <v>746</v>
      </c>
      <c r="C449" s="84" t="s">
        <v>2016</v>
      </c>
      <c r="D449" s="48">
        <v>276455</v>
      </c>
      <c r="E449" s="48">
        <v>1045</v>
      </c>
      <c r="F449" s="784">
        <f t="shared" si="18"/>
        <v>1158.3499999999999</v>
      </c>
      <c r="G449" s="8" t="s">
        <v>747</v>
      </c>
      <c r="H449" s="666" t="str">
        <f t="shared" si="19"/>
        <v>Regelzone Amprion (gesamt)</v>
      </c>
      <c r="I449" s="662"/>
    </row>
    <row r="450" spans="1:9" hidden="1" outlineLevel="1">
      <c r="A450" s="63">
        <v>2022</v>
      </c>
      <c r="B450" s="85" t="s">
        <v>748</v>
      </c>
      <c r="C450" s="84" t="s">
        <v>2016</v>
      </c>
      <c r="D450" s="48">
        <v>-11550</v>
      </c>
      <c r="E450" s="48">
        <v>-43.65</v>
      </c>
      <c r="F450" s="784">
        <f t="shared" si="18"/>
        <v>-48.39</v>
      </c>
      <c r="G450" s="8" t="s">
        <v>749</v>
      </c>
      <c r="H450" s="666" t="str">
        <f t="shared" si="19"/>
        <v>Regelzone Amprion (gesamt)</v>
      </c>
      <c r="I450" s="662"/>
    </row>
    <row r="451" spans="1:9" hidden="1" outlineLevel="1">
      <c r="A451" s="63">
        <v>2022</v>
      </c>
      <c r="B451" s="75" t="s">
        <v>756</v>
      </c>
      <c r="C451" s="84" t="s">
        <v>2016</v>
      </c>
      <c r="D451" s="48">
        <v>-422233</v>
      </c>
      <c r="E451" s="48">
        <v>-1596.04</v>
      </c>
      <c r="F451" s="784">
        <f t="shared" si="18"/>
        <v>-1769.16</v>
      </c>
      <c r="G451" s="8" t="s">
        <v>610</v>
      </c>
      <c r="H451" s="666" t="str">
        <f t="shared" si="19"/>
        <v>Regelzone Amprion (gesamt)</v>
      </c>
      <c r="I451" s="662"/>
    </row>
    <row r="452" spans="1:9" hidden="1" outlineLevel="1">
      <c r="A452" s="89">
        <v>2022</v>
      </c>
      <c r="B452" s="80" t="s">
        <v>769</v>
      </c>
      <c r="C452" s="625" t="s">
        <v>2016</v>
      </c>
      <c r="D452" s="55">
        <v>61493</v>
      </c>
      <c r="E452" s="55">
        <v>232.44</v>
      </c>
      <c r="F452" s="784">
        <f t="shared" si="18"/>
        <v>257.66000000000003</v>
      </c>
      <c r="G452" s="8" t="s">
        <v>770</v>
      </c>
      <c r="H452" s="666" t="str">
        <f t="shared" si="19"/>
        <v>Regelzone Amprion (gesamt)</v>
      </c>
      <c r="I452" s="662"/>
    </row>
    <row r="453" spans="1:9" hidden="1" outlineLevel="1">
      <c r="A453" s="89">
        <v>2022</v>
      </c>
      <c r="B453" s="75" t="s">
        <v>773</v>
      </c>
      <c r="C453" s="84" t="s">
        <v>2016</v>
      </c>
      <c r="D453" s="48">
        <v>-2327562</v>
      </c>
      <c r="E453" s="48">
        <v>-8798.19</v>
      </c>
      <c r="F453" s="784">
        <f t="shared" si="18"/>
        <v>-9752.48</v>
      </c>
      <c r="G453" s="8" t="s">
        <v>774</v>
      </c>
      <c r="H453" s="666" t="str">
        <f t="shared" si="19"/>
        <v>Regelzone Amprion (gesamt)</v>
      </c>
      <c r="I453" s="662"/>
    </row>
    <row r="454" spans="1:9" hidden="1" outlineLevel="1">
      <c r="A454" s="89">
        <v>2022</v>
      </c>
      <c r="B454" s="75" t="s">
        <v>779</v>
      </c>
      <c r="C454" s="84" t="s">
        <v>2016</v>
      </c>
      <c r="D454" s="48">
        <v>355614</v>
      </c>
      <c r="E454" s="48">
        <v>1344.22</v>
      </c>
      <c r="F454" s="784">
        <f t="shared" si="18"/>
        <v>1490.02</v>
      </c>
      <c r="G454" s="8" t="s">
        <v>780</v>
      </c>
      <c r="H454" s="666" t="str">
        <f t="shared" si="19"/>
        <v>Regelzone Amprion (gesamt)</v>
      </c>
      <c r="I454" s="662"/>
    </row>
    <row r="455" spans="1:9" hidden="1" outlineLevel="1">
      <c r="A455" s="89">
        <v>2022</v>
      </c>
      <c r="B455" s="75" t="s">
        <v>781</v>
      </c>
      <c r="C455" s="84" t="s">
        <v>2016</v>
      </c>
      <c r="D455" s="48">
        <v>-38466</v>
      </c>
      <c r="E455" s="48">
        <v>-145.4</v>
      </c>
      <c r="F455" s="784">
        <f t="shared" si="18"/>
        <v>-161.16999999999999</v>
      </c>
      <c r="G455" s="8" t="s">
        <v>782</v>
      </c>
      <c r="H455" s="666" t="str">
        <f t="shared" si="19"/>
        <v>Regelzone Amprion (gesamt)</v>
      </c>
      <c r="I455" s="662"/>
    </row>
    <row r="456" spans="1:9" hidden="1" outlineLevel="1">
      <c r="A456" s="89">
        <v>2022</v>
      </c>
      <c r="B456" s="75" t="s">
        <v>783</v>
      </c>
      <c r="C456" s="84" t="s">
        <v>2016</v>
      </c>
      <c r="D456" s="48">
        <v>119571</v>
      </c>
      <c r="E456" s="48">
        <v>451.98</v>
      </c>
      <c r="F456" s="784">
        <f t="shared" si="18"/>
        <v>501</v>
      </c>
      <c r="G456" s="8" t="s">
        <v>784</v>
      </c>
      <c r="H456" s="666" t="str">
        <f t="shared" si="19"/>
        <v>Regelzone Amprion (gesamt)</v>
      </c>
      <c r="I456" s="662"/>
    </row>
    <row r="457" spans="1:9" hidden="1" outlineLevel="1">
      <c r="A457" s="89">
        <v>2022</v>
      </c>
      <c r="B457" s="75" t="s">
        <v>785</v>
      </c>
      <c r="C457" s="84" t="s">
        <v>2016</v>
      </c>
      <c r="D457" s="48">
        <v>615856</v>
      </c>
      <c r="E457" s="48">
        <v>2327.94</v>
      </c>
      <c r="F457" s="784">
        <f t="shared" si="18"/>
        <v>2580.44</v>
      </c>
      <c r="G457" s="8" t="s">
        <v>786</v>
      </c>
      <c r="H457" s="666" t="str">
        <f t="shared" si="19"/>
        <v>Regelzone Amprion (gesamt)</v>
      </c>
      <c r="I457" s="662"/>
    </row>
    <row r="458" spans="1:9" hidden="1" outlineLevel="1">
      <c r="A458" s="89">
        <v>2022</v>
      </c>
      <c r="B458" s="75" t="s">
        <v>787</v>
      </c>
      <c r="C458" s="84" t="s">
        <v>2016</v>
      </c>
      <c r="D458" s="48">
        <v>-94393</v>
      </c>
      <c r="E458" s="48">
        <v>-356.81</v>
      </c>
      <c r="F458" s="784">
        <f t="shared" si="18"/>
        <v>-395.51</v>
      </c>
      <c r="G458" s="8" t="s">
        <v>788</v>
      </c>
      <c r="H458" s="666" t="str">
        <f t="shared" si="19"/>
        <v>Regelzone Amprion (gesamt)</v>
      </c>
      <c r="I458" s="662"/>
    </row>
    <row r="459" spans="1:9" hidden="1" outlineLevel="1">
      <c r="A459" s="89">
        <v>2022</v>
      </c>
      <c r="B459" s="75" t="s">
        <v>791</v>
      </c>
      <c r="C459" s="84" t="s">
        <v>2016</v>
      </c>
      <c r="D459" s="48">
        <v>258619</v>
      </c>
      <c r="E459" s="48">
        <v>977.58</v>
      </c>
      <c r="F459" s="784">
        <f t="shared" si="18"/>
        <v>1083.6099999999999</v>
      </c>
      <c r="G459" s="8" t="s">
        <v>792</v>
      </c>
      <c r="H459" s="666" t="str">
        <f t="shared" si="19"/>
        <v>Regelzone Amprion (gesamt)</v>
      </c>
      <c r="I459" s="662"/>
    </row>
    <row r="460" spans="1:9" hidden="1" outlineLevel="1">
      <c r="A460" s="89">
        <v>2022</v>
      </c>
      <c r="B460" s="75" t="s">
        <v>793</v>
      </c>
      <c r="C460" s="84" t="s">
        <v>2016</v>
      </c>
      <c r="D460" s="48">
        <v>1029155</v>
      </c>
      <c r="E460" s="48">
        <v>3890.21</v>
      </c>
      <c r="F460" s="784">
        <f t="shared" si="18"/>
        <v>4312.16</v>
      </c>
      <c r="G460" s="8" t="s">
        <v>794</v>
      </c>
      <c r="H460" s="666" t="str">
        <f t="shared" si="19"/>
        <v>Regelzone Amprion (gesamt)</v>
      </c>
      <c r="I460" s="662"/>
    </row>
    <row r="461" spans="1:9" hidden="1" outlineLevel="1">
      <c r="A461" s="89">
        <v>2022</v>
      </c>
      <c r="B461" s="75" t="s">
        <v>795</v>
      </c>
      <c r="C461" s="84" t="s">
        <v>2016</v>
      </c>
      <c r="D461" s="48">
        <v>211382</v>
      </c>
      <c r="E461" s="48">
        <v>799.02</v>
      </c>
      <c r="F461" s="784">
        <f t="shared" si="18"/>
        <v>885.69</v>
      </c>
      <c r="G461" s="8" t="s">
        <v>796</v>
      </c>
      <c r="H461" s="666" t="str">
        <f t="shared" si="19"/>
        <v>Regelzone Amprion (gesamt)</v>
      </c>
      <c r="I461" s="662"/>
    </row>
    <row r="462" spans="1:9" hidden="1" outlineLevel="1">
      <c r="A462" s="89">
        <v>2022</v>
      </c>
      <c r="B462" s="75" t="s">
        <v>805</v>
      </c>
      <c r="C462" s="84" t="s">
        <v>2016</v>
      </c>
      <c r="D462" s="48">
        <v>126026</v>
      </c>
      <c r="E462" s="48">
        <v>476.38</v>
      </c>
      <c r="F462" s="784">
        <f t="shared" si="18"/>
        <v>528.04999999999995</v>
      </c>
      <c r="G462" s="8" t="s">
        <v>806</v>
      </c>
      <c r="H462" s="666" t="str">
        <f t="shared" si="19"/>
        <v>Regelzone Amprion (gesamt)</v>
      </c>
      <c r="I462" s="662"/>
    </row>
    <row r="463" spans="1:9" hidden="1" outlineLevel="1">
      <c r="A463" s="89">
        <v>2022</v>
      </c>
      <c r="B463" s="75" t="s">
        <v>809</v>
      </c>
      <c r="C463" s="84" t="s">
        <v>2016</v>
      </c>
      <c r="D463" s="48">
        <v>2245121</v>
      </c>
      <c r="E463" s="48">
        <v>8486.56</v>
      </c>
      <c r="F463" s="784">
        <f t="shared" si="18"/>
        <v>9407.06</v>
      </c>
      <c r="G463" s="8" t="s">
        <v>810</v>
      </c>
      <c r="H463" s="666" t="str">
        <f t="shared" si="19"/>
        <v>Regelzone Amprion (gesamt)</v>
      </c>
      <c r="I463" s="662"/>
    </row>
    <row r="464" spans="1:9" hidden="1" outlineLevel="1">
      <c r="A464" s="89">
        <v>2022</v>
      </c>
      <c r="B464" s="75" t="s">
        <v>811</v>
      </c>
      <c r="C464" s="84" t="s">
        <v>2016</v>
      </c>
      <c r="D464" s="48">
        <v>1306183</v>
      </c>
      <c r="E464" s="48">
        <v>4937.37</v>
      </c>
      <c r="F464" s="784">
        <f t="shared" si="18"/>
        <v>5472.91</v>
      </c>
      <c r="G464" s="8" t="s">
        <v>812</v>
      </c>
      <c r="H464" s="666" t="str">
        <f t="shared" si="19"/>
        <v>Regelzone Amprion (gesamt)</v>
      </c>
      <c r="I464" s="662"/>
    </row>
    <row r="465" spans="1:9" hidden="1" outlineLevel="1">
      <c r="A465" s="89">
        <v>2022</v>
      </c>
      <c r="B465" s="75" t="s">
        <v>817</v>
      </c>
      <c r="C465" s="84" t="s">
        <v>2016</v>
      </c>
      <c r="D465" s="48">
        <v>-142507</v>
      </c>
      <c r="E465" s="48">
        <v>-538.66999999999996</v>
      </c>
      <c r="F465" s="784">
        <f t="shared" si="18"/>
        <v>-597.1</v>
      </c>
      <c r="G465" s="8" t="s">
        <v>818</v>
      </c>
      <c r="H465" s="666" t="str">
        <f t="shared" si="19"/>
        <v>Regelzone Amprion (gesamt)</v>
      </c>
      <c r="I465" s="662"/>
    </row>
    <row r="466" spans="1:9" hidden="1" outlineLevel="1">
      <c r="A466" s="89">
        <v>2022</v>
      </c>
      <c r="B466" s="75" t="s">
        <v>821</v>
      </c>
      <c r="C466" s="84" t="s">
        <v>2016</v>
      </c>
      <c r="D466" s="48">
        <v>4596</v>
      </c>
      <c r="E466" s="48">
        <v>17.37</v>
      </c>
      <c r="F466" s="784">
        <f t="shared" si="18"/>
        <v>19.260000000000002</v>
      </c>
      <c r="G466" s="8" t="s">
        <v>822</v>
      </c>
      <c r="H466" s="666" t="str">
        <f t="shared" si="19"/>
        <v>Regelzone Amprion (gesamt)</v>
      </c>
      <c r="I466" s="662"/>
    </row>
    <row r="467" spans="1:9" hidden="1" outlineLevel="1">
      <c r="A467" s="89">
        <v>2022</v>
      </c>
      <c r="B467" s="75" t="s">
        <v>821</v>
      </c>
      <c r="C467" s="84" t="s">
        <v>2029</v>
      </c>
      <c r="D467" s="48">
        <v>-4596</v>
      </c>
      <c r="E467" s="48">
        <v>-2.6</v>
      </c>
      <c r="F467" s="784">
        <f>ROUND(D467*0.06285/100,2)</f>
        <v>-2.89</v>
      </c>
      <c r="G467" s="8" t="s">
        <v>822</v>
      </c>
      <c r="H467" s="666" t="str">
        <f t="shared" si="19"/>
        <v>Regelzone Amprion (gesamt)</v>
      </c>
      <c r="I467" s="662"/>
    </row>
    <row r="468" spans="1:9" hidden="1" outlineLevel="1">
      <c r="A468" s="89">
        <v>2022</v>
      </c>
      <c r="B468" s="75" t="s">
        <v>823</v>
      </c>
      <c r="C468" s="84" t="s">
        <v>2016</v>
      </c>
      <c r="D468" s="48">
        <v>-1510</v>
      </c>
      <c r="E468" s="48">
        <v>-5.71</v>
      </c>
      <c r="F468" s="784">
        <f t="shared" ref="F468:F474" si="20">ROUND(D468*0.419/100,2)</f>
        <v>-6.33</v>
      </c>
      <c r="G468" s="8" t="s">
        <v>824</v>
      </c>
      <c r="H468" s="666" t="str">
        <f t="shared" si="19"/>
        <v>Regelzone Amprion (gesamt)</v>
      </c>
      <c r="I468" s="662"/>
    </row>
    <row r="469" spans="1:9" hidden="1" outlineLevel="1">
      <c r="A469" s="89">
        <v>2022</v>
      </c>
      <c r="B469" s="75" t="s">
        <v>827</v>
      </c>
      <c r="C469" s="84" t="s">
        <v>2016</v>
      </c>
      <c r="D469" s="48">
        <v>9564</v>
      </c>
      <c r="E469" s="48">
        <v>36.15</v>
      </c>
      <c r="F469" s="784">
        <f t="shared" si="20"/>
        <v>40.07</v>
      </c>
      <c r="G469" s="8" t="s">
        <v>828</v>
      </c>
      <c r="H469" s="666" t="str">
        <f t="shared" si="19"/>
        <v>Regelzone Amprion (gesamt)</v>
      </c>
      <c r="I469" s="662"/>
    </row>
    <row r="470" spans="1:9" hidden="1" outlineLevel="1">
      <c r="A470" s="89">
        <v>2022</v>
      </c>
      <c r="B470" s="75" t="s">
        <v>829</v>
      </c>
      <c r="C470" s="84" t="s">
        <v>2016</v>
      </c>
      <c r="D470" s="48">
        <v>211054</v>
      </c>
      <c r="E470" s="48">
        <v>797.79</v>
      </c>
      <c r="F470" s="784">
        <f t="shared" si="20"/>
        <v>884.32</v>
      </c>
      <c r="G470" s="8" t="s">
        <v>830</v>
      </c>
      <c r="H470" s="666" t="str">
        <f t="shared" si="19"/>
        <v>Regelzone Amprion (gesamt)</v>
      </c>
      <c r="I470" s="662"/>
    </row>
    <row r="471" spans="1:9" hidden="1" outlineLevel="1">
      <c r="A471" s="89">
        <v>2022</v>
      </c>
      <c r="B471" s="75" t="s">
        <v>833</v>
      </c>
      <c r="C471" s="84" t="s">
        <v>2016</v>
      </c>
      <c r="D471" s="48">
        <v>44733</v>
      </c>
      <c r="E471" s="48">
        <v>169.09</v>
      </c>
      <c r="F471" s="784">
        <f t="shared" si="20"/>
        <v>187.43</v>
      </c>
      <c r="G471" s="8" t="s">
        <v>834</v>
      </c>
      <c r="H471" s="666" t="str">
        <f t="shared" si="19"/>
        <v>Regelzone Amprion (gesamt)</v>
      </c>
      <c r="I471" s="662"/>
    </row>
    <row r="472" spans="1:9" hidden="1" outlineLevel="1">
      <c r="A472" s="89">
        <v>2022</v>
      </c>
      <c r="B472" s="75" t="s">
        <v>835</v>
      </c>
      <c r="C472" s="84" t="s">
        <v>2016</v>
      </c>
      <c r="D472" s="48">
        <v>-37931</v>
      </c>
      <c r="E472" s="48">
        <v>-143.38</v>
      </c>
      <c r="F472" s="784">
        <f t="shared" si="20"/>
        <v>-158.93</v>
      </c>
      <c r="G472" s="8" t="s">
        <v>836</v>
      </c>
      <c r="H472" s="666" t="str">
        <f t="shared" si="19"/>
        <v>Regelzone Amprion (gesamt)</v>
      </c>
      <c r="I472" s="662"/>
    </row>
    <row r="473" spans="1:9" hidden="1" outlineLevel="1">
      <c r="A473" s="89">
        <v>2022</v>
      </c>
      <c r="B473" s="75" t="s">
        <v>841</v>
      </c>
      <c r="C473" s="84" t="s">
        <v>2016</v>
      </c>
      <c r="D473" s="48">
        <v>-4158</v>
      </c>
      <c r="E473" s="48">
        <v>-15.72</v>
      </c>
      <c r="F473" s="784">
        <f t="shared" si="20"/>
        <v>-17.420000000000002</v>
      </c>
      <c r="G473" s="8" t="s">
        <v>842</v>
      </c>
      <c r="H473" s="666" t="str">
        <f t="shared" si="19"/>
        <v>Regelzone Amprion (gesamt)</v>
      </c>
      <c r="I473" s="662"/>
    </row>
    <row r="474" spans="1:9" ht="13.5" hidden="1" outlineLevel="1" thickBot="1">
      <c r="A474" s="610">
        <v>2022</v>
      </c>
      <c r="B474" s="76" t="s">
        <v>398</v>
      </c>
      <c r="C474" s="770" t="s">
        <v>2016</v>
      </c>
      <c r="D474" s="49">
        <v>-48802</v>
      </c>
      <c r="E474" s="49">
        <v>-184.47</v>
      </c>
      <c r="F474" s="785">
        <f t="shared" si="20"/>
        <v>-204.48</v>
      </c>
      <c r="G474" s="8" t="s">
        <v>399</v>
      </c>
      <c r="H474" s="666" t="str">
        <f t="shared" si="19"/>
        <v>Regelzone Amprion (gesamt)</v>
      </c>
      <c r="I474" s="662"/>
    </row>
    <row r="475" spans="1:9" hidden="1" outlineLevel="1">
      <c r="A475" s="89">
        <v>2023</v>
      </c>
      <c r="B475" s="80" t="s">
        <v>86</v>
      </c>
      <c r="C475" s="625" t="s">
        <v>2016</v>
      </c>
      <c r="D475" s="55">
        <v>61568</v>
      </c>
      <c r="E475" s="55">
        <v>219.8</v>
      </c>
      <c r="F475" s="74">
        <f>ROUND(D475*0.591/100,2)</f>
        <v>363.87</v>
      </c>
      <c r="G475" s="8" t="s">
        <v>87</v>
      </c>
      <c r="H475" s="666" t="str">
        <f t="shared" si="19"/>
        <v>Regelzone Amprion (gesamt)</v>
      </c>
      <c r="I475" s="662"/>
    </row>
    <row r="476" spans="1:9" hidden="1" outlineLevel="1">
      <c r="A476" s="89">
        <v>2023</v>
      </c>
      <c r="B476" s="80" t="s">
        <v>407</v>
      </c>
      <c r="C476" s="625" t="s">
        <v>2016</v>
      </c>
      <c r="D476" s="55">
        <v>1170845</v>
      </c>
      <c r="E476" s="55">
        <v>4179.92</v>
      </c>
      <c r="F476" s="74">
        <f>ROUND(D476*0.591/100,2)</f>
        <v>6919.69</v>
      </c>
      <c r="G476" s="8" t="s">
        <v>408</v>
      </c>
      <c r="H476" s="666" t="str">
        <f t="shared" ref="H476:H507" si="21">+H475</f>
        <v>Regelzone Amprion (gesamt)</v>
      </c>
      <c r="I476" s="662"/>
    </row>
    <row r="477" spans="1:9" hidden="1" outlineLevel="1">
      <c r="A477" s="89">
        <v>2023</v>
      </c>
      <c r="B477" s="80" t="s">
        <v>411</v>
      </c>
      <c r="C477" s="625" t="s">
        <v>2022</v>
      </c>
      <c r="D477" s="55">
        <v>2213</v>
      </c>
      <c r="E477" s="55">
        <v>0.66</v>
      </c>
      <c r="F477" s="55">
        <v>0.66</v>
      </c>
      <c r="G477" s="8" t="s">
        <v>412</v>
      </c>
      <c r="H477" s="666" t="str">
        <f t="shared" si="21"/>
        <v>Regelzone Amprion (gesamt)</v>
      </c>
      <c r="I477" s="662"/>
    </row>
    <row r="478" spans="1:9" hidden="1" outlineLevel="1">
      <c r="A478" s="89">
        <v>2023</v>
      </c>
      <c r="B478" s="80" t="s">
        <v>411</v>
      </c>
      <c r="C478" s="625" t="s">
        <v>2016</v>
      </c>
      <c r="D478" s="55">
        <v>-1329195</v>
      </c>
      <c r="E478" s="55">
        <v>-4745.2299999999996</v>
      </c>
      <c r="F478" s="74">
        <f>ROUND(D478*0.591/100,2)</f>
        <v>-7855.54</v>
      </c>
      <c r="G478" s="8" t="s">
        <v>412</v>
      </c>
      <c r="H478" s="666" t="str">
        <f t="shared" si="21"/>
        <v>Regelzone Amprion (gesamt)</v>
      </c>
      <c r="I478" s="662"/>
    </row>
    <row r="479" spans="1:9" hidden="1" outlineLevel="1">
      <c r="A479" s="89">
        <v>2023</v>
      </c>
      <c r="B479" s="80" t="s">
        <v>413</v>
      </c>
      <c r="C479" s="625" t="s">
        <v>2016</v>
      </c>
      <c r="D479" s="55">
        <v>-1227904</v>
      </c>
      <c r="E479" s="55">
        <v>-4383.62</v>
      </c>
      <c r="F479" s="74">
        <f t="shared" ref="F479:F498" si="22">ROUND(D479*0.591/100,2)</f>
        <v>-7256.91</v>
      </c>
      <c r="G479" s="8" t="s">
        <v>414</v>
      </c>
      <c r="H479" s="666" t="str">
        <f t="shared" si="21"/>
        <v>Regelzone Amprion (gesamt)</v>
      </c>
      <c r="I479" s="662"/>
    </row>
    <row r="480" spans="1:9" hidden="1" outlineLevel="1">
      <c r="A480" s="89">
        <v>2023</v>
      </c>
      <c r="B480" s="80" t="s">
        <v>417</v>
      </c>
      <c r="C480" s="625" t="s">
        <v>2016</v>
      </c>
      <c r="D480" s="55">
        <v>17018819</v>
      </c>
      <c r="E480" s="55">
        <v>60757.18</v>
      </c>
      <c r="F480" s="74">
        <f t="shared" si="22"/>
        <v>100581.22</v>
      </c>
      <c r="G480" s="8" t="s">
        <v>418</v>
      </c>
      <c r="H480" s="666" t="str">
        <f t="shared" si="21"/>
        <v>Regelzone Amprion (gesamt)</v>
      </c>
      <c r="I480" s="662"/>
    </row>
    <row r="481" spans="1:9" hidden="1" outlineLevel="1">
      <c r="A481" s="89">
        <v>2023</v>
      </c>
      <c r="B481" s="80" t="s">
        <v>419</v>
      </c>
      <c r="C481" s="625" t="s">
        <v>2016</v>
      </c>
      <c r="D481" s="55">
        <v>26539386</v>
      </c>
      <c r="E481" s="55">
        <v>94745.600000000006</v>
      </c>
      <c r="F481" s="74">
        <f t="shared" si="22"/>
        <v>156847.76999999999</v>
      </c>
      <c r="G481" s="8" t="s">
        <v>420</v>
      </c>
      <c r="H481" s="666" t="str">
        <f t="shared" si="21"/>
        <v>Regelzone Amprion (gesamt)</v>
      </c>
      <c r="I481" s="662"/>
    </row>
    <row r="482" spans="1:9" hidden="1" outlineLevel="1">
      <c r="A482" s="89">
        <v>2023</v>
      </c>
      <c r="B482" s="80" t="s">
        <v>421</v>
      </c>
      <c r="C482" s="625" t="s">
        <v>2016</v>
      </c>
      <c r="D482" s="55">
        <v>-1345411</v>
      </c>
      <c r="E482" s="55">
        <v>-4803.12</v>
      </c>
      <c r="F482" s="74">
        <f t="shared" si="22"/>
        <v>-7951.38</v>
      </c>
      <c r="G482" s="8" t="s">
        <v>422</v>
      </c>
      <c r="H482" s="666" t="str">
        <f t="shared" si="21"/>
        <v>Regelzone Amprion (gesamt)</v>
      </c>
      <c r="I482" s="662"/>
    </row>
    <row r="483" spans="1:9" hidden="1" outlineLevel="1">
      <c r="A483" s="89">
        <v>2023</v>
      </c>
      <c r="B483" s="80" t="s">
        <v>423</v>
      </c>
      <c r="C483" s="625" t="s">
        <v>2016</v>
      </c>
      <c r="D483" s="55">
        <v>-71610</v>
      </c>
      <c r="E483" s="55">
        <v>-255.64</v>
      </c>
      <c r="F483" s="74">
        <f t="shared" si="22"/>
        <v>-423.22</v>
      </c>
      <c r="G483" s="8" t="s">
        <v>424</v>
      </c>
      <c r="H483" s="666" t="str">
        <f t="shared" si="21"/>
        <v>Regelzone Amprion (gesamt)</v>
      </c>
      <c r="I483" s="662"/>
    </row>
    <row r="484" spans="1:9" hidden="1" outlineLevel="1">
      <c r="A484" s="89">
        <v>2023</v>
      </c>
      <c r="B484" s="80" t="s">
        <v>429</v>
      </c>
      <c r="C484" s="625" t="s">
        <v>2016</v>
      </c>
      <c r="D484" s="55">
        <v>971462</v>
      </c>
      <c r="E484" s="55">
        <v>3468.12</v>
      </c>
      <c r="F484" s="74">
        <f t="shared" si="22"/>
        <v>5741.34</v>
      </c>
      <c r="G484" s="8" t="s">
        <v>430</v>
      </c>
      <c r="H484" s="666" t="str">
        <f t="shared" si="21"/>
        <v>Regelzone Amprion (gesamt)</v>
      </c>
      <c r="I484" s="662"/>
    </row>
    <row r="485" spans="1:9" hidden="1" outlineLevel="1">
      <c r="A485" s="89">
        <v>2023</v>
      </c>
      <c r="B485" s="80" t="s">
        <v>435</v>
      </c>
      <c r="C485" s="625" t="s">
        <v>2016</v>
      </c>
      <c r="D485" s="55">
        <v>-1105931</v>
      </c>
      <c r="E485" s="55">
        <v>-3948.18</v>
      </c>
      <c r="F485" s="74">
        <f t="shared" si="22"/>
        <v>-6536.05</v>
      </c>
      <c r="G485" s="8" t="s">
        <v>436</v>
      </c>
      <c r="H485" s="666" t="str">
        <f t="shared" si="21"/>
        <v>Regelzone Amprion (gesamt)</v>
      </c>
      <c r="I485" s="662"/>
    </row>
    <row r="486" spans="1:9" hidden="1" outlineLevel="1">
      <c r="A486" s="89">
        <v>2023</v>
      </c>
      <c r="B486" s="80" t="s">
        <v>437</v>
      </c>
      <c r="C486" s="625" t="s">
        <v>2016</v>
      </c>
      <c r="D486" s="55">
        <v>10413994</v>
      </c>
      <c r="E486" s="55">
        <v>37177.96</v>
      </c>
      <c r="F486" s="74">
        <f t="shared" si="22"/>
        <v>61546.7</v>
      </c>
      <c r="G486" s="8" t="s">
        <v>438</v>
      </c>
      <c r="H486" s="666" t="str">
        <f t="shared" si="21"/>
        <v>Regelzone Amprion (gesamt)</v>
      </c>
      <c r="I486" s="662"/>
    </row>
    <row r="487" spans="1:9" hidden="1" outlineLevel="1">
      <c r="A487" s="89">
        <v>2023</v>
      </c>
      <c r="B487" s="80" t="s">
        <v>439</v>
      </c>
      <c r="C487" s="625" t="s">
        <v>2016</v>
      </c>
      <c r="D487" s="55">
        <v>-773133</v>
      </c>
      <c r="E487" s="55">
        <v>-2760.08</v>
      </c>
      <c r="F487" s="74">
        <f t="shared" si="22"/>
        <v>-4569.22</v>
      </c>
      <c r="G487" s="8" t="s">
        <v>440</v>
      </c>
      <c r="H487" s="666" t="str">
        <f t="shared" si="21"/>
        <v>Regelzone Amprion (gesamt)</v>
      </c>
      <c r="I487" s="662"/>
    </row>
    <row r="488" spans="1:9" hidden="1" outlineLevel="1">
      <c r="A488" s="89">
        <v>2023</v>
      </c>
      <c r="B488" s="80" t="s">
        <v>443</v>
      </c>
      <c r="C488" s="625" t="s">
        <v>2016</v>
      </c>
      <c r="D488" s="55">
        <v>-31979</v>
      </c>
      <c r="E488" s="55">
        <v>-114.16</v>
      </c>
      <c r="F488" s="74">
        <f t="shared" si="22"/>
        <v>-189</v>
      </c>
      <c r="G488" s="8" t="s">
        <v>444</v>
      </c>
      <c r="H488" s="666" t="str">
        <f t="shared" si="21"/>
        <v>Regelzone Amprion (gesamt)</v>
      </c>
      <c r="I488" s="662"/>
    </row>
    <row r="489" spans="1:9" hidden="1" outlineLevel="1">
      <c r="A489" s="89">
        <v>2023</v>
      </c>
      <c r="B489" s="80" t="s">
        <v>445</v>
      </c>
      <c r="C489" s="625" t="s">
        <v>2016</v>
      </c>
      <c r="D489" s="55">
        <v>2155</v>
      </c>
      <c r="E489" s="55">
        <v>7.7</v>
      </c>
      <c r="F489" s="74">
        <f t="shared" si="22"/>
        <v>12.74</v>
      </c>
      <c r="G489" s="8" t="s">
        <v>446</v>
      </c>
      <c r="H489" s="666" t="str">
        <f t="shared" si="21"/>
        <v>Regelzone Amprion (gesamt)</v>
      </c>
      <c r="I489" s="662"/>
    </row>
    <row r="490" spans="1:9" hidden="1" outlineLevel="1">
      <c r="A490" s="89">
        <v>2023</v>
      </c>
      <c r="B490" s="80" t="s">
        <v>447</v>
      </c>
      <c r="C490" s="625" t="s">
        <v>2016</v>
      </c>
      <c r="D490" s="55">
        <v>-417458</v>
      </c>
      <c r="E490" s="55">
        <v>-1490.32</v>
      </c>
      <c r="F490" s="74">
        <f t="shared" si="22"/>
        <v>-2467.1799999999998</v>
      </c>
      <c r="G490" s="8" t="s">
        <v>448</v>
      </c>
      <c r="H490" s="666" t="str">
        <f t="shared" si="21"/>
        <v>Regelzone Amprion (gesamt)</v>
      </c>
      <c r="I490" s="662"/>
    </row>
    <row r="491" spans="1:9" hidden="1" outlineLevel="1">
      <c r="A491" s="89">
        <v>2023</v>
      </c>
      <c r="B491" s="80" t="s">
        <v>451</v>
      </c>
      <c r="C491" s="625" t="s">
        <v>2016</v>
      </c>
      <c r="D491" s="55">
        <v>546915</v>
      </c>
      <c r="E491" s="55">
        <v>1952.49</v>
      </c>
      <c r="F491" s="74">
        <f t="shared" si="22"/>
        <v>3232.27</v>
      </c>
      <c r="G491" s="8" t="s">
        <v>452</v>
      </c>
      <c r="H491" s="666" t="str">
        <f t="shared" si="21"/>
        <v>Regelzone Amprion (gesamt)</v>
      </c>
      <c r="I491" s="662"/>
    </row>
    <row r="492" spans="1:9" hidden="1" outlineLevel="1">
      <c r="A492" s="89">
        <v>2023</v>
      </c>
      <c r="B492" s="80" t="s">
        <v>453</v>
      </c>
      <c r="C492" s="625" t="s">
        <v>2016</v>
      </c>
      <c r="D492" s="55">
        <v>-143874</v>
      </c>
      <c r="E492" s="55">
        <v>-513.63</v>
      </c>
      <c r="F492" s="74">
        <f t="shared" si="22"/>
        <v>-850.3</v>
      </c>
      <c r="G492" s="8" t="s">
        <v>454</v>
      </c>
      <c r="H492" s="666" t="str">
        <f t="shared" si="21"/>
        <v>Regelzone Amprion (gesamt)</v>
      </c>
      <c r="I492" s="662"/>
    </row>
    <row r="493" spans="1:9" hidden="1" outlineLevel="1">
      <c r="A493" s="89">
        <v>2023</v>
      </c>
      <c r="B493" s="80" t="s">
        <v>455</v>
      </c>
      <c r="C493" s="625" t="s">
        <v>2016</v>
      </c>
      <c r="D493" s="55">
        <v>115289</v>
      </c>
      <c r="E493" s="55">
        <v>411.58</v>
      </c>
      <c r="F493" s="74">
        <f t="shared" si="22"/>
        <v>681.36</v>
      </c>
      <c r="G493" s="8" t="s">
        <v>456</v>
      </c>
      <c r="H493" s="666" t="str">
        <f t="shared" si="21"/>
        <v>Regelzone Amprion (gesamt)</v>
      </c>
      <c r="I493" s="662"/>
    </row>
    <row r="494" spans="1:9" hidden="1" outlineLevel="1">
      <c r="A494" s="89">
        <v>2023</v>
      </c>
      <c r="B494" s="80" t="s">
        <v>457</v>
      </c>
      <c r="C494" s="625" t="s">
        <v>2016</v>
      </c>
      <c r="D494" s="55">
        <v>-23685</v>
      </c>
      <c r="E494" s="55">
        <v>-84.55</v>
      </c>
      <c r="F494" s="74">
        <f t="shared" si="22"/>
        <v>-139.97999999999999</v>
      </c>
      <c r="G494" s="8" t="s">
        <v>458</v>
      </c>
      <c r="H494" s="666" t="str">
        <f t="shared" si="21"/>
        <v>Regelzone Amprion (gesamt)</v>
      </c>
      <c r="I494" s="662"/>
    </row>
    <row r="495" spans="1:9" hidden="1" outlineLevel="1">
      <c r="A495" s="89">
        <v>2023</v>
      </c>
      <c r="B495" s="80" t="s">
        <v>459</v>
      </c>
      <c r="C495" s="625" t="s">
        <v>2016</v>
      </c>
      <c r="D495" s="55">
        <v>242798</v>
      </c>
      <c r="E495" s="55">
        <v>866.79</v>
      </c>
      <c r="F495" s="74">
        <f t="shared" si="22"/>
        <v>1434.94</v>
      </c>
      <c r="G495" s="8" t="s">
        <v>460</v>
      </c>
      <c r="H495" s="666" t="str">
        <f t="shared" si="21"/>
        <v>Regelzone Amprion (gesamt)</v>
      </c>
      <c r="I495" s="662"/>
    </row>
    <row r="496" spans="1:9" hidden="1" outlineLevel="1">
      <c r="A496" s="89">
        <v>2023</v>
      </c>
      <c r="B496" s="80" t="s">
        <v>461</v>
      </c>
      <c r="C496" s="625" t="s">
        <v>2016</v>
      </c>
      <c r="D496" s="55">
        <v>160458</v>
      </c>
      <c r="E496" s="55">
        <v>572.83000000000004</v>
      </c>
      <c r="F496" s="74">
        <f t="shared" si="22"/>
        <v>948.31</v>
      </c>
      <c r="G496" s="8" t="s">
        <v>462</v>
      </c>
      <c r="H496" s="666" t="str">
        <f t="shared" si="21"/>
        <v>Regelzone Amprion (gesamt)</v>
      </c>
      <c r="I496" s="662"/>
    </row>
    <row r="497" spans="1:9" hidden="1" outlineLevel="1">
      <c r="A497" s="89">
        <v>2023</v>
      </c>
      <c r="B497" s="80" t="s">
        <v>463</v>
      </c>
      <c r="C497" s="625" t="s">
        <v>2016</v>
      </c>
      <c r="D497" s="55">
        <v>-20076228</v>
      </c>
      <c r="E497" s="55">
        <v>-71672.13</v>
      </c>
      <c r="F497" s="74">
        <f t="shared" si="22"/>
        <v>-118650.51</v>
      </c>
      <c r="G497" s="8" t="s">
        <v>464</v>
      </c>
      <c r="H497" s="666" t="str">
        <f t="shared" si="21"/>
        <v>Regelzone Amprion (gesamt)</v>
      </c>
      <c r="I497" s="662"/>
    </row>
    <row r="498" spans="1:9" hidden="1" outlineLevel="1">
      <c r="A498" s="89">
        <v>2023</v>
      </c>
      <c r="B498" s="80" t="s">
        <v>465</v>
      </c>
      <c r="C498" s="625" t="s">
        <v>2016</v>
      </c>
      <c r="D498" s="55">
        <v>-22818</v>
      </c>
      <c r="E498" s="55">
        <v>-81.459999999999994</v>
      </c>
      <c r="F498" s="74">
        <f t="shared" si="22"/>
        <v>-134.85</v>
      </c>
      <c r="G498" s="8" t="s">
        <v>466</v>
      </c>
      <c r="H498" s="666" t="str">
        <f t="shared" si="21"/>
        <v>Regelzone Amprion (gesamt)</v>
      </c>
      <c r="I498" s="662"/>
    </row>
    <row r="499" spans="1:9" hidden="1" outlineLevel="1">
      <c r="A499" s="89">
        <v>2023</v>
      </c>
      <c r="B499" s="80" t="s">
        <v>469</v>
      </c>
      <c r="C499" s="625" t="s">
        <v>2017</v>
      </c>
      <c r="D499" s="55">
        <v>-100247</v>
      </c>
      <c r="E499" s="55">
        <v>-40.1</v>
      </c>
      <c r="F499" s="55">
        <v>-40.1</v>
      </c>
      <c r="G499" s="8" t="s">
        <v>470</v>
      </c>
      <c r="H499" s="666" t="str">
        <f t="shared" si="21"/>
        <v>Regelzone Amprion (gesamt)</v>
      </c>
      <c r="I499" s="662"/>
    </row>
    <row r="500" spans="1:9" hidden="1" outlineLevel="1">
      <c r="A500" s="89">
        <v>2023</v>
      </c>
      <c r="B500" s="80" t="s">
        <v>469</v>
      </c>
      <c r="C500" s="625" t="s">
        <v>2022</v>
      </c>
      <c r="D500" s="55">
        <v>1100247</v>
      </c>
      <c r="E500" s="55">
        <v>330.07</v>
      </c>
      <c r="F500" s="55">
        <v>330.07</v>
      </c>
      <c r="G500" s="8" t="s">
        <v>470</v>
      </c>
      <c r="H500" s="666" t="str">
        <f t="shared" si="21"/>
        <v>Regelzone Amprion (gesamt)</v>
      </c>
      <c r="I500" s="662"/>
    </row>
    <row r="501" spans="1:9" hidden="1" outlineLevel="1">
      <c r="A501" s="89">
        <v>2023</v>
      </c>
      <c r="B501" s="80" t="s">
        <v>469</v>
      </c>
      <c r="C501" s="625" t="s">
        <v>2016</v>
      </c>
      <c r="D501" s="55">
        <v>-196475181</v>
      </c>
      <c r="E501" s="55">
        <v>-701416.39</v>
      </c>
      <c r="F501" s="74">
        <f t="shared" ref="F501:F538" si="23">ROUND(D501*0.591/100,2)</f>
        <v>-1161168.32</v>
      </c>
      <c r="G501" s="8" t="s">
        <v>470</v>
      </c>
      <c r="H501" s="666" t="str">
        <f t="shared" si="21"/>
        <v>Regelzone Amprion (gesamt)</v>
      </c>
      <c r="I501" s="662"/>
    </row>
    <row r="502" spans="1:9" hidden="1" outlineLevel="1">
      <c r="A502" s="89">
        <v>2023</v>
      </c>
      <c r="B502" s="80" t="s">
        <v>471</v>
      </c>
      <c r="C502" s="625" t="s">
        <v>2016</v>
      </c>
      <c r="D502" s="55">
        <v>-1307613</v>
      </c>
      <c r="E502" s="55">
        <v>-4668.18</v>
      </c>
      <c r="F502" s="74">
        <f t="shared" si="23"/>
        <v>-7727.99</v>
      </c>
      <c r="G502" s="8" t="s">
        <v>472</v>
      </c>
      <c r="H502" s="666" t="str">
        <f t="shared" si="21"/>
        <v>Regelzone Amprion (gesamt)</v>
      </c>
      <c r="I502" s="662"/>
    </row>
    <row r="503" spans="1:9" hidden="1" outlineLevel="1">
      <c r="A503" s="89">
        <v>2023</v>
      </c>
      <c r="B503" s="80" t="s">
        <v>475</v>
      </c>
      <c r="C503" s="625" t="s">
        <v>2016</v>
      </c>
      <c r="D503" s="55">
        <v>-143318</v>
      </c>
      <c r="E503" s="55">
        <v>-511.65</v>
      </c>
      <c r="F503" s="74">
        <f t="shared" si="23"/>
        <v>-847.01</v>
      </c>
      <c r="G503" s="8" t="s">
        <v>476</v>
      </c>
      <c r="H503" s="666" t="str">
        <f t="shared" si="21"/>
        <v>Regelzone Amprion (gesamt)</v>
      </c>
      <c r="I503" s="662"/>
    </row>
    <row r="504" spans="1:9" hidden="1" outlineLevel="1">
      <c r="A504" s="89">
        <v>2023</v>
      </c>
      <c r="B504" s="80" t="s">
        <v>477</v>
      </c>
      <c r="C504" s="625" t="s">
        <v>2017</v>
      </c>
      <c r="D504" s="55">
        <v>-9895758</v>
      </c>
      <c r="E504" s="55">
        <v>-3958.3</v>
      </c>
      <c r="F504" s="55">
        <v>-3958.3</v>
      </c>
      <c r="G504" s="8" t="s">
        <v>478</v>
      </c>
      <c r="H504" s="666" t="str">
        <f t="shared" si="21"/>
        <v>Regelzone Amprion (gesamt)</v>
      </c>
      <c r="I504" s="662"/>
    </row>
    <row r="505" spans="1:9" hidden="1" outlineLevel="1">
      <c r="A505" s="89">
        <v>2023</v>
      </c>
      <c r="B505" s="80" t="s">
        <v>477</v>
      </c>
      <c r="C505" s="625" t="s">
        <v>2016</v>
      </c>
      <c r="D505" s="55">
        <v>-30654746</v>
      </c>
      <c r="E505" s="55">
        <v>-109437.44</v>
      </c>
      <c r="F505" s="74">
        <f t="shared" si="23"/>
        <v>-181169.55</v>
      </c>
      <c r="G505" s="8" t="s">
        <v>478</v>
      </c>
      <c r="H505" s="666" t="str">
        <f t="shared" si="21"/>
        <v>Regelzone Amprion (gesamt)</v>
      </c>
      <c r="I505" s="662"/>
    </row>
    <row r="506" spans="1:9" hidden="1" outlineLevel="1">
      <c r="A506" s="89">
        <v>2023</v>
      </c>
      <c r="B506" s="80" t="s">
        <v>477</v>
      </c>
      <c r="C506" s="625" t="s">
        <v>2029</v>
      </c>
      <c r="D506" s="55">
        <v>40147755</v>
      </c>
      <c r="E506" s="55">
        <v>21499.119999999999</v>
      </c>
      <c r="F506" s="74">
        <f>ROUND(D506*0.591/100*15/100,2)</f>
        <v>35590.980000000003</v>
      </c>
      <c r="G506" s="8" t="s">
        <v>478</v>
      </c>
      <c r="H506" s="666" t="str">
        <f t="shared" si="21"/>
        <v>Regelzone Amprion (gesamt)</v>
      </c>
      <c r="I506" s="662"/>
    </row>
    <row r="507" spans="1:9" hidden="1" outlineLevel="1">
      <c r="A507" s="89">
        <v>2023</v>
      </c>
      <c r="B507" s="80" t="s">
        <v>479</v>
      </c>
      <c r="C507" s="625" t="s">
        <v>2016</v>
      </c>
      <c r="D507" s="55">
        <v>-834842</v>
      </c>
      <c r="E507" s="55">
        <v>-2980.39</v>
      </c>
      <c r="F507" s="74">
        <f t="shared" si="23"/>
        <v>-4933.92</v>
      </c>
      <c r="G507" s="8" t="s">
        <v>480</v>
      </c>
      <c r="H507" s="666" t="str">
        <f t="shared" si="21"/>
        <v>Regelzone Amprion (gesamt)</v>
      </c>
      <c r="I507" s="662"/>
    </row>
    <row r="508" spans="1:9" hidden="1" outlineLevel="1">
      <c r="A508" s="89">
        <v>2023</v>
      </c>
      <c r="B508" s="80" t="s">
        <v>485</v>
      </c>
      <c r="C508" s="625" t="s">
        <v>2016</v>
      </c>
      <c r="D508" s="55">
        <v>3600068</v>
      </c>
      <c r="E508" s="55">
        <v>12852.24</v>
      </c>
      <c r="F508" s="74">
        <f t="shared" si="23"/>
        <v>21276.400000000001</v>
      </c>
      <c r="G508" s="8" t="s">
        <v>486</v>
      </c>
      <c r="H508" s="666" t="str">
        <f t="shared" ref="H508:H537" si="24">+H507</f>
        <v>Regelzone Amprion (gesamt)</v>
      </c>
      <c r="I508" s="662"/>
    </row>
    <row r="509" spans="1:9" hidden="1" outlineLevel="1">
      <c r="A509" s="89">
        <v>2023</v>
      </c>
      <c r="B509" s="80" t="s">
        <v>487</v>
      </c>
      <c r="C509" s="625" t="s">
        <v>2016</v>
      </c>
      <c r="D509" s="55">
        <v>1376274</v>
      </c>
      <c r="E509" s="55">
        <v>4913.29</v>
      </c>
      <c r="F509" s="74">
        <f t="shared" si="23"/>
        <v>8133.78</v>
      </c>
      <c r="G509" s="8" t="s">
        <v>488</v>
      </c>
      <c r="H509" s="666" t="str">
        <f t="shared" si="24"/>
        <v>Regelzone Amprion (gesamt)</v>
      </c>
      <c r="I509" s="662"/>
    </row>
    <row r="510" spans="1:9" hidden="1" outlineLevel="1">
      <c r="A510" s="89">
        <v>2023</v>
      </c>
      <c r="B510" s="80" t="s">
        <v>489</v>
      </c>
      <c r="C510" s="625" t="s">
        <v>2016</v>
      </c>
      <c r="D510" s="55">
        <v>126348</v>
      </c>
      <c r="E510" s="55">
        <v>451.06</v>
      </c>
      <c r="F510" s="74">
        <f t="shared" si="23"/>
        <v>746.72</v>
      </c>
      <c r="G510" s="8" t="s">
        <v>490</v>
      </c>
      <c r="H510" s="666" t="str">
        <f t="shared" si="24"/>
        <v>Regelzone Amprion (gesamt)</v>
      </c>
      <c r="I510" s="662"/>
    </row>
    <row r="511" spans="1:9" hidden="1" outlineLevel="1">
      <c r="A511" s="89">
        <v>2023</v>
      </c>
      <c r="B511" s="80" t="s">
        <v>497</v>
      </c>
      <c r="C511" s="625" t="s">
        <v>2016</v>
      </c>
      <c r="D511" s="55">
        <v>-341649</v>
      </c>
      <c r="E511" s="55">
        <v>-1219.69</v>
      </c>
      <c r="F511" s="74">
        <f t="shared" si="23"/>
        <v>-2019.15</v>
      </c>
      <c r="G511" s="8" t="s">
        <v>498</v>
      </c>
      <c r="H511" s="666" t="str">
        <f t="shared" si="24"/>
        <v>Regelzone Amprion (gesamt)</v>
      </c>
      <c r="I511" s="662"/>
    </row>
    <row r="512" spans="1:9" hidden="1" outlineLevel="1">
      <c r="A512" s="89">
        <v>2023</v>
      </c>
      <c r="B512" s="80" t="s">
        <v>499</v>
      </c>
      <c r="C512" s="625" t="s">
        <v>2016</v>
      </c>
      <c r="D512" s="55">
        <v>58712</v>
      </c>
      <c r="E512" s="55">
        <v>209.6</v>
      </c>
      <c r="F512" s="74">
        <f t="shared" si="23"/>
        <v>346.99</v>
      </c>
      <c r="G512" s="8" t="s">
        <v>500</v>
      </c>
      <c r="H512" s="666" t="str">
        <f t="shared" si="24"/>
        <v>Regelzone Amprion (gesamt)</v>
      </c>
      <c r="I512" s="662"/>
    </row>
    <row r="513" spans="1:9" hidden="1" outlineLevel="1">
      <c r="A513" s="89">
        <v>2023</v>
      </c>
      <c r="B513" s="80" t="s">
        <v>503</v>
      </c>
      <c r="C513" s="625" t="s">
        <v>2022</v>
      </c>
      <c r="D513" s="55">
        <v>26632797</v>
      </c>
      <c r="E513" s="55">
        <v>7989.84</v>
      </c>
      <c r="F513" s="55">
        <v>7989.84</v>
      </c>
      <c r="G513" s="8" t="s">
        <v>504</v>
      </c>
      <c r="H513" s="666" t="str">
        <f t="shared" si="24"/>
        <v>Regelzone Amprion (gesamt)</v>
      </c>
      <c r="I513" s="662"/>
    </row>
    <row r="514" spans="1:9" hidden="1" outlineLevel="1">
      <c r="A514" s="89">
        <v>2023</v>
      </c>
      <c r="B514" s="80" t="s">
        <v>503</v>
      </c>
      <c r="C514" s="625" t="s">
        <v>2016</v>
      </c>
      <c r="D514" s="55">
        <v>-26243260</v>
      </c>
      <c r="E514" s="55">
        <v>-93688.43</v>
      </c>
      <c r="F514" s="74">
        <f t="shared" si="23"/>
        <v>-155097.67000000001</v>
      </c>
      <c r="G514" s="8" t="s">
        <v>504</v>
      </c>
      <c r="H514" s="666" t="str">
        <f t="shared" si="24"/>
        <v>Regelzone Amprion (gesamt)</v>
      </c>
      <c r="I514" s="662"/>
    </row>
    <row r="515" spans="1:9" hidden="1" outlineLevel="1">
      <c r="A515" s="89">
        <v>2023</v>
      </c>
      <c r="B515" s="80" t="s">
        <v>505</v>
      </c>
      <c r="C515" s="625" t="s">
        <v>2016</v>
      </c>
      <c r="D515" s="55">
        <v>-170592</v>
      </c>
      <c r="E515" s="55">
        <v>-609.01</v>
      </c>
      <c r="F515" s="74">
        <f t="shared" si="23"/>
        <v>-1008.2</v>
      </c>
      <c r="G515" s="8" t="s">
        <v>506</v>
      </c>
      <c r="H515" s="666" t="str">
        <f t="shared" si="24"/>
        <v>Regelzone Amprion (gesamt)</v>
      </c>
      <c r="I515" s="662"/>
    </row>
    <row r="516" spans="1:9" hidden="1" outlineLevel="1">
      <c r="A516" s="89">
        <v>2023</v>
      </c>
      <c r="B516" s="80" t="s">
        <v>507</v>
      </c>
      <c r="C516" s="625" t="s">
        <v>2016</v>
      </c>
      <c r="D516" s="55">
        <v>-68249</v>
      </c>
      <c r="E516" s="55">
        <v>-243.65</v>
      </c>
      <c r="F516" s="74">
        <f t="shared" si="23"/>
        <v>-403.35</v>
      </c>
      <c r="G516" s="8" t="s">
        <v>508</v>
      </c>
      <c r="H516" s="666" t="str">
        <f t="shared" si="24"/>
        <v>Regelzone Amprion (gesamt)</v>
      </c>
      <c r="I516" s="662"/>
    </row>
    <row r="517" spans="1:9" hidden="1" outlineLevel="1">
      <c r="A517" s="89">
        <v>2023</v>
      </c>
      <c r="B517" s="80" t="s">
        <v>509</v>
      </c>
      <c r="C517" s="625" t="s">
        <v>2016</v>
      </c>
      <c r="D517" s="55">
        <v>-468488</v>
      </c>
      <c r="E517" s="55">
        <v>-1672.5</v>
      </c>
      <c r="F517" s="74">
        <f t="shared" si="23"/>
        <v>-2768.76</v>
      </c>
      <c r="G517" s="8" t="s">
        <v>510</v>
      </c>
      <c r="H517" s="666" t="str">
        <f t="shared" si="24"/>
        <v>Regelzone Amprion (gesamt)</v>
      </c>
      <c r="I517" s="662"/>
    </row>
    <row r="518" spans="1:9" hidden="1" outlineLevel="1">
      <c r="A518" s="89">
        <v>2023</v>
      </c>
      <c r="B518" s="80" t="s">
        <v>172</v>
      </c>
      <c r="C518" s="625" t="s">
        <v>2016</v>
      </c>
      <c r="D518" s="55">
        <v>379797</v>
      </c>
      <c r="E518" s="55">
        <v>1355.87</v>
      </c>
      <c r="F518" s="74">
        <f t="shared" si="23"/>
        <v>2244.6</v>
      </c>
      <c r="G518" s="8" t="s">
        <v>173</v>
      </c>
      <c r="H518" s="666" t="str">
        <f t="shared" si="24"/>
        <v>Regelzone Amprion (gesamt)</v>
      </c>
      <c r="I518" s="662"/>
    </row>
    <row r="519" spans="1:9" hidden="1" outlineLevel="1">
      <c r="A519" s="89">
        <v>2023</v>
      </c>
      <c r="B519" s="80" t="s">
        <v>513</v>
      </c>
      <c r="C519" s="625" t="s">
        <v>2016</v>
      </c>
      <c r="D519" s="55">
        <v>160880</v>
      </c>
      <c r="E519" s="55">
        <v>574.34</v>
      </c>
      <c r="F519" s="74">
        <f t="shared" si="23"/>
        <v>950.8</v>
      </c>
      <c r="G519" s="8" t="s">
        <v>514</v>
      </c>
      <c r="H519" s="666" t="str">
        <f t="shared" si="24"/>
        <v>Regelzone Amprion (gesamt)</v>
      </c>
      <c r="I519" s="662"/>
    </row>
    <row r="520" spans="1:9" hidden="1" outlineLevel="1">
      <c r="A520" s="89">
        <v>2023</v>
      </c>
      <c r="B520" s="80" t="s">
        <v>519</v>
      </c>
      <c r="C520" s="625" t="s">
        <v>2016</v>
      </c>
      <c r="D520" s="55">
        <v>781436</v>
      </c>
      <c r="E520" s="55">
        <v>2789.73</v>
      </c>
      <c r="F520" s="74">
        <f t="shared" si="23"/>
        <v>4618.29</v>
      </c>
      <c r="G520" s="8" t="s">
        <v>520</v>
      </c>
      <c r="H520" s="666" t="str">
        <f t="shared" si="24"/>
        <v>Regelzone Amprion (gesamt)</v>
      </c>
      <c r="I520" s="662"/>
    </row>
    <row r="521" spans="1:9" hidden="1" outlineLevel="1">
      <c r="A521" s="89">
        <v>2023</v>
      </c>
      <c r="B521" s="80" t="s">
        <v>523</v>
      </c>
      <c r="C521" s="625" t="s">
        <v>2016</v>
      </c>
      <c r="D521" s="55">
        <v>3836509</v>
      </c>
      <c r="E521" s="55">
        <v>13696.33</v>
      </c>
      <c r="F521" s="74">
        <f t="shared" si="23"/>
        <v>22673.77</v>
      </c>
      <c r="G521" s="8" t="s">
        <v>524</v>
      </c>
      <c r="H521" s="666" t="str">
        <f t="shared" si="24"/>
        <v>Regelzone Amprion (gesamt)</v>
      </c>
      <c r="I521" s="662"/>
    </row>
    <row r="522" spans="1:9" hidden="1" outlineLevel="1">
      <c r="A522" s="89">
        <v>2023</v>
      </c>
      <c r="B522" s="80" t="s">
        <v>527</v>
      </c>
      <c r="C522" s="625" t="s">
        <v>2016</v>
      </c>
      <c r="D522" s="55">
        <v>-2768116</v>
      </c>
      <c r="E522" s="55">
        <v>-9882.18</v>
      </c>
      <c r="F522" s="74">
        <f t="shared" si="23"/>
        <v>-16359.57</v>
      </c>
      <c r="G522" s="8" t="s">
        <v>528</v>
      </c>
      <c r="H522" s="666" t="str">
        <f t="shared" si="24"/>
        <v>Regelzone Amprion (gesamt)</v>
      </c>
      <c r="I522" s="662"/>
    </row>
    <row r="523" spans="1:9" hidden="1" outlineLevel="1">
      <c r="A523" s="89">
        <v>2023</v>
      </c>
      <c r="B523" s="80" t="s">
        <v>529</v>
      </c>
      <c r="C523" s="625" t="s">
        <v>2016</v>
      </c>
      <c r="D523" s="55">
        <v>-4347</v>
      </c>
      <c r="E523" s="55">
        <v>-15.51</v>
      </c>
      <c r="F523" s="74">
        <f t="shared" si="23"/>
        <v>-25.69</v>
      </c>
      <c r="G523" s="8" t="s">
        <v>530</v>
      </c>
      <c r="H523" s="666" t="str">
        <f t="shared" si="24"/>
        <v>Regelzone Amprion (gesamt)</v>
      </c>
      <c r="I523" s="662"/>
    </row>
    <row r="524" spans="1:9" hidden="1" outlineLevel="1">
      <c r="A524" s="89">
        <v>2023</v>
      </c>
      <c r="B524" s="80" t="s">
        <v>535</v>
      </c>
      <c r="C524" s="625" t="s">
        <v>2016</v>
      </c>
      <c r="D524" s="55">
        <v>1531590</v>
      </c>
      <c r="E524" s="55">
        <v>5467.77</v>
      </c>
      <c r="F524" s="74">
        <f t="shared" si="23"/>
        <v>9051.7000000000007</v>
      </c>
      <c r="G524" s="8" t="s">
        <v>536</v>
      </c>
      <c r="H524" s="666" t="str">
        <f t="shared" si="24"/>
        <v>Regelzone Amprion (gesamt)</v>
      </c>
      <c r="I524" s="662"/>
    </row>
    <row r="525" spans="1:9" hidden="1" outlineLevel="1">
      <c r="A525" s="89">
        <v>2023</v>
      </c>
      <c r="B525" s="80" t="s">
        <v>541</v>
      </c>
      <c r="C525" s="625" t="s">
        <v>2016</v>
      </c>
      <c r="D525" s="55">
        <v>71617906</v>
      </c>
      <c r="E525" s="55">
        <v>255675.92</v>
      </c>
      <c r="F525" s="74">
        <f t="shared" si="23"/>
        <v>423261.82</v>
      </c>
      <c r="G525" s="8" t="s">
        <v>542</v>
      </c>
      <c r="H525" s="666" t="str">
        <f t="shared" si="24"/>
        <v>Regelzone Amprion (gesamt)</v>
      </c>
      <c r="I525" s="662"/>
    </row>
    <row r="526" spans="1:9" hidden="1" outlineLevel="1">
      <c r="A526" s="89">
        <v>2023</v>
      </c>
      <c r="B526" s="80" t="s">
        <v>543</v>
      </c>
      <c r="C526" s="625" t="s">
        <v>2016</v>
      </c>
      <c r="D526" s="55">
        <v>24013</v>
      </c>
      <c r="E526" s="55">
        <v>85.73</v>
      </c>
      <c r="F526" s="74">
        <f t="shared" si="23"/>
        <v>141.91999999999999</v>
      </c>
      <c r="G526" s="8" t="s">
        <v>544</v>
      </c>
      <c r="H526" s="666" t="str">
        <f t="shared" si="24"/>
        <v>Regelzone Amprion (gesamt)</v>
      </c>
      <c r="I526" s="662"/>
    </row>
    <row r="527" spans="1:9" hidden="1" outlineLevel="1">
      <c r="A527" s="89">
        <v>2023</v>
      </c>
      <c r="B527" s="80" t="s">
        <v>545</v>
      </c>
      <c r="C527" s="625" t="s">
        <v>2016</v>
      </c>
      <c r="D527" s="55">
        <v>524857</v>
      </c>
      <c r="E527" s="55">
        <v>1873.74</v>
      </c>
      <c r="F527" s="74">
        <f t="shared" si="23"/>
        <v>3101.9</v>
      </c>
      <c r="G527" s="8" t="s">
        <v>546</v>
      </c>
      <c r="H527" s="666" t="str">
        <f t="shared" si="24"/>
        <v>Regelzone Amprion (gesamt)</v>
      </c>
      <c r="I527" s="662"/>
    </row>
    <row r="528" spans="1:9" hidden="1" outlineLevel="1">
      <c r="A528" s="89">
        <v>2023</v>
      </c>
      <c r="B528" s="80" t="s">
        <v>547</v>
      </c>
      <c r="C528" s="625" t="s">
        <v>2016</v>
      </c>
      <c r="D528" s="55">
        <v>230887</v>
      </c>
      <c r="E528" s="55">
        <v>824.26</v>
      </c>
      <c r="F528" s="74">
        <f t="shared" si="23"/>
        <v>1364.54</v>
      </c>
      <c r="G528" s="8" t="s">
        <v>548</v>
      </c>
      <c r="H528" s="666" t="str">
        <f t="shared" si="24"/>
        <v>Regelzone Amprion (gesamt)</v>
      </c>
      <c r="I528" s="662"/>
    </row>
    <row r="529" spans="1:9" hidden="1" outlineLevel="1">
      <c r="A529" s="89">
        <v>2023</v>
      </c>
      <c r="B529" s="80" t="s">
        <v>549</v>
      </c>
      <c r="C529" s="625" t="s">
        <v>2016</v>
      </c>
      <c r="D529" s="55">
        <v>-121258</v>
      </c>
      <c r="E529" s="55">
        <v>-432.89</v>
      </c>
      <c r="F529" s="74">
        <f t="shared" si="23"/>
        <v>-716.63</v>
      </c>
      <c r="G529" s="8" t="s">
        <v>550</v>
      </c>
      <c r="H529" s="666" t="str">
        <f t="shared" si="24"/>
        <v>Regelzone Amprion (gesamt)</v>
      </c>
      <c r="I529" s="662"/>
    </row>
    <row r="530" spans="1:9" hidden="1" outlineLevel="1">
      <c r="A530" s="89">
        <v>2023</v>
      </c>
      <c r="B530" s="80" t="s">
        <v>551</v>
      </c>
      <c r="C530" s="625" t="s">
        <v>2016</v>
      </c>
      <c r="D530" s="55">
        <v>-2210450</v>
      </c>
      <c r="E530" s="55">
        <v>-7891.31</v>
      </c>
      <c r="F530" s="74">
        <f t="shared" si="23"/>
        <v>-13063.76</v>
      </c>
      <c r="G530" s="8" t="s">
        <v>552</v>
      </c>
      <c r="H530" s="666" t="str">
        <f t="shared" si="24"/>
        <v>Regelzone Amprion (gesamt)</v>
      </c>
      <c r="I530" s="662"/>
    </row>
    <row r="531" spans="1:9" hidden="1" outlineLevel="1">
      <c r="A531" s="89">
        <v>2023</v>
      </c>
      <c r="B531" s="80" t="s">
        <v>553</v>
      </c>
      <c r="C531" s="625" t="s">
        <v>2016</v>
      </c>
      <c r="D531" s="55">
        <v>2159734</v>
      </c>
      <c r="E531" s="55">
        <v>7710.25</v>
      </c>
      <c r="F531" s="74">
        <f t="shared" si="23"/>
        <v>12764.03</v>
      </c>
      <c r="G531" s="8" t="s">
        <v>554</v>
      </c>
      <c r="H531" s="666" t="str">
        <f t="shared" si="24"/>
        <v>Regelzone Amprion (gesamt)</v>
      </c>
      <c r="I531" s="662"/>
    </row>
    <row r="532" spans="1:9" hidden="1" outlineLevel="1">
      <c r="A532" s="89">
        <v>2023</v>
      </c>
      <c r="B532" s="80" t="s">
        <v>555</v>
      </c>
      <c r="C532" s="625" t="s">
        <v>2016</v>
      </c>
      <c r="D532" s="55">
        <v>1314820</v>
      </c>
      <c r="E532" s="55">
        <v>4693.91</v>
      </c>
      <c r="F532" s="74">
        <f t="shared" si="23"/>
        <v>7770.59</v>
      </c>
      <c r="G532" s="8" t="s">
        <v>556</v>
      </c>
      <c r="H532" s="666" t="str">
        <f t="shared" si="24"/>
        <v>Regelzone Amprion (gesamt)</v>
      </c>
      <c r="I532" s="662"/>
    </row>
    <row r="533" spans="1:9" hidden="1" outlineLevel="1">
      <c r="A533" s="89">
        <v>2023</v>
      </c>
      <c r="B533" s="80" t="s">
        <v>559</v>
      </c>
      <c r="C533" s="625" t="s">
        <v>2016</v>
      </c>
      <c r="D533" s="55">
        <v>-58215</v>
      </c>
      <c r="E533" s="55">
        <v>-207.83</v>
      </c>
      <c r="F533" s="74">
        <f t="shared" si="23"/>
        <v>-344.05</v>
      </c>
      <c r="G533" s="8" t="s">
        <v>560</v>
      </c>
      <c r="H533" s="666" t="str">
        <f t="shared" si="24"/>
        <v>Regelzone Amprion (gesamt)</v>
      </c>
      <c r="I533" s="662"/>
    </row>
    <row r="534" spans="1:9" hidden="1" outlineLevel="1">
      <c r="A534" s="89">
        <v>2023</v>
      </c>
      <c r="B534" s="80" t="s">
        <v>561</v>
      </c>
      <c r="C534" s="625" t="s">
        <v>2016</v>
      </c>
      <c r="D534" s="55">
        <v>-3397</v>
      </c>
      <c r="E534" s="55">
        <v>-12.13</v>
      </c>
      <c r="F534" s="74">
        <f t="shared" si="23"/>
        <v>-20.079999999999998</v>
      </c>
      <c r="G534" s="8" t="s">
        <v>562</v>
      </c>
      <c r="H534" s="666" t="str">
        <f t="shared" si="24"/>
        <v>Regelzone Amprion (gesamt)</v>
      </c>
      <c r="I534" s="662"/>
    </row>
    <row r="535" spans="1:9" hidden="1" outlineLevel="1">
      <c r="A535" s="89">
        <v>2023</v>
      </c>
      <c r="B535" s="80" t="s">
        <v>563</v>
      </c>
      <c r="C535" s="625" t="s">
        <v>2016</v>
      </c>
      <c r="D535" s="55">
        <v>-1836607</v>
      </c>
      <c r="E535" s="55">
        <v>-6556.69</v>
      </c>
      <c r="F535" s="74">
        <f t="shared" si="23"/>
        <v>-10854.35</v>
      </c>
      <c r="G535" s="8" t="s">
        <v>564</v>
      </c>
      <c r="H535" s="666" t="str">
        <f t="shared" si="24"/>
        <v>Regelzone Amprion (gesamt)</v>
      </c>
      <c r="I535" s="662"/>
    </row>
    <row r="536" spans="1:9" hidden="1" outlineLevel="1">
      <c r="A536" s="89">
        <v>2023</v>
      </c>
      <c r="B536" s="80" t="s">
        <v>567</v>
      </c>
      <c r="C536" s="625" t="s">
        <v>2016</v>
      </c>
      <c r="D536" s="55">
        <v>-16683235</v>
      </c>
      <c r="E536" s="55">
        <v>-59559.15</v>
      </c>
      <c r="F536" s="74">
        <f t="shared" si="23"/>
        <v>-98597.92</v>
      </c>
      <c r="G536" s="8" t="s">
        <v>568</v>
      </c>
      <c r="H536" s="666" t="str">
        <f t="shared" si="24"/>
        <v>Regelzone Amprion (gesamt)</v>
      </c>
      <c r="I536" s="662"/>
    </row>
    <row r="537" spans="1:9" hidden="1" outlineLevel="1">
      <c r="A537" s="89">
        <v>2023</v>
      </c>
      <c r="B537" s="80" t="s">
        <v>573</v>
      </c>
      <c r="C537" s="625" t="s">
        <v>2016</v>
      </c>
      <c r="D537" s="55">
        <v>4748335</v>
      </c>
      <c r="E537" s="55">
        <v>16951.55</v>
      </c>
      <c r="F537" s="74">
        <f t="shared" si="23"/>
        <v>28062.66</v>
      </c>
      <c r="G537" s="8" t="s">
        <v>574</v>
      </c>
      <c r="H537" s="666" t="str">
        <f t="shared" si="24"/>
        <v>Regelzone Amprion (gesamt)</v>
      </c>
      <c r="I537" s="662"/>
    </row>
    <row r="538" spans="1:9" hidden="1" outlineLevel="1">
      <c r="A538" s="89">
        <v>2023</v>
      </c>
      <c r="B538" s="75" t="s">
        <v>575</v>
      </c>
      <c r="C538" s="84" t="s">
        <v>2016</v>
      </c>
      <c r="D538" s="48">
        <v>86550</v>
      </c>
      <c r="E538" s="48">
        <v>308.98</v>
      </c>
      <c r="F538" s="74">
        <f t="shared" si="23"/>
        <v>511.51</v>
      </c>
      <c r="G538" s="8" t="s">
        <v>576</v>
      </c>
      <c r="H538" s="666" t="str">
        <f>+H475</f>
        <v>Regelzone Amprion (gesamt)</v>
      </c>
      <c r="I538" s="662"/>
    </row>
    <row r="539" spans="1:9" hidden="1" outlineLevel="1">
      <c r="A539" s="89">
        <v>2023</v>
      </c>
      <c r="B539" s="75" t="s">
        <v>577</v>
      </c>
      <c r="C539" s="84" t="s">
        <v>2017</v>
      </c>
      <c r="D539" s="48">
        <v>1010797</v>
      </c>
      <c r="E539" s="48">
        <v>404.32</v>
      </c>
      <c r="F539" s="48">
        <v>404.32</v>
      </c>
      <c r="G539" s="8" t="s">
        <v>578</v>
      </c>
      <c r="H539" s="666" t="str">
        <f t="shared" si="19"/>
        <v>Regelzone Amprion (gesamt)</v>
      </c>
      <c r="I539" s="662"/>
    </row>
    <row r="540" spans="1:9" hidden="1" outlineLevel="1">
      <c r="A540" s="89">
        <v>2023</v>
      </c>
      <c r="B540" s="75" t="s">
        <v>577</v>
      </c>
      <c r="C540" s="84" t="s">
        <v>2022</v>
      </c>
      <c r="D540" s="48">
        <v>6689049</v>
      </c>
      <c r="E540" s="48">
        <v>2006.72</v>
      </c>
      <c r="F540" s="48">
        <v>2006.72</v>
      </c>
      <c r="G540" s="8" t="s">
        <v>578</v>
      </c>
      <c r="H540" s="666" t="str">
        <f t="shared" si="19"/>
        <v>Regelzone Amprion (gesamt)</v>
      </c>
      <c r="I540" s="662"/>
    </row>
    <row r="541" spans="1:9" hidden="1" outlineLevel="1">
      <c r="A541" s="89">
        <v>2023</v>
      </c>
      <c r="B541" s="75" t="s">
        <v>577</v>
      </c>
      <c r="C541" s="84" t="s">
        <v>2016</v>
      </c>
      <c r="D541" s="48">
        <v>-295028</v>
      </c>
      <c r="E541" s="48">
        <v>-1053.25</v>
      </c>
      <c r="F541" s="74">
        <f t="shared" ref="F541:F565" si="25">ROUND(D541*0.591/100,2)</f>
        <v>-1743.62</v>
      </c>
      <c r="G541" s="8" t="s">
        <v>578</v>
      </c>
      <c r="H541" s="666" t="str">
        <f t="shared" si="19"/>
        <v>Regelzone Amprion (gesamt)</v>
      </c>
      <c r="I541" s="662"/>
    </row>
    <row r="542" spans="1:9" hidden="1" outlineLevel="1">
      <c r="A542" s="89">
        <v>2023</v>
      </c>
      <c r="B542" s="75" t="s">
        <v>579</v>
      </c>
      <c r="C542" s="84" t="s">
        <v>2016</v>
      </c>
      <c r="D542" s="48">
        <v>224018</v>
      </c>
      <c r="E542" s="48">
        <v>799.75</v>
      </c>
      <c r="F542" s="74">
        <f t="shared" si="25"/>
        <v>1323.95</v>
      </c>
      <c r="G542" s="8" t="s">
        <v>580</v>
      </c>
      <c r="H542" s="666" t="str">
        <f t="shared" si="19"/>
        <v>Regelzone Amprion (gesamt)</v>
      </c>
      <c r="I542" s="662"/>
    </row>
    <row r="543" spans="1:9" hidden="1" outlineLevel="1">
      <c r="A543" s="89">
        <v>2023</v>
      </c>
      <c r="B543" s="75" t="s">
        <v>581</v>
      </c>
      <c r="C543" s="84" t="s">
        <v>2016</v>
      </c>
      <c r="D543" s="48">
        <v>663394</v>
      </c>
      <c r="E543" s="48">
        <v>2368.3200000000002</v>
      </c>
      <c r="F543" s="74">
        <f t="shared" si="25"/>
        <v>3920.66</v>
      </c>
      <c r="G543" s="8" t="s">
        <v>582</v>
      </c>
      <c r="H543" s="666" t="str">
        <f t="shared" si="19"/>
        <v>Regelzone Amprion (gesamt)</v>
      </c>
      <c r="I543" s="662"/>
    </row>
    <row r="544" spans="1:9" hidden="1" outlineLevel="1">
      <c r="A544" s="89">
        <v>2023</v>
      </c>
      <c r="B544" s="75" t="s">
        <v>583</v>
      </c>
      <c r="C544" s="84" t="s">
        <v>2016</v>
      </c>
      <c r="D544" s="48">
        <v>-313706</v>
      </c>
      <c r="E544" s="48">
        <v>-1119.93</v>
      </c>
      <c r="F544" s="74">
        <f t="shared" si="25"/>
        <v>-1854</v>
      </c>
      <c r="G544" s="8" t="s">
        <v>584</v>
      </c>
      <c r="H544" s="666" t="str">
        <f t="shared" si="19"/>
        <v>Regelzone Amprion (gesamt)</v>
      </c>
      <c r="I544" s="662"/>
    </row>
    <row r="545" spans="1:9" hidden="1" outlineLevel="1">
      <c r="A545" s="89">
        <v>2023</v>
      </c>
      <c r="B545" s="75" t="s">
        <v>587</v>
      </c>
      <c r="C545" s="84" t="s">
        <v>2016</v>
      </c>
      <c r="D545" s="48">
        <v>355812</v>
      </c>
      <c r="E545" s="48">
        <v>1270.25</v>
      </c>
      <c r="F545" s="74">
        <f t="shared" si="25"/>
        <v>2102.85</v>
      </c>
      <c r="G545" s="8" t="s">
        <v>588</v>
      </c>
      <c r="H545" s="666" t="str">
        <f t="shared" si="19"/>
        <v>Regelzone Amprion (gesamt)</v>
      </c>
      <c r="I545" s="662"/>
    </row>
    <row r="546" spans="1:9" hidden="1" outlineLevel="1">
      <c r="A546" s="89">
        <v>2023</v>
      </c>
      <c r="B546" s="75" t="s">
        <v>589</v>
      </c>
      <c r="C546" s="84" t="s">
        <v>2016</v>
      </c>
      <c r="D546" s="48">
        <v>-598581</v>
      </c>
      <c r="E546" s="48">
        <v>-2136.94</v>
      </c>
      <c r="F546" s="74">
        <f t="shared" si="25"/>
        <v>-3537.61</v>
      </c>
      <c r="G546" s="8" t="s">
        <v>590</v>
      </c>
      <c r="H546" s="666" t="str">
        <f t="shared" si="19"/>
        <v>Regelzone Amprion (gesamt)</v>
      </c>
      <c r="I546" s="662"/>
    </row>
    <row r="547" spans="1:9" hidden="1" outlineLevel="1">
      <c r="A547" s="89">
        <v>2023</v>
      </c>
      <c r="B547" s="75" t="s">
        <v>591</v>
      </c>
      <c r="C547" s="84" t="s">
        <v>2016</v>
      </c>
      <c r="D547" s="48">
        <v>489418</v>
      </c>
      <c r="E547" s="48">
        <v>1747.22</v>
      </c>
      <c r="F547" s="74">
        <f t="shared" si="25"/>
        <v>2892.46</v>
      </c>
      <c r="G547" s="8" t="s">
        <v>592</v>
      </c>
      <c r="H547" s="666" t="str">
        <f t="shared" si="19"/>
        <v>Regelzone Amprion (gesamt)</v>
      </c>
      <c r="I547" s="662"/>
    </row>
    <row r="548" spans="1:9" hidden="1" outlineLevel="1">
      <c r="A548" s="89">
        <v>2023</v>
      </c>
      <c r="B548" s="75" t="s">
        <v>593</v>
      </c>
      <c r="C548" s="84" t="s">
        <v>2016</v>
      </c>
      <c r="D548" s="48">
        <v>822783</v>
      </c>
      <c r="E548" s="48">
        <v>2937.34</v>
      </c>
      <c r="F548" s="74">
        <f t="shared" si="25"/>
        <v>4862.6499999999996</v>
      </c>
      <c r="G548" s="8" t="s">
        <v>594</v>
      </c>
      <c r="H548" s="666" t="str">
        <f t="shared" si="19"/>
        <v>Regelzone Amprion (gesamt)</v>
      </c>
      <c r="I548" s="662"/>
    </row>
    <row r="549" spans="1:9" hidden="1" outlineLevel="1">
      <c r="A549" s="89">
        <v>2023</v>
      </c>
      <c r="B549" s="75" t="s">
        <v>597</v>
      </c>
      <c r="C549" s="84" t="s">
        <v>2016</v>
      </c>
      <c r="D549" s="48">
        <v>102059</v>
      </c>
      <c r="E549" s="48">
        <v>364.35</v>
      </c>
      <c r="F549" s="74">
        <f t="shared" si="25"/>
        <v>603.16999999999996</v>
      </c>
      <c r="G549" s="8" t="s">
        <v>598</v>
      </c>
      <c r="H549" s="666" t="str">
        <f t="shared" si="19"/>
        <v>Regelzone Amprion (gesamt)</v>
      </c>
      <c r="I549" s="662"/>
    </row>
    <row r="550" spans="1:9" hidden="1" outlineLevel="1">
      <c r="A550" s="89">
        <v>2023</v>
      </c>
      <c r="B550" s="75" t="s">
        <v>601</v>
      </c>
      <c r="C550" s="84" t="s">
        <v>2016</v>
      </c>
      <c r="D550" s="48">
        <v>395774</v>
      </c>
      <c r="E550" s="48">
        <v>1412.92</v>
      </c>
      <c r="F550" s="74">
        <f t="shared" si="25"/>
        <v>2339.02</v>
      </c>
      <c r="G550" s="8" t="s">
        <v>602</v>
      </c>
      <c r="H550" s="666" t="str">
        <f t="shared" si="19"/>
        <v>Regelzone Amprion (gesamt)</v>
      </c>
      <c r="I550" s="662"/>
    </row>
    <row r="551" spans="1:9" hidden="1" outlineLevel="1">
      <c r="A551" s="89">
        <v>2023</v>
      </c>
      <c r="B551" s="75" t="s">
        <v>603</v>
      </c>
      <c r="C551" s="84" t="s">
        <v>2016</v>
      </c>
      <c r="D551" s="48">
        <v>2513678</v>
      </c>
      <c r="E551" s="48">
        <v>8973.83</v>
      </c>
      <c r="F551" s="74">
        <f t="shared" si="25"/>
        <v>14855.84</v>
      </c>
      <c r="G551" s="8" t="s">
        <v>604</v>
      </c>
      <c r="H551" s="666" t="str">
        <f t="shared" si="19"/>
        <v>Regelzone Amprion (gesamt)</v>
      </c>
      <c r="I551" s="662"/>
    </row>
    <row r="552" spans="1:9" hidden="1" outlineLevel="1">
      <c r="A552" s="89">
        <v>2023</v>
      </c>
      <c r="B552" s="75" t="s">
        <v>607</v>
      </c>
      <c r="C552" s="84" t="s">
        <v>2016</v>
      </c>
      <c r="D552" s="48">
        <v>555243</v>
      </c>
      <c r="E552" s="48">
        <v>1982.21</v>
      </c>
      <c r="F552" s="74">
        <f t="shared" si="25"/>
        <v>3281.49</v>
      </c>
      <c r="G552" s="8" t="s">
        <v>608</v>
      </c>
      <c r="H552" s="666" t="str">
        <f t="shared" si="19"/>
        <v>Regelzone Amprion (gesamt)</v>
      </c>
      <c r="I552" s="662"/>
    </row>
    <row r="553" spans="1:9" hidden="1" outlineLevel="1">
      <c r="A553" s="89">
        <v>2023</v>
      </c>
      <c r="B553" s="75" t="s">
        <v>609</v>
      </c>
      <c r="C553" s="84" t="s">
        <v>2016</v>
      </c>
      <c r="D553" s="48">
        <v>235693</v>
      </c>
      <c r="E553" s="48">
        <v>841.42</v>
      </c>
      <c r="F553" s="74">
        <f t="shared" si="25"/>
        <v>1392.95</v>
      </c>
      <c r="G553" s="8" t="s">
        <v>610</v>
      </c>
      <c r="H553" s="666" t="str">
        <f t="shared" si="19"/>
        <v>Regelzone Amprion (gesamt)</v>
      </c>
      <c r="I553" s="662"/>
    </row>
    <row r="554" spans="1:9" hidden="1" outlineLevel="1">
      <c r="A554" s="89">
        <v>2023</v>
      </c>
      <c r="B554" s="75" t="s">
        <v>611</v>
      </c>
      <c r="C554" s="84" t="s">
        <v>2016</v>
      </c>
      <c r="D554" s="48">
        <v>-1566082</v>
      </c>
      <c r="E554" s="48">
        <v>-5590.92</v>
      </c>
      <c r="F554" s="74">
        <f t="shared" si="25"/>
        <v>-9255.5400000000009</v>
      </c>
      <c r="G554" s="8" t="s">
        <v>612</v>
      </c>
      <c r="H554" s="666" t="str">
        <f t="shared" si="19"/>
        <v>Regelzone Amprion (gesamt)</v>
      </c>
      <c r="I554" s="662"/>
    </row>
    <row r="555" spans="1:9" hidden="1" outlineLevel="1">
      <c r="A555" s="89">
        <v>2023</v>
      </c>
      <c r="B555" s="75" t="s">
        <v>613</v>
      </c>
      <c r="C555" s="84" t="s">
        <v>2016</v>
      </c>
      <c r="D555" s="48">
        <v>26767</v>
      </c>
      <c r="E555" s="48">
        <v>95.56</v>
      </c>
      <c r="F555" s="74">
        <f t="shared" si="25"/>
        <v>158.19</v>
      </c>
      <c r="G555" s="8" t="s">
        <v>614</v>
      </c>
      <c r="H555" s="666" t="str">
        <f t="shared" si="19"/>
        <v>Regelzone Amprion (gesamt)</v>
      </c>
      <c r="I555" s="662"/>
    </row>
    <row r="556" spans="1:9" hidden="1" outlineLevel="1">
      <c r="A556" s="89">
        <v>2023</v>
      </c>
      <c r="B556" s="75" t="s">
        <v>621</v>
      </c>
      <c r="C556" s="84" t="s">
        <v>2016</v>
      </c>
      <c r="D556" s="48">
        <v>-664154</v>
      </c>
      <c r="E556" s="48">
        <v>-2371.0300000000002</v>
      </c>
      <c r="F556" s="74">
        <f t="shared" si="25"/>
        <v>-3925.15</v>
      </c>
      <c r="G556" s="8" t="s">
        <v>622</v>
      </c>
      <c r="H556" s="666" t="str">
        <f t="shared" si="19"/>
        <v>Regelzone Amprion (gesamt)</v>
      </c>
      <c r="I556" s="662"/>
    </row>
    <row r="557" spans="1:9" hidden="1" outlineLevel="1">
      <c r="A557" s="89">
        <v>2023</v>
      </c>
      <c r="B557" s="75" t="s">
        <v>623</v>
      </c>
      <c r="C557" s="84" t="s">
        <v>2016</v>
      </c>
      <c r="D557" s="48">
        <v>298338</v>
      </c>
      <c r="E557" s="48">
        <v>1065.07</v>
      </c>
      <c r="F557" s="74">
        <f t="shared" si="25"/>
        <v>1763.18</v>
      </c>
      <c r="G557" s="8" t="s">
        <v>624</v>
      </c>
      <c r="H557" s="666" t="str">
        <f t="shared" si="19"/>
        <v>Regelzone Amprion (gesamt)</v>
      </c>
      <c r="I557" s="662"/>
    </row>
    <row r="558" spans="1:9" hidden="1" outlineLevel="1">
      <c r="A558" s="89">
        <v>2023</v>
      </c>
      <c r="B558" s="75" t="s">
        <v>625</v>
      </c>
      <c r="C558" s="84" t="s">
        <v>2016</v>
      </c>
      <c r="D558" s="48">
        <v>-97330</v>
      </c>
      <c r="E558" s="48">
        <v>-347.47</v>
      </c>
      <c r="F558" s="74">
        <f t="shared" si="25"/>
        <v>-575.22</v>
      </c>
      <c r="G558" s="8" t="s">
        <v>626</v>
      </c>
      <c r="H558" s="666" t="str">
        <f t="shared" si="19"/>
        <v>Regelzone Amprion (gesamt)</v>
      </c>
      <c r="I558" s="662"/>
    </row>
    <row r="559" spans="1:9" hidden="1" outlineLevel="1">
      <c r="A559" s="89">
        <v>2023</v>
      </c>
      <c r="B559" s="75" t="s">
        <v>631</v>
      </c>
      <c r="C559" s="84" t="s">
        <v>2016</v>
      </c>
      <c r="D559" s="48">
        <v>-787116</v>
      </c>
      <c r="E559" s="48">
        <v>-2810</v>
      </c>
      <c r="F559" s="74">
        <f t="shared" si="25"/>
        <v>-4651.8599999999997</v>
      </c>
      <c r="G559" s="8" t="s">
        <v>632</v>
      </c>
      <c r="H559" s="666" t="str">
        <f t="shared" ref="H559:H622" si="26">+H558</f>
        <v>Regelzone Amprion (gesamt)</v>
      </c>
      <c r="I559" s="662"/>
    </row>
    <row r="560" spans="1:9" hidden="1" outlineLevel="1">
      <c r="A560" s="89">
        <v>2023</v>
      </c>
      <c r="B560" s="75" t="s">
        <v>637</v>
      </c>
      <c r="C560" s="84" t="s">
        <v>2016</v>
      </c>
      <c r="D560" s="48">
        <v>-348303</v>
      </c>
      <c r="E560" s="48">
        <v>-1243.44</v>
      </c>
      <c r="F560" s="74">
        <f t="shared" si="25"/>
        <v>-2058.4699999999998</v>
      </c>
      <c r="G560" s="8" t="s">
        <v>638</v>
      </c>
      <c r="H560" s="666" t="str">
        <f t="shared" si="26"/>
        <v>Regelzone Amprion (gesamt)</v>
      </c>
      <c r="I560" s="662"/>
    </row>
    <row r="561" spans="1:9" hidden="1" outlineLevel="1">
      <c r="A561" s="89">
        <v>2023</v>
      </c>
      <c r="B561" s="75" t="s">
        <v>641</v>
      </c>
      <c r="C561" s="84" t="s">
        <v>2016</v>
      </c>
      <c r="D561" s="48">
        <v>35760</v>
      </c>
      <c r="E561" s="48">
        <v>127.67</v>
      </c>
      <c r="F561" s="74">
        <f t="shared" si="25"/>
        <v>211.34</v>
      </c>
      <c r="G561" s="8" t="s">
        <v>642</v>
      </c>
      <c r="H561" s="666" t="str">
        <f t="shared" si="26"/>
        <v>Regelzone Amprion (gesamt)</v>
      </c>
      <c r="I561" s="662"/>
    </row>
    <row r="562" spans="1:9" hidden="1" outlineLevel="1">
      <c r="A562" s="89">
        <v>2023</v>
      </c>
      <c r="B562" s="75" t="s">
        <v>643</v>
      </c>
      <c r="C562" s="84" t="s">
        <v>2016</v>
      </c>
      <c r="D562" s="48">
        <v>-178523</v>
      </c>
      <c r="E562" s="48">
        <v>-637.33000000000004</v>
      </c>
      <c r="F562" s="74">
        <f t="shared" si="25"/>
        <v>-1055.07</v>
      </c>
      <c r="G562" s="8" t="s">
        <v>644</v>
      </c>
      <c r="H562" s="666" t="str">
        <f t="shared" si="26"/>
        <v>Regelzone Amprion (gesamt)</v>
      </c>
      <c r="I562" s="662"/>
    </row>
    <row r="563" spans="1:9" hidden="1" outlineLevel="1">
      <c r="A563" s="89">
        <v>2023</v>
      </c>
      <c r="B563" s="75" t="s">
        <v>645</v>
      </c>
      <c r="C563" s="84" t="s">
        <v>2016</v>
      </c>
      <c r="D563" s="48">
        <v>-1573843</v>
      </c>
      <c r="E563" s="48">
        <v>-5618.62</v>
      </c>
      <c r="F563" s="74">
        <f t="shared" si="25"/>
        <v>-9301.41</v>
      </c>
      <c r="G563" s="8" t="s">
        <v>646</v>
      </c>
      <c r="H563" s="666" t="str">
        <f t="shared" si="26"/>
        <v>Regelzone Amprion (gesamt)</v>
      </c>
      <c r="I563" s="662"/>
    </row>
    <row r="564" spans="1:9" hidden="1" outlineLevel="1">
      <c r="A564" s="89">
        <v>2023</v>
      </c>
      <c r="B564" s="75" t="s">
        <v>649</v>
      </c>
      <c r="C564" s="84" t="s">
        <v>2016</v>
      </c>
      <c r="D564" s="48">
        <v>-21867</v>
      </c>
      <c r="E564" s="48">
        <v>-78.06</v>
      </c>
      <c r="F564" s="74">
        <f t="shared" si="25"/>
        <v>-129.22999999999999</v>
      </c>
      <c r="G564" s="8" t="s">
        <v>650</v>
      </c>
      <c r="H564" s="666" t="str">
        <f t="shared" si="26"/>
        <v>Regelzone Amprion (gesamt)</v>
      </c>
      <c r="I564" s="662"/>
    </row>
    <row r="565" spans="1:9" hidden="1" outlineLevel="1">
      <c r="A565" s="89">
        <v>2023</v>
      </c>
      <c r="B565" s="75" t="s">
        <v>653</v>
      </c>
      <c r="C565" s="84" t="s">
        <v>2016</v>
      </c>
      <c r="D565" s="48">
        <v>64056</v>
      </c>
      <c r="E565" s="48">
        <v>228.68</v>
      </c>
      <c r="F565" s="74">
        <f t="shared" si="25"/>
        <v>378.57</v>
      </c>
      <c r="G565" s="8" t="s">
        <v>654</v>
      </c>
      <c r="H565" s="666" t="str">
        <f t="shared" si="26"/>
        <v>Regelzone Amprion (gesamt)</v>
      </c>
      <c r="I565" s="662"/>
    </row>
    <row r="566" spans="1:9" hidden="1" outlineLevel="1">
      <c r="A566" s="89">
        <v>2023</v>
      </c>
      <c r="B566" s="75" t="s">
        <v>655</v>
      </c>
      <c r="C566" s="84" t="s">
        <v>2017</v>
      </c>
      <c r="D566" s="48">
        <v>-358644</v>
      </c>
      <c r="E566" s="48">
        <v>-143.46</v>
      </c>
      <c r="F566" s="48">
        <v>-143.46</v>
      </c>
      <c r="G566" s="8" t="s">
        <v>578</v>
      </c>
      <c r="H566" s="666" t="str">
        <f t="shared" si="26"/>
        <v>Regelzone Amprion (gesamt)</v>
      </c>
      <c r="I566" s="662"/>
    </row>
    <row r="567" spans="1:9" hidden="1" outlineLevel="1">
      <c r="A567" s="89">
        <v>2023</v>
      </c>
      <c r="B567" s="75" t="s">
        <v>655</v>
      </c>
      <c r="C567" s="84" t="s">
        <v>2022</v>
      </c>
      <c r="D567" s="48">
        <v>-154717</v>
      </c>
      <c r="E567" s="48">
        <v>-46.42</v>
      </c>
      <c r="F567" s="48">
        <v>-46.42</v>
      </c>
      <c r="G567" s="8" t="s">
        <v>578</v>
      </c>
      <c r="H567" s="666" t="str">
        <f t="shared" si="26"/>
        <v>Regelzone Amprion (gesamt)</v>
      </c>
      <c r="I567" s="662"/>
    </row>
    <row r="568" spans="1:9" hidden="1" outlineLevel="1">
      <c r="A568" s="89">
        <v>2023</v>
      </c>
      <c r="B568" s="75" t="s">
        <v>655</v>
      </c>
      <c r="C568" s="84" t="s">
        <v>2016</v>
      </c>
      <c r="D568" s="48">
        <v>749744</v>
      </c>
      <c r="E568" s="48">
        <v>2676.59</v>
      </c>
      <c r="F568" s="74">
        <f t="shared" ref="F568:F633" si="27">ROUND(D568*0.591/100,2)</f>
        <v>4430.99</v>
      </c>
      <c r="G568" s="8" t="s">
        <v>578</v>
      </c>
      <c r="H568" s="666" t="str">
        <f t="shared" si="26"/>
        <v>Regelzone Amprion (gesamt)</v>
      </c>
      <c r="I568" s="662"/>
    </row>
    <row r="569" spans="1:9" hidden="1" outlineLevel="1">
      <c r="A569" s="89">
        <v>2023</v>
      </c>
      <c r="B569" s="75" t="s">
        <v>658</v>
      </c>
      <c r="C569" s="84" t="s">
        <v>2016</v>
      </c>
      <c r="D569" s="48">
        <v>-74836</v>
      </c>
      <c r="E569" s="48">
        <v>-267.16000000000003</v>
      </c>
      <c r="F569" s="74">
        <f t="shared" si="27"/>
        <v>-442.28</v>
      </c>
      <c r="G569" s="8" t="s">
        <v>659</v>
      </c>
      <c r="H569" s="666" t="str">
        <f t="shared" si="26"/>
        <v>Regelzone Amprion (gesamt)</v>
      </c>
      <c r="I569" s="662"/>
    </row>
    <row r="570" spans="1:9" hidden="1" outlineLevel="1">
      <c r="A570" s="89">
        <v>2023</v>
      </c>
      <c r="B570" s="75" t="s">
        <v>660</v>
      </c>
      <c r="C570" s="84" t="s">
        <v>2016</v>
      </c>
      <c r="D570" s="48">
        <v>-64116</v>
      </c>
      <c r="E570" s="48">
        <v>-228.9</v>
      </c>
      <c r="F570" s="74">
        <f t="shared" si="27"/>
        <v>-378.93</v>
      </c>
      <c r="G570" s="8" t="s">
        <v>661</v>
      </c>
      <c r="H570" s="666" t="str">
        <f t="shared" si="26"/>
        <v>Regelzone Amprion (gesamt)</v>
      </c>
      <c r="I570" s="662"/>
    </row>
    <row r="571" spans="1:9" hidden="1" outlineLevel="1">
      <c r="A571" s="89">
        <v>2023</v>
      </c>
      <c r="B571" s="75" t="s">
        <v>664</v>
      </c>
      <c r="C571" s="84" t="s">
        <v>2016</v>
      </c>
      <c r="D571" s="48">
        <v>-1922145</v>
      </c>
      <c r="E571" s="48">
        <v>-6862.06</v>
      </c>
      <c r="F571" s="74">
        <f t="shared" si="27"/>
        <v>-11359.88</v>
      </c>
      <c r="G571" s="8" t="s">
        <v>665</v>
      </c>
      <c r="H571" s="666" t="str">
        <f t="shared" si="26"/>
        <v>Regelzone Amprion (gesamt)</v>
      </c>
      <c r="I571" s="662"/>
    </row>
    <row r="572" spans="1:9" hidden="1" outlineLevel="1">
      <c r="A572" s="89">
        <v>2023</v>
      </c>
      <c r="B572" s="75" t="s">
        <v>666</v>
      </c>
      <c r="C572" s="84" t="s">
        <v>2016</v>
      </c>
      <c r="D572" s="48">
        <v>1897629</v>
      </c>
      <c r="E572" s="48">
        <v>6774.53</v>
      </c>
      <c r="F572" s="74">
        <f t="shared" si="27"/>
        <v>11214.99</v>
      </c>
      <c r="G572" s="8" t="s">
        <v>667</v>
      </c>
      <c r="H572" s="666" t="str">
        <f t="shared" si="26"/>
        <v>Regelzone Amprion (gesamt)</v>
      </c>
      <c r="I572" s="662"/>
    </row>
    <row r="573" spans="1:9" hidden="1" outlineLevel="1">
      <c r="A573" s="89">
        <v>2023</v>
      </c>
      <c r="B573" s="75" t="s">
        <v>668</v>
      </c>
      <c r="C573" s="84" t="s">
        <v>2016</v>
      </c>
      <c r="D573" s="48">
        <v>-100209</v>
      </c>
      <c r="E573" s="48">
        <v>-357.75</v>
      </c>
      <c r="F573" s="74">
        <f t="shared" si="27"/>
        <v>-592.24</v>
      </c>
      <c r="G573" s="8" t="s">
        <v>669</v>
      </c>
      <c r="H573" s="666" t="str">
        <f t="shared" si="26"/>
        <v>Regelzone Amprion (gesamt)</v>
      </c>
      <c r="I573" s="662"/>
    </row>
    <row r="574" spans="1:9" hidden="1" outlineLevel="1">
      <c r="A574" s="89">
        <v>2023</v>
      </c>
      <c r="B574" s="75" t="s">
        <v>670</v>
      </c>
      <c r="C574" s="84" t="s">
        <v>2017</v>
      </c>
      <c r="D574" s="48">
        <v>4720257</v>
      </c>
      <c r="E574" s="48">
        <v>1888.1</v>
      </c>
      <c r="F574" s="48">
        <v>1888.1</v>
      </c>
      <c r="G574" s="8" t="s">
        <v>671</v>
      </c>
      <c r="H574" s="666" t="str">
        <f t="shared" si="26"/>
        <v>Regelzone Amprion (gesamt)</v>
      </c>
      <c r="I574" s="662"/>
    </row>
    <row r="575" spans="1:9" hidden="1" outlineLevel="1">
      <c r="A575" s="89">
        <v>2023</v>
      </c>
      <c r="B575" s="75" t="s">
        <v>670</v>
      </c>
      <c r="C575" s="31" t="s">
        <v>2016</v>
      </c>
      <c r="D575" s="48">
        <v>-4514236</v>
      </c>
      <c r="E575" s="48">
        <v>-16115.82</v>
      </c>
      <c r="F575" s="74">
        <f t="shared" si="27"/>
        <v>-26679.13</v>
      </c>
      <c r="G575" s="8" t="s">
        <v>671</v>
      </c>
      <c r="H575" s="666" t="str">
        <f t="shared" si="26"/>
        <v>Regelzone Amprion (gesamt)</v>
      </c>
      <c r="I575" s="662"/>
    </row>
    <row r="576" spans="1:9" hidden="1" outlineLevel="1">
      <c r="A576" s="89">
        <v>2023</v>
      </c>
      <c r="B576" s="75" t="s">
        <v>674</v>
      </c>
      <c r="C576" s="84" t="s">
        <v>2016</v>
      </c>
      <c r="D576" s="48">
        <v>32436</v>
      </c>
      <c r="E576" s="48">
        <v>115.8</v>
      </c>
      <c r="F576" s="74">
        <f t="shared" si="27"/>
        <v>191.7</v>
      </c>
      <c r="G576" s="8" t="s">
        <v>675</v>
      </c>
      <c r="H576" s="666" t="str">
        <f t="shared" si="26"/>
        <v>Regelzone Amprion (gesamt)</v>
      </c>
      <c r="I576" s="662"/>
    </row>
    <row r="577" spans="1:9" hidden="1" outlineLevel="1">
      <c r="A577" s="89">
        <v>2023</v>
      </c>
      <c r="B577" s="75" t="s">
        <v>676</v>
      </c>
      <c r="C577" s="84" t="s">
        <v>2016</v>
      </c>
      <c r="D577" s="48">
        <v>255078</v>
      </c>
      <c r="E577" s="48">
        <v>910.63</v>
      </c>
      <c r="F577" s="74">
        <f t="shared" si="27"/>
        <v>1507.51</v>
      </c>
      <c r="G577" s="8" t="s">
        <v>677</v>
      </c>
      <c r="H577" s="666" t="str">
        <f t="shared" si="26"/>
        <v>Regelzone Amprion (gesamt)</v>
      </c>
      <c r="I577" s="662"/>
    </row>
    <row r="578" spans="1:9" hidden="1" outlineLevel="1">
      <c r="A578" s="89">
        <v>2023</v>
      </c>
      <c r="B578" s="75" t="s">
        <v>678</v>
      </c>
      <c r="C578" s="84" t="s">
        <v>2016</v>
      </c>
      <c r="D578" s="48">
        <v>-211107</v>
      </c>
      <c r="E578" s="48">
        <v>-753.66</v>
      </c>
      <c r="F578" s="74">
        <f t="shared" si="27"/>
        <v>-1247.6400000000001</v>
      </c>
      <c r="G578" s="8" t="s">
        <v>679</v>
      </c>
      <c r="H578" s="666" t="str">
        <f t="shared" si="26"/>
        <v>Regelzone Amprion (gesamt)</v>
      </c>
      <c r="I578" s="662"/>
    </row>
    <row r="579" spans="1:9" hidden="1" outlineLevel="1">
      <c r="A579" s="89">
        <v>2023</v>
      </c>
      <c r="B579" s="75" t="s">
        <v>682</v>
      </c>
      <c r="C579" s="84" t="s">
        <v>2016</v>
      </c>
      <c r="D579" s="48">
        <v>-1526276</v>
      </c>
      <c r="E579" s="48">
        <v>-5448.81</v>
      </c>
      <c r="F579" s="74">
        <f t="shared" si="27"/>
        <v>-9020.2900000000009</v>
      </c>
      <c r="G579" s="8" t="s">
        <v>683</v>
      </c>
      <c r="H579" s="666" t="str">
        <f t="shared" si="26"/>
        <v>Regelzone Amprion (gesamt)</v>
      </c>
      <c r="I579" s="662"/>
    </row>
    <row r="580" spans="1:9" hidden="1" outlineLevel="1">
      <c r="A580" s="89">
        <v>2023</v>
      </c>
      <c r="B580" s="75" t="s">
        <v>692</v>
      </c>
      <c r="C580" s="84" t="s">
        <v>2016</v>
      </c>
      <c r="D580" s="48">
        <v>-8701828</v>
      </c>
      <c r="E580" s="48">
        <v>-31065.52</v>
      </c>
      <c r="F580" s="74">
        <f t="shared" si="27"/>
        <v>-51427.8</v>
      </c>
      <c r="G580" s="8" t="s">
        <v>693</v>
      </c>
      <c r="H580" s="666" t="str">
        <f t="shared" si="26"/>
        <v>Regelzone Amprion (gesamt)</v>
      </c>
      <c r="I580" s="662"/>
    </row>
    <row r="581" spans="1:9" hidden="1" outlineLevel="1">
      <c r="A581" s="89">
        <v>2023</v>
      </c>
      <c r="B581" s="75" t="s">
        <v>694</v>
      </c>
      <c r="C581" s="84" t="s">
        <v>2016</v>
      </c>
      <c r="D581" s="48">
        <v>-9453</v>
      </c>
      <c r="E581" s="48">
        <v>-33.75</v>
      </c>
      <c r="F581" s="74">
        <f t="shared" si="27"/>
        <v>-55.87</v>
      </c>
      <c r="G581" s="8" t="s">
        <v>695</v>
      </c>
      <c r="H581" s="666" t="str">
        <f t="shared" si="26"/>
        <v>Regelzone Amprion (gesamt)</v>
      </c>
      <c r="I581" s="662"/>
    </row>
    <row r="582" spans="1:9" hidden="1" outlineLevel="1">
      <c r="A582" s="89">
        <v>2023</v>
      </c>
      <c r="B582" s="75" t="s">
        <v>696</v>
      </c>
      <c r="C582" s="84" t="s">
        <v>2016</v>
      </c>
      <c r="D582" s="48">
        <v>400022</v>
      </c>
      <c r="E582" s="48">
        <v>1428.07</v>
      </c>
      <c r="F582" s="74">
        <f t="shared" si="27"/>
        <v>2364.13</v>
      </c>
      <c r="G582" s="8" t="s">
        <v>697</v>
      </c>
      <c r="H582" s="666" t="str">
        <f t="shared" si="26"/>
        <v>Regelzone Amprion (gesamt)</v>
      </c>
      <c r="I582" s="662"/>
    </row>
    <row r="583" spans="1:9" hidden="1" outlineLevel="1">
      <c r="A583" s="89">
        <v>2023</v>
      </c>
      <c r="B583" s="75" t="s">
        <v>698</v>
      </c>
      <c r="C583" s="84" t="s">
        <v>2016</v>
      </c>
      <c r="D583" s="48">
        <v>10380000</v>
      </c>
      <c r="E583" s="48">
        <v>37056.6</v>
      </c>
      <c r="F583" s="74">
        <f t="shared" si="27"/>
        <v>61345.8</v>
      </c>
      <c r="G583" s="8" t="s">
        <v>699</v>
      </c>
      <c r="H583" s="666" t="str">
        <f t="shared" si="26"/>
        <v>Regelzone Amprion (gesamt)</v>
      </c>
      <c r="I583" s="662"/>
    </row>
    <row r="584" spans="1:9" hidden="1" outlineLevel="1">
      <c r="A584" s="89">
        <v>2023</v>
      </c>
      <c r="B584" s="75" t="s">
        <v>700</v>
      </c>
      <c r="C584" s="84" t="s">
        <v>2016</v>
      </c>
      <c r="D584" s="48">
        <v>-35873</v>
      </c>
      <c r="E584" s="48">
        <v>-128.07</v>
      </c>
      <c r="F584" s="74">
        <f t="shared" si="27"/>
        <v>-212.01</v>
      </c>
      <c r="G584" s="8" t="s">
        <v>701</v>
      </c>
      <c r="H584" s="666" t="str">
        <f t="shared" si="26"/>
        <v>Regelzone Amprion (gesamt)</v>
      </c>
      <c r="I584" s="662"/>
    </row>
    <row r="585" spans="1:9" hidden="1" outlineLevel="1">
      <c r="A585" s="89">
        <v>2023</v>
      </c>
      <c r="B585" s="75" t="s">
        <v>702</v>
      </c>
      <c r="C585" s="84" t="s">
        <v>2016</v>
      </c>
      <c r="D585" s="48">
        <v>-725224</v>
      </c>
      <c r="E585" s="48">
        <v>-2589.0500000000002</v>
      </c>
      <c r="F585" s="74">
        <f t="shared" si="27"/>
        <v>-4286.07</v>
      </c>
      <c r="G585" s="8" t="s">
        <v>703</v>
      </c>
      <c r="H585" s="666" t="str">
        <f t="shared" si="26"/>
        <v>Regelzone Amprion (gesamt)</v>
      </c>
      <c r="I585" s="662"/>
    </row>
    <row r="586" spans="1:9" hidden="1" outlineLevel="1">
      <c r="A586" s="89">
        <v>2023</v>
      </c>
      <c r="B586" s="75" t="s">
        <v>706</v>
      </c>
      <c r="C586" s="84" t="s">
        <v>2016</v>
      </c>
      <c r="D586" s="48">
        <v>-6928152</v>
      </c>
      <c r="E586" s="48">
        <v>-24733.51</v>
      </c>
      <c r="F586" s="74">
        <f t="shared" si="27"/>
        <v>-40945.379999999997</v>
      </c>
      <c r="G586" s="8" t="s">
        <v>707</v>
      </c>
      <c r="H586" s="666" t="str">
        <f t="shared" si="26"/>
        <v>Regelzone Amprion (gesamt)</v>
      </c>
      <c r="I586" s="662"/>
    </row>
    <row r="587" spans="1:9" hidden="1" outlineLevel="1">
      <c r="A587" s="89">
        <v>2023</v>
      </c>
      <c r="B587" s="75" t="s">
        <v>708</v>
      </c>
      <c r="C587" s="84" t="s">
        <v>2016</v>
      </c>
      <c r="D587" s="48">
        <v>7396680</v>
      </c>
      <c r="E587" s="48">
        <v>26406.15</v>
      </c>
      <c r="F587" s="74">
        <f t="shared" si="27"/>
        <v>43714.38</v>
      </c>
      <c r="G587" s="8" t="s">
        <v>709</v>
      </c>
      <c r="H587" s="666" t="str">
        <f t="shared" si="26"/>
        <v>Regelzone Amprion (gesamt)</v>
      </c>
      <c r="I587" s="662"/>
    </row>
    <row r="588" spans="1:9" hidden="1" outlineLevel="1">
      <c r="A588" s="89">
        <v>2023</v>
      </c>
      <c r="B588" s="75" t="s">
        <v>710</v>
      </c>
      <c r="C588" s="84" t="s">
        <v>2016</v>
      </c>
      <c r="D588" s="48">
        <v>-791281</v>
      </c>
      <c r="E588" s="48">
        <v>-2824.87</v>
      </c>
      <c r="F588" s="74">
        <f t="shared" si="27"/>
        <v>-4676.47</v>
      </c>
      <c r="G588" s="8" t="s">
        <v>711</v>
      </c>
      <c r="H588" s="666" t="str">
        <f t="shared" si="26"/>
        <v>Regelzone Amprion (gesamt)</v>
      </c>
      <c r="I588" s="662"/>
    </row>
    <row r="589" spans="1:9" hidden="1" outlineLevel="1">
      <c r="A589" s="89">
        <v>2023</v>
      </c>
      <c r="B589" s="75" t="s">
        <v>714</v>
      </c>
      <c r="C589" s="84" t="s">
        <v>2016</v>
      </c>
      <c r="D589" s="48">
        <v>280413</v>
      </c>
      <c r="E589" s="48">
        <v>1001.08</v>
      </c>
      <c r="F589" s="74">
        <f t="shared" si="27"/>
        <v>1657.24</v>
      </c>
      <c r="G589" s="8" t="s">
        <v>715</v>
      </c>
      <c r="H589" s="666" t="str">
        <f t="shared" si="26"/>
        <v>Regelzone Amprion (gesamt)</v>
      </c>
      <c r="I589" s="662"/>
    </row>
    <row r="590" spans="1:9" hidden="1" outlineLevel="1">
      <c r="A590" s="89">
        <v>2023</v>
      </c>
      <c r="B590" s="75" t="s">
        <v>716</v>
      </c>
      <c r="C590" s="84" t="s">
        <v>2016</v>
      </c>
      <c r="D590" s="48">
        <v>60242</v>
      </c>
      <c r="E590" s="48">
        <v>215.07</v>
      </c>
      <c r="F590" s="74">
        <f t="shared" si="27"/>
        <v>356.03</v>
      </c>
      <c r="G590" s="8" t="s">
        <v>717</v>
      </c>
      <c r="H590" s="666" t="str">
        <f t="shared" si="26"/>
        <v>Regelzone Amprion (gesamt)</v>
      </c>
      <c r="I590" s="662"/>
    </row>
    <row r="591" spans="1:9" hidden="1" outlineLevel="1">
      <c r="A591" s="89">
        <v>2023</v>
      </c>
      <c r="B591" s="75" t="s">
        <v>724</v>
      </c>
      <c r="C591" s="84" t="s">
        <v>2016</v>
      </c>
      <c r="D591" s="48">
        <v>1958665</v>
      </c>
      <c r="E591" s="48">
        <v>6992.43</v>
      </c>
      <c r="F591" s="74">
        <f t="shared" si="27"/>
        <v>11575.71</v>
      </c>
      <c r="G591" s="8" t="s">
        <v>725</v>
      </c>
      <c r="H591" s="666" t="str">
        <f t="shared" si="26"/>
        <v>Regelzone Amprion (gesamt)</v>
      </c>
      <c r="I591" s="662"/>
    </row>
    <row r="592" spans="1:9" hidden="1" outlineLevel="1">
      <c r="A592" s="89">
        <v>2023</v>
      </c>
      <c r="B592" s="75" t="s">
        <v>726</v>
      </c>
      <c r="C592" s="84" t="s">
        <v>2016</v>
      </c>
      <c r="D592" s="48">
        <v>-10661438</v>
      </c>
      <c r="E592" s="48">
        <v>-38061.33</v>
      </c>
      <c r="F592" s="74">
        <f t="shared" si="27"/>
        <v>-63009.1</v>
      </c>
      <c r="G592" s="8" t="s">
        <v>727</v>
      </c>
      <c r="H592" s="666" t="str">
        <f t="shared" si="26"/>
        <v>Regelzone Amprion (gesamt)</v>
      </c>
      <c r="I592" s="662"/>
    </row>
    <row r="593" spans="1:9" hidden="1" outlineLevel="1">
      <c r="A593" s="89">
        <v>2023</v>
      </c>
      <c r="B593" s="75" t="s">
        <v>728</v>
      </c>
      <c r="C593" s="84" t="s">
        <v>2016</v>
      </c>
      <c r="D593" s="48">
        <v>-383703</v>
      </c>
      <c r="E593" s="48">
        <v>-1369.82</v>
      </c>
      <c r="F593" s="74">
        <f t="shared" si="27"/>
        <v>-2267.6799999999998</v>
      </c>
      <c r="G593" s="8" t="s">
        <v>729</v>
      </c>
      <c r="H593" s="666" t="str">
        <f t="shared" si="26"/>
        <v>Regelzone Amprion (gesamt)</v>
      </c>
      <c r="I593" s="662"/>
    </row>
    <row r="594" spans="1:9" hidden="1" outlineLevel="1">
      <c r="A594" s="89">
        <v>2023</v>
      </c>
      <c r="B594" s="75" t="s">
        <v>730</v>
      </c>
      <c r="C594" s="84" t="s">
        <v>2016</v>
      </c>
      <c r="D594" s="48">
        <v>-1286567</v>
      </c>
      <c r="E594" s="48">
        <v>-4593.05</v>
      </c>
      <c r="F594" s="74">
        <f t="shared" si="27"/>
        <v>-7603.61</v>
      </c>
      <c r="G594" s="8" t="s">
        <v>731</v>
      </c>
      <c r="H594" s="666" t="str">
        <f t="shared" si="26"/>
        <v>Regelzone Amprion (gesamt)</v>
      </c>
      <c r="I594" s="662"/>
    </row>
    <row r="595" spans="1:9" hidden="1" outlineLevel="1">
      <c r="A595" s="89">
        <v>2023</v>
      </c>
      <c r="B595" s="75" t="s">
        <v>732</v>
      </c>
      <c r="C595" s="84" t="s">
        <v>2016</v>
      </c>
      <c r="D595" s="48">
        <v>60323</v>
      </c>
      <c r="E595" s="48">
        <v>215.35</v>
      </c>
      <c r="F595" s="74">
        <f t="shared" si="27"/>
        <v>356.51</v>
      </c>
      <c r="G595" s="8" t="s">
        <v>733</v>
      </c>
      <c r="H595" s="666" t="str">
        <f t="shared" si="26"/>
        <v>Regelzone Amprion (gesamt)</v>
      </c>
      <c r="I595" s="662"/>
    </row>
    <row r="596" spans="1:9" hidden="1" outlineLevel="1">
      <c r="A596" s="89">
        <v>2023</v>
      </c>
      <c r="B596" s="75" t="s">
        <v>734</v>
      </c>
      <c r="C596" s="84" t="s">
        <v>2016</v>
      </c>
      <c r="D596" s="48">
        <v>-107344</v>
      </c>
      <c r="E596" s="48">
        <v>-383.22</v>
      </c>
      <c r="F596" s="74">
        <f t="shared" si="27"/>
        <v>-634.4</v>
      </c>
      <c r="G596" s="8" t="s">
        <v>735</v>
      </c>
      <c r="H596" s="666" t="str">
        <f t="shared" si="26"/>
        <v>Regelzone Amprion (gesamt)</v>
      </c>
      <c r="I596" s="662"/>
    </row>
    <row r="597" spans="1:9" hidden="1" outlineLevel="1">
      <c r="A597" s="89">
        <v>2023</v>
      </c>
      <c r="B597" s="75" t="s">
        <v>738</v>
      </c>
      <c r="C597" s="84" t="s">
        <v>2016</v>
      </c>
      <c r="D597" s="48">
        <v>917371</v>
      </c>
      <c r="E597" s="48">
        <v>3275.02</v>
      </c>
      <c r="F597" s="74">
        <f t="shared" si="27"/>
        <v>5421.66</v>
      </c>
      <c r="G597" s="8" t="s">
        <v>739</v>
      </c>
      <c r="H597" s="666" t="str">
        <f t="shared" si="26"/>
        <v>Regelzone Amprion (gesamt)</v>
      </c>
      <c r="I597" s="662"/>
    </row>
    <row r="598" spans="1:9" hidden="1" outlineLevel="1">
      <c r="A598" s="89">
        <v>2023</v>
      </c>
      <c r="B598" s="75" t="s">
        <v>742</v>
      </c>
      <c r="C598" s="84" t="s">
        <v>2016</v>
      </c>
      <c r="D598" s="48">
        <v>-2813655</v>
      </c>
      <c r="E598" s="48">
        <v>-10044.75</v>
      </c>
      <c r="F598" s="74">
        <f t="shared" si="27"/>
        <v>-16628.7</v>
      </c>
      <c r="G598" s="8" t="s">
        <v>743</v>
      </c>
      <c r="H598" s="666" t="str">
        <f t="shared" si="26"/>
        <v>Regelzone Amprion (gesamt)</v>
      </c>
      <c r="I598" s="662"/>
    </row>
    <row r="599" spans="1:9" hidden="1" outlineLevel="1">
      <c r="A599" s="89">
        <v>2023</v>
      </c>
      <c r="B599" s="75" t="s">
        <v>744</v>
      </c>
      <c r="C599" s="84" t="s">
        <v>2016</v>
      </c>
      <c r="D599" s="48">
        <v>-85653</v>
      </c>
      <c r="E599" s="48">
        <v>-305.77999999999997</v>
      </c>
      <c r="F599" s="74">
        <f t="shared" si="27"/>
        <v>-506.21</v>
      </c>
      <c r="G599" s="8" t="s">
        <v>745</v>
      </c>
      <c r="H599" s="666" t="str">
        <f t="shared" si="26"/>
        <v>Regelzone Amprion (gesamt)</v>
      </c>
      <c r="I599" s="662"/>
    </row>
    <row r="600" spans="1:9" hidden="1" outlineLevel="1">
      <c r="A600" s="89">
        <v>2023</v>
      </c>
      <c r="B600" s="75" t="s">
        <v>748</v>
      </c>
      <c r="C600" s="84" t="s">
        <v>2016</v>
      </c>
      <c r="D600" s="48">
        <v>638998</v>
      </c>
      <c r="E600" s="48">
        <v>2281.2199999999998</v>
      </c>
      <c r="F600" s="74">
        <f t="shared" si="27"/>
        <v>3776.48</v>
      </c>
      <c r="G600" s="8" t="s">
        <v>749</v>
      </c>
      <c r="H600" s="666" t="str">
        <f t="shared" si="26"/>
        <v>Regelzone Amprion (gesamt)</v>
      </c>
      <c r="I600" s="662"/>
    </row>
    <row r="601" spans="1:9" hidden="1" outlineLevel="1">
      <c r="A601" s="89">
        <v>2023</v>
      </c>
      <c r="B601" s="75" t="s">
        <v>754</v>
      </c>
      <c r="C601" s="84" t="s">
        <v>2016</v>
      </c>
      <c r="D601" s="48">
        <v>-101889</v>
      </c>
      <c r="E601" s="48">
        <v>-363.74</v>
      </c>
      <c r="F601" s="74">
        <f t="shared" si="27"/>
        <v>-602.16</v>
      </c>
      <c r="G601" s="8" t="s">
        <v>755</v>
      </c>
      <c r="H601" s="666" t="str">
        <f t="shared" si="26"/>
        <v>Regelzone Amprion (gesamt)</v>
      </c>
      <c r="I601" s="662"/>
    </row>
    <row r="602" spans="1:9" hidden="1" outlineLevel="1">
      <c r="A602" s="89">
        <v>2023</v>
      </c>
      <c r="B602" s="75" t="s">
        <v>756</v>
      </c>
      <c r="C602" s="84" t="s">
        <v>2016</v>
      </c>
      <c r="D602" s="48">
        <v>1168221</v>
      </c>
      <c r="E602" s="48">
        <v>4170.54</v>
      </c>
      <c r="F602" s="74">
        <f t="shared" si="27"/>
        <v>6904.19</v>
      </c>
      <c r="G602" s="8" t="s">
        <v>610</v>
      </c>
      <c r="H602" s="666" t="str">
        <f t="shared" si="26"/>
        <v>Regelzone Amprion (gesamt)</v>
      </c>
      <c r="I602" s="662"/>
    </row>
    <row r="603" spans="1:9" hidden="1" outlineLevel="1">
      <c r="A603" s="89">
        <v>2023</v>
      </c>
      <c r="B603" s="75" t="s">
        <v>759</v>
      </c>
      <c r="C603" s="84" t="s">
        <v>2016</v>
      </c>
      <c r="D603" s="48">
        <v>601461</v>
      </c>
      <c r="E603" s="48">
        <v>2147.21</v>
      </c>
      <c r="F603" s="74">
        <f t="shared" si="27"/>
        <v>3554.63</v>
      </c>
      <c r="G603" s="8" t="s">
        <v>760</v>
      </c>
      <c r="H603" s="666" t="str">
        <f t="shared" si="26"/>
        <v>Regelzone Amprion (gesamt)</v>
      </c>
      <c r="I603" s="662"/>
    </row>
    <row r="604" spans="1:9" hidden="1" outlineLevel="1">
      <c r="A604" s="89">
        <v>2023</v>
      </c>
      <c r="B604" s="75" t="s">
        <v>765</v>
      </c>
      <c r="C604" s="84" t="s">
        <v>2016</v>
      </c>
      <c r="D604" s="48">
        <v>-807515</v>
      </c>
      <c r="E604" s="48">
        <v>-2882.83</v>
      </c>
      <c r="F604" s="74">
        <f t="shared" si="27"/>
        <v>-4772.41</v>
      </c>
      <c r="G604" s="8" t="s">
        <v>766</v>
      </c>
      <c r="H604" s="666" t="str">
        <f t="shared" si="26"/>
        <v>Regelzone Amprion (gesamt)</v>
      </c>
      <c r="I604" s="662"/>
    </row>
    <row r="605" spans="1:9" hidden="1" outlineLevel="1">
      <c r="A605" s="89">
        <v>2023</v>
      </c>
      <c r="B605" s="75" t="s">
        <v>769</v>
      </c>
      <c r="C605" s="84" t="s">
        <v>2016</v>
      </c>
      <c r="D605" s="48">
        <v>-72515</v>
      </c>
      <c r="E605" s="48">
        <v>-258.88</v>
      </c>
      <c r="F605" s="74">
        <f t="shared" si="27"/>
        <v>-428.56</v>
      </c>
      <c r="G605" s="8" t="s">
        <v>770</v>
      </c>
      <c r="H605" s="666" t="str">
        <f t="shared" si="26"/>
        <v>Regelzone Amprion (gesamt)</v>
      </c>
      <c r="I605" s="662"/>
    </row>
    <row r="606" spans="1:9" hidden="1" outlineLevel="1">
      <c r="A606" s="89">
        <v>2023</v>
      </c>
      <c r="B606" s="75" t="s">
        <v>773</v>
      </c>
      <c r="C606" s="84" t="s">
        <v>2016</v>
      </c>
      <c r="D606" s="48">
        <v>-5876686</v>
      </c>
      <c r="E606" s="48">
        <v>-20979.759999999998</v>
      </c>
      <c r="F606" s="74">
        <f t="shared" si="27"/>
        <v>-34731.21</v>
      </c>
      <c r="G606" s="8" t="s">
        <v>774</v>
      </c>
      <c r="H606" s="666" t="str">
        <f t="shared" si="26"/>
        <v>Regelzone Amprion (gesamt)</v>
      </c>
      <c r="I606" s="662"/>
    </row>
    <row r="607" spans="1:9" hidden="1" outlineLevel="1">
      <c r="A607" s="89">
        <v>2023</v>
      </c>
      <c r="B607" s="75" t="s">
        <v>356</v>
      </c>
      <c r="C607" s="84" t="s">
        <v>2016</v>
      </c>
      <c r="D607" s="48">
        <v>-29136537</v>
      </c>
      <c r="E607" s="48">
        <v>-104017.44</v>
      </c>
      <c r="F607" s="74">
        <f t="shared" si="27"/>
        <v>-172196.93</v>
      </c>
      <c r="G607" s="8" t="s">
        <v>357</v>
      </c>
      <c r="H607" s="666" t="str">
        <f t="shared" si="26"/>
        <v>Regelzone Amprion (gesamt)</v>
      </c>
      <c r="I607" s="662"/>
    </row>
    <row r="608" spans="1:9" hidden="1" outlineLevel="1">
      <c r="A608" s="89">
        <v>2023</v>
      </c>
      <c r="B608" s="75" t="s">
        <v>775</v>
      </c>
      <c r="C608" s="84" t="s">
        <v>2016</v>
      </c>
      <c r="D608" s="48">
        <v>-28021617</v>
      </c>
      <c r="E608" s="48">
        <v>-100037.18</v>
      </c>
      <c r="F608" s="74">
        <f t="shared" si="27"/>
        <v>-165607.76</v>
      </c>
      <c r="G608" s="8" t="s">
        <v>776</v>
      </c>
      <c r="H608" s="666" t="str">
        <f t="shared" si="26"/>
        <v>Regelzone Amprion (gesamt)</v>
      </c>
      <c r="I608" s="662"/>
    </row>
    <row r="609" spans="1:15" hidden="1" outlineLevel="1">
      <c r="A609" s="89">
        <v>2023</v>
      </c>
      <c r="B609" s="75" t="s">
        <v>779</v>
      </c>
      <c r="C609" s="84" t="s">
        <v>2016</v>
      </c>
      <c r="D609" s="48">
        <v>317785</v>
      </c>
      <c r="E609" s="48">
        <v>1134.49</v>
      </c>
      <c r="F609" s="74">
        <f t="shared" si="27"/>
        <v>1878.11</v>
      </c>
      <c r="G609" s="8" t="s">
        <v>780</v>
      </c>
      <c r="H609" s="666" t="str">
        <f t="shared" si="26"/>
        <v>Regelzone Amprion (gesamt)</v>
      </c>
      <c r="I609" s="662"/>
    </row>
    <row r="610" spans="1:15" hidden="1" outlineLevel="1">
      <c r="A610" s="89">
        <v>2023</v>
      </c>
      <c r="B610" s="75" t="s">
        <v>781</v>
      </c>
      <c r="C610" s="84" t="s">
        <v>2016</v>
      </c>
      <c r="D610" s="48">
        <v>215127</v>
      </c>
      <c r="E610" s="48">
        <v>768</v>
      </c>
      <c r="F610" s="74">
        <f t="shared" si="27"/>
        <v>1271.4000000000001</v>
      </c>
      <c r="G610" s="8" t="s">
        <v>782</v>
      </c>
      <c r="H610" s="666" t="str">
        <f t="shared" si="26"/>
        <v>Regelzone Amprion (gesamt)</v>
      </c>
      <c r="I610" s="662"/>
    </row>
    <row r="611" spans="1:15" hidden="1" outlineLevel="1">
      <c r="A611" s="89">
        <v>2023</v>
      </c>
      <c r="B611" s="75" t="s">
        <v>783</v>
      </c>
      <c r="C611" s="84" t="s">
        <v>2016</v>
      </c>
      <c r="D611" s="48">
        <v>-68019</v>
      </c>
      <c r="E611" s="48">
        <v>-242.82</v>
      </c>
      <c r="F611" s="74">
        <f t="shared" si="27"/>
        <v>-401.99</v>
      </c>
      <c r="G611" s="8" t="s">
        <v>784</v>
      </c>
      <c r="H611" s="666" t="str">
        <f t="shared" si="26"/>
        <v>Regelzone Amprion (gesamt)</v>
      </c>
      <c r="I611" s="662"/>
    </row>
    <row r="612" spans="1:15" hidden="1" outlineLevel="1">
      <c r="A612" s="89">
        <v>2023</v>
      </c>
      <c r="B612" s="75" t="s">
        <v>785</v>
      </c>
      <c r="C612" s="84" t="s">
        <v>2016</v>
      </c>
      <c r="D612" s="48">
        <v>-692619</v>
      </c>
      <c r="E612" s="48">
        <v>-2472.65</v>
      </c>
      <c r="F612" s="74">
        <f t="shared" si="27"/>
        <v>-4093.38</v>
      </c>
      <c r="G612" s="8" t="s">
        <v>786</v>
      </c>
      <c r="H612" s="666" t="str">
        <f t="shared" si="26"/>
        <v>Regelzone Amprion (gesamt)</v>
      </c>
      <c r="I612" s="662"/>
    </row>
    <row r="613" spans="1:15" hidden="1" outlineLevel="1">
      <c r="A613" s="89">
        <v>2023</v>
      </c>
      <c r="B613" s="75" t="s">
        <v>787</v>
      </c>
      <c r="C613" s="84" t="s">
        <v>2016</v>
      </c>
      <c r="D613" s="48">
        <v>-515813</v>
      </c>
      <c r="E613" s="48">
        <v>-1841.45</v>
      </c>
      <c r="F613" s="74">
        <f t="shared" si="27"/>
        <v>-3048.45</v>
      </c>
      <c r="G613" s="8" t="s">
        <v>788</v>
      </c>
      <c r="H613" s="666" t="str">
        <f t="shared" si="26"/>
        <v>Regelzone Amprion (gesamt)</v>
      </c>
      <c r="I613" s="662"/>
      <c r="K613" s="38"/>
      <c r="L613" s="38"/>
      <c r="M613" s="38"/>
      <c r="N613" s="38"/>
      <c r="O613" s="38"/>
    </row>
    <row r="614" spans="1:15" hidden="1" outlineLevel="1">
      <c r="A614" s="89">
        <v>2023</v>
      </c>
      <c r="B614" s="75" t="s">
        <v>789</v>
      </c>
      <c r="C614" s="84" t="s">
        <v>2016</v>
      </c>
      <c r="D614" s="48">
        <v>88</v>
      </c>
      <c r="E614" s="48">
        <v>0.32</v>
      </c>
      <c r="F614" s="74">
        <f t="shared" si="27"/>
        <v>0.52</v>
      </c>
      <c r="G614" s="8" t="s">
        <v>790</v>
      </c>
      <c r="H614" s="666" t="str">
        <f t="shared" si="26"/>
        <v>Regelzone Amprion (gesamt)</v>
      </c>
      <c r="I614" s="663"/>
      <c r="K614" s="39"/>
      <c r="L614" s="40"/>
      <c r="M614" s="38"/>
      <c r="N614" s="39"/>
      <c r="O614" s="40"/>
    </row>
    <row r="615" spans="1:15" hidden="1" outlineLevel="1">
      <c r="A615" s="89">
        <v>2023</v>
      </c>
      <c r="B615" s="75" t="s">
        <v>791</v>
      </c>
      <c r="C615" s="84" t="s">
        <v>2016</v>
      </c>
      <c r="D615" s="48">
        <v>-332160</v>
      </c>
      <c r="E615" s="48">
        <v>-1185.81</v>
      </c>
      <c r="F615" s="74">
        <f t="shared" si="27"/>
        <v>-1963.07</v>
      </c>
      <c r="G615" s="8" t="s">
        <v>792</v>
      </c>
      <c r="H615" s="666" t="str">
        <f t="shared" si="26"/>
        <v>Regelzone Amprion (gesamt)</v>
      </c>
      <c r="I615" s="663"/>
      <c r="K615" s="39"/>
      <c r="L615" s="40"/>
      <c r="M615" s="38"/>
      <c r="N615" s="39"/>
      <c r="O615" s="40"/>
    </row>
    <row r="616" spans="1:15" hidden="1" outlineLevel="1">
      <c r="A616" s="89">
        <v>2023</v>
      </c>
      <c r="B616" s="75" t="s">
        <v>791</v>
      </c>
      <c r="C616" s="84" t="s">
        <v>2030</v>
      </c>
      <c r="D616" s="48">
        <v>-21045</v>
      </c>
      <c r="E616" s="48">
        <v>-75</v>
      </c>
      <c r="F616" s="81">
        <v>-124</v>
      </c>
      <c r="G616" s="251" t="s">
        <v>792</v>
      </c>
      <c r="H616" s="666" t="str">
        <f t="shared" si="26"/>
        <v>Regelzone Amprion (gesamt)</v>
      </c>
      <c r="I616" s="663"/>
      <c r="K616" s="39"/>
      <c r="L616" s="40"/>
      <c r="M616" s="38"/>
      <c r="N616" s="39"/>
      <c r="O616" s="40"/>
    </row>
    <row r="617" spans="1:15" hidden="1" outlineLevel="1">
      <c r="A617" s="89">
        <v>2023</v>
      </c>
      <c r="B617" s="75" t="s">
        <v>793</v>
      </c>
      <c r="C617" s="84" t="s">
        <v>2016</v>
      </c>
      <c r="D617" s="48">
        <v>-5416503</v>
      </c>
      <c r="E617" s="48">
        <v>-19336.919999999998</v>
      </c>
      <c r="F617" s="74">
        <f t="shared" si="27"/>
        <v>-32011.53</v>
      </c>
      <c r="G617" s="251" t="s">
        <v>794</v>
      </c>
      <c r="H617" s="666" t="str">
        <f t="shared" si="26"/>
        <v>Regelzone Amprion (gesamt)</v>
      </c>
      <c r="I617" s="663"/>
      <c r="K617" s="39"/>
      <c r="L617" s="40"/>
      <c r="M617" s="38"/>
      <c r="N617" s="39"/>
      <c r="O617" s="40"/>
    </row>
    <row r="618" spans="1:15" hidden="1" outlineLevel="1">
      <c r="A618" s="89">
        <v>2023</v>
      </c>
      <c r="B618" s="75" t="s">
        <v>795</v>
      </c>
      <c r="C618" s="84" t="s">
        <v>2016</v>
      </c>
      <c r="D618" s="48">
        <v>-2326655</v>
      </c>
      <c r="E618" s="48">
        <v>-8306.16</v>
      </c>
      <c r="F618" s="74">
        <f t="shared" si="27"/>
        <v>-13750.53</v>
      </c>
      <c r="G618" s="8" t="s">
        <v>796</v>
      </c>
      <c r="H618" s="666" t="str">
        <f t="shared" si="26"/>
        <v>Regelzone Amprion (gesamt)</v>
      </c>
      <c r="I618" s="663"/>
      <c r="K618" s="39"/>
      <c r="L618" s="40"/>
      <c r="M618" s="38"/>
      <c r="N618" s="39"/>
      <c r="O618" s="40"/>
    </row>
    <row r="619" spans="1:15" hidden="1" outlineLevel="1">
      <c r="A619" s="89">
        <v>2023</v>
      </c>
      <c r="B619" s="75" t="s">
        <v>797</v>
      </c>
      <c r="C619" s="84" t="s">
        <v>2016</v>
      </c>
      <c r="D619" s="48">
        <v>-276375</v>
      </c>
      <c r="E619" s="48">
        <v>-986.66</v>
      </c>
      <c r="F619" s="74">
        <f t="shared" si="27"/>
        <v>-1633.38</v>
      </c>
      <c r="G619" s="8" t="s">
        <v>798</v>
      </c>
      <c r="H619" s="666" t="str">
        <f t="shared" si="26"/>
        <v>Regelzone Amprion (gesamt)</v>
      </c>
      <c r="I619" s="663"/>
      <c r="K619" s="39"/>
      <c r="L619" s="40"/>
      <c r="M619" s="38"/>
      <c r="N619" s="39"/>
      <c r="O619" s="40"/>
    </row>
    <row r="620" spans="1:15" hidden="1" outlineLevel="1">
      <c r="A620" s="89">
        <v>2023</v>
      </c>
      <c r="B620" s="75" t="s">
        <v>805</v>
      </c>
      <c r="C620" s="84" t="s">
        <v>2016</v>
      </c>
      <c r="D620" s="48">
        <v>1474305</v>
      </c>
      <c r="E620" s="48">
        <v>5263.27</v>
      </c>
      <c r="F620" s="74">
        <f t="shared" si="27"/>
        <v>8713.14</v>
      </c>
      <c r="G620" s="8" t="s">
        <v>806</v>
      </c>
      <c r="H620" s="666" t="str">
        <f t="shared" si="26"/>
        <v>Regelzone Amprion (gesamt)</v>
      </c>
      <c r="I620" s="663"/>
      <c r="K620" s="39"/>
      <c r="L620" s="40"/>
      <c r="M620" s="38"/>
      <c r="N620" s="39"/>
      <c r="O620" s="40"/>
    </row>
    <row r="621" spans="1:15" hidden="1" outlineLevel="1">
      <c r="A621" s="89">
        <v>2023</v>
      </c>
      <c r="B621" s="75" t="s">
        <v>807</v>
      </c>
      <c r="C621" s="84" t="s">
        <v>2016</v>
      </c>
      <c r="D621" s="48">
        <v>47635</v>
      </c>
      <c r="E621" s="48">
        <v>170.06</v>
      </c>
      <c r="F621" s="74">
        <f t="shared" si="27"/>
        <v>281.52</v>
      </c>
      <c r="G621" s="8" t="s">
        <v>808</v>
      </c>
      <c r="H621" s="666" t="str">
        <f t="shared" si="26"/>
        <v>Regelzone Amprion (gesamt)</v>
      </c>
      <c r="I621" s="663"/>
      <c r="K621" s="39"/>
      <c r="L621" s="40"/>
      <c r="M621" s="38"/>
      <c r="N621" s="39"/>
      <c r="O621" s="40"/>
    </row>
    <row r="622" spans="1:15" hidden="1" outlineLevel="1">
      <c r="A622" s="89">
        <v>2023</v>
      </c>
      <c r="B622" s="75" t="s">
        <v>809</v>
      </c>
      <c r="C622" s="84" t="s">
        <v>2017</v>
      </c>
      <c r="D622" s="48">
        <v>-7</v>
      </c>
      <c r="E622" s="48">
        <v>-0.01</v>
      </c>
      <c r="F622" s="48">
        <v>-0.01</v>
      </c>
      <c r="G622" s="8" t="s">
        <v>810</v>
      </c>
      <c r="H622" s="666" t="str">
        <f t="shared" si="26"/>
        <v>Regelzone Amprion (gesamt)</v>
      </c>
      <c r="I622" s="663"/>
      <c r="K622" s="39"/>
      <c r="L622" s="40"/>
      <c r="M622" s="38"/>
      <c r="N622" s="39"/>
      <c r="O622" s="40"/>
    </row>
    <row r="623" spans="1:15" hidden="1" outlineLevel="1">
      <c r="A623" s="89">
        <v>2023</v>
      </c>
      <c r="B623" s="75" t="s">
        <v>809</v>
      </c>
      <c r="C623" s="84" t="s">
        <v>2016</v>
      </c>
      <c r="D623" s="48">
        <v>11332327</v>
      </c>
      <c r="E623" s="48">
        <v>40456.400000000001</v>
      </c>
      <c r="F623" s="74">
        <f t="shared" si="27"/>
        <v>66974.05</v>
      </c>
      <c r="G623" s="8" t="s">
        <v>810</v>
      </c>
      <c r="H623" s="666" t="str">
        <f t="shared" ref="H623:H638" si="28">+H622</f>
        <v>Regelzone Amprion (gesamt)</v>
      </c>
      <c r="I623" s="663"/>
      <c r="K623" s="39"/>
      <c r="L623" s="40"/>
      <c r="M623" s="38"/>
      <c r="N623" s="39"/>
      <c r="O623" s="40"/>
    </row>
    <row r="624" spans="1:15" hidden="1" outlineLevel="1">
      <c r="A624" s="89">
        <v>2023</v>
      </c>
      <c r="B624" s="75" t="s">
        <v>811</v>
      </c>
      <c r="C624" s="84" t="s">
        <v>2016</v>
      </c>
      <c r="D624" s="48">
        <v>3212489</v>
      </c>
      <c r="E624" s="48">
        <v>11468.58</v>
      </c>
      <c r="F624" s="74">
        <f t="shared" si="27"/>
        <v>18985.810000000001</v>
      </c>
      <c r="G624" s="8" t="s">
        <v>812</v>
      </c>
      <c r="H624" s="666" t="str">
        <f t="shared" si="28"/>
        <v>Regelzone Amprion (gesamt)</v>
      </c>
      <c r="I624" s="663"/>
      <c r="K624" s="39"/>
      <c r="L624" s="40"/>
      <c r="M624" s="38"/>
      <c r="N624" s="39"/>
      <c r="O624" s="40"/>
    </row>
    <row r="625" spans="1:15" hidden="1" outlineLevel="1">
      <c r="A625" s="89">
        <v>2023</v>
      </c>
      <c r="B625" s="75" t="s">
        <v>817</v>
      </c>
      <c r="C625" s="84" t="s">
        <v>2016</v>
      </c>
      <c r="D625" s="48">
        <v>-299299</v>
      </c>
      <c r="E625" s="48">
        <v>-1068.5</v>
      </c>
      <c r="F625" s="74">
        <f t="shared" si="27"/>
        <v>-1768.86</v>
      </c>
      <c r="G625" s="252" t="s">
        <v>818</v>
      </c>
      <c r="H625" s="666" t="str">
        <f t="shared" si="28"/>
        <v>Regelzone Amprion (gesamt)</v>
      </c>
      <c r="I625" s="663"/>
      <c r="K625" s="42"/>
      <c r="L625" s="43"/>
      <c r="M625" s="41"/>
      <c r="N625" s="39"/>
      <c r="O625" s="40"/>
    </row>
    <row r="626" spans="1:15" hidden="1" outlineLevel="1">
      <c r="A626" s="89">
        <v>2023</v>
      </c>
      <c r="B626" s="75" t="s">
        <v>821</v>
      </c>
      <c r="C626" s="84" t="s">
        <v>2016</v>
      </c>
      <c r="D626" s="48">
        <v>41503</v>
      </c>
      <c r="E626" s="48">
        <v>148.16999999999999</v>
      </c>
      <c r="F626" s="74">
        <f t="shared" si="27"/>
        <v>245.28</v>
      </c>
      <c r="G626" s="252" t="s">
        <v>822</v>
      </c>
      <c r="H626" s="666" t="str">
        <f t="shared" si="28"/>
        <v>Regelzone Amprion (gesamt)</v>
      </c>
      <c r="I626" s="663"/>
      <c r="K626" s="39"/>
      <c r="L626" s="40"/>
      <c r="M626" s="38"/>
      <c r="N626" s="39"/>
      <c r="O626" s="40"/>
    </row>
    <row r="627" spans="1:15" hidden="1" outlineLevel="1">
      <c r="A627" s="89">
        <v>2023</v>
      </c>
      <c r="B627" s="75" t="s">
        <v>821</v>
      </c>
      <c r="C627" s="84" t="s">
        <v>2016</v>
      </c>
      <c r="D627" s="48">
        <v>901258</v>
      </c>
      <c r="E627" s="48">
        <v>3217.49</v>
      </c>
      <c r="F627" s="74">
        <f t="shared" si="27"/>
        <v>5326.43</v>
      </c>
      <c r="G627" s="252" t="s">
        <v>822</v>
      </c>
      <c r="H627" s="666" t="str">
        <f t="shared" si="28"/>
        <v>Regelzone Amprion (gesamt)</v>
      </c>
      <c r="I627" s="663"/>
      <c r="K627" s="39"/>
      <c r="L627" s="40"/>
      <c r="M627" s="38"/>
      <c r="N627" s="39"/>
      <c r="O627" s="40"/>
    </row>
    <row r="628" spans="1:15" hidden="1" outlineLevel="1">
      <c r="A628" s="89">
        <v>2023</v>
      </c>
      <c r="B628" s="75" t="s">
        <v>821</v>
      </c>
      <c r="C628" s="84" t="s">
        <v>2016</v>
      </c>
      <c r="D628" s="48">
        <v>16651</v>
      </c>
      <c r="E628" s="48">
        <v>59.44</v>
      </c>
      <c r="F628" s="74">
        <f t="shared" si="27"/>
        <v>98.41</v>
      </c>
      <c r="G628" s="252" t="s">
        <v>822</v>
      </c>
      <c r="H628" s="666" t="str">
        <f t="shared" si="28"/>
        <v>Regelzone Amprion (gesamt)</v>
      </c>
      <c r="I628" s="663"/>
      <c r="K628" s="39"/>
      <c r="L628" s="40"/>
      <c r="M628" s="38"/>
      <c r="N628" s="39"/>
      <c r="O628" s="40"/>
    </row>
    <row r="629" spans="1:15" hidden="1" outlineLevel="1">
      <c r="A629" s="89">
        <v>2023</v>
      </c>
      <c r="B629" s="75" t="s">
        <v>821</v>
      </c>
      <c r="C629" s="84" t="s">
        <v>2029</v>
      </c>
      <c r="D629" s="48">
        <v>-41503</v>
      </c>
      <c r="E629" s="48">
        <v>-22.23</v>
      </c>
      <c r="F629" s="74">
        <f>ROUND(D629*0.591/100*15/100,2)</f>
        <v>-36.79</v>
      </c>
      <c r="G629" s="252" t="s">
        <v>822</v>
      </c>
      <c r="H629" s="666" t="str">
        <f t="shared" si="28"/>
        <v>Regelzone Amprion (gesamt)</v>
      </c>
      <c r="I629" s="663"/>
      <c r="K629" s="39"/>
      <c r="L629" s="40"/>
      <c r="M629" s="38"/>
      <c r="N629" s="39"/>
      <c r="O629" s="40"/>
    </row>
    <row r="630" spans="1:15" hidden="1" outlineLevel="1">
      <c r="A630" s="89">
        <v>2023</v>
      </c>
      <c r="B630" s="75" t="s">
        <v>821</v>
      </c>
      <c r="C630" s="84" t="s">
        <v>2029</v>
      </c>
      <c r="D630" s="48">
        <v>-901258</v>
      </c>
      <c r="E630" s="48">
        <v>-482.62</v>
      </c>
      <c r="F630" s="74">
        <f t="shared" ref="F630:F631" si="29">ROUND(D630*0.591/100*15/100,2)</f>
        <v>-798.97</v>
      </c>
      <c r="G630" s="252" t="s">
        <v>822</v>
      </c>
      <c r="H630" s="666" t="str">
        <f t="shared" si="28"/>
        <v>Regelzone Amprion (gesamt)</v>
      </c>
      <c r="I630" s="663"/>
      <c r="K630" s="39"/>
      <c r="L630" s="40"/>
      <c r="M630" s="38"/>
      <c r="N630" s="39"/>
      <c r="O630" s="40"/>
    </row>
    <row r="631" spans="1:15" hidden="1" outlineLevel="1">
      <c r="A631" s="89">
        <v>2023</v>
      </c>
      <c r="B631" s="75" t="s">
        <v>821</v>
      </c>
      <c r="C631" s="84" t="s">
        <v>2029</v>
      </c>
      <c r="D631" s="48">
        <v>-16651</v>
      </c>
      <c r="E631" s="48">
        <v>-8.91</v>
      </c>
      <c r="F631" s="74">
        <f t="shared" si="29"/>
        <v>-14.76</v>
      </c>
      <c r="G631" s="252" t="s">
        <v>822</v>
      </c>
      <c r="H631" s="666" t="str">
        <f t="shared" si="28"/>
        <v>Regelzone Amprion (gesamt)</v>
      </c>
      <c r="I631" s="663"/>
      <c r="K631" s="39"/>
      <c r="L631" s="40"/>
      <c r="M631" s="38"/>
      <c r="N631" s="39"/>
      <c r="O631" s="40"/>
    </row>
    <row r="632" spans="1:15" hidden="1" outlineLevel="1">
      <c r="A632" s="89">
        <v>2023</v>
      </c>
      <c r="B632" s="75" t="s">
        <v>823</v>
      </c>
      <c r="C632" s="84" t="s">
        <v>2016</v>
      </c>
      <c r="D632" s="48">
        <v>-88893</v>
      </c>
      <c r="E632" s="48">
        <v>-317.33999999999997</v>
      </c>
      <c r="F632" s="74">
        <f t="shared" si="27"/>
        <v>-525.36</v>
      </c>
      <c r="G632" s="252" t="s">
        <v>824</v>
      </c>
      <c r="H632" s="666" t="str">
        <f t="shared" si="28"/>
        <v>Regelzone Amprion (gesamt)</v>
      </c>
      <c r="I632" s="663"/>
      <c r="K632" s="42"/>
      <c r="L632" s="42"/>
      <c r="M632" s="38"/>
      <c r="N632" s="39"/>
      <c r="O632" s="40"/>
    </row>
    <row r="633" spans="1:15" hidden="1" outlineLevel="1">
      <c r="A633" s="89">
        <v>2023</v>
      </c>
      <c r="B633" s="75" t="s">
        <v>827</v>
      </c>
      <c r="C633" s="84" t="s">
        <v>2016</v>
      </c>
      <c r="D633" s="48">
        <v>70831</v>
      </c>
      <c r="E633" s="48">
        <v>252.87</v>
      </c>
      <c r="F633" s="74">
        <f t="shared" si="27"/>
        <v>418.61</v>
      </c>
      <c r="G633" s="252" t="s">
        <v>828</v>
      </c>
      <c r="H633" s="666" t="str">
        <f t="shared" si="28"/>
        <v>Regelzone Amprion (gesamt)</v>
      </c>
      <c r="I633" s="663"/>
      <c r="K633" s="39"/>
      <c r="L633" s="40"/>
      <c r="M633" s="38"/>
      <c r="N633" s="39"/>
      <c r="O633" s="40"/>
    </row>
    <row r="634" spans="1:15" hidden="1" outlineLevel="1">
      <c r="A634" s="89">
        <v>2023</v>
      </c>
      <c r="B634" s="75" t="s">
        <v>829</v>
      </c>
      <c r="C634" s="84" t="s">
        <v>2016</v>
      </c>
      <c r="D634" s="48">
        <v>1158115</v>
      </c>
      <c r="E634" s="48">
        <v>4134.47</v>
      </c>
      <c r="F634" s="74">
        <f t="shared" ref="F634:F640" si="30">ROUND(D634*0.591/100,2)</f>
        <v>6844.46</v>
      </c>
      <c r="G634" s="252" t="s">
        <v>830</v>
      </c>
      <c r="H634" s="666" t="str">
        <f t="shared" si="28"/>
        <v>Regelzone Amprion (gesamt)</v>
      </c>
      <c r="I634" s="663"/>
      <c r="K634" s="39"/>
      <c r="L634" s="40"/>
      <c r="M634" s="38"/>
      <c r="N634" s="39"/>
      <c r="O634" s="40"/>
    </row>
    <row r="635" spans="1:15" hidden="1" outlineLevel="1">
      <c r="A635" s="89">
        <v>2023</v>
      </c>
      <c r="B635" s="75" t="s">
        <v>833</v>
      </c>
      <c r="C635" s="84" t="s">
        <v>2016</v>
      </c>
      <c r="D635" s="48">
        <v>-77020</v>
      </c>
      <c r="E635" s="48">
        <v>-274.95999999999998</v>
      </c>
      <c r="F635" s="74">
        <f t="shared" si="30"/>
        <v>-455.19</v>
      </c>
      <c r="G635" s="252" t="s">
        <v>834</v>
      </c>
      <c r="H635" s="666" t="str">
        <f t="shared" si="28"/>
        <v>Regelzone Amprion (gesamt)</v>
      </c>
      <c r="I635" s="663"/>
      <c r="K635" s="39"/>
      <c r="L635" s="40"/>
      <c r="M635" s="38"/>
      <c r="N635" s="39"/>
      <c r="O635" s="40"/>
    </row>
    <row r="636" spans="1:15" hidden="1" outlineLevel="1">
      <c r="A636" s="89">
        <v>2023</v>
      </c>
      <c r="B636" s="75" t="s">
        <v>835</v>
      </c>
      <c r="C636" s="84" t="s">
        <v>2016</v>
      </c>
      <c r="D636" s="48">
        <v>2698642</v>
      </c>
      <c r="E636" s="48">
        <v>9634.15</v>
      </c>
      <c r="F636" s="74">
        <f t="shared" si="30"/>
        <v>15948.97</v>
      </c>
      <c r="G636" s="252" t="s">
        <v>836</v>
      </c>
      <c r="H636" s="666" t="str">
        <f t="shared" si="28"/>
        <v>Regelzone Amprion (gesamt)</v>
      </c>
      <c r="I636" s="663"/>
      <c r="K636" s="39"/>
      <c r="L636" s="40"/>
      <c r="M636" s="38"/>
      <c r="N636" s="39"/>
      <c r="O636" s="40"/>
    </row>
    <row r="637" spans="1:15" hidden="1" outlineLevel="1">
      <c r="A637" s="89">
        <v>2023</v>
      </c>
      <c r="B637" s="75" t="s">
        <v>841</v>
      </c>
      <c r="C637" s="84" t="s">
        <v>2016</v>
      </c>
      <c r="D637" s="48">
        <v>-78672</v>
      </c>
      <c r="E637" s="48">
        <v>-280.86</v>
      </c>
      <c r="F637" s="74">
        <f t="shared" si="30"/>
        <v>-464.95</v>
      </c>
      <c r="G637" s="252" t="s">
        <v>842</v>
      </c>
      <c r="H637" s="666" t="str">
        <f t="shared" si="28"/>
        <v>Regelzone Amprion (gesamt)</v>
      </c>
      <c r="I637" s="663"/>
      <c r="K637" s="39"/>
      <c r="L637" s="40"/>
      <c r="M637" s="38"/>
      <c r="N637" s="39"/>
      <c r="O637" s="40"/>
    </row>
    <row r="638" spans="1:15" hidden="1" outlineLevel="1">
      <c r="A638" s="89">
        <v>2023</v>
      </c>
      <c r="B638" s="75" t="s">
        <v>845</v>
      </c>
      <c r="C638" s="84" t="s">
        <v>2016</v>
      </c>
      <c r="D638" s="48">
        <v>-1083070</v>
      </c>
      <c r="E638" s="48">
        <v>-3866.56</v>
      </c>
      <c r="F638" s="74">
        <f t="shared" si="30"/>
        <v>-6400.94</v>
      </c>
      <c r="G638" s="252" t="s">
        <v>846</v>
      </c>
      <c r="H638" s="666" t="str">
        <f t="shared" si="28"/>
        <v>Regelzone Amprion (gesamt)</v>
      </c>
      <c r="I638" s="663"/>
      <c r="K638" s="39"/>
      <c r="L638" s="40"/>
      <c r="M638" s="38"/>
      <c r="N638" s="39"/>
      <c r="O638" s="40"/>
    </row>
    <row r="639" spans="1:15" hidden="1" outlineLevel="1">
      <c r="A639" s="89">
        <v>2023</v>
      </c>
      <c r="B639" s="75" t="s">
        <v>398</v>
      </c>
      <c r="C639" s="84" t="s">
        <v>2016</v>
      </c>
      <c r="D639" s="48">
        <v>-24420</v>
      </c>
      <c r="E639" s="48">
        <v>-87.18</v>
      </c>
      <c r="F639" s="74">
        <f t="shared" si="30"/>
        <v>-144.32</v>
      </c>
      <c r="G639" s="252" t="s">
        <v>399</v>
      </c>
      <c r="H639" s="666" t="str">
        <f>+H637</f>
        <v>Regelzone Amprion (gesamt)</v>
      </c>
      <c r="I639" s="663"/>
      <c r="K639" s="42"/>
      <c r="L639" s="42"/>
      <c r="M639" s="41"/>
      <c r="N639" s="39"/>
      <c r="O639" s="40"/>
    </row>
    <row r="640" spans="1:15" ht="13.5" hidden="1" outlineLevel="1" thickBot="1">
      <c r="A640" s="89">
        <v>2023</v>
      </c>
      <c r="B640" s="75" t="s">
        <v>851</v>
      </c>
      <c r="C640" s="84" t="s">
        <v>2016</v>
      </c>
      <c r="D640" s="57">
        <v>440417</v>
      </c>
      <c r="E640" s="48">
        <f>D640*0.357/100</f>
        <v>1572.2886900000001</v>
      </c>
      <c r="F640" s="74">
        <f t="shared" si="30"/>
        <v>2602.86</v>
      </c>
      <c r="G640" s="252" t="s">
        <v>852</v>
      </c>
      <c r="H640" s="666" t="str">
        <f>+H638</f>
        <v>Regelzone Amprion (gesamt)</v>
      </c>
      <c r="I640" s="663"/>
      <c r="K640" s="42"/>
      <c r="L640" s="42"/>
      <c r="M640" s="41"/>
      <c r="N640" s="39"/>
      <c r="O640" s="40"/>
    </row>
    <row r="641" spans="1:9" ht="18.75" customHeight="1" collapsed="1" thickBot="1">
      <c r="A641" s="155" t="s">
        <v>2031</v>
      </c>
      <c r="B641" s="156"/>
      <c r="C641" s="962"/>
      <c r="D641" s="961">
        <f>SUM(D210:D640)-D616-D214-D216-D218-D220-D222-D226-D228-D230-D232-D234</f>
        <v>-236739243</v>
      </c>
      <c r="E641" s="963">
        <f>SUM(E210:E640)</f>
        <v>-1185197.9990299991</v>
      </c>
      <c r="F641" s="936">
        <f>SUM(F210:F640)</f>
        <v>-1839782.5984000002</v>
      </c>
      <c r="H641" s="666"/>
      <c r="I641" s="662"/>
    </row>
    <row r="642" spans="1:9">
      <c r="A642" s="1057"/>
      <c r="B642" s="1058"/>
      <c r="C642" s="2"/>
      <c r="D642" s="73"/>
      <c r="E642" s="73"/>
      <c r="F642" s="73"/>
      <c r="H642" s="666"/>
      <c r="I642" s="662"/>
    </row>
    <row r="643" spans="1:9">
      <c r="A643" s="16" t="s">
        <v>2032</v>
      </c>
      <c r="C643" s="1"/>
      <c r="D643" s="186"/>
      <c r="E643" s="186"/>
      <c r="H643" s="666"/>
      <c r="I643" s="662"/>
    </row>
    <row r="644" spans="1:9" ht="15" thickBot="1">
      <c r="A644" s="87"/>
      <c r="B644" s="65"/>
      <c r="C644" s="1"/>
      <c r="D644" s="186"/>
      <c r="E644" s="186"/>
      <c r="H644" s="666"/>
      <c r="I644" s="662"/>
    </row>
    <row r="645" spans="1:9" ht="91.5" customHeight="1">
      <c r="A645" s="558" t="s">
        <v>1739</v>
      </c>
      <c r="B645" s="1056" t="s">
        <v>2011</v>
      </c>
      <c r="C645" s="559" t="s">
        <v>2012</v>
      </c>
      <c r="D645" s="691" t="s">
        <v>2013</v>
      </c>
      <c r="E645" s="553" t="s">
        <v>2014</v>
      </c>
      <c r="F645" s="554" t="s">
        <v>2015</v>
      </c>
      <c r="H645" s="666"/>
      <c r="I645" s="662"/>
    </row>
    <row r="646" spans="1:9" ht="13.5" thickBot="1">
      <c r="A646" s="555"/>
      <c r="B646" s="556"/>
      <c r="C646" s="560"/>
      <c r="D646" s="581" t="s">
        <v>84</v>
      </c>
      <c r="E646" s="583" t="s">
        <v>1722</v>
      </c>
      <c r="F646" s="585" t="s">
        <v>1722</v>
      </c>
      <c r="H646" s="666"/>
      <c r="I646" s="662"/>
    </row>
    <row r="647" spans="1:9" ht="13.5" hidden="1" outlineLevel="1" thickBot="1">
      <c r="A647" s="830">
        <v>2019</v>
      </c>
      <c r="B647" s="816" t="s">
        <v>1383</v>
      </c>
      <c r="C647" s="817" t="s">
        <v>2016</v>
      </c>
      <c r="D647" s="818">
        <v>4121373</v>
      </c>
      <c r="E647" s="818">
        <v>11540</v>
      </c>
      <c r="F647" s="818">
        <v>17145</v>
      </c>
      <c r="G647" t="s">
        <v>1402</v>
      </c>
      <c r="H647" s="667" t="s">
        <v>855</v>
      </c>
      <c r="I647" s="662"/>
    </row>
    <row r="648" spans="1:9" hidden="1" outlineLevel="1">
      <c r="A648" s="831">
        <v>2020</v>
      </c>
      <c r="B648" s="819" t="s">
        <v>1921</v>
      </c>
      <c r="C648" s="820" t="s">
        <v>2016</v>
      </c>
      <c r="D648" s="821">
        <v>-2925829</v>
      </c>
      <c r="E648" s="821">
        <v>-6612</v>
      </c>
      <c r="F648" s="821">
        <v>-12171</v>
      </c>
      <c r="G648" t="s">
        <v>1922</v>
      </c>
      <c r="H648" s="667" t="str">
        <f>+H647</f>
        <v>Regelzone TenneT (gesamt)</v>
      </c>
      <c r="I648" s="662"/>
    </row>
    <row r="649" spans="1:9" ht="13.5" hidden="1" outlineLevel="1" thickBot="1">
      <c r="A649" s="832">
        <v>2020</v>
      </c>
      <c r="B649" s="822" t="s">
        <v>1401</v>
      </c>
      <c r="C649" s="823" t="s">
        <v>2016</v>
      </c>
      <c r="D649" s="824">
        <v>12724018</v>
      </c>
      <c r="E649" s="825">
        <v>28756</v>
      </c>
      <c r="F649" s="825">
        <v>52932</v>
      </c>
      <c r="G649" t="s">
        <v>1402</v>
      </c>
      <c r="H649" s="667" t="str">
        <f t="shared" ref="H649:H712" si="31">+H648</f>
        <v>Regelzone TenneT (gesamt)</v>
      </c>
      <c r="I649" s="662"/>
    </row>
    <row r="650" spans="1:9" hidden="1" outlineLevel="1">
      <c r="A650" s="831">
        <v>2021</v>
      </c>
      <c r="B650" s="819" t="s">
        <v>858</v>
      </c>
      <c r="C650" s="820" t="s">
        <v>2016</v>
      </c>
      <c r="D650" s="1031">
        <v>-7825</v>
      </c>
      <c r="E650" s="821">
        <f>+D650*0.00254</f>
        <v>-19.875500000000002</v>
      </c>
      <c r="F650" s="821">
        <f>+D650*0.00395</f>
        <v>-30.908750000000001</v>
      </c>
      <c r="G650" t="s">
        <v>859</v>
      </c>
      <c r="H650" s="667" t="str">
        <f t="shared" si="31"/>
        <v>Regelzone TenneT (gesamt)</v>
      </c>
      <c r="I650" s="662"/>
    </row>
    <row r="651" spans="1:9" hidden="1" outlineLevel="1">
      <c r="A651" s="831">
        <v>2021</v>
      </c>
      <c r="B651" s="826" t="s">
        <v>864</v>
      </c>
      <c r="C651" s="820" t="s">
        <v>2016</v>
      </c>
      <c r="D651" s="1031">
        <v>13812</v>
      </c>
      <c r="E651" s="821">
        <f t="shared" ref="E651:E714" si="32">+D651*0.00254</f>
        <v>35.082480000000004</v>
      </c>
      <c r="F651" s="821">
        <f t="shared" ref="F651:F714" si="33">+D651*0.00395</f>
        <v>54.557400000000008</v>
      </c>
      <c r="G651" t="s">
        <v>865</v>
      </c>
      <c r="H651" s="667" t="str">
        <f t="shared" si="31"/>
        <v>Regelzone TenneT (gesamt)</v>
      </c>
      <c r="I651" s="662"/>
    </row>
    <row r="652" spans="1:9" hidden="1" outlineLevel="1">
      <c r="A652" s="831">
        <v>2021</v>
      </c>
      <c r="B652" s="826" t="s">
        <v>876</v>
      </c>
      <c r="C652" s="820" t="s">
        <v>2016</v>
      </c>
      <c r="D652" s="1031">
        <v>25713</v>
      </c>
      <c r="E652" s="821">
        <f t="shared" si="32"/>
        <v>65.311019999999999</v>
      </c>
      <c r="F652" s="821">
        <f t="shared" si="33"/>
        <v>101.56635000000001</v>
      </c>
      <c r="G652" t="s">
        <v>877</v>
      </c>
      <c r="H652" s="667" t="str">
        <f t="shared" si="31"/>
        <v>Regelzone TenneT (gesamt)</v>
      </c>
      <c r="I652" s="662"/>
    </row>
    <row r="653" spans="1:9" hidden="1" outlineLevel="1">
      <c r="A653" s="831">
        <v>2021</v>
      </c>
      <c r="B653" s="826" t="s">
        <v>322</v>
      </c>
      <c r="C653" s="820" t="s">
        <v>2016</v>
      </c>
      <c r="D653" s="1031">
        <v>-118</v>
      </c>
      <c r="E653" s="821">
        <f t="shared" si="32"/>
        <v>-0.29972000000000004</v>
      </c>
      <c r="F653" s="821">
        <f t="shared" si="33"/>
        <v>-0.46610000000000007</v>
      </c>
      <c r="G653" t="s">
        <v>2033</v>
      </c>
      <c r="H653" s="667" t="str">
        <f t="shared" si="31"/>
        <v>Regelzone TenneT (gesamt)</v>
      </c>
      <c r="I653" s="662"/>
    </row>
    <row r="654" spans="1:9" hidden="1" outlineLevel="1">
      <c r="A654" s="831">
        <v>2021</v>
      </c>
      <c r="B654" s="826" t="s">
        <v>880</v>
      </c>
      <c r="C654" s="820" t="s">
        <v>2016</v>
      </c>
      <c r="D654" s="1031">
        <v>-70172</v>
      </c>
      <c r="E654" s="821">
        <f t="shared" si="32"/>
        <v>-178.23688000000001</v>
      </c>
      <c r="F654" s="821">
        <f t="shared" si="33"/>
        <v>-277.17940000000004</v>
      </c>
      <c r="G654" t="s">
        <v>881</v>
      </c>
      <c r="H654" s="667" t="str">
        <f t="shared" si="31"/>
        <v>Regelzone TenneT (gesamt)</v>
      </c>
      <c r="I654" s="662"/>
    </row>
    <row r="655" spans="1:9" hidden="1" outlineLevel="1">
      <c r="A655" s="831">
        <v>2021</v>
      </c>
      <c r="B655" s="826" t="s">
        <v>882</v>
      </c>
      <c r="C655" s="820" t="s">
        <v>2016</v>
      </c>
      <c r="D655" s="1031">
        <v>74569</v>
      </c>
      <c r="E655" s="821">
        <f t="shared" si="32"/>
        <v>189.40526</v>
      </c>
      <c r="F655" s="821">
        <f t="shared" si="33"/>
        <v>294.54755</v>
      </c>
      <c r="G655" t="s">
        <v>883</v>
      </c>
      <c r="H655" s="667" t="str">
        <f t="shared" si="31"/>
        <v>Regelzone TenneT (gesamt)</v>
      </c>
      <c r="I655" s="662"/>
    </row>
    <row r="656" spans="1:9" hidden="1" outlineLevel="1">
      <c r="A656" s="831">
        <v>2021</v>
      </c>
      <c r="B656" s="826" t="s">
        <v>884</v>
      </c>
      <c r="C656" s="820" t="s">
        <v>2016</v>
      </c>
      <c r="D656" s="1031">
        <v>210086</v>
      </c>
      <c r="E656" s="821">
        <f t="shared" si="32"/>
        <v>533.61844000000008</v>
      </c>
      <c r="F656" s="821">
        <f t="shared" si="33"/>
        <v>829.83970000000011</v>
      </c>
      <c r="G656" t="s">
        <v>885</v>
      </c>
      <c r="H656" s="667" t="str">
        <f t="shared" si="31"/>
        <v>Regelzone TenneT (gesamt)</v>
      </c>
      <c r="I656" s="662"/>
    </row>
    <row r="657" spans="1:9" hidden="1" outlineLevel="1">
      <c r="A657" s="831">
        <v>2021</v>
      </c>
      <c r="B657" s="826" t="s">
        <v>890</v>
      </c>
      <c r="C657" s="820" t="s">
        <v>2016</v>
      </c>
      <c r="D657" s="1031">
        <v>5639</v>
      </c>
      <c r="E657" s="821">
        <f t="shared" si="32"/>
        <v>14.323060000000002</v>
      </c>
      <c r="F657" s="821">
        <f t="shared" si="33"/>
        <v>22.274050000000003</v>
      </c>
      <c r="G657" t="s">
        <v>891</v>
      </c>
      <c r="H657" s="667" t="str">
        <f t="shared" si="31"/>
        <v>Regelzone TenneT (gesamt)</v>
      </c>
      <c r="I657" s="662"/>
    </row>
    <row r="658" spans="1:9" hidden="1" outlineLevel="1">
      <c r="A658" s="831">
        <v>2021</v>
      </c>
      <c r="B658" s="826" t="s">
        <v>1865</v>
      </c>
      <c r="C658" s="820" t="s">
        <v>2016</v>
      </c>
      <c r="D658" s="1031">
        <v>354443</v>
      </c>
      <c r="E658" s="821">
        <f t="shared" si="32"/>
        <v>900.28522000000009</v>
      </c>
      <c r="F658" s="821">
        <f t="shared" si="33"/>
        <v>1400.0498500000001</v>
      </c>
      <c r="G658" t="s">
        <v>1866</v>
      </c>
      <c r="H658" s="667" t="str">
        <f t="shared" si="31"/>
        <v>Regelzone TenneT (gesamt)</v>
      </c>
      <c r="I658" s="662"/>
    </row>
    <row r="659" spans="1:9" hidden="1" outlineLevel="1">
      <c r="A659" s="831">
        <v>2021</v>
      </c>
      <c r="B659" s="826" t="s">
        <v>904</v>
      </c>
      <c r="C659" s="820" t="s">
        <v>2016</v>
      </c>
      <c r="D659" s="1031">
        <v>75761</v>
      </c>
      <c r="E659" s="821">
        <f t="shared" si="32"/>
        <v>192.43294</v>
      </c>
      <c r="F659" s="821">
        <f t="shared" si="33"/>
        <v>299.25595000000004</v>
      </c>
      <c r="G659" t="s">
        <v>905</v>
      </c>
      <c r="H659" s="667" t="str">
        <f t="shared" si="31"/>
        <v>Regelzone TenneT (gesamt)</v>
      </c>
      <c r="I659" s="662"/>
    </row>
    <row r="660" spans="1:9" hidden="1" outlineLevel="1">
      <c r="A660" s="831">
        <v>2021</v>
      </c>
      <c r="B660" s="826" t="s">
        <v>910</v>
      </c>
      <c r="C660" s="820" t="s">
        <v>2016</v>
      </c>
      <c r="D660" s="1031">
        <v>-11235</v>
      </c>
      <c r="E660" s="821">
        <f t="shared" si="32"/>
        <v>-28.536900000000003</v>
      </c>
      <c r="F660" s="821">
        <f t="shared" si="33"/>
        <v>-44.378250000000001</v>
      </c>
      <c r="G660" t="s">
        <v>911</v>
      </c>
      <c r="H660" s="667" t="str">
        <f t="shared" si="31"/>
        <v>Regelzone TenneT (gesamt)</v>
      </c>
      <c r="I660" s="662"/>
    </row>
    <row r="661" spans="1:9" hidden="1" outlineLevel="1">
      <c r="A661" s="831">
        <v>2021</v>
      </c>
      <c r="B661" s="826" t="s">
        <v>914</v>
      </c>
      <c r="C661" s="820" t="s">
        <v>2016</v>
      </c>
      <c r="D661" s="1031">
        <v>112626</v>
      </c>
      <c r="E661" s="821">
        <f t="shared" si="32"/>
        <v>286.07004000000001</v>
      </c>
      <c r="F661" s="821">
        <f t="shared" si="33"/>
        <v>444.87270000000007</v>
      </c>
      <c r="G661" t="s">
        <v>915</v>
      </c>
      <c r="H661" s="667" t="str">
        <f t="shared" si="31"/>
        <v>Regelzone TenneT (gesamt)</v>
      </c>
      <c r="I661" s="662"/>
    </row>
    <row r="662" spans="1:9" hidden="1" outlineLevel="1">
      <c r="A662" s="831">
        <v>2021</v>
      </c>
      <c r="B662" s="826" t="s">
        <v>926</v>
      </c>
      <c r="C662" s="820" t="s">
        <v>2016</v>
      </c>
      <c r="D662" s="1031">
        <v>-232</v>
      </c>
      <c r="E662" s="821">
        <f t="shared" si="32"/>
        <v>-0.58928000000000003</v>
      </c>
      <c r="F662" s="821">
        <f t="shared" si="33"/>
        <v>-0.9164000000000001</v>
      </c>
      <c r="G662" t="s">
        <v>927</v>
      </c>
      <c r="H662" s="667" t="str">
        <f t="shared" si="31"/>
        <v>Regelzone TenneT (gesamt)</v>
      </c>
      <c r="I662" s="662"/>
    </row>
    <row r="663" spans="1:9" hidden="1" outlineLevel="1">
      <c r="A663" s="831">
        <v>2021</v>
      </c>
      <c r="B663" s="826" t="s">
        <v>934</v>
      </c>
      <c r="C663" s="820" t="s">
        <v>2016</v>
      </c>
      <c r="D663" s="1031">
        <v>0</v>
      </c>
      <c r="E663" s="821">
        <f t="shared" si="32"/>
        <v>0</v>
      </c>
      <c r="F663" s="821">
        <f t="shared" si="33"/>
        <v>0</v>
      </c>
      <c r="G663" t="s">
        <v>935</v>
      </c>
      <c r="H663" s="667" t="str">
        <f t="shared" si="31"/>
        <v>Regelzone TenneT (gesamt)</v>
      </c>
      <c r="I663" s="662"/>
    </row>
    <row r="664" spans="1:9" hidden="1" outlineLevel="1">
      <c r="A664" s="831">
        <v>2021</v>
      </c>
      <c r="B664" s="826" t="s">
        <v>944</v>
      </c>
      <c r="C664" s="820" t="s">
        <v>2016</v>
      </c>
      <c r="D664" s="1031">
        <v>53342</v>
      </c>
      <c r="E664" s="821">
        <f t="shared" si="32"/>
        <v>135.48868000000002</v>
      </c>
      <c r="F664" s="821">
        <f t="shared" si="33"/>
        <v>210.70090000000002</v>
      </c>
      <c r="G664" t="s">
        <v>945</v>
      </c>
      <c r="H664" s="667" t="str">
        <f t="shared" si="31"/>
        <v>Regelzone TenneT (gesamt)</v>
      </c>
      <c r="I664" s="662"/>
    </row>
    <row r="665" spans="1:9" hidden="1" outlineLevel="1">
      <c r="A665" s="831">
        <v>2021</v>
      </c>
      <c r="B665" s="826" t="s">
        <v>958</v>
      </c>
      <c r="C665" s="820" t="s">
        <v>2016</v>
      </c>
      <c r="D665" s="1031">
        <v>-706</v>
      </c>
      <c r="E665" s="821">
        <f t="shared" si="32"/>
        <v>-1.7932400000000002</v>
      </c>
      <c r="F665" s="821">
        <f t="shared" si="33"/>
        <v>-2.7887000000000004</v>
      </c>
      <c r="G665" t="s">
        <v>959</v>
      </c>
      <c r="H665" s="667" t="str">
        <f t="shared" si="31"/>
        <v>Regelzone TenneT (gesamt)</v>
      </c>
      <c r="I665" s="662"/>
    </row>
    <row r="666" spans="1:9" hidden="1" outlineLevel="1">
      <c r="A666" s="831">
        <v>2021</v>
      </c>
      <c r="B666" s="826" t="s">
        <v>962</v>
      </c>
      <c r="C666" s="820" t="s">
        <v>2016</v>
      </c>
      <c r="D666" s="1031">
        <v>-95024</v>
      </c>
      <c r="E666" s="821">
        <f t="shared" si="32"/>
        <v>-241.36096000000001</v>
      </c>
      <c r="F666" s="821">
        <f t="shared" si="33"/>
        <v>-375.34480000000002</v>
      </c>
      <c r="G666" t="s">
        <v>963</v>
      </c>
      <c r="H666" s="667" t="str">
        <f t="shared" si="31"/>
        <v>Regelzone TenneT (gesamt)</v>
      </c>
      <c r="I666" s="662"/>
    </row>
    <row r="667" spans="1:9" hidden="1" outlineLevel="1">
      <c r="A667" s="831">
        <v>2021</v>
      </c>
      <c r="B667" s="826" t="s">
        <v>966</v>
      </c>
      <c r="C667" s="820" t="s">
        <v>2016</v>
      </c>
      <c r="D667" s="1031">
        <v>-2423</v>
      </c>
      <c r="E667" s="821">
        <f t="shared" si="32"/>
        <v>-6.15442</v>
      </c>
      <c r="F667" s="821">
        <f t="shared" si="33"/>
        <v>-9.5708500000000001</v>
      </c>
      <c r="G667" t="s">
        <v>967</v>
      </c>
      <c r="H667" s="667" t="str">
        <f t="shared" si="31"/>
        <v>Regelzone TenneT (gesamt)</v>
      </c>
      <c r="I667" s="662"/>
    </row>
    <row r="668" spans="1:9" hidden="1" outlineLevel="1">
      <c r="A668" s="831">
        <v>2021</v>
      </c>
      <c r="B668" s="826" t="s">
        <v>976</v>
      </c>
      <c r="C668" s="820" t="s">
        <v>2016</v>
      </c>
      <c r="D668" s="1031">
        <v>606758.5</v>
      </c>
      <c r="E668" s="821">
        <f t="shared" si="32"/>
        <v>1541.16659</v>
      </c>
      <c r="F668" s="821">
        <f t="shared" si="33"/>
        <v>2396.6960750000003</v>
      </c>
      <c r="G668" t="s">
        <v>977</v>
      </c>
      <c r="H668" s="667" t="str">
        <f t="shared" si="31"/>
        <v>Regelzone TenneT (gesamt)</v>
      </c>
      <c r="I668" s="662"/>
    </row>
    <row r="669" spans="1:9" hidden="1" outlineLevel="1">
      <c r="A669" s="831">
        <v>2021</v>
      </c>
      <c r="B669" s="826" t="s">
        <v>984</v>
      </c>
      <c r="C669" s="820" t="s">
        <v>2016</v>
      </c>
      <c r="D669" s="1031">
        <v>599</v>
      </c>
      <c r="E669" s="821">
        <f t="shared" si="32"/>
        <v>1.52146</v>
      </c>
      <c r="F669" s="821">
        <f t="shared" si="33"/>
        <v>2.3660500000000004</v>
      </c>
      <c r="G669" t="s">
        <v>985</v>
      </c>
      <c r="H669" s="667" t="str">
        <f t="shared" si="31"/>
        <v>Regelzone TenneT (gesamt)</v>
      </c>
      <c r="I669" s="662"/>
    </row>
    <row r="670" spans="1:9" hidden="1" outlineLevel="1">
      <c r="A670" s="831">
        <v>2021</v>
      </c>
      <c r="B670" s="826" t="s">
        <v>986</v>
      </c>
      <c r="C670" s="820" t="s">
        <v>2016</v>
      </c>
      <c r="D670" s="1031">
        <v>-483</v>
      </c>
      <c r="E670" s="821">
        <f t="shared" si="32"/>
        <v>-1.22682</v>
      </c>
      <c r="F670" s="821">
        <f t="shared" si="33"/>
        <v>-1.9078500000000003</v>
      </c>
      <c r="G670" t="s">
        <v>987</v>
      </c>
      <c r="H670" s="667" t="str">
        <f t="shared" si="31"/>
        <v>Regelzone TenneT (gesamt)</v>
      </c>
      <c r="I670" s="662"/>
    </row>
    <row r="671" spans="1:9" hidden="1" outlineLevel="1">
      <c r="A671" s="831">
        <v>2021</v>
      </c>
      <c r="B671" s="826" t="s">
        <v>998</v>
      </c>
      <c r="C671" s="820" t="s">
        <v>2016</v>
      </c>
      <c r="D671" s="1031">
        <v>5280</v>
      </c>
      <c r="E671" s="821">
        <f t="shared" si="32"/>
        <v>13.411200000000001</v>
      </c>
      <c r="F671" s="821">
        <f t="shared" si="33"/>
        <v>20.856000000000002</v>
      </c>
      <c r="G671" t="s">
        <v>999</v>
      </c>
      <c r="H671" s="667" t="str">
        <f t="shared" si="31"/>
        <v>Regelzone TenneT (gesamt)</v>
      </c>
      <c r="I671" s="662"/>
    </row>
    <row r="672" spans="1:9" hidden="1" outlineLevel="1">
      <c r="A672" s="831">
        <v>2021</v>
      </c>
      <c r="B672" s="826" t="s">
        <v>1002</v>
      </c>
      <c r="C672" s="820" t="s">
        <v>2016</v>
      </c>
      <c r="D672" s="1031">
        <v>107214</v>
      </c>
      <c r="E672" s="821">
        <f t="shared" si="32"/>
        <v>272.32356000000004</v>
      </c>
      <c r="F672" s="821">
        <f t="shared" si="33"/>
        <v>423.49530000000004</v>
      </c>
      <c r="G672" t="s">
        <v>1003</v>
      </c>
      <c r="H672" s="667" t="str">
        <f t="shared" si="31"/>
        <v>Regelzone TenneT (gesamt)</v>
      </c>
      <c r="I672" s="662"/>
    </row>
    <row r="673" spans="1:9" hidden="1" outlineLevel="1">
      <c r="A673" s="831">
        <v>2021</v>
      </c>
      <c r="B673" s="826" t="s">
        <v>1014</v>
      </c>
      <c r="C673" s="820" t="s">
        <v>2016</v>
      </c>
      <c r="D673" s="1031">
        <v>-6445</v>
      </c>
      <c r="E673" s="821">
        <f t="shared" si="32"/>
        <v>-16.3703</v>
      </c>
      <c r="F673" s="821">
        <f t="shared" si="33"/>
        <v>-25.457750000000001</v>
      </c>
      <c r="G673" t="s">
        <v>1015</v>
      </c>
      <c r="H673" s="667" t="str">
        <f t="shared" si="31"/>
        <v>Regelzone TenneT (gesamt)</v>
      </c>
      <c r="I673" s="662"/>
    </row>
    <row r="674" spans="1:9" hidden="1" outlineLevel="1">
      <c r="A674" s="831">
        <v>2021</v>
      </c>
      <c r="B674" s="826" t="s">
        <v>1024</v>
      </c>
      <c r="C674" s="820" t="s">
        <v>2016</v>
      </c>
      <c r="D674" s="1031">
        <v>534929</v>
      </c>
      <c r="E674" s="821">
        <f t="shared" si="32"/>
        <v>1358.71966</v>
      </c>
      <c r="F674" s="821">
        <f t="shared" si="33"/>
        <v>2112.9695500000003</v>
      </c>
      <c r="G674" t="s">
        <v>1025</v>
      </c>
      <c r="H674" s="667" t="str">
        <f t="shared" si="31"/>
        <v>Regelzone TenneT (gesamt)</v>
      </c>
      <c r="I674" s="662"/>
    </row>
    <row r="675" spans="1:9" hidden="1" outlineLevel="1">
      <c r="A675" s="831">
        <v>2021</v>
      </c>
      <c r="B675" s="826" t="s">
        <v>1046</v>
      </c>
      <c r="C675" s="820" t="s">
        <v>2016</v>
      </c>
      <c r="D675" s="1031">
        <v>7415</v>
      </c>
      <c r="E675" s="821">
        <f t="shared" si="32"/>
        <v>18.834099999999999</v>
      </c>
      <c r="F675" s="821">
        <f t="shared" si="33"/>
        <v>29.289250000000003</v>
      </c>
      <c r="G675" t="s">
        <v>2034</v>
      </c>
      <c r="H675" s="667" t="str">
        <f t="shared" si="31"/>
        <v>Regelzone TenneT (gesamt)</v>
      </c>
      <c r="I675" s="662"/>
    </row>
    <row r="676" spans="1:9" hidden="1" outlineLevel="1">
      <c r="A676" s="831">
        <v>2021</v>
      </c>
      <c r="B676" s="826" t="s">
        <v>1058</v>
      </c>
      <c r="C676" s="820" t="s">
        <v>2016</v>
      </c>
      <c r="D676" s="1031">
        <v>7132</v>
      </c>
      <c r="E676" s="821">
        <f t="shared" si="32"/>
        <v>18.115280000000002</v>
      </c>
      <c r="F676" s="821">
        <f t="shared" si="33"/>
        <v>28.171400000000002</v>
      </c>
      <c r="G676" t="s">
        <v>1059</v>
      </c>
      <c r="H676" s="667" t="str">
        <f t="shared" si="31"/>
        <v>Regelzone TenneT (gesamt)</v>
      </c>
      <c r="I676" s="662"/>
    </row>
    <row r="677" spans="1:9" hidden="1" outlineLevel="1">
      <c r="A677" s="831">
        <v>2021</v>
      </c>
      <c r="B677" s="826" t="s">
        <v>1064</v>
      </c>
      <c r="C677" s="820" t="s">
        <v>2016</v>
      </c>
      <c r="D677" s="1031">
        <v>23409</v>
      </c>
      <c r="E677" s="821">
        <f t="shared" si="32"/>
        <v>59.458860000000001</v>
      </c>
      <c r="F677" s="821">
        <f t="shared" si="33"/>
        <v>92.465550000000007</v>
      </c>
      <c r="G677" t="s">
        <v>1065</v>
      </c>
      <c r="H677" s="667" t="str">
        <f t="shared" si="31"/>
        <v>Regelzone TenneT (gesamt)</v>
      </c>
      <c r="I677" s="662"/>
    </row>
    <row r="678" spans="1:9" hidden="1" outlineLevel="1">
      <c r="A678" s="831">
        <v>2021</v>
      </c>
      <c r="B678" s="826" t="s">
        <v>1070</v>
      </c>
      <c r="C678" s="820" t="s">
        <v>2016</v>
      </c>
      <c r="D678" s="1031">
        <v>2594</v>
      </c>
      <c r="E678" s="821">
        <f t="shared" si="32"/>
        <v>6.5887600000000006</v>
      </c>
      <c r="F678" s="821">
        <f t="shared" si="33"/>
        <v>10.246300000000002</v>
      </c>
      <c r="G678" t="s">
        <v>1071</v>
      </c>
      <c r="H678" s="667" t="str">
        <f t="shared" si="31"/>
        <v>Regelzone TenneT (gesamt)</v>
      </c>
      <c r="I678" s="662"/>
    </row>
    <row r="679" spans="1:9" hidden="1" outlineLevel="1">
      <c r="A679" s="831">
        <v>2021</v>
      </c>
      <c r="B679" s="826" t="s">
        <v>1074</v>
      </c>
      <c r="C679" s="820" t="s">
        <v>2016</v>
      </c>
      <c r="D679" s="1031">
        <v>207795</v>
      </c>
      <c r="E679" s="821">
        <f t="shared" si="32"/>
        <v>527.79930000000002</v>
      </c>
      <c r="F679" s="821">
        <f t="shared" si="33"/>
        <v>820.79025000000013</v>
      </c>
      <c r="G679" t="s">
        <v>1075</v>
      </c>
      <c r="H679" s="667" t="str">
        <f t="shared" si="31"/>
        <v>Regelzone TenneT (gesamt)</v>
      </c>
      <c r="I679" s="662"/>
    </row>
    <row r="680" spans="1:9" hidden="1" outlineLevel="1">
      <c r="A680" s="831">
        <v>2021</v>
      </c>
      <c r="B680" s="826" t="s">
        <v>1086</v>
      </c>
      <c r="C680" s="820" t="s">
        <v>2016</v>
      </c>
      <c r="D680" s="1031">
        <v>9183</v>
      </c>
      <c r="E680" s="821">
        <f t="shared" si="32"/>
        <v>23.324820000000003</v>
      </c>
      <c r="F680" s="821">
        <f t="shared" si="33"/>
        <v>36.272850000000005</v>
      </c>
      <c r="G680" t="s">
        <v>1087</v>
      </c>
      <c r="H680" s="667" t="str">
        <f t="shared" si="31"/>
        <v>Regelzone TenneT (gesamt)</v>
      </c>
      <c r="I680" s="662"/>
    </row>
    <row r="681" spans="1:9" hidden="1" outlineLevel="1">
      <c r="A681" s="831">
        <v>2021</v>
      </c>
      <c r="B681" s="826" t="s">
        <v>1106</v>
      </c>
      <c r="C681" s="820" t="s">
        <v>2016</v>
      </c>
      <c r="D681" s="1031">
        <v>-39245</v>
      </c>
      <c r="E681" s="821">
        <f t="shared" si="32"/>
        <v>-99.682300000000012</v>
      </c>
      <c r="F681" s="821">
        <f t="shared" si="33"/>
        <v>-155.01775000000001</v>
      </c>
      <c r="G681" t="s">
        <v>1107</v>
      </c>
      <c r="H681" s="667" t="str">
        <f t="shared" si="31"/>
        <v>Regelzone TenneT (gesamt)</v>
      </c>
      <c r="I681" s="662"/>
    </row>
    <row r="682" spans="1:9" hidden="1" outlineLevel="1">
      <c r="A682" s="831">
        <v>2021</v>
      </c>
      <c r="B682" s="826" t="s">
        <v>1130</v>
      </c>
      <c r="C682" s="820" t="s">
        <v>2016</v>
      </c>
      <c r="D682" s="1031">
        <v>10203</v>
      </c>
      <c r="E682" s="821">
        <f t="shared" si="32"/>
        <v>25.915620000000001</v>
      </c>
      <c r="F682" s="821">
        <f t="shared" si="33"/>
        <v>40.301850000000002</v>
      </c>
      <c r="G682" t="s">
        <v>1131</v>
      </c>
      <c r="H682" s="667" t="str">
        <f t="shared" si="31"/>
        <v>Regelzone TenneT (gesamt)</v>
      </c>
      <c r="I682" s="662"/>
    </row>
    <row r="683" spans="1:9" hidden="1" outlineLevel="1">
      <c r="A683" s="831">
        <v>2021</v>
      </c>
      <c r="B683" s="826" t="s">
        <v>1134</v>
      </c>
      <c r="C683" s="820" t="s">
        <v>2016</v>
      </c>
      <c r="D683" s="1031">
        <v>-4364</v>
      </c>
      <c r="E683" s="821">
        <f t="shared" si="32"/>
        <v>-11.084560000000002</v>
      </c>
      <c r="F683" s="821">
        <f t="shared" si="33"/>
        <v>-17.2378</v>
      </c>
      <c r="G683" t="s">
        <v>1135</v>
      </c>
      <c r="H683" s="667" t="str">
        <f t="shared" si="31"/>
        <v>Regelzone TenneT (gesamt)</v>
      </c>
      <c r="I683" s="662"/>
    </row>
    <row r="684" spans="1:9" hidden="1" outlineLevel="1">
      <c r="A684" s="831">
        <v>2021</v>
      </c>
      <c r="B684" s="826" t="s">
        <v>1150</v>
      </c>
      <c r="C684" s="820" t="s">
        <v>2016</v>
      </c>
      <c r="D684" s="1031">
        <v>-3180</v>
      </c>
      <c r="E684" s="821">
        <f t="shared" si="32"/>
        <v>-8.0772000000000013</v>
      </c>
      <c r="F684" s="821">
        <f t="shared" si="33"/>
        <v>-12.561000000000002</v>
      </c>
      <c r="G684" t="s">
        <v>1151</v>
      </c>
      <c r="H684" s="667" t="str">
        <f t="shared" si="31"/>
        <v>Regelzone TenneT (gesamt)</v>
      </c>
      <c r="I684" s="662"/>
    </row>
    <row r="685" spans="1:9" hidden="1" outlineLevel="1">
      <c r="A685" s="831">
        <v>2021</v>
      </c>
      <c r="B685" s="826" t="s">
        <v>1160</v>
      </c>
      <c r="C685" s="820" t="s">
        <v>2016</v>
      </c>
      <c r="D685" s="1031">
        <v>-665998</v>
      </c>
      <c r="E685" s="821">
        <f t="shared" si="32"/>
        <v>-1691.6349200000002</v>
      </c>
      <c r="F685" s="821">
        <f t="shared" si="33"/>
        <v>-2630.6921000000002</v>
      </c>
      <c r="G685" t="s">
        <v>1161</v>
      </c>
      <c r="H685" s="667" t="str">
        <f t="shared" si="31"/>
        <v>Regelzone TenneT (gesamt)</v>
      </c>
      <c r="I685" s="662"/>
    </row>
    <row r="686" spans="1:9" hidden="1" outlineLevel="1">
      <c r="A686" s="831">
        <v>2021</v>
      </c>
      <c r="B686" s="826" t="s">
        <v>1164</v>
      </c>
      <c r="C686" s="820" t="s">
        <v>2016</v>
      </c>
      <c r="D686" s="1031">
        <v>19192</v>
      </c>
      <c r="E686" s="821">
        <f t="shared" si="32"/>
        <v>48.747680000000003</v>
      </c>
      <c r="F686" s="821">
        <f t="shared" si="33"/>
        <v>75.808400000000006</v>
      </c>
      <c r="G686" t="s">
        <v>1165</v>
      </c>
      <c r="H686" s="667" t="str">
        <f t="shared" si="31"/>
        <v>Regelzone TenneT (gesamt)</v>
      </c>
      <c r="I686" s="662"/>
    </row>
    <row r="687" spans="1:9" hidden="1" outlineLevel="1">
      <c r="A687" s="831">
        <v>2021</v>
      </c>
      <c r="B687" s="826" t="s">
        <v>1174</v>
      </c>
      <c r="C687" s="820" t="s">
        <v>2016</v>
      </c>
      <c r="D687" s="1031">
        <v>-3210</v>
      </c>
      <c r="E687" s="821">
        <f t="shared" si="32"/>
        <v>-8.1534000000000013</v>
      </c>
      <c r="F687" s="821">
        <f t="shared" si="33"/>
        <v>-12.679500000000001</v>
      </c>
      <c r="G687" t="s">
        <v>1175</v>
      </c>
      <c r="H687" s="667" t="str">
        <f t="shared" si="31"/>
        <v>Regelzone TenneT (gesamt)</v>
      </c>
      <c r="I687" s="662"/>
    </row>
    <row r="688" spans="1:9" hidden="1" outlineLevel="1">
      <c r="A688" s="831">
        <v>2021</v>
      </c>
      <c r="B688" s="826" t="s">
        <v>1176</v>
      </c>
      <c r="C688" s="820" t="s">
        <v>2016</v>
      </c>
      <c r="D688" s="1031">
        <v>-230585.55</v>
      </c>
      <c r="E688" s="821">
        <f t="shared" si="32"/>
        <v>-585.68729700000006</v>
      </c>
      <c r="F688" s="821">
        <f t="shared" si="33"/>
        <v>-910.81292250000001</v>
      </c>
      <c r="G688" t="s">
        <v>1177</v>
      </c>
      <c r="H688" s="667" t="str">
        <f t="shared" si="31"/>
        <v>Regelzone TenneT (gesamt)</v>
      </c>
      <c r="I688" s="662"/>
    </row>
    <row r="689" spans="1:9" hidden="1" outlineLevel="1">
      <c r="A689" s="831">
        <v>2021</v>
      </c>
      <c r="B689" s="826" t="s">
        <v>1186</v>
      </c>
      <c r="C689" s="820" t="s">
        <v>2016</v>
      </c>
      <c r="D689" s="1031">
        <v>-3673</v>
      </c>
      <c r="E689" s="821">
        <f t="shared" si="32"/>
        <v>-9.3294200000000007</v>
      </c>
      <c r="F689" s="821">
        <f t="shared" si="33"/>
        <v>-14.508350000000002</v>
      </c>
      <c r="G689" t="s">
        <v>1187</v>
      </c>
      <c r="H689" s="667" t="str">
        <f t="shared" si="31"/>
        <v>Regelzone TenneT (gesamt)</v>
      </c>
      <c r="I689" s="662"/>
    </row>
    <row r="690" spans="1:9" hidden="1" outlineLevel="1">
      <c r="A690" s="831">
        <v>2021</v>
      </c>
      <c r="B690" s="826" t="s">
        <v>1190</v>
      </c>
      <c r="C690" s="820" t="s">
        <v>2016</v>
      </c>
      <c r="D690" s="1031">
        <v>146237.88</v>
      </c>
      <c r="E690" s="821">
        <f t="shared" si="32"/>
        <v>371.44421520000003</v>
      </c>
      <c r="F690" s="821">
        <f t="shared" si="33"/>
        <v>577.63962600000002</v>
      </c>
      <c r="G690" t="s">
        <v>1191</v>
      </c>
      <c r="H690" s="667" t="str">
        <f t="shared" si="31"/>
        <v>Regelzone TenneT (gesamt)</v>
      </c>
      <c r="I690" s="662"/>
    </row>
    <row r="691" spans="1:9" hidden="1" outlineLevel="1">
      <c r="A691" s="831">
        <v>2021</v>
      </c>
      <c r="B691" s="826" t="s">
        <v>1194</v>
      </c>
      <c r="C691" s="820" t="s">
        <v>2016</v>
      </c>
      <c r="D691" s="1031">
        <v>38465</v>
      </c>
      <c r="E691" s="821">
        <f t="shared" si="32"/>
        <v>97.701100000000011</v>
      </c>
      <c r="F691" s="821">
        <f t="shared" si="33"/>
        <v>151.93675000000002</v>
      </c>
      <c r="G691" t="s">
        <v>1195</v>
      </c>
      <c r="H691" s="667" t="str">
        <f t="shared" si="31"/>
        <v>Regelzone TenneT (gesamt)</v>
      </c>
      <c r="I691" s="662"/>
    </row>
    <row r="692" spans="1:9" hidden="1" outlineLevel="1">
      <c r="A692" s="831">
        <v>2021</v>
      </c>
      <c r="B692" s="826" t="s">
        <v>1198</v>
      </c>
      <c r="C692" s="820" t="s">
        <v>2016</v>
      </c>
      <c r="D692" s="1031">
        <v>0</v>
      </c>
      <c r="E692" s="821">
        <f t="shared" si="32"/>
        <v>0</v>
      </c>
      <c r="F692" s="821">
        <f t="shared" si="33"/>
        <v>0</v>
      </c>
      <c r="G692" t="s">
        <v>1199</v>
      </c>
      <c r="H692" s="667" t="str">
        <f t="shared" si="31"/>
        <v>Regelzone TenneT (gesamt)</v>
      </c>
      <c r="I692" s="662"/>
    </row>
    <row r="693" spans="1:9" hidden="1" outlineLevel="1">
      <c r="A693" s="831">
        <v>2021</v>
      </c>
      <c r="B693" s="826" t="s">
        <v>1200</v>
      </c>
      <c r="C693" s="820" t="s">
        <v>2016</v>
      </c>
      <c r="D693" s="1031">
        <v>-20536</v>
      </c>
      <c r="E693" s="821">
        <f t="shared" si="32"/>
        <v>-52.161440000000006</v>
      </c>
      <c r="F693" s="821">
        <f t="shared" si="33"/>
        <v>-81.117200000000011</v>
      </c>
      <c r="G693" t="s">
        <v>1201</v>
      </c>
      <c r="H693" s="667" t="str">
        <f t="shared" si="31"/>
        <v>Regelzone TenneT (gesamt)</v>
      </c>
      <c r="I693" s="662"/>
    </row>
    <row r="694" spans="1:9" hidden="1" outlineLevel="1">
      <c r="A694" s="831">
        <v>2021</v>
      </c>
      <c r="B694" s="826" t="s">
        <v>1204</v>
      </c>
      <c r="C694" s="820" t="s">
        <v>2016</v>
      </c>
      <c r="D694" s="1031">
        <v>0</v>
      </c>
      <c r="E694" s="821">
        <f t="shared" si="32"/>
        <v>0</v>
      </c>
      <c r="F694" s="821">
        <f t="shared" si="33"/>
        <v>0</v>
      </c>
      <c r="G694" t="s">
        <v>1205</v>
      </c>
      <c r="H694" s="667" t="str">
        <f t="shared" si="31"/>
        <v>Regelzone TenneT (gesamt)</v>
      </c>
      <c r="I694" s="662"/>
    </row>
    <row r="695" spans="1:9" hidden="1" outlineLevel="1">
      <c r="A695" s="831">
        <v>2021</v>
      </c>
      <c r="B695" s="826" t="s">
        <v>1476</v>
      </c>
      <c r="C695" s="820" t="s">
        <v>2016</v>
      </c>
      <c r="D695" s="1031">
        <v>-58824</v>
      </c>
      <c r="E695" s="821">
        <f t="shared" si="32"/>
        <v>-149.41296</v>
      </c>
      <c r="F695" s="821">
        <f t="shared" si="33"/>
        <v>-232.35480000000001</v>
      </c>
      <c r="G695" t="s">
        <v>1477</v>
      </c>
      <c r="H695" s="667" t="str">
        <f t="shared" si="31"/>
        <v>Regelzone TenneT (gesamt)</v>
      </c>
      <c r="I695" s="662"/>
    </row>
    <row r="696" spans="1:9" hidden="1" outlineLevel="1">
      <c r="A696" s="831">
        <v>2021</v>
      </c>
      <c r="B696" s="826" t="s">
        <v>1228</v>
      </c>
      <c r="C696" s="820" t="s">
        <v>2016</v>
      </c>
      <c r="D696" s="1031">
        <v>17792</v>
      </c>
      <c r="E696" s="821">
        <f t="shared" si="32"/>
        <v>45.191680000000005</v>
      </c>
      <c r="F696" s="821">
        <f t="shared" si="33"/>
        <v>70.278400000000005</v>
      </c>
      <c r="G696" t="s">
        <v>1229</v>
      </c>
      <c r="H696" s="667" t="str">
        <f t="shared" si="31"/>
        <v>Regelzone TenneT (gesamt)</v>
      </c>
      <c r="I696" s="662"/>
    </row>
    <row r="697" spans="1:9" hidden="1" outlineLevel="1">
      <c r="A697" s="831">
        <v>2021</v>
      </c>
      <c r="B697" s="826" t="s">
        <v>1242</v>
      </c>
      <c r="C697" s="820" t="s">
        <v>2016</v>
      </c>
      <c r="D697" s="1031">
        <v>30650</v>
      </c>
      <c r="E697" s="821">
        <f t="shared" si="32"/>
        <v>77.850999999999999</v>
      </c>
      <c r="F697" s="821">
        <f t="shared" si="33"/>
        <v>121.06750000000001</v>
      </c>
      <c r="G697" t="s">
        <v>1243</v>
      </c>
      <c r="H697" s="667" t="str">
        <f t="shared" si="31"/>
        <v>Regelzone TenneT (gesamt)</v>
      </c>
      <c r="I697" s="662"/>
    </row>
    <row r="698" spans="1:9" hidden="1" outlineLevel="1">
      <c r="A698" s="831">
        <v>2021</v>
      </c>
      <c r="B698" s="826" t="s">
        <v>1246</v>
      </c>
      <c r="C698" s="820" t="s">
        <v>2016</v>
      </c>
      <c r="D698" s="1031">
        <v>59646</v>
      </c>
      <c r="E698" s="821">
        <f t="shared" si="32"/>
        <v>151.50084000000001</v>
      </c>
      <c r="F698" s="821">
        <f t="shared" si="33"/>
        <v>235.60170000000002</v>
      </c>
      <c r="G698" t="s">
        <v>1247</v>
      </c>
      <c r="H698" s="667" t="str">
        <f t="shared" si="31"/>
        <v>Regelzone TenneT (gesamt)</v>
      </c>
      <c r="I698" s="662"/>
    </row>
    <row r="699" spans="1:9" hidden="1" outlineLevel="1">
      <c r="A699" s="831">
        <v>2021</v>
      </c>
      <c r="B699" s="826" t="s">
        <v>1258</v>
      </c>
      <c r="C699" s="820" t="s">
        <v>2016</v>
      </c>
      <c r="D699" s="1031">
        <v>-15726</v>
      </c>
      <c r="E699" s="821">
        <f t="shared" si="32"/>
        <v>-39.944040000000001</v>
      </c>
      <c r="F699" s="821">
        <f t="shared" si="33"/>
        <v>-62.117700000000006</v>
      </c>
      <c r="G699" t="s">
        <v>1259</v>
      </c>
      <c r="H699" s="667" t="str">
        <f t="shared" si="31"/>
        <v>Regelzone TenneT (gesamt)</v>
      </c>
      <c r="I699" s="662"/>
    </row>
    <row r="700" spans="1:9" hidden="1" outlineLevel="1">
      <c r="A700" s="831">
        <v>2021</v>
      </c>
      <c r="B700" s="826" t="s">
        <v>1272</v>
      </c>
      <c r="C700" s="820" t="s">
        <v>2016</v>
      </c>
      <c r="D700" s="1031">
        <v>9968</v>
      </c>
      <c r="E700" s="821">
        <f t="shared" si="32"/>
        <v>25.318720000000003</v>
      </c>
      <c r="F700" s="821">
        <f t="shared" si="33"/>
        <v>39.373600000000003</v>
      </c>
      <c r="G700" t="s">
        <v>1273</v>
      </c>
      <c r="H700" s="667" t="str">
        <f t="shared" si="31"/>
        <v>Regelzone TenneT (gesamt)</v>
      </c>
      <c r="I700" s="662"/>
    </row>
    <row r="701" spans="1:9" hidden="1" outlineLevel="1">
      <c r="A701" s="831">
        <v>2021</v>
      </c>
      <c r="B701" s="826" t="s">
        <v>1276</v>
      </c>
      <c r="C701" s="820" t="s">
        <v>2016</v>
      </c>
      <c r="D701" s="1031">
        <v>-15036</v>
      </c>
      <c r="E701" s="821">
        <f t="shared" si="32"/>
        <v>-38.19144</v>
      </c>
      <c r="F701" s="821">
        <f t="shared" si="33"/>
        <v>-59.392200000000003</v>
      </c>
      <c r="G701" t="s">
        <v>2035</v>
      </c>
      <c r="H701" s="667" t="str">
        <f t="shared" si="31"/>
        <v>Regelzone TenneT (gesamt)</v>
      </c>
      <c r="I701" s="662"/>
    </row>
    <row r="702" spans="1:9" hidden="1" outlineLevel="1">
      <c r="A702" s="831">
        <v>2021</v>
      </c>
      <c r="B702" s="826" t="s">
        <v>1280</v>
      </c>
      <c r="C702" s="820" t="s">
        <v>2016</v>
      </c>
      <c r="D702" s="1031">
        <v>14828</v>
      </c>
      <c r="E702" s="821">
        <f t="shared" si="32"/>
        <v>37.663119999999999</v>
      </c>
      <c r="F702" s="821">
        <f t="shared" si="33"/>
        <v>58.570600000000006</v>
      </c>
      <c r="G702" t="s">
        <v>1281</v>
      </c>
      <c r="H702" s="667" t="str">
        <f t="shared" si="31"/>
        <v>Regelzone TenneT (gesamt)</v>
      </c>
      <c r="I702" s="662"/>
    </row>
    <row r="703" spans="1:9" hidden="1" outlineLevel="1">
      <c r="A703" s="831">
        <v>2021</v>
      </c>
      <c r="B703" s="826" t="s">
        <v>1282</v>
      </c>
      <c r="C703" s="820" t="s">
        <v>2016</v>
      </c>
      <c r="D703" s="1031">
        <v>-36358456</v>
      </c>
      <c r="E703" s="821">
        <f t="shared" si="32"/>
        <v>-92350.478240000011</v>
      </c>
      <c r="F703" s="821">
        <f t="shared" si="33"/>
        <v>-143615.90120000002</v>
      </c>
      <c r="G703" t="s">
        <v>2036</v>
      </c>
      <c r="H703" s="667" t="str">
        <f t="shared" si="31"/>
        <v>Regelzone TenneT (gesamt)</v>
      </c>
      <c r="I703" s="662"/>
    </row>
    <row r="704" spans="1:9" hidden="1" outlineLevel="1">
      <c r="A704" s="831">
        <v>2021</v>
      </c>
      <c r="B704" s="826" t="s">
        <v>1284</v>
      </c>
      <c r="C704" s="820" t="s">
        <v>2016</v>
      </c>
      <c r="D704" s="1031">
        <v>-164</v>
      </c>
      <c r="E704" s="821">
        <f t="shared" si="32"/>
        <v>-0.41656000000000004</v>
      </c>
      <c r="F704" s="821">
        <f t="shared" si="33"/>
        <v>-0.64780000000000004</v>
      </c>
      <c r="G704" t="s">
        <v>1285</v>
      </c>
      <c r="H704" s="667" t="str">
        <f t="shared" si="31"/>
        <v>Regelzone TenneT (gesamt)</v>
      </c>
      <c r="I704" s="662"/>
    </row>
    <row r="705" spans="1:9" hidden="1" outlineLevel="1">
      <c r="A705" s="831">
        <v>2021</v>
      </c>
      <c r="B705" s="826" t="s">
        <v>1286</v>
      </c>
      <c r="C705" s="820" t="s">
        <v>2016</v>
      </c>
      <c r="D705" s="1031">
        <v>-16328</v>
      </c>
      <c r="E705" s="821">
        <f t="shared" si="32"/>
        <v>-41.473120000000002</v>
      </c>
      <c r="F705" s="821">
        <f t="shared" si="33"/>
        <v>-64.49560000000001</v>
      </c>
      <c r="G705" t="s">
        <v>1287</v>
      </c>
      <c r="H705" s="667" t="str">
        <f t="shared" si="31"/>
        <v>Regelzone TenneT (gesamt)</v>
      </c>
      <c r="I705" s="662"/>
    </row>
    <row r="706" spans="1:9" hidden="1" outlineLevel="1">
      <c r="A706" s="831">
        <v>2021</v>
      </c>
      <c r="B706" s="826" t="s">
        <v>1288</v>
      </c>
      <c r="C706" s="820" t="s">
        <v>2016</v>
      </c>
      <c r="D706" s="1031">
        <v>-2637674</v>
      </c>
      <c r="E706" s="821">
        <f t="shared" si="32"/>
        <v>-6699.6919600000001</v>
      </c>
      <c r="F706" s="821">
        <f t="shared" si="33"/>
        <v>-10418.812300000001</v>
      </c>
      <c r="G706" t="s">
        <v>1289</v>
      </c>
      <c r="H706" s="667" t="str">
        <f t="shared" si="31"/>
        <v>Regelzone TenneT (gesamt)</v>
      </c>
      <c r="I706" s="662"/>
    </row>
    <row r="707" spans="1:9" hidden="1" outlineLevel="1">
      <c r="A707" s="831">
        <v>2021</v>
      </c>
      <c r="B707" s="826" t="s">
        <v>1290</v>
      </c>
      <c r="C707" s="820" t="s">
        <v>2016</v>
      </c>
      <c r="D707" s="1031">
        <v>-215</v>
      </c>
      <c r="E707" s="821">
        <f t="shared" si="32"/>
        <v>-0.54610000000000003</v>
      </c>
      <c r="F707" s="821">
        <f t="shared" si="33"/>
        <v>-0.84925000000000006</v>
      </c>
      <c r="G707" t="s">
        <v>1291</v>
      </c>
      <c r="H707" s="667" t="str">
        <f t="shared" si="31"/>
        <v>Regelzone TenneT (gesamt)</v>
      </c>
      <c r="I707" s="662"/>
    </row>
    <row r="708" spans="1:9" hidden="1" outlineLevel="1">
      <c r="A708" s="831">
        <v>2021</v>
      </c>
      <c r="B708" s="826" t="s">
        <v>1304</v>
      </c>
      <c r="C708" s="820" t="s">
        <v>2016</v>
      </c>
      <c r="D708" s="1031">
        <v>-408</v>
      </c>
      <c r="E708" s="821">
        <f t="shared" si="32"/>
        <v>-1.0363200000000001</v>
      </c>
      <c r="F708" s="821">
        <f t="shared" si="33"/>
        <v>-1.6116000000000001</v>
      </c>
      <c r="G708" t="s">
        <v>1305</v>
      </c>
      <c r="H708" s="667" t="str">
        <f t="shared" si="31"/>
        <v>Regelzone TenneT (gesamt)</v>
      </c>
      <c r="I708" s="662"/>
    </row>
    <row r="709" spans="1:9" hidden="1" outlineLevel="1">
      <c r="A709" s="831">
        <v>2021</v>
      </c>
      <c r="B709" s="826" t="s">
        <v>1328</v>
      </c>
      <c r="C709" s="820" t="s">
        <v>2016</v>
      </c>
      <c r="D709" s="1031">
        <v>-5682.1</v>
      </c>
      <c r="E709" s="821">
        <f t="shared" si="32"/>
        <v>-14.432534000000002</v>
      </c>
      <c r="F709" s="821">
        <f t="shared" si="33"/>
        <v>-22.444295000000004</v>
      </c>
      <c r="G709" t="s">
        <v>1329</v>
      </c>
      <c r="H709" s="667" t="str">
        <f t="shared" si="31"/>
        <v>Regelzone TenneT (gesamt)</v>
      </c>
      <c r="I709" s="662"/>
    </row>
    <row r="710" spans="1:9" hidden="1" outlineLevel="1">
      <c r="A710" s="831">
        <v>2021</v>
      </c>
      <c r="B710" s="826" t="s">
        <v>499</v>
      </c>
      <c r="C710" s="820" t="s">
        <v>2016</v>
      </c>
      <c r="D710" s="1031">
        <v>-3209</v>
      </c>
      <c r="E710" s="821">
        <f t="shared" si="32"/>
        <v>-8.1508599999999998</v>
      </c>
      <c r="F710" s="821">
        <f t="shared" si="33"/>
        <v>-12.675550000000001</v>
      </c>
      <c r="G710" t="s">
        <v>500</v>
      </c>
      <c r="H710" s="667" t="str">
        <f t="shared" si="31"/>
        <v>Regelzone TenneT (gesamt)</v>
      </c>
      <c r="I710" s="662"/>
    </row>
    <row r="711" spans="1:9" hidden="1" outlineLevel="1">
      <c r="A711" s="831">
        <v>2021</v>
      </c>
      <c r="B711" s="826" t="s">
        <v>1339</v>
      </c>
      <c r="C711" s="820" t="s">
        <v>2016</v>
      </c>
      <c r="D711" s="1031">
        <v>11274</v>
      </c>
      <c r="E711" s="821">
        <f t="shared" si="32"/>
        <v>28.635960000000001</v>
      </c>
      <c r="F711" s="821">
        <f t="shared" si="33"/>
        <v>44.532300000000006</v>
      </c>
      <c r="G711" t="s">
        <v>1340</v>
      </c>
      <c r="H711" s="667" t="str">
        <f t="shared" si="31"/>
        <v>Regelzone TenneT (gesamt)</v>
      </c>
      <c r="I711" s="662"/>
    </row>
    <row r="712" spans="1:9" hidden="1" outlineLevel="1">
      <c r="A712" s="831">
        <v>2021</v>
      </c>
      <c r="B712" s="826" t="s">
        <v>1355</v>
      </c>
      <c r="C712" s="820" t="s">
        <v>2016</v>
      </c>
      <c r="D712" s="1031">
        <v>-1186.7</v>
      </c>
      <c r="E712" s="821">
        <f t="shared" si="32"/>
        <v>-3.0142180000000005</v>
      </c>
      <c r="F712" s="821">
        <f t="shared" si="33"/>
        <v>-4.6874650000000004</v>
      </c>
      <c r="G712" t="s">
        <v>1356</v>
      </c>
      <c r="H712" s="667" t="str">
        <f t="shared" si="31"/>
        <v>Regelzone TenneT (gesamt)</v>
      </c>
      <c r="I712" s="662"/>
    </row>
    <row r="713" spans="1:9" hidden="1" outlineLevel="1">
      <c r="A713" s="831">
        <v>2021</v>
      </c>
      <c r="B713" s="826" t="s">
        <v>1478</v>
      </c>
      <c r="C713" s="820" t="s">
        <v>2016</v>
      </c>
      <c r="D713" s="1031">
        <v>3235</v>
      </c>
      <c r="E713" s="821">
        <f t="shared" si="32"/>
        <v>8.2169000000000008</v>
      </c>
      <c r="F713" s="821">
        <f t="shared" si="33"/>
        <v>12.778250000000002</v>
      </c>
      <c r="G713" t="s">
        <v>1479</v>
      </c>
      <c r="H713" s="667" t="str">
        <f t="shared" ref="H713:H777" si="34">+H712</f>
        <v>Regelzone TenneT (gesamt)</v>
      </c>
      <c r="I713" s="662"/>
    </row>
    <row r="714" spans="1:9" hidden="1" outlineLevel="1">
      <c r="A714" s="831">
        <v>2021</v>
      </c>
      <c r="B714" s="826" t="s">
        <v>86</v>
      </c>
      <c r="C714" s="820" t="s">
        <v>2016</v>
      </c>
      <c r="D714" s="1031">
        <v>-21409.67</v>
      </c>
      <c r="E714" s="821">
        <f t="shared" si="32"/>
        <v>-54.380561800000002</v>
      </c>
      <c r="F714" s="821">
        <f t="shared" si="33"/>
        <v>-84.568196499999999</v>
      </c>
      <c r="G714" t="s">
        <v>87</v>
      </c>
      <c r="H714" s="667" t="str">
        <f t="shared" si="34"/>
        <v>Regelzone TenneT (gesamt)</v>
      </c>
      <c r="I714" s="662"/>
    </row>
    <row r="715" spans="1:9" hidden="1" outlineLevel="1">
      <c r="A715" s="831">
        <v>2021</v>
      </c>
      <c r="B715" s="826" t="s">
        <v>1387</v>
      </c>
      <c r="C715" s="820" t="s">
        <v>2016</v>
      </c>
      <c r="D715" s="1031">
        <v>-309184</v>
      </c>
      <c r="E715" s="821">
        <f t="shared" ref="E715:E732" si="35">+D715*0.00254</f>
        <v>-785.32736</v>
      </c>
      <c r="F715" s="821">
        <f t="shared" ref="F715:F732" si="36">+D715*0.00395</f>
        <v>-1221.2768000000001</v>
      </c>
      <c r="G715" t="s">
        <v>1388</v>
      </c>
      <c r="H715" s="667" t="str">
        <f t="shared" si="34"/>
        <v>Regelzone TenneT (gesamt)</v>
      </c>
      <c r="I715" s="662"/>
    </row>
    <row r="716" spans="1:9" hidden="1" outlineLevel="1">
      <c r="A716" s="831">
        <v>2021</v>
      </c>
      <c r="B716" s="826" t="s">
        <v>1391</v>
      </c>
      <c r="C716" s="820" t="s">
        <v>2016</v>
      </c>
      <c r="D716" s="1031">
        <v>580617</v>
      </c>
      <c r="E716" s="821">
        <f t="shared" si="35"/>
        <v>1474.7671800000001</v>
      </c>
      <c r="F716" s="821">
        <f t="shared" si="36"/>
        <v>2293.4371500000002</v>
      </c>
      <c r="G716" t="s">
        <v>1392</v>
      </c>
      <c r="H716" s="667" t="str">
        <f t="shared" si="34"/>
        <v>Regelzone TenneT (gesamt)</v>
      </c>
      <c r="I716" s="662"/>
    </row>
    <row r="717" spans="1:9" hidden="1" outlineLevel="1">
      <c r="A717" s="831">
        <v>2021</v>
      </c>
      <c r="B717" s="826" t="s">
        <v>1401</v>
      </c>
      <c r="C717" s="820" t="s">
        <v>2016</v>
      </c>
      <c r="D717" s="1031">
        <v>10101303</v>
      </c>
      <c r="E717" s="821">
        <f t="shared" si="35"/>
        <v>25657.30962</v>
      </c>
      <c r="F717" s="821">
        <f t="shared" si="36"/>
        <v>39900.146850000005</v>
      </c>
      <c r="G717" t="s">
        <v>1402</v>
      </c>
      <c r="H717" s="667" t="str">
        <f t="shared" si="34"/>
        <v>Regelzone TenneT (gesamt)</v>
      </c>
      <c r="I717" s="662"/>
    </row>
    <row r="718" spans="1:9" hidden="1" outlineLevel="1">
      <c r="A718" s="831">
        <v>2021</v>
      </c>
      <c r="B718" s="826" t="s">
        <v>1417</v>
      </c>
      <c r="C718" s="820" t="s">
        <v>2016</v>
      </c>
      <c r="D718" s="1031">
        <v>-102815.76</v>
      </c>
      <c r="E718" s="821">
        <f t="shared" si="35"/>
        <v>-261.1520304</v>
      </c>
      <c r="F718" s="821">
        <f t="shared" si="36"/>
        <v>-406.122252</v>
      </c>
      <c r="G718" t="s">
        <v>1418</v>
      </c>
      <c r="H718" s="667" t="str">
        <f t="shared" si="34"/>
        <v>Regelzone TenneT (gesamt)</v>
      </c>
      <c r="I718" s="662"/>
    </row>
    <row r="719" spans="1:9" hidden="1" outlineLevel="1">
      <c r="A719" s="831">
        <v>2021</v>
      </c>
      <c r="B719" s="826" t="s">
        <v>1431</v>
      </c>
      <c r="C719" s="820" t="s">
        <v>2016</v>
      </c>
      <c r="D719" s="1031">
        <v>-4433</v>
      </c>
      <c r="E719" s="821">
        <f t="shared" si="35"/>
        <v>-11.259820000000001</v>
      </c>
      <c r="F719" s="821">
        <f t="shared" si="36"/>
        <v>-17.510350000000003</v>
      </c>
      <c r="G719" t="s">
        <v>1432</v>
      </c>
      <c r="H719" s="667" t="str">
        <f t="shared" si="34"/>
        <v>Regelzone TenneT (gesamt)</v>
      </c>
      <c r="I719" s="662"/>
    </row>
    <row r="720" spans="1:9" hidden="1" outlineLevel="1">
      <c r="A720" s="831">
        <v>2021</v>
      </c>
      <c r="B720" s="826" t="s">
        <v>577</v>
      </c>
      <c r="C720" s="820" t="s">
        <v>2016</v>
      </c>
      <c r="D720" s="1031">
        <v>-100917</v>
      </c>
      <c r="E720" s="821">
        <f t="shared" si="35"/>
        <v>-256.32918000000001</v>
      </c>
      <c r="F720" s="821">
        <f t="shared" si="36"/>
        <v>-398.62215000000003</v>
      </c>
      <c r="G720" t="s">
        <v>578</v>
      </c>
      <c r="H720" s="667" t="str">
        <f t="shared" si="34"/>
        <v>Regelzone TenneT (gesamt)</v>
      </c>
      <c r="I720" s="662"/>
    </row>
    <row r="721" spans="1:9" hidden="1" outlineLevel="1">
      <c r="A721" s="831">
        <v>2021</v>
      </c>
      <c r="B721" s="826" t="s">
        <v>1435</v>
      </c>
      <c r="C721" s="820" t="s">
        <v>2016</v>
      </c>
      <c r="D721" s="1031">
        <v>62359</v>
      </c>
      <c r="E721" s="821">
        <f t="shared" si="35"/>
        <v>158.39186000000001</v>
      </c>
      <c r="F721" s="821">
        <f t="shared" si="36"/>
        <v>246.31805000000003</v>
      </c>
      <c r="G721" t="s">
        <v>2037</v>
      </c>
      <c r="H721" s="667" t="str">
        <f t="shared" si="34"/>
        <v>Regelzone TenneT (gesamt)</v>
      </c>
      <c r="I721" s="662"/>
    </row>
    <row r="722" spans="1:9" hidden="1" outlineLevel="1">
      <c r="A722" s="831">
        <v>2021</v>
      </c>
      <c r="B722" s="826" t="s">
        <v>1438</v>
      </c>
      <c r="C722" s="820" t="s">
        <v>2016</v>
      </c>
      <c r="D722" s="1031">
        <v>-144870</v>
      </c>
      <c r="E722" s="821">
        <f t="shared" si="35"/>
        <v>-367.96980000000002</v>
      </c>
      <c r="F722" s="821">
        <f t="shared" si="36"/>
        <v>-572.23650000000009</v>
      </c>
      <c r="G722" t="s">
        <v>1439</v>
      </c>
      <c r="H722" s="667" t="str">
        <f t="shared" si="34"/>
        <v>Regelzone TenneT (gesamt)</v>
      </c>
      <c r="I722" s="662"/>
    </row>
    <row r="723" spans="1:9" hidden="1" outlineLevel="1">
      <c r="A723" s="831">
        <v>2021</v>
      </c>
      <c r="B723" s="826" t="s">
        <v>1444</v>
      </c>
      <c r="C723" s="820" t="s">
        <v>2016</v>
      </c>
      <c r="D723" s="1031">
        <v>18282</v>
      </c>
      <c r="E723" s="821">
        <f t="shared" si="35"/>
        <v>46.436280000000004</v>
      </c>
      <c r="F723" s="821">
        <f t="shared" si="36"/>
        <v>72.21390000000001</v>
      </c>
      <c r="G723" t="s">
        <v>1445</v>
      </c>
      <c r="H723" s="667" t="str">
        <f t="shared" si="34"/>
        <v>Regelzone TenneT (gesamt)</v>
      </c>
      <c r="I723" s="662"/>
    </row>
    <row r="724" spans="1:9" hidden="1" outlineLevel="1">
      <c r="A724" s="831">
        <v>2021</v>
      </c>
      <c r="B724" s="826" t="s">
        <v>1446</v>
      </c>
      <c r="C724" s="820" t="s">
        <v>2016</v>
      </c>
      <c r="D724" s="1031">
        <v>16054</v>
      </c>
      <c r="E724" s="821">
        <f t="shared" si="35"/>
        <v>40.777160000000002</v>
      </c>
      <c r="F724" s="821">
        <f t="shared" si="36"/>
        <v>63.413300000000007</v>
      </c>
      <c r="G724" t="s">
        <v>1447</v>
      </c>
      <c r="H724" s="667" t="str">
        <f t="shared" si="34"/>
        <v>Regelzone TenneT (gesamt)</v>
      </c>
      <c r="I724" s="662"/>
    </row>
    <row r="725" spans="1:9" hidden="1" outlineLevel="1">
      <c r="A725" s="831">
        <v>2021</v>
      </c>
      <c r="B725" s="826" t="s">
        <v>1480</v>
      </c>
      <c r="C725" s="820" t="s">
        <v>2016</v>
      </c>
      <c r="D725" s="1031">
        <v>29384</v>
      </c>
      <c r="E725" s="821">
        <f t="shared" si="35"/>
        <v>74.635360000000006</v>
      </c>
      <c r="F725" s="821">
        <f t="shared" si="36"/>
        <v>116.06680000000001</v>
      </c>
      <c r="G725" t="s">
        <v>1481</v>
      </c>
      <c r="H725" s="667" t="str">
        <f t="shared" si="34"/>
        <v>Regelzone TenneT (gesamt)</v>
      </c>
      <c r="I725" s="662"/>
    </row>
    <row r="726" spans="1:9" hidden="1" outlineLevel="1">
      <c r="A726" s="831">
        <v>2021</v>
      </c>
      <c r="B726" s="826" t="s">
        <v>1458</v>
      </c>
      <c r="C726" s="820" t="s">
        <v>2016</v>
      </c>
      <c r="D726" s="1031">
        <v>8217</v>
      </c>
      <c r="E726" s="821">
        <f t="shared" si="35"/>
        <v>20.871180000000003</v>
      </c>
      <c r="F726" s="821">
        <f t="shared" si="36"/>
        <v>32.457150000000006</v>
      </c>
      <c r="G726" t="s">
        <v>1459</v>
      </c>
      <c r="H726" s="667" t="str">
        <f t="shared" si="34"/>
        <v>Regelzone TenneT (gesamt)</v>
      </c>
      <c r="I726" s="662"/>
    </row>
    <row r="727" spans="1:9" hidden="1" outlineLevel="1">
      <c r="A727" s="831">
        <v>2021</v>
      </c>
      <c r="B727" s="826" t="s">
        <v>1945</v>
      </c>
      <c r="C727" s="820" t="s">
        <v>2016</v>
      </c>
      <c r="D727" s="1031">
        <v>43056.79</v>
      </c>
      <c r="E727" s="821">
        <f t="shared" si="35"/>
        <v>109.36424660000002</v>
      </c>
      <c r="F727" s="821">
        <f t="shared" si="36"/>
        <v>170.07432050000003</v>
      </c>
      <c r="G727" t="s">
        <v>1946</v>
      </c>
      <c r="H727" s="667" t="str">
        <f t="shared" si="34"/>
        <v>Regelzone TenneT (gesamt)</v>
      </c>
      <c r="I727" s="662"/>
    </row>
    <row r="728" spans="1:9" hidden="1" outlineLevel="1">
      <c r="A728" s="831">
        <v>2021</v>
      </c>
      <c r="B728" s="826" t="s">
        <v>1462</v>
      </c>
      <c r="C728" s="820" t="s">
        <v>2016</v>
      </c>
      <c r="D728" s="1031">
        <v>-92223</v>
      </c>
      <c r="E728" s="821">
        <f t="shared" si="35"/>
        <v>-234.24642</v>
      </c>
      <c r="F728" s="821">
        <f t="shared" si="36"/>
        <v>-364.28085000000004</v>
      </c>
      <c r="G728" t="s">
        <v>1463</v>
      </c>
      <c r="H728" s="667" t="str">
        <f t="shared" si="34"/>
        <v>Regelzone TenneT (gesamt)</v>
      </c>
      <c r="I728" s="662"/>
    </row>
    <row r="729" spans="1:9" hidden="1" outlineLevel="1">
      <c r="A729" s="831">
        <v>2021</v>
      </c>
      <c r="B729" s="826" t="s">
        <v>1466</v>
      </c>
      <c r="C729" s="820" t="s">
        <v>2016</v>
      </c>
      <c r="D729" s="1031">
        <v>39361.760000000002</v>
      </c>
      <c r="E729" s="821">
        <f t="shared" si="35"/>
        <v>99.978870400000005</v>
      </c>
      <c r="F729" s="821">
        <f t="shared" si="36"/>
        <v>155.47895200000002</v>
      </c>
      <c r="G729" t="s">
        <v>1467</v>
      </c>
      <c r="H729" s="667" t="str">
        <f t="shared" si="34"/>
        <v>Regelzone TenneT (gesamt)</v>
      </c>
      <c r="I729" s="662"/>
    </row>
    <row r="730" spans="1:9" hidden="1" outlineLevel="1">
      <c r="A730" s="831">
        <v>2021</v>
      </c>
      <c r="B730" s="826" t="s">
        <v>1468</v>
      </c>
      <c r="C730" s="820" t="s">
        <v>2016</v>
      </c>
      <c r="D730" s="1031">
        <v>180826.82</v>
      </c>
      <c r="E730" s="821">
        <f t="shared" si="35"/>
        <v>459.30012280000005</v>
      </c>
      <c r="F730" s="821">
        <f t="shared" si="36"/>
        <v>714.26593900000012</v>
      </c>
      <c r="G730" t="s">
        <v>1469</v>
      </c>
      <c r="H730" s="667" t="str">
        <f t="shared" si="34"/>
        <v>Regelzone TenneT (gesamt)</v>
      </c>
      <c r="I730" s="662"/>
    </row>
    <row r="731" spans="1:9" hidden="1" outlineLevel="1">
      <c r="A731" s="831">
        <v>2021</v>
      </c>
      <c r="B731" s="826" t="s">
        <v>1472</v>
      </c>
      <c r="C731" s="820" t="s">
        <v>2016</v>
      </c>
      <c r="D731" s="1031">
        <v>-59098</v>
      </c>
      <c r="E731" s="821">
        <f t="shared" si="35"/>
        <v>-150.10892000000001</v>
      </c>
      <c r="F731" s="821">
        <f t="shared" si="36"/>
        <v>-233.43710000000002</v>
      </c>
      <c r="G731" t="s">
        <v>1473</v>
      </c>
      <c r="H731" s="667" t="str">
        <f t="shared" si="34"/>
        <v>Regelzone TenneT (gesamt)</v>
      </c>
      <c r="I731" s="662"/>
    </row>
    <row r="732" spans="1:9" hidden="1" outlineLevel="1">
      <c r="A732" s="831">
        <v>2021</v>
      </c>
      <c r="B732" s="826" t="s">
        <v>748</v>
      </c>
      <c r="C732" s="820" t="s">
        <v>2016</v>
      </c>
      <c r="D732" s="1031">
        <v>-4718</v>
      </c>
      <c r="E732" s="821">
        <f t="shared" si="35"/>
        <v>-11.98372</v>
      </c>
      <c r="F732" s="821">
        <f t="shared" si="36"/>
        <v>-18.636100000000003</v>
      </c>
      <c r="G732" t="s">
        <v>749</v>
      </c>
      <c r="H732" s="667" t="str">
        <f t="shared" si="34"/>
        <v>Regelzone TenneT (gesamt)</v>
      </c>
      <c r="I732" s="662"/>
    </row>
    <row r="733" spans="1:9" hidden="1" outlineLevel="1">
      <c r="A733" s="831">
        <v>2021</v>
      </c>
      <c r="B733" s="826" t="s">
        <v>1897</v>
      </c>
      <c r="C733" s="820" t="s">
        <v>2016</v>
      </c>
      <c r="D733" s="1031">
        <v>11104</v>
      </c>
      <c r="E733" s="821">
        <f>+D733*0.00254</f>
        <v>28.204160000000002</v>
      </c>
      <c r="F733" s="821">
        <f>+D733*0.00395</f>
        <v>43.860800000000005</v>
      </c>
      <c r="G733" t="s">
        <v>1898</v>
      </c>
      <c r="H733" s="666" t="str">
        <f>+H732</f>
        <v>Regelzone TenneT (gesamt)</v>
      </c>
      <c r="I733" s="662"/>
    </row>
    <row r="734" spans="1:9" hidden="1" outlineLevel="1">
      <c r="A734" s="831">
        <v>2021</v>
      </c>
      <c r="B734" s="826" t="s">
        <v>1288</v>
      </c>
      <c r="C734" s="820" t="s">
        <v>2029</v>
      </c>
      <c r="D734" s="821">
        <v>-863431</v>
      </c>
      <c r="E734" s="821">
        <v>-329</v>
      </c>
      <c r="F734" s="821">
        <v>-512</v>
      </c>
      <c r="G734" t="s">
        <v>1289</v>
      </c>
      <c r="H734" s="667" t="str">
        <f>+H732</f>
        <v>Regelzone TenneT (gesamt)</v>
      </c>
      <c r="I734" s="662"/>
    </row>
    <row r="735" spans="1:9" hidden="1" outlineLevel="1">
      <c r="A735" s="831">
        <v>2021</v>
      </c>
      <c r="B735" s="826" t="s">
        <v>577</v>
      </c>
      <c r="C735" s="820" t="s">
        <v>2017</v>
      </c>
      <c r="D735" s="821">
        <v>-881147</v>
      </c>
      <c r="E735" s="821">
        <v>-352</v>
      </c>
      <c r="F735" s="821">
        <v>-352</v>
      </c>
      <c r="G735" t="s">
        <v>578</v>
      </c>
      <c r="H735" s="667" t="str">
        <f t="shared" si="34"/>
        <v>Regelzone TenneT (gesamt)</v>
      </c>
      <c r="I735" s="662"/>
    </row>
    <row r="736" spans="1:9" ht="13.5" hidden="1" outlineLevel="1" thickBot="1">
      <c r="A736" s="832">
        <v>2021</v>
      </c>
      <c r="B736" s="822" t="s">
        <v>577</v>
      </c>
      <c r="C736" s="827" t="s">
        <v>2022</v>
      </c>
      <c r="D736" s="825">
        <v>82162</v>
      </c>
      <c r="E736" s="825">
        <v>25</v>
      </c>
      <c r="F736" s="825">
        <v>25</v>
      </c>
      <c r="G736" t="s">
        <v>578</v>
      </c>
      <c r="H736" s="667" t="str">
        <f t="shared" si="34"/>
        <v>Regelzone TenneT (gesamt)</v>
      </c>
      <c r="I736" s="662"/>
    </row>
    <row r="737" spans="1:9" hidden="1" outlineLevel="1">
      <c r="A737" s="831">
        <v>2022</v>
      </c>
      <c r="B737" s="819" t="s">
        <v>858</v>
      </c>
      <c r="C737" s="820" t="s">
        <v>2016</v>
      </c>
      <c r="D737" s="1031">
        <v>-14180</v>
      </c>
      <c r="E737" s="821">
        <f>+D737*0.00378</f>
        <v>-53.6004</v>
      </c>
      <c r="F737" s="828">
        <f>+D737*0.00419</f>
        <v>-59.414200000000001</v>
      </c>
      <c r="G737" t="s">
        <v>859</v>
      </c>
      <c r="H737" s="667" t="str">
        <f t="shared" si="34"/>
        <v>Regelzone TenneT (gesamt)</v>
      </c>
      <c r="I737" s="662"/>
    </row>
    <row r="738" spans="1:9" hidden="1" outlineLevel="1">
      <c r="A738" s="831">
        <v>2022</v>
      </c>
      <c r="B738" s="826" t="s">
        <v>862</v>
      </c>
      <c r="C738" s="820" t="s">
        <v>2016</v>
      </c>
      <c r="D738" s="1031">
        <v>-4696</v>
      </c>
      <c r="E738" s="821">
        <f t="shared" ref="E738:E801" si="37">+D738*0.00378</f>
        <v>-17.750879999999999</v>
      </c>
      <c r="F738" s="828">
        <f t="shared" ref="F738:F801" si="38">+D738*0.00419</f>
        <v>-19.67624</v>
      </c>
      <c r="G738" t="s">
        <v>863</v>
      </c>
      <c r="H738" s="667" t="str">
        <f t="shared" si="34"/>
        <v>Regelzone TenneT (gesamt)</v>
      </c>
      <c r="I738" s="662"/>
    </row>
    <row r="739" spans="1:9" hidden="1" outlineLevel="1">
      <c r="A739" s="831">
        <v>2022</v>
      </c>
      <c r="B739" s="826" t="s">
        <v>864</v>
      </c>
      <c r="C739" s="820" t="s">
        <v>2016</v>
      </c>
      <c r="D739" s="1031">
        <v>-35622</v>
      </c>
      <c r="E739" s="821">
        <f t="shared" si="37"/>
        <v>-134.65116</v>
      </c>
      <c r="F739" s="828">
        <f t="shared" si="38"/>
        <v>-149.25618</v>
      </c>
      <c r="G739" t="s">
        <v>865</v>
      </c>
      <c r="H739" s="667" t="str">
        <f t="shared" si="34"/>
        <v>Regelzone TenneT (gesamt)</v>
      </c>
      <c r="I739" s="662"/>
    </row>
    <row r="740" spans="1:9" hidden="1" outlineLevel="1">
      <c r="A740" s="831">
        <v>2022</v>
      </c>
      <c r="B740" s="826" t="s">
        <v>876</v>
      </c>
      <c r="C740" s="820" t="s">
        <v>2016</v>
      </c>
      <c r="D740" s="1031">
        <v>26659</v>
      </c>
      <c r="E740" s="821">
        <f t="shared" si="37"/>
        <v>100.77101999999999</v>
      </c>
      <c r="F740" s="828">
        <f t="shared" si="38"/>
        <v>111.70121</v>
      </c>
      <c r="G740" t="s">
        <v>877</v>
      </c>
      <c r="H740" s="667" t="str">
        <f t="shared" si="34"/>
        <v>Regelzone TenneT (gesamt)</v>
      </c>
      <c r="I740" s="662"/>
    </row>
    <row r="741" spans="1:9" hidden="1" outlineLevel="1">
      <c r="A741" s="831">
        <v>2022</v>
      </c>
      <c r="B741" s="826" t="s">
        <v>322</v>
      </c>
      <c r="C741" s="820" t="s">
        <v>2016</v>
      </c>
      <c r="D741" s="1031">
        <v>-15172</v>
      </c>
      <c r="E741" s="821">
        <f t="shared" si="37"/>
        <v>-57.350160000000002</v>
      </c>
      <c r="F741" s="828">
        <f t="shared" si="38"/>
        <v>-63.570680000000003</v>
      </c>
      <c r="G741" t="s">
        <v>2033</v>
      </c>
      <c r="H741" s="667" t="str">
        <f t="shared" si="34"/>
        <v>Regelzone TenneT (gesamt)</v>
      </c>
      <c r="I741" s="662"/>
    </row>
    <row r="742" spans="1:9" hidden="1" outlineLevel="1">
      <c r="A742" s="831">
        <v>2022</v>
      </c>
      <c r="B742" s="826" t="s">
        <v>880</v>
      </c>
      <c r="C742" s="820" t="s">
        <v>2016</v>
      </c>
      <c r="D742" s="1031">
        <v>-71872</v>
      </c>
      <c r="E742" s="821">
        <f t="shared" si="37"/>
        <v>-271.67615999999998</v>
      </c>
      <c r="F742" s="828">
        <f t="shared" si="38"/>
        <v>-301.14368000000002</v>
      </c>
      <c r="G742" t="s">
        <v>881</v>
      </c>
      <c r="H742" s="667" t="str">
        <f t="shared" si="34"/>
        <v>Regelzone TenneT (gesamt)</v>
      </c>
      <c r="I742" s="662"/>
    </row>
    <row r="743" spans="1:9" hidden="1" outlineLevel="1">
      <c r="A743" s="831">
        <v>2022</v>
      </c>
      <c r="B743" s="826" t="s">
        <v>882</v>
      </c>
      <c r="C743" s="820" t="s">
        <v>2016</v>
      </c>
      <c r="D743" s="1031">
        <v>129178.1</v>
      </c>
      <c r="E743" s="821">
        <f t="shared" si="37"/>
        <v>488.29321800000002</v>
      </c>
      <c r="F743" s="828">
        <f t="shared" si="38"/>
        <v>541.25623900000005</v>
      </c>
      <c r="G743" t="s">
        <v>883</v>
      </c>
      <c r="H743" s="667" t="str">
        <f t="shared" si="34"/>
        <v>Regelzone TenneT (gesamt)</v>
      </c>
      <c r="I743" s="662"/>
    </row>
    <row r="744" spans="1:9" hidden="1" outlineLevel="1">
      <c r="A744" s="831">
        <v>2022</v>
      </c>
      <c r="B744" s="826" t="s">
        <v>884</v>
      </c>
      <c r="C744" s="820" t="s">
        <v>2016</v>
      </c>
      <c r="D744" s="1031">
        <v>462296</v>
      </c>
      <c r="E744" s="821">
        <f t="shared" si="37"/>
        <v>1747.4788799999999</v>
      </c>
      <c r="F744" s="828">
        <f t="shared" si="38"/>
        <v>1937.0202400000001</v>
      </c>
      <c r="G744" t="s">
        <v>885</v>
      </c>
      <c r="H744" s="667" t="str">
        <f t="shared" si="34"/>
        <v>Regelzone TenneT (gesamt)</v>
      </c>
      <c r="I744" s="662"/>
    </row>
    <row r="745" spans="1:9" hidden="1" outlineLevel="1">
      <c r="A745" s="831">
        <v>2022</v>
      </c>
      <c r="B745" s="826" t="s">
        <v>890</v>
      </c>
      <c r="C745" s="820" t="s">
        <v>2016</v>
      </c>
      <c r="D745" s="1031">
        <v>21603</v>
      </c>
      <c r="E745" s="821">
        <f t="shared" si="37"/>
        <v>81.65934</v>
      </c>
      <c r="F745" s="828">
        <f t="shared" si="38"/>
        <v>90.516570000000002</v>
      </c>
      <c r="G745" t="s">
        <v>891</v>
      </c>
      <c r="H745" s="667" t="str">
        <f t="shared" si="34"/>
        <v>Regelzone TenneT (gesamt)</v>
      </c>
      <c r="I745" s="662"/>
    </row>
    <row r="746" spans="1:9" hidden="1" outlineLevel="1">
      <c r="A746" s="831">
        <v>2022</v>
      </c>
      <c r="B746" s="826" t="s">
        <v>892</v>
      </c>
      <c r="C746" s="820" t="s">
        <v>2016</v>
      </c>
      <c r="D746" s="1031">
        <v>27666</v>
      </c>
      <c r="E746" s="821">
        <f t="shared" si="37"/>
        <v>104.57747999999999</v>
      </c>
      <c r="F746" s="828">
        <f t="shared" si="38"/>
        <v>115.92054</v>
      </c>
      <c r="G746" t="s">
        <v>2038</v>
      </c>
      <c r="H746" s="667" t="str">
        <f t="shared" si="34"/>
        <v>Regelzone TenneT (gesamt)</v>
      </c>
      <c r="I746" s="662"/>
    </row>
    <row r="747" spans="1:9" hidden="1" outlineLevel="1">
      <c r="A747" s="831">
        <v>2022</v>
      </c>
      <c r="B747" s="826" t="s">
        <v>1865</v>
      </c>
      <c r="C747" s="820" t="s">
        <v>2016</v>
      </c>
      <c r="D747" s="1031">
        <v>-65501</v>
      </c>
      <c r="E747" s="821">
        <f t="shared" si="37"/>
        <v>-247.59378000000001</v>
      </c>
      <c r="F747" s="828">
        <f t="shared" si="38"/>
        <v>-274.44918999999999</v>
      </c>
      <c r="G747" t="s">
        <v>1866</v>
      </c>
      <c r="H747" s="667" t="str">
        <f t="shared" si="34"/>
        <v>Regelzone TenneT (gesamt)</v>
      </c>
      <c r="I747" s="662"/>
    </row>
    <row r="748" spans="1:9" hidden="1" outlineLevel="1">
      <c r="A748" s="831">
        <v>2022</v>
      </c>
      <c r="B748" s="826" t="s">
        <v>904</v>
      </c>
      <c r="C748" s="820" t="s">
        <v>2016</v>
      </c>
      <c r="D748" s="1031">
        <v>81147</v>
      </c>
      <c r="E748" s="821">
        <f t="shared" si="37"/>
        <v>306.73566</v>
      </c>
      <c r="F748" s="828">
        <f t="shared" si="38"/>
        <v>340.00593000000003</v>
      </c>
      <c r="G748" t="s">
        <v>905</v>
      </c>
      <c r="H748" s="667" t="str">
        <f t="shared" si="34"/>
        <v>Regelzone TenneT (gesamt)</v>
      </c>
      <c r="I748" s="662"/>
    </row>
    <row r="749" spans="1:9" hidden="1" outlineLevel="1">
      <c r="A749" s="831">
        <v>2022</v>
      </c>
      <c r="B749" s="826" t="s">
        <v>910</v>
      </c>
      <c r="C749" s="820" t="s">
        <v>2016</v>
      </c>
      <c r="D749" s="1031">
        <v>-49398</v>
      </c>
      <c r="E749" s="821">
        <f t="shared" si="37"/>
        <v>-186.72443999999999</v>
      </c>
      <c r="F749" s="828">
        <f t="shared" si="38"/>
        <v>-206.97762</v>
      </c>
      <c r="G749" t="s">
        <v>911</v>
      </c>
      <c r="H749" s="667" t="str">
        <f t="shared" si="34"/>
        <v>Regelzone TenneT (gesamt)</v>
      </c>
      <c r="I749" s="662"/>
    </row>
    <row r="750" spans="1:9" hidden="1" outlineLevel="1">
      <c r="A750" s="831">
        <v>2022</v>
      </c>
      <c r="B750" s="826" t="s">
        <v>914</v>
      </c>
      <c r="C750" s="820" t="s">
        <v>2016</v>
      </c>
      <c r="D750" s="1031">
        <v>116631</v>
      </c>
      <c r="E750" s="821">
        <f t="shared" si="37"/>
        <v>440.86518000000001</v>
      </c>
      <c r="F750" s="828">
        <f t="shared" si="38"/>
        <v>488.68389000000002</v>
      </c>
      <c r="G750" t="s">
        <v>915</v>
      </c>
      <c r="H750" s="667" t="str">
        <f t="shared" si="34"/>
        <v>Regelzone TenneT (gesamt)</v>
      </c>
      <c r="I750" s="662"/>
    </row>
    <row r="751" spans="1:9" hidden="1" outlineLevel="1">
      <c r="A751" s="831">
        <v>2022</v>
      </c>
      <c r="B751" s="826" t="s">
        <v>926</v>
      </c>
      <c r="C751" s="820" t="s">
        <v>2016</v>
      </c>
      <c r="D751" s="1031">
        <v>-76602</v>
      </c>
      <c r="E751" s="821">
        <f t="shared" si="37"/>
        <v>-289.55556000000001</v>
      </c>
      <c r="F751" s="828">
        <f t="shared" si="38"/>
        <v>-320.96238</v>
      </c>
      <c r="G751" t="s">
        <v>927</v>
      </c>
      <c r="H751" s="667" t="str">
        <f t="shared" si="34"/>
        <v>Regelzone TenneT (gesamt)</v>
      </c>
      <c r="I751" s="662"/>
    </row>
    <row r="752" spans="1:9" hidden="1" outlineLevel="1">
      <c r="A752" s="831">
        <v>2022</v>
      </c>
      <c r="B752" s="826" t="s">
        <v>930</v>
      </c>
      <c r="C752" s="820" t="s">
        <v>2016</v>
      </c>
      <c r="D752" s="1031">
        <v>0</v>
      </c>
      <c r="E752" s="821">
        <f t="shared" si="37"/>
        <v>0</v>
      </c>
      <c r="F752" s="828">
        <f t="shared" si="38"/>
        <v>0</v>
      </c>
      <c r="G752" t="s">
        <v>931</v>
      </c>
      <c r="H752" s="667" t="str">
        <f t="shared" si="34"/>
        <v>Regelzone TenneT (gesamt)</v>
      </c>
      <c r="I752" s="662"/>
    </row>
    <row r="753" spans="1:9" hidden="1" outlineLevel="1">
      <c r="A753" s="831">
        <v>2022</v>
      </c>
      <c r="B753" s="826" t="s">
        <v>932</v>
      </c>
      <c r="C753" s="820" t="s">
        <v>2016</v>
      </c>
      <c r="D753" s="1031">
        <v>33819</v>
      </c>
      <c r="E753" s="821">
        <f t="shared" si="37"/>
        <v>127.83582</v>
      </c>
      <c r="F753" s="828">
        <f t="shared" si="38"/>
        <v>141.70161000000002</v>
      </c>
      <c r="G753" t="s">
        <v>933</v>
      </c>
      <c r="H753" s="667" t="str">
        <f t="shared" si="34"/>
        <v>Regelzone TenneT (gesamt)</v>
      </c>
      <c r="I753" s="662"/>
    </row>
    <row r="754" spans="1:9" hidden="1" outlineLevel="1">
      <c r="A754" s="831">
        <v>2022</v>
      </c>
      <c r="B754" s="826" t="s">
        <v>934</v>
      </c>
      <c r="C754" s="820" t="s">
        <v>2016</v>
      </c>
      <c r="D754" s="1031">
        <v>0</v>
      </c>
      <c r="E754" s="821">
        <f t="shared" si="37"/>
        <v>0</v>
      </c>
      <c r="F754" s="828">
        <f t="shared" si="38"/>
        <v>0</v>
      </c>
      <c r="G754" t="s">
        <v>935</v>
      </c>
      <c r="H754" s="667" t="str">
        <f t="shared" si="34"/>
        <v>Regelzone TenneT (gesamt)</v>
      </c>
      <c r="I754" s="662"/>
    </row>
    <row r="755" spans="1:9" hidden="1" outlineLevel="1">
      <c r="A755" s="831">
        <v>2022</v>
      </c>
      <c r="B755" s="826" t="s">
        <v>944</v>
      </c>
      <c r="C755" s="820" t="s">
        <v>2016</v>
      </c>
      <c r="D755" s="1031">
        <v>122872</v>
      </c>
      <c r="E755" s="821">
        <f t="shared" si="37"/>
        <v>464.45616000000001</v>
      </c>
      <c r="F755" s="828">
        <f t="shared" si="38"/>
        <v>514.83368000000007</v>
      </c>
      <c r="G755" t="s">
        <v>945</v>
      </c>
      <c r="H755" s="667" t="str">
        <f t="shared" si="34"/>
        <v>Regelzone TenneT (gesamt)</v>
      </c>
      <c r="I755" s="662"/>
    </row>
    <row r="756" spans="1:9" hidden="1" outlineLevel="1">
      <c r="A756" s="831">
        <v>2022</v>
      </c>
      <c r="B756" s="826" t="s">
        <v>958</v>
      </c>
      <c r="C756" s="820" t="s">
        <v>2016</v>
      </c>
      <c r="D756" s="1031">
        <v>-8427</v>
      </c>
      <c r="E756" s="821">
        <f t="shared" si="37"/>
        <v>-31.85406</v>
      </c>
      <c r="F756" s="828">
        <f t="shared" si="38"/>
        <v>-35.309130000000003</v>
      </c>
      <c r="G756" t="s">
        <v>959</v>
      </c>
      <c r="H756" s="667" t="str">
        <f t="shared" si="34"/>
        <v>Regelzone TenneT (gesamt)</v>
      </c>
      <c r="I756" s="662"/>
    </row>
    <row r="757" spans="1:9" hidden="1" outlineLevel="1">
      <c r="A757" s="831">
        <v>2022</v>
      </c>
      <c r="B757" s="826" t="s">
        <v>962</v>
      </c>
      <c r="C757" s="820" t="s">
        <v>2016</v>
      </c>
      <c r="D757" s="1031">
        <v>181891</v>
      </c>
      <c r="E757" s="821">
        <f t="shared" si="37"/>
        <v>687.54797999999994</v>
      </c>
      <c r="F757" s="828">
        <f t="shared" si="38"/>
        <v>762.12329</v>
      </c>
      <c r="G757" t="s">
        <v>963</v>
      </c>
      <c r="H757" s="667" t="str">
        <f t="shared" si="34"/>
        <v>Regelzone TenneT (gesamt)</v>
      </c>
      <c r="I757" s="662"/>
    </row>
    <row r="758" spans="1:9" hidden="1" outlineLevel="1">
      <c r="A758" s="831">
        <v>2022</v>
      </c>
      <c r="B758" s="826" t="s">
        <v>966</v>
      </c>
      <c r="C758" s="820" t="s">
        <v>2016</v>
      </c>
      <c r="D758" s="1031">
        <v>-18150</v>
      </c>
      <c r="E758" s="821">
        <f t="shared" si="37"/>
        <v>-68.606999999999999</v>
      </c>
      <c r="F758" s="828">
        <f t="shared" si="38"/>
        <v>-76.048500000000004</v>
      </c>
      <c r="G758" t="s">
        <v>967</v>
      </c>
      <c r="H758" s="667" t="str">
        <f t="shared" si="34"/>
        <v>Regelzone TenneT (gesamt)</v>
      </c>
      <c r="I758" s="662"/>
    </row>
    <row r="759" spans="1:9" hidden="1" outlineLevel="1">
      <c r="A759" s="831">
        <v>2022</v>
      </c>
      <c r="B759" s="826" t="s">
        <v>976</v>
      </c>
      <c r="C759" s="820" t="s">
        <v>2016</v>
      </c>
      <c r="D759" s="1031">
        <v>1388005.9</v>
      </c>
      <c r="E759" s="821">
        <f t="shared" si="37"/>
        <v>5246.6623019999997</v>
      </c>
      <c r="F759" s="828">
        <f t="shared" si="38"/>
        <v>5815.744721</v>
      </c>
      <c r="G759" t="s">
        <v>977</v>
      </c>
      <c r="H759" s="667" t="str">
        <f t="shared" si="34"/>
        <v>Regelzone TenneT (gesamt)</v>
      </c>
      <c r="I759" s="662"/>
    </row>
    <row r="760" spans="1:9" hidden="1" outlineLevel="1">
      <c r="A760" s="831">
        <v>2022</v>
      </c>
      <c r="B760" s="826" t="s">
        <v>984</v>
      </c>
      <c r="C760" s="820" t="s">
        <v>2016</v>
      </c>
      <c r="D760" s="1031">
        <v>-3523</v>
      </c>
      <c r="E760" s="821">
        <f t="shared" si="37"/>
        <v>-13.316940000000001</v>
      </c>
      <c r="F760" s="828">
        <f t="shared" si="38"/>
        <v>-14.761370000000001</v>
      </c>
      <c r="G760" t="s">
        <v>985</v>
      </c>
      <c r="H760" s="667" t="str">
        <f t="shared" si="34"/>
        <v>Regelzone TenneT (gesamt)</v>
      </c>
      <c r="I760" s="662"/>
    </row>
    <row r="761" spans="1:9" hidden="1" outlineLevel="1">
      <c r="A761" s="831">
        <v>2022</v>
      </c>
      <c r="B761" s="826" t="s">
        <v>986</v>
      </c>
      <c r="C761" s="820" t="s">
        <v>2016</v>
      </c>
      <c r="D761" s="1031">
        <v>2173</v>
      </c>
      <c r="E761" s="821">
        <f t="shared" si="37"/>
        <v>8.2139399999999991</v>
      </c>
      <c r="F761" s="828">
        <f t="shared" si="38"/>
        <v>9.10487</v>
      </c>
      <c r="G761" t="s">
        <v>987</v>
      </c>
      <c r="H761" s="667" t="str">
        <f t="shared" si="34"/>
        <v>Regelzone TenneT (gesamt)</v>
      </c>
      <c r="I761" s="662"/>
    </row>
    <row r="762" spans="1:9" hidden="1" outlineLevel="1">
      <c r="A762" s="831">
        <v>2022</v>
      </c>
      <c r="B762" s="826" t="s">
        <v>998</v>
      </c>
      <c r="C762" s="820" t="s">
        <v>2016</v>
      </c>
      <c r="D762" s="1031">
        <v>6430</v>
      </c>
      <c r="E762" s="821">
        <f t="shared" si="37"/>
        <v>24.305399999999999</v>
      </c>
      <c r="F762" s="828">
        <f t="shared" si="38"/>
        <v>26.941700000000001</v>
      </c>
      <c r="G762" t="s">
        <v>999</v>
      </c>
      <c r="H762" s="667" t="str">
        <f t="shared" si="34"/>
        <v>Regelzone TenneT (gesamt)</v>
      </c>
      <c r="I762" s="662"/>
    </row>
    <row r="763" spans="1:9" hidden="1" outlineLevel="1">
      <c r="A763" s="831">
        <v>2022</v>
      </c>
      <c r="B763" s="826" t="s">
        <v>1002</v>
      </c>
      <c r="C763" s="820" t="s">
        <v>2016</v>
      </c>
      <c r="D763" s="1031">
        <v>-287704</v>
      </c>
      <c r="E763" s="821">
        <f t="shared" si="37"/>
        <v>-1087.5211199999999</v>
      </c>
      <c r="F763" s="828">
        <f t="shared" si="38"/>
        <v>-1205.4797599999999</v>
      </c>
      <c r="G763" t="s">
        <v>1003</v>
      </c>
      <c r="H763" s="667" t="str">
        <f t="shared" si="34"/>
        <v>Regelzone TenneT (gesamt)</v>
      </c>
      <c r="I763" s="662"/>
    </row>
    <row r="764" spans="1:9" hidden="1" outlineLevel="1">
      <c r="A764" s="831">
        <v>2022</v>
      </c>
      <c r="B764" s="826" t="s">
        <v>1006</v>
      </c>
      <c r="C764" s="820" t="s">
        <v>2016</v>
      </c>
      <c r="D764" s="1031">
        <v>-4015</v>
      </c>
      <c r="E764" s="821">
        <f t="shared" si="37"/>
        <v>-15.1767</v>
      </c>
      <c r="F764" s="828">
        <f t="shared" si="38"/>
        <v>-16.822849999999999</v>
      </c>
      <c r="G764" t="s">
        <v>1007</v>
      </c>
      <c r="H764" s="667" t="str">
        <f t="shared" si="34"/>
        <v>Regelzone TenneT (gesamt)</v>
      </c>
      <c r="I764" s="662"/>
    </row>
    <row r="765" spans="1:9" hidden="1" outlineLevel="1">
      <c r="A765" s="831">
        <v>2022</v>
      </c>
      <c r="B765" s="826" t="s">
        <v>1008</v>
      </c>
      <c r="C765" s="820" t="s">
        <v>2016</v>
      </c>
      <c r="D765" s="1031">
        <v>-12199</v>
      </c>
      <c r="E765" s="821">
        <f t="shared" si="37"/>
        <v>-46.112220000000001</v>
      </c>
      <c r="F765" s="828">
        <f t="shared" si="38"/>
        <v>-51.113810000000001</v>
      </c>
      <c r="G765" t="s">
        <v>1009</v>
      </c>
      <c r="H765" s="667" t="str">
        <f t="shared" si="34"/>
        <v>Regelzone TenneT (gesamt)</v>
      </c>
      <c r="I765" s="662"/>
    </row>
    <row r="766" spans="1:9" hidden="1" outlineLevel="1">
      <c r="A766" s="831">
        <v>2022</v>
      </c>
      <c r="B766" s="826" t="s">
        <v>1010</v>
      </c>
      <c r="C766" s="820" t="s">
        <v>2016</v>
      </c>
      <c r="D766" s="1031">
        <v>-452</v>
      </c>
      <c r="E766" s="821">
        <f t="shared" si="37"/>
        <v>-1.7085600000000001</v>
      </c>
      <c r="F766" s="828">
        <f t="shared" si="38"/>
        <v>-1.89388</v>
      </c>
      <c r="G766" t="s">
        <v>1011</v>
      </c>
      <c r="H766" s="667" t="str">
        <f t="shared" si="34"/>
        <v>Regelzone TenneT (gesamt)</v>
      </c>
      <c r="I766" s="662"/>
    </row>
    <row r="767" spans="1:9" hidden="1" outlineLevel="1">
      <c r="A767" s="831">
        <v>2022</v>
      </c>
      <c r="B767" s="826" t="s">
        <v>1014</v>
      </c>
      <c r="C767" s="820" t="s">
        <v>2016</v>
      </c>
      <c r="D767" s="1031">
        <v>-39492</v>
      </c>
      <c r="E767" s="821">
        <f t="shared" si="37"/>
        <v>-149.27976000000001</v>
      </c>
      <c r="F767" s="828">
        <f t="shared" si="38"/>
        <v>-165.47148000000001</v>
      </c>
      <c r="G767" t="s">
        <v>1015</v>
      </c>
      <c r="H767" s="667" t="str">
        <f t="shared" si="34"/>
        <v>Regelzone TenneT (gesamt)</v>
      </c>
      <c r="I767" s="662"/>
    </row>
    <row r="768" spans="1:9" hidden="1" outlineLevel="1">
      <c r="A768" s="831">
        <v>2022</v>
      </c>
      <c r="B768" s="826" t="s">
        <v>1022</v>
      </c>
      <c r="C768" s="820" t="s">
        <v>2016</v>
      </c>
      <c r="D768" s="1031">
        <v>179937</v>
      </c>
      <c r="E768" s="821">
        <f t="shared" si="37"/>
        <v>680.16185999999993</v>
      </c>
      <c r="F768" s="828">
        <f t="shared" si="38"/>
        <v>753.93603000000007</v>
      </c>
      <c r="G768" t="s">
        <v>1023</v>
      </c>
      <c r="H768" s="667" t="str">
        <f t="shared" si="34"/>
        <v>Regelzone TenneT (gesamt)</v>
      </c>
      <c r="I768" s="662"/>
    </row>
    <row r="769" spans="1:9" hidden="1" outlineLevel="1">
      <c r="A769" s="831">
        <v>2022</v>
      </c>
      <c r="B769" s="826" t="s">
        <v>1024</v>
      </c>
      <c r="C769" s="820" t="s">
        <v>2016</v>
      </c>
      <c r="D769" s="1031">
        <v>2368291</v>
      </c>
      <c r="E769" s="821">
        <f t="shared" si="37"/>
        <v>8952.1399799999999</v>
      </c>
      <c r="F769" s="828">
        <f t="shared" si="38"/>
        <v>9923.139290000001</v>
      </c>
      <c r="G769" t="s">
        <v>1025</v>
      </c>
      <c r="H769" s="667" t="str">
        <f t="shared" si="34"/>
        <v>Regelzone TenneT (gesamt)</v>
      </c>
      <c r="I769" s="662"/>
    </row>
    <row r="770" spans="1:9" hidden="1" outlineLevel="1">
      <c r="A770" s="831">
        <v>2022</v>
      </c>
      <c r="B770" s="826" t="s">
        <v>1046</v>
      </c>
      <c r="C770" s="820" t="s">
        <v>2016</v>
      </c>
      <c r="D770" s="1031">
        <v>-2527</v>
      </c>
      <c r="E770" s="821">
        <f t="shared" si="37"/>
        <v>-9.5520599999999991</v>
      </c>
      <c r="F770" s="828">
        <f t="shared" si="38"/>
        <v>-10.58813</v>
      </c>
      <c r="G770" t="s">
        <v>2034</v>
      </c>
      <c r="H770" s="667" t="str">
        <f t="shared" si="34"/>
        <v>Regelzone TenneT (gesamt)</v>
      </c>
      <c r="I770" s="662"/>
    </row>
    <row r="771" spans="1:9" hidden="1" outlineLevel="1">
      <c r="A771" s="831">
        <v>2022</v>
      </c>
      <c r="B771" s="826" t="s">
        <v>1058</v>
      </c>
      <c r="C771" s="820" t="s">
        <v>2016</v>
      </c>
      <c r="D771" s="1031">
        <v>-68181</v>
      </c>
      <c r="E771" s="821">
        <f t="shared" si="37"/>
        <v>-257.72417999999999</v>
      </c>
      <c r="F771" s="828">
        <f t="shared" si="38"/>
        <v>-285.67839000000004</v>
      </c>
      <c r="G771" t="s">
        <v>1059</v>
      </c>
      <c r="H771" s="667" t="str">
        <f t="shared" si="34"/>
        <v>Regelzone TenneT (gesamt)</v>
      </c>
      <c r="I771" s="662"/>
    </row>
    <row r="772" spans="1:9" hidden="1" outlineLevel="1">
      <c r="A772" s="831">
        <v>2022</v>
      </c>
      <c r="B772" s="826" t="s">
        <v>1064</v>
      </c>
      <c r="C772" s="820" t="s">
        <v>2016</v>
      </c>
      <c r="D772" s="1031">
        <v>117744</v>
      </c>
      <c r="E772" s="821">
        <f t="shared" si="37"/>
        <v>445.07231999999999</v>
      </c>
      <c r="F772" s="828">
        <f t="shared" si="38"/>
        <v>493.34736000000004</v>
      </c>
      <c r="G772" t="s">
        <v>1065</v>
      </c>
      <c r="H772" s="667" t="str">
        <f t="shared" si="34"/>
        <v>Regelzone TenneT (gesamt)</v>
      </c>
      <c r="I772" s="662"/>
    </row>
    <row r="773" spans="1:9" hidden="1" outlineLevel="1">
      <c r="A773" s="831">
        <v>2022</v>
      </c>
      <c r="B773" s="826" t="s">
        <v>1066</v>
      </c>
      <c r="C773" s="820" t="s">
        <v>2016</v>
      </c>
      <c r="D773" s="1031">
        <v>31204</v>
      </c>
      <c r="E773" s="821">
        <f t="shared" si="37"/>
        <v>117.95112</v>
      </c>
      <c r="F773" s="828">
        <f t="shared" si="38"/>
        <v>130.74476000000001</v>
      </c>
      <c r="G773" t="s">
        <v>1067</v>
      </c>
      <c r="H773" s="667" t="str">
        <f t="shared" si="34"/>
        <v>Regelzone TenneT (gesamt)</v>
      </c>
      <c r="I773" s="662"/>
    </row>
    <row r="774" spans="1:9" hidden="1" outlineLevel="1">
      <c r="A774" s="831">
        <v>2022</v>
      </c>
      <c r="B774" s="826" t="s">
        <v>1070</v>
      </c>
      <c r="C774" s="820" t="s">
        <v>2016</v>
      </c>
      <c r="D774" s="1031">
        <v>118266</v>
      </c>
      <c r="E774" s="821">
        <f t="shared" si="37"/>
        <v>447.04548</v>
      </c>
      <c r="F774" s="828">
        <f t="shared" si="38"/>
        <v>495.53453999999999</v>
      </c>
      <c r="G774" t="s">
        <v>1071</v>
      </c>
      <c r="H774" s="667" t="str">
        <f t="shared" si="34"/>
        <v>Regelzone TenneT (gesamt)</v>
      </c>
      <c r="I774" s="662"/>
    </row>
    <row r="775" spans="1:9" hidden="1" outlineLevel="1">
      <c r="A775" s="831">
        <v>2022</v>
      </c>
      <c r="B775" s="826" t="s">
        <v>1074</v>
      </c>
      <c r="C775" s="820" t="s">
        <v>2016</v>
      </c>
      <c r="D775" s="1031">
        <v>61833</v>
      </c>
      <c r="E775" s="821">
        <f t="shared" si="37"/>
        <v>233.72873999999999</v>
      </c>
      <c r="F775" s="828">
        <f t="shared" si="38"/>
        <v>259.08026999999998</v>
      </c>
      <c r="G775" t="s">
        <v>1075</v>
      </c>
      <c r="H775" s="667" t="str">
        <f t="shared" si="34"/>
        <v>Regelzone TenneT (gesamt)</v>
      </c>
      <c r="I775" s="662"/>
    </row>
    <row r="776" spans="1:9" hidden="1" outlineLevel="1">
      <c r="A776" s="831">
        <v>2022</v>
      </c>
      <c r="B776" s="826" t="s">
        <v>1086</v>
      </c>
      <c r="C776" s="820" t="s">
        <v>2016</v>
      </c>
      <c r="D776" s="1031">
        <v>-197713</v>
      </c>
      <c r="E776" s="821">
        <f t="shared" si="37"/>
        <v>-747.35514000000001</v>
      </c>
      <c r="F776" s="828">
        <f t="shared" si="38"/>
        <v>-828.41746999999998</v>
      </c>
      <c r="G776" t="s">
        <v>1087</v>
      </c>
      <c r="H776" s="667" t="str">
        <f t="shared" si="34"/>
        <v>Regelzone TenneT (gesamt)</v>
      </c>
      <c r="I776" s="662"/>
    </row>
    <row r="777" spans="1:9" hidden="1" outlineLevel="1">
      <c r="A777" s="831">
        <v>2022</v>
      </c>
      <c r="B777" s="826" t="s">
        <v>1096</v>
      </c>
      <c r="C777" s="820" t="s">
        <v>2016</v>
      </c>
      <c r="D777" s="1031">
        <v>-164</v>
      </c>
      <c r="E777" s="821">
        <f t="shared" si="37"/>
        <v>-0.61992000000000003</v>
      </c>
      <c r="F777" s="828">
        <f t="shared" si="38"/>
        <v>-0.68715999999999999</v>
      </c>
      <c r="G777" t="s">
        <v>1097</v>
      </c>
      <c r="H777" s="667" t="str">
        <f t="shared" si="34"/>
        <v>Regelzone TenneT (gesamt)</v>
      </c>
      <c r="I777" s="662"/>
    </row>
    <row r="778" spans="1:9" hidden="1" outlineLevel="1">
      <c r="A778" s="831">
        <v>2022</v>
      </c>
      <c r="B778" s="826" t="s">
        <v>1106</v>
      </c>
      <c r="C778" s="820" t="s">
        <v>2016</v>
      </c>
      <c r="D778" s="1031">
        <v>-56092</v>
      </c>
      <c r="E778" s="821">
        <f t="shared" si="37"/>
        <v>-212.02776</v>
      </c>
      <c r="F778" s="828">
        <f t="shared" si="38"/>
        <v>-235.02548000000002</v>
      </c>
      <c r="G778" t="s">
        <v>1107</v>
      </c>
      <c r="H778" s="667" t="str">
        <f t="shared" ref="H778:H841" si="39">+H777</f>
        <v>Regelzone TenneT (gesamt)</v>
      </c>
      <c r="I778" s="662"/>
    </row>
    <row r="779" spans="1:9" hidden="1" outlineLevel="1">
      <c r="A779" s="831">
        <v>2022</v>
      </c>
      <c r="B779" s="826" t="s">
        <v>1130</v>
      </c>
      <c r="C779" s="820" t="s">
        <v>2016</v>
      </c>
      <c r="D779" s="1031">
        <v>86205</v>
      </c>
      <c r="E779" s="821">
        <f t="shared" si="37"/>
        <v>325.85489999999999</v>
      </c>
      <c r="F779" s="828">
        <f t="shared" si="38"/>
        <v>361.19895000000002</v>
      </c>
      <c r="G779" t="s">
        <v>1131</v>
      </c>
      <c r="H779" s="667" t="str">
        <f t="shared" si="39"/>
        <v>Regelzone TenneT (gesamt)</v>
      </c>
      <c r="I779" s="662"/>
    </row>
    <row r="780" spans="1:9" hidden="1" outlineLevel="1">
      <c r="A780" s="831">
        <v>2022</v>
      </c>
      <c r="B780" s="826" t="s">
        <v>1134</v>
      </c>
      <c r="C780" s="820" t="s">
        <v>2016</v>
      </c>
      <c r="D780" s="1031">
        <v>-33647</v>
      </c>
      <c r="E780" s="821">
        <f t="shared" si="37"/>
        <v>-127.18566</v>
      </c>
      <c r="F780" s="828">
        <f t="shared" si="38"/>
        <v>-140.98093</v>
      </c>
      <c r="G780" t="s">
        <v>1135</v>
      </c>
      <c r="H780" s="667" t="str">
        <f t="shared" si="39"/>
        <v>Regelzone TenneT (gesamt)</v>
      </c>
      <c r="I780" s="662"/>
    </row>
    <row r="781" spans="1:9" hidden="1" outlineLevel="1">
      <c r="A781" s="831">
        <v>2022</v>
      </c>
      <c r="B781" s="826" t="s">
        <v>1138</v>
      </c>
      <c r="C781" s="820" t="s">
        <v>2016</v>
      </c>
      <c r="D781" s="1031">
        <v>-2091</v>
      </c>
      <c r="E781" s="821">
        <f t="shared" si="37"/>
        <v>-7.9039799999999998</v>
      </c>
      <c r="F781" s="828">
        <f t="shared" si="38"/>
        <v>-8.7612900000000007</v>
      </c>
      <c r="G781" t="s">
        <v>1139</v>
      </c>
      <c r="H781" s="667" t="str">
        <f t="shared" si="39"/>
        <v>Regelzone TenneT (gesamt)</v>
      </c>
      <c r="I781" s="662"/>
    </row>
    <row r="782" spans="1:9" hidden="1" outlineLevel="1">
      <c r="A782" s="831">
        <v>2022</v>
      </c>
      <c r="B782" s="826" t="s">
        <v>1146</v>
      </c>
      <c r="C782" s="820" t="s">
        <v>2016</v>
      </c>
      <c r="D782" s="1031">
        <v>198140</v>
      </c>
      <c r="E782" s="821">
        <f t="shared" si="37"/>
        <v>748.9692</v>
      </c>
      <c r="F782" s="828">
        <f t="shared" si="38"/>
        <v>830.20659999999998</v>
      </c>
      <c r="G782" t="s">
        <v>1147</v>
      </c>
      <c r="H782" s="667" t="str">
        <f t="shared" si="39"/>
        <v>Regelzone TenneT (gesamt)</v>
      </c>
      <c r="I782" s="662"/>
    </row>
    <row r="783" spans="1:9" hidden="1" outlineLevel="1">
      <c r="A783" s="831">
        <v>2022</v>
      </c>
      <c r="B783" s="826" t="s">
        <v>1150</v>
      </c>
      <c r="C783" s="820" t="s">
        <v>2016</v>
      </c>
      <c r="D783" s="1031">
        <v>-24794</v>
      </c>
      <c r="E783" s="821">
        <f t="shared" si="37"/>
        <v>-93.721319999999992</v>
      </c>
      <c r="F783" s="828">
        <f t="shared" si="38"/>
        <v>-103.88686</v>
      </c>
      <c r="G783" t="s">
        <v>1151</v>
      </c>
      <c r="H783" s="667" t="str">
        <f t="shared" si="39"/>
        <v>Regelzone TenneT (gesamt)</v>
      </c>
      <c r="I783" s="662"/>
    </row>
    <row r="784" spans="1:9" hidden="1" outlineLevel="1">
      <c r="A784" s="831">
        <v>2022</v>
      </c>
      <c r="B784" s="826" t="s">
        <v>1154</v>
      </c>
      <c r="C784" s="820" t="s">
        <v>2016</v>
      </c>
      <c r="D784" s="1031">
        <v>1178</v>
      </c>
      <c r="E784" s="821">
        <f t="shared" si="37"/>
        <v>4.4528400000000001</v>
      </c>
      <c r="F784" s="828">
        <f t="shared" si="38"/>
        <v>4.9358200000000005</v>
      </c>
      <c r="G784" t="s">
        <v>1155</v>
      </c>
      <c r="H784" s="667" t="str">
        <f t="shared" si="39"/>
        <v>Regelzone TenneT (gesamt)</v>
      </c>
      <c r="I784" s="662"/>
    </row>
    <row r="785" spans="1:9" hidden="1" outlineLevel="1">
      <c r="A785" s="831">
        <v>2022</v>
      </c>
      <c r="B785" s="826" t="s">
        <v>1160</v>
      </c>
      <c r="C785" s="820" t="s">
        <v>2016</v>
      </c>
      <c r="D785" s="1031">
        <v>3437633.27</v>
      </c>
      <c r="E785" s="821">
        <f t="shared" si="37"/>
        <v>12994.253760600001</v>
      </c>
      <c r="F785" s="828">
        <f t="shared" si="38"/>
        <v>14403.683401300001</v>
      </c>
      <c r="G785" t="s">
        <v>1161</v>
      </c>
      <c r="H785" s="667" t="str">
        <f t="shared" si="39"/>
        <v>Regelzone TenneT (gesamt)</v>
      </c>
      <c r="I785" s="662"/>
    </row>
    <row r="786" spans="1:9" hidden="1" outlineLevel="1">
      <c r="A786" s="831">
        <v>2022</v>
      </c>
      <c r="B786" s="826" t="s">
        <v>1164</v>
      </c>
      <c r="C786" s="820" t="s">
        <v>2016</v>
      </c>
      <c r="D786" s="1031">
        <v>-37031</v>
      </c>
      <c r="E786" s="821">
        <f t="shared" si="37"/>
        <v>-139.97718</v>
      </c>
      <c r="F786" s="828">
        <f t="shared" si="38"/>
        <v>-155.15989000000002</v>
      </c>
      <c r="G786" t="s">
        <v>1165</v>
      </c>
      <c r="H786" s="667" t="str">
        <f t="shared" si="39"/>
        <v>Regelzone TenneT (gesamt)</v>
      </c>
      <c r="I786" s="662"/>
    </row>
    <row r="787" spans="1:9" hidden="1" outlineLevel="1">
      <c r="A787" s="831">
        <v>2022</v>
      </c>
      <c r="B787" s="826" t="s">
        <v>1170</v>
      </c>
      <c r="C787" s="820" t="s">
        <v>2016</v>
      </c>
      <c r="D787" s="1031">
        <v>-13514</v>
      </c>
      <c r="E787" s="821">
        <f t="shared" si="37"/>
        <v>-51.082920000000001</v>
      </c>
      <c r="F787" s="828">
        <f t="shared" si="38"/>
        <v>-56.623660000000001</v>
      </c>
      <c r="G787" t="s">
        <v>1171</v>
      </c>
      <c r="H787" s="667" t="str">
        <f t="shared" si="39"/>
        <v>Regelzone TenneT (gesamt)</v>
      </c>
      <c r="I787" s="662"/>
    </row>
    <row r="788" spans="1:9" hidden="1" outlineLevel="1">
      <c r="A788" s="831">
        <v>2022</v>
      </c>
      <c r="B788" s="826" t="s">
        <v>1174</v>
      </c>
      <c r="C788" s="820" t="s">
        <v>2016</v>
      </c>
      <c r="D788" s="1031">
        <v>-17674</v>
      </c>
      <c r="E788" s="821">
        <f t="shared" si="37"/>
        <v>-66.807720000000003</v>
      </c>
      <c r="F788" s="828">
        <f t="shared" si="38"/>
        <v>-74.054060000000007</v>
      </c>
      <c r="G788" t="s">
        <v>1175</v>
      </c>
      <c r="H788" s="667" t="str">
        <f t="shared" si="39"/>
        <v>Regelzone TenneT (gesamt)</v>
      </c>
      <c r="I788" s="662"/>
    </row>
    <row r="789" spans="1:9" hidden="1" outlineLevel="1">
      <c r="A789" s="831">
        <v>2022</v>
      </c>
      <c r="B789" s="826" t="s">
        <v>1176</v>
      </c>
      <c r="C789" s="820" t="s">
        <v>2016</v>
      </c>
      <c r="D789" s="1031">
        <v>271808.15000000002</v>
      </c>
      <c r="E789" s="821">
        <f t="shared" si="37"/>
        <v>1027.4348070000001</v>
      </c>
      <c r="F789" s="828">
        <f t="shared" si="38"/>
        <v>1138.8761485000002</v>
      </c>
      <c r="G789" t="s">
        <v>1177</v>
      </c>
      <c r="H789" s="667" t="str">
        <f t="shared" si="39"/>
        <v>Regelzone TenneT (gesamt)</v>
      </c>
      <c r="I789" s="662"/>
    </row>
    <row r="790" spans="1:9" hidden="1" outlineLevel="1">
      <c r="A790" s="831">
        <v>2022</v>
      </c>
      <c r="B790" s="826" t="s">
        <v>1178</v>
      </c>
      <c r="C790" s="820" t="s">
        <v>2016</v>
      </c>
      <c r="D790" s="1031">
        <v>-11959</v>
      </c>
      <c r="E790" s="821">
        <f t="shared" si="37"/>
        <v>-45.205019999999998</v>
      </c>
      <c r="F790" s="828">
        <f t="shared" si="38"/>
        <v>-50.10821</v>
      </c>
      <c r="G790" t="s">
        <v>1179</v>
      </c>
      <c r="H790" s="667" t="str">
        <f t="shared" si="39"/>
        <v>Regelzone TenneT (gesamt)</v>
      </c>
      <c r="I790" s="662"/>
    </row>
    <row r="791" spans="1:9" hidden="1" outlineLevel="1">
      <c r="A791" s="831">
        <v>2022</v>
      </c>
      <c r="B791" s="826" t="s">
        <v>1186</v>
      </c>
      <c r="C791" s="820" t="s">
        <v>2016</v>
      </c>
      <c r="D791" s="1031">
        <v>5565</v>
      </c>
      <c r="E791" s="821">
        <f t="shared" si="37"/>
        <v>21.035699999999999</v>
      </c>
      <c r="F791" s="828">
        <f t="shared" si="38"/>
        <v>23.317350000000001</v>
      </c>
      <c r="G791" t="s">
        <v>1187</v>
      </c>
      <c r="H791" s="667" t="str">
        <f t="shared" si="39"/>
        <v>Regelzone TenneT (gesamt)</v>
      </c>
      <c r="I791" s="662"/>
    </row>
    <row r="792" spans="1:9" hidden="1" outlineLevel="1">
      <c r="A792" s="831">
        <v>2022</v>
      </c>
      <c r="B792" s="826" t="s">
        <v>1190</v>
      </c>
      <c r="C792" s="820" t="s">
        <v>2016</v>
      </c>
      <c r="D792" s="1031">
        <v>72466.33</v>
      </c>
      <c r="E792" s="821">
        <f t="shared" si="37"/>
        <v>273.92272739999999</v>
      </c>
      <c r="F792" s="828">
        <f t="shared" si="38"/>
        <v>303.63392270000003</v>
      </c>
      <c r="G792" t="s">
        <v>1191</v>
      </c>
      <c r="H792" s="667" t="str">
        <f t="shared" si="39"/>
        <v>Regelzone TenneT (gesamt)</v>
      </c>
      <c r="I792" s="662"/>
    </row>
    <row r="793" spans="1:9" hidden="1" outlineLevel="1">
      <c r="A793" s="831">
        <v>2022</v>
      </c>
      <c r="B793" s="826" t="s">
        <v>1194</v>
      </c>
      <c r="C793" s="820" t="s">
        <v>2016</v>
      </c>
      <c r="D793" s="1031">
        <v>3646</v>
      </c>
      <c r="E793" s="821">
        <f t="shared" si="37"/>
        <v>13.781879999999999</v>
      </c>
      <c r="F793" s="828">
        <f t="shared" si="38"/>
        <v>15.27674</v>
      </c>
      <c r="G793" t="s">
        <v>1195</v>
      </c>
      <c r="H793" s="667" t="str">
        <f t="shared" si="39"/>
        <v>Regelzone TenneT (gesamt)</v>
      </c>
      <c r="I793" s="662"/>
    </row>
    <row r="794" spans="1:9" hidden="1" outlineLevel="1">
      <c r="A794" s="831">
        <v>2022</v>
      </c>
      <c r="B794" s="826" t="s">
        <v>1196</v>
      </c>
      <c r="C794" s="820" t="s">
        <v>2016</v>
      </c>
      <c r="D794" s="1031">
        <v>-264343</v>
      </c>
      <c r="E794" s="821">
        <f t="shared" si="37"/>
        <v>-999.21654000000001</v>
      </c>
      <c r="F794" s="828">
        <f t="shared" si="38"/>
        <v>-1107.59717</v>
      </c>
      <c r="G794" t="s">
        <v>1197</v>
      </c>
      <c r="H794" s="667" t="str">
        <f t="shared" si="39"/>
        <v>Regelzone TenneT (gesamt)</v>
      </c>
      <c r="I794" s="662"/>
    </row>
    <row r="795" spans="1:9" hidden="1" outlineLevel="1">
      <c r="A795" s="831">
        <v>2022</v>
      </c>
      <c r="B795" s="826" t="s">
        <v>1198</v>
      </c>
      <c r="C795" s="820" t="s">
        <v>2016</v>
      </c>
      <c r="D795" s="1031">
        <v>0</v>
      </c>
      <c r="E795" s="821">
        <f t="shared" si="37"/>
        <v>0</v>
      </c>
      <c r="F795" s="828">
        <f t="shared" si="38"/>
        <v>0</v>
      </c>
      <c r="G795" t="s">
        <v>1199</v>
      </c>
      <c r="H795" s="667" t="str">
        <f t="shared" si="39"/>
        <v>Regelzone TenneT (gesamt)</v>
      </c>
      <c r="I795" s="662"/>
    </row>
    <row r="796" spans="1:9" hidden="1" outlineLevel="1">
      <c r="A796" s="831">
        <v>2022</v>
      </c>
      <c r="B796" s="826" t="s">
        <v>1200</v>
      </c>
      <c r="C796" s="820" t="s">
        <v>2016</v>
      </c>
      <c r="D796" s="1031">
        <v>-79961</v>
      </c>
      <c r="E796" s="821">
        <f t="shared" si="37"/>
        <v>-302.25258000000002</v>
      </c>
      <c r="F796" s="828">
        <f t="shared" si="38"/>
        <v>-335.03658999999999</v>
      </c>
      <c r="G796" t="s">
        <v>1201</v>
      </c>
      <c r="H796" s="667" t="str">
        <f t="shared" si="39"/>
        <v>Regelzone TenneT (gesamt)</v>
      </c>
      <c r="I796" s="662"/>
    </row>
    <row r="797" spans="1:9" hidden="1" outlineLevel="1">
      <c r="A797" s="831">
        <v>2022</v>
      </c>
      <c r="B797" s="826" t="s">
        <v>1204</v>
      </c>
      <c r="C797" s="820" t="s">
        <v>2016</v>
      </c>
      <c r="D797" s="1031">
        <v>0</v>
      </c>
      <c r="E797" s="821">
        <f t="shared" si="37"/>
        <v>0</v>
      </c>
      <c r="F797" s="828">
        <f t="shared" si="38"/>
        <v>0</v>
      </c>
      <c r="G797" t="s">
        <v>1205</v>
      </c>
      <c r="H797" s="667" t="str">
        <f t="shared" si="39"/>
        <v>Regelzone TenneT (gesamt)</v>
      </c>
      <c r="I797" s="662"/>
    </row>
    <row r="798" spans="1:9" hidden="1" outlineLevel="1">
      <c r="A798" s="831">
        <v>2022</v>
      </c>
      <c r="B798" s="826" t="s">
        <v>1476</v>
      </c>
      <c r="C798" s="820" t="s">
        <v>2016</v>
      </c>
      <c r="D798" s="1031">
        <v>-26850</v>
      </c>
      <c r="E798" s="821">
        <f t="shared" si="37"/>
        <v>-101.49299999999999</v>
      </c>
      <c r="F798" s="828">
        <f t="shared" si="38"/>
        <v>-112.50150000000001</v>
      </c>
      <c r="G798" t="s">
        <v>1477</v>
      </c>
      <c r="H798" s="667" t="str">
        <f t="shared" si="39"/>
        <v>Regelzone TenneT (gesamt)</v>
      </c>
      <c r="I798" s="662"/>
    </row>
    <row r="799" spans="1:9" hidden="1" outlineLevel="1">
      <c r="A799" s="831">
        <v>2022</v>
      </c>
      <c r="B799" s="826" t="s">
        <v>1228</v>
      </c>
      <c r="C799" s="820" t="s">
        <v>2016</v>
      </c>
      <c r="D799" s="1031">
        <v>17753</v>
      </c>
      <c r="E799" s="821">
        <f t="shared" si="37"/>
        <v>67.106340000000003</v>
      </c>
      <c r="F799" s="828">
        <f t="shared" si="38"/>
        <v>74.385069999999999</v>
      </c>
      <c r="G799" t="s">
        <v>1229</v>
      </c>
      <c r="H799" s="667" t="str">
        <f t="shared" si="39"/>
        <v>Regelzone TenneT (gesamt)</v>
      </c>
      <c r="I799" s="662"/>
    </row>
    <row r="800" spans="1:9" hidden="1" outlineLevel="1">
      <c r="A800" s="831">
        <v>2022</v>
      </c>
      <c r="B800" s="826" t="s">
        <v>1230</v>
      </c>
      <c r="C800" s="820" t="s">
        <v>2016</v>
      </c>
      <c r="D800" s="1031">
        <v>2259</v>
      </c>
      <c r="E800" s="821">
        <f t="shared" si="37"/>
        <v>8.5390200000000007</v>
      </c>
      <c r="F800" s="828">
        <f t="shared" si="38"/>
        <v>9.4652100000000008</v>
      </c>
      <c r="G800" t="s">
        <v>1231</v>
      </c>
      <c r="H800" s="667" t="str">
        <f t="shared" si="39"/>
        <v>Regelzone TenneT (gesamt)</v>
      </c>
      <c r="I800" s="662"/>
    </row>
    <row r="801" spans="1:9" hidden="1" outlineLevel="1">
      <c r="A801" s="831">
        <v>2022</v>
      </c>
      <c r="B801" s="826" t="s">
        <v>1242</v>
      </c>
      <c r="C801" s="820" t="s">
        <v>2016</v>
      </c>
      <c r="D801" s="1031">
        <v>231857</v>
      </c>
      <c r="E801" s="821">
        <f t="shared" si="37"/>
        <v>876.41945999999996</v>
      </c>
      <c r="F801" s="828">
        <f t="shared" si="38"/>
        <v>971.48083000000008</v>
      </c>
      <c r="G801" t="s">
        <v>1243</v>
      </c>
      <c r="H801" s="667" t="str">
        <f t="shared" si="39"/>
        <v>Regelzone TenneT (gesamt)</v>
      </c>
      <c r="I801" s="662"/>
    </row>
    <row r="802" spans="1:9" hidden="1" outlineLevel="1">
      <c r="A802" s="831">
        <v>2022</v>
      </c>
      <c r="B802" s="826" t="s">
        <v>1246</v>
      </c>
      <c r="C802" s="820" t="s">
        <v>2016</v>
      </c>
      <c r="D802" s="1031">
        <v>137833</v>
      </c>
      <c r="E802" s="821">
        <f t="shared" ref="E802:E855" si="40">+D802*0.00378</f>
        <v>521.00873999999999</v>
      </c>
      <c r="F802" s="828">
        <f t="shared" ref="F802:F855" si="41">+D802*0.00419</f>
        <v>577.52026999999998</v>
      </c>
      <c r="G802" t="s">
        <v>1247</v>
      </c>
      <c r="H802" s="667" t="str">
        <f t="shared" si="39"/>
        <v>Regelzone TenneT (gesamt)</v>
      </c>
      <c r="I802" s="662"/>
    </row>
    <row r="803" spans="1:9" hidden="1" outlineLevel="1">
      <c r="A803" s="831">
        <v>2022</v>
      </c>
      <c r="B803" s="826" t="s">
        <v>1254</v>
      </c>
      <c r="C803" s="820" t="s">
        <v>2016</v>
      </c>
      <c r="D803" s="1031">
        <v>21634</v>
      </c>
      <c r="E803" s="821">
        <f t="shared" si="40"/>
        <v>81.776520000000005</v>
      </c>
      <c r="F803" s="828">
        <f t="shared" si="41"/>
        <v>90.646460000000005</v>
      </c>
      <c r="G803" t="s">
        <v>1255</v>
      </c>
      <c r="H803" s="667" t="str">
        <f t="shared" si="39"/>
        <v>Regelzone TenneT (gesamt)</v>
      </c>
      <c r="I803" s="662"/>
    </row>
    <row r="804" spans="1:9" hidden="1" outlineLevel="1">
      <c r="A804" s="831">
        <v>2022</v>
      </c>
      <c r="B804" s="826" t="s">
        <v>1256</v>
      </c>
      <c r="C804" s="820" t="s">
        <v>2016</v>
      </c>
      <c r="D804" s="1031">
        <v>-257</v>
      </c>
      <c r="E804" s="821">
        <f t="shared" si="40"/>
        <v>-0.97145999999999999</v>
      </c>
      <c r="F804" s="828">
        <f t="shared" si="41"/>
        <v>-1.07683</v>
      </c>
      <c r="G804" t="s">
        <v>1257</v>
      </c>
      <c r="H804" s="667" t="str">
        <f t="shared" si="39"/>
        <v>Regelzone TenneT (gesamt)</v>
      </c>
      <c r="I804" s="662"/>
    </row>
    <row r="805" spans="1:9" hidden="1" outlineLevel="1">
      <c r="A805" s="831">
        <v>2022</v>
      </c>
      <c r="B805" s="826" t="s">
        <v>1258</v>
      </c>
      <c r="C805" s="820" t="s">
        <v>2016</v>
      </c>
      <c r="D805" s="1031">
        <v>-11554</v>
      </c>
      <c r="E805" s="821">
        <f t="shared" si="40"/>
        <v>-43.674120000000002</v>
      </c>
      <c r="F805" s="828">
        <f t="shared" si="41"/>
        <v>-48.411259999999999</v>
      </c>
      <c r="G805" t="s">
        <v>1259</v>
      </c>
      <c r="H805" s="667" t="str">
        <f t="shared" si="39"/>
        <v>Regelzone TenneT (gesamt)</v>
      </c>
      <c r="I805" s="662"/>
    </row>
    <row r="806" spans="1:9" hidden="1" outlineLevel="1">
      <c r="A806" s="831">
        <v>2022</v>
      </c>
      <c r="B806" s="826" t="s">
        <v>1272</v>
      </c>
      <c r="C806" s="820" t="s">
        <v>2016</v>
      </c>
      <c r="D806" s="1031">
        <v>-33904</v>
      </c>
      <c r="E806" s="821">
        <f t="shared" si="40"/>
        <v>-128.15711999999999</v>
      </c>
      <c r="F806" s="828">
        <f t="shared" si="41"/>
        <v>-142.05776</v>
      </c>
      <c r="G806" t="s">
        <v>1273</v>
      </c>
      <c r="H806" s="667" t="str">
        <f t="shared" si="39"/>
        <v>Regelzone TenneT (gesamt)</v>
      </c>
      <c r="I806" s="662"/>
    </row>
    <row r="807" spans="1:9" hidden="1" outlineLevel="1">
      <c r="A807" s="831">
        <v>2022</v>
      </c>
      <c r="B807" s="826" t="s">
        <v>1276</v>
      </c>
      <c r="C807" s="820" t="s">
        <v>2016</v>
      </c>
      <c r="D807" s="1031">
        <v>-678625</v>
      </c>
      <c r="E807" s="821">
        <f t="shared" si="40"/>
        <v>-2565.2024999999999</v>
      </c>
      <c r="F807" s="828">
        <f t="shared" si="41"/>
        <v>-2843.4387500000003</v>
      </c>
      <c r="G807" t="s">
        <v>2035</v>
      </c>
      <c r="H807" s="667" t="str">
        <f t="shared" si="39"/>
        <v>Regelzone TenneT (gesamt)</v>
      </c>
      <c r="I807" s="662"/>
    </row>
    <row r="808" spans="1:9" hidden="1" outlineLevel="1">
      <c r="A808" s="831">
        <v>2022</v>
      </c>
      <c r="B808" s="826" t="s">
        <v>1280</v>
      </c>
      <c r="C808" s="820" t="s">
        <v>2016</v>
      </c>
      <c r="D808" s="1031">
        <v>56474</v>
      </c>
      <c r="E808" s="821">
        <f t="shared" si="40"/>
        <v>213.47172</v>
      </c>
      <c r="F808" s="828">
        <f t="shared" si="41"/>
        <v>236.62606</v>
      </c>
      <c r="G808" t="s">
        <v>1281</v>
      </c>
      <c r="H808" s="667" t="str">
        <f t="shared" si="39"/>
        <v>Regelzone TenneT (gesamt)</v>
      </c>
      <c r="I808" s="662"/>
    </row>
    <row r="809" spans="1:9" hidden="1" outlineLevel="1">
      <c r="A809" s="831">
        <v>2022</v>
      </c>
      <c r="B809" s="826" t="s">
        <v>1282</v>
      </c>
      <c r="C809" s="820" t="s">
        <v>2016</v>
      </c>
      <c r="D809" s="1031">
        <v>-46215624</v>
      </c>
      <c r="E809" s="821">
        <f t="shared" si="40"/>
        <v>-174695.05872</v>
      </c>
      <c r="F809" s="828">
        <f t="shared" si="41"/>
        <v>-193643.46455999999</v>
      </c>
      <c r="G809" t="s">
        <v>2036</v>
      </c>
      <c r="H809" s="667" t="str">
        <f t="shared" si="39"/>
        <v>Regelzone TenneT (gesamt)</v>
      </c>
      <c r="I809" s="662"/>
    </row>
    <row r="810" spans="1:9" hidden="1" outlineLevel="1">
      <c r="A810" s="831">
        <v>2022</v>
      </c>
      <c r="B810" s="826" t="s">
        <v>1284</v>
      </c>
      <c r="C810" s="820" t="s">
        <v>2016</v>
      </c>
      <c r="D810" s="1031">
        <v>21456</v>
      </c>
      <c r="E810" s="821">
        <f t="shared" si="40"/>
        <v>81.103679999999997</v>
      </c>
      <c r="F810" s="828">
        <f t="shared" si="41"/>
        <v>89.90064000000001</v>
      </c>
      <c r="G810" t="s">
        <v>1285</v>
      </c>
      <c r="H810" s="667" t="str">
        <f t="shared" si="39"/>
        <v>Regelzone TenneT (gesamt)</v>
      </c>
      <c r="I810" s="662"/>
    </row>
    <row r="811" spans="1:9" hidden="1" outlineLevel="1">
      <c r="A811" s="831">
        <v>2022</v>
      </c>
      <c r="B811" s="826" t="s">
        <v>1286</v>
      </c>
      <c r="C811" s="820" t="s">
        <v>2016</v>
      </c>
      <c r="D811" s="1031">
        <v>50434</v>
      </c>
      <c r="E811" s="821">
        <f t="shared" si="40"/>
        <v>190.64052000000001</v>
      </c>
      <c r="F811" s="828">
        <f t="shared" si="41"/>
        <v>211.31846000000002</v>
      </c>
      <c r="G811" t="s">
        <v>1287</v>
      </c>
      <c r="H811" s="667" t="str">
        <f t="shared" si="39"/>
        <v>Regelzone TenneT (gesamt)</v>
      </c>
      <c r="I811" s="662"/>
    </row>
    <row r="812" spans="1:9" hidden="1" outlineLevel="1">
      <c r="A812" s="831">
        <v>2022</v>
      </c>
      <c r="B812" s="826" t="s">
        <v>1290</v>
      </c>
      <c r="C812" s="820" t="s">
        <v>2016</v>
      </c>
      <c r="D812" s="1031">
        <v>-6017</v>
      </c>
      <c r="E812" s="821">
        <f t="shared" si="40"/>
        <v>-22.744260000000001</v>
      </c>
      <c r="F812" s="828">
        <f t="shared" si="41"/>
        <v>-25.21123</v>
      </c>
      <c r="G812" t="s">
        <v>1291</v>
      </c>
      <c r="H812" s="667" t="str">
        <f t="shared" si="39"/>
        <v>Regelzone TenneT (gesamt)</v>
      </c>
      <c r="I812" s="662"/>
    </row>
    <row r="813" spans="1:9" hidden="1" outlineLevel="1">
      <c r="A813" s="831">
        <v>2022</v>
      </c>
      <c r="B813" s="826" t="s">
        <v>1302</v>
      </c>
      <c r="C813" s="820" t="s">
        <v>2016</v>
      </c>
      <c r="D813" s="1031">
        <v>-24</v>
      </c>
      <c r="E813" s="821">
        <f t="shared" si="40"/>
        <v>-9.0719999999999995E-2</v>
      </c>
      <c r="F813" s="828">
        <f t="shared" si="41"/>
        <v>-0.10056000000000001</v>
      </c>
      <c r="G813" t="s">
        <v>1303</v>
      </c>
      <c r="H813" s="667" t="str">
        <f t="shared" si="39"/>
        <v>Regelzone TenneT (gesamt)</v>
      </c>
      <c r="I813" s="662"/>
    </row>
    <row r="814" spans="1:9" hidden="1" outlineLevel="1">
      <c r="A814" s="831">
        <v>2022</v>
      </c>
      <c r="B814" s="826" t="s">
        <v>1304</v>
      </c>
      <c r="C814" s="820" t="s">
        <v>2016</v>
      </c>
      <c r="D814" s="1031">
        <v>-11879</v>
      </c>
      <c r="E814" s="821">
        <f t="shared" si="40"/>
        <v>-44.902619999999999</v>
      </c>
      <c r="F814" s="828">
        <f t="shared" si="41"/>
        <v>-49.773009999999999</v>
      </c>
      <c r="G814" t="s">
        <v>1305</v>
      </c>
      <c r="H814" s="667" t="str">
        <f t="shared" si="39"/>
        <v>Regelzone TenneT (gesamt)</v>
      </c>
      <c r="I814" s="662"/>
    </row>
    <row r="815" spans="1:9" hidden="1" outlineLevel="1">
      <c r="A815" s="831">
        <v>2022</v>
      </c>
      <c r="B815" s="826" t="s">
        <v>1312</v>
      </c>
      <c r="C815" s="820" t="s">
        <v>2016</v>
      </c>
      <c r="D815" s="1031">
        <v>41392</v>
      </c>
      <c r="E815" s="821">
        <f t="shared" si="40"/>
        <v>156.46176</v>
      </c>
      <c r="F815" s="828">
        <f t="shared" si="41"/>
        <v>173.43248</v>
      </c>
      <c r="G815" t="s">
        <v>1313</v>
      </c>
      <c r="H815" s="667" t="str">
        <f t="shared" si="39"/>
        <v>Regelzone TenneT (gesamt)</v>
      </c>
      <c r="I815" s="662"/>
    </row>
    <row r="816" spans="1:9" hidden="1" outlineLevel="1">
      <c r="A816" s="831">
        <v>2022</v>
      </c>
      <c r="B816" s="826" t="s">
        <v>1316</v>
      </c>
      <c r="C816" s="820" t="s">
        <v>2016</v>
      </c>
      <c r="D816" s="1031">
        <v>0</v>
      </c>
      <c r="E816" s="821">
        <f t="shared" si="40"/>
        <v>0</v>
      </c>
      <c r="F816" s="828">
        <f t="shared" si="41"/>
        <v>0</v>
      </c>
      <c r="G816" t="s">
        <v>1317</v>
      </c>
      <c r="H816" s="667" t="str">
        <f t="shared" si="39"/>
        <v>Regelzone TenneT (gesamt)</v>
      </c>
      <c r="I816" s="662"/>
    </row>
    <row r="817" spans="1:9" hidden="1" outlineLevel="1">
      <c r="A817" s="831">
        <v>2022</v>
      </c>
      <c r="B817" s="826" t="s">
        <v>1320</v>
      </c>
      <c r="C817" s="820" t="s">
        <v>2016</v>
      </c>
      <c r="D817" s="1031">
        <v>0</v>
      </c>
      <c r="E817" s="821">
        <f t="shared" si="40"/>
        <v>0</v>
      </c>
      <c r="F817" s="828">
        <f t="shared" si="41"/>
        <v>0</v>
      </c>
      <c r="G817" t="s">
        <v>1321</v>
      </c>
      <c r="H817" s="667" t="str">
        <f t="shared" si="39"/>
        <v>Regelzone TenneT (gesamt)</v>
      </c>
      <c r="I817" s="662"/>
    </row>
    <row r="818" spans="1:9" hidden="1" outlineLevel="1">
      <c r="A818" s="831">
        <v>2022</v>
      </c>
      <c r="B818" s="826" t="s">
        <v>1326</v>
      </c>
      <c r="C818" s="820" t="s">
        <v>2016</v>
      </c>
      <c r="D818" s="1031">
        <v>-56793</v>
      </c>
      <c r="E818" s="821">
        <f t="shared" si="40"/>
        <v>-214.67753999999999</v>
      </c>
      <c r="F818" s="828">
        <f t="shared" si="41"/>
        <v>-237.96267</v>
      </c>
      <c r="G818" t="s">
        <v>1327</v>
      </c>
      <c r="H818" s="667" t="str">
        <f t="shared" si="39"/>
        <v>Regelzone TenneT (gesamt)</v>
      </c>
      <c r="I818" s="662"/>
    </row>
    <row r="819" spans="1:9" hidden="1" outlineLevel="1">
      <c r="A819" s="831">
        <v>2022</v>
      </c>
      <c r="B819" s="826" t="s">
        <v>1328</v>
      </c>
      <c r="C819" s="820" t="s">
        <v>2016</v>
      </c>
      <c r="D819" s="1031">
        <v>-169768.606</v>
      </c>
      <c r="E819" s="821">
        <f t="shared" si="40"/>
        <v>-641.72533067999996</v>
      </c>
      <c r="F819" s="828">
        <f t="shared" si="41"/>
        <v>-711.33045914000002</v>
      </c>
      <c r="G819" t="s">
        <v>1329</v>
      </c>
      <c r="H819" s="667" t="str">
        <f t="shared" si="39"/>
        <v>Regelzone TenneT (gesamt)</v>
      </c>
      <c r="I819" s="662"/>
    </row>
    <row r="820" spans="1:9" hidden="1" outlineLevel="1">
      <c r="A820" s="831">
        <v>2022</v>
      </c>
      <c r="B820" s="826" t="s">
        <v>499</v>
      </c>
      <c r="C820" s="820" t="s">
        <v>2016</v>
      </c>
      <c r="D820" s="1031">
        <v>438</v>
      </c>
      <c r="E820" s="821">
        <f t="shared" si="40"/>
        <v>1.65564</v>
      </c>
      <c r="F820" s="828">
        <f t="shared" si="41"/>
        <v>1.8352200000000001</v>
      </c>
      <c r="G820" t="s">
        <v>500</v>
      </c>
      <c r="H820" s="667" t="str">
        <f t="shared" si="39"/>
        <v>Regelzone TenneT (gesamt)</v>
      </c>
      <c r="I820" s="662"/>
    </row>
    <row r="821" spans="1:9" hidden="1" outlineLevel="1">
      <c r="A821" s="831">
        <v>2022</v>
      </c>
      <c r="B821" s="826" t="s">
        <v>748</v>
      </c>
      <c r="C821" s="820" t="s">
        <v>2016</v>
      </c>
      <c r="D821" s="1031">
        <v>24927</v>
      </c>
      <c r="E821" s="821">
        <f t="shared" si="40"/>
        <v>94.224059999999994</v>
      </c>
      <c r="F821" s="828">
        <f t="shared" si="41"/>
        <v>104.44413</v>
      </c>
      <c r="G821" t="s">
        <v>1338</v>
      </c>
      <c r="H821" s="667" t="str">
        <f t="shared" si="39"/>
        <v>Regelzone TenneT (gesamt)</v>
      </c>
      <c r="I821" s="662"/>
    </row>
    <row r="822" spans="1:9" hidden="1" outlineLevel="1">
      <c r="A822" s="831">
        <v>2022</v>
      </c>
      <c r="B822" s="826" t="s">
        <v>1339</v>
      </c>
      <c r="C822" s="820" t="s">
        <v>2016</v>
      </c>
      <c r="D822" s="1031">
        <v>-24834</v>
      </c>
      <c r="E822" s="821">
        <f t="shared" si="40"/>
        <v>-93.872519999999994</v>
      </c>
      <c r="F822" s="828">
        <f t="shared" si="41"/>
        <v>-104.05446000000001</v>
      </c>
      <c r="G822" t="s">
        <v>1340</v>
      </c>
      <c r="H822" s="667" t="str">
        <f t="shared" si="39"/>
        <v>Regelzone TenneT (gesamt)</v>
      </c>
      <c r="I822" s="662"/>
    </row>
    <row r="823" spans="1:9" hidden="1" outlineLevel="1">
      <c r="A823" s="831">
        <v>2022</v>
      </c>
      <c r="B823" s="826" t="s">
        <v>1355</v>
      </c>
      <c r="C823" s="820" t="s">
        <v>2016</v>
      </c>
      <c r="D823" s="1031">
        <v>-24147.8</v>
      </c>
      <c r="E823" s="821">
        <f t="shared" si="40"/>
        <v>-91.278683999999998</v>
      </c>
      <c r="F823" s="828">
        <f t="shared" si="41"/>
        <v>-101.179282</v>
      </c>
      <c r="G823" t="s">
        <v>1356</v>
      </c>
      <c r="H823" s="667" t="str">
        <f t="shared" si="39"/>
        <v>Regelzone TenneT (gesamt)</v>
      </c>
      <c r="I823" s="662"/>
    </row>
    <row r="824" spans="1:9" hidden="1" outlineLevel="1">
      <c r="A824" s="831">
        <v>2022</v>
      </c>
      <c r="B824" s="826" t="s">
        <v>1357</v>
      </c>
      <c r="C824" s="820" t="s">
        <v>2016</v>
      </c>
      <c r="D824" s="1031">
        <v>-16794</v>
      </c>
      <c r="E824" s="821">
        <f t="shared" si="40"/>
        <v>-63.481319999999997</v>
      </c>
      <c r="F824" s="828">
        <f t="shared" si="41"/>
        <v>-70.366860000000003</v>
      </c>
      <c r="G824" t="s">
        <v>1358</v>
      </c>
      <c r="H824" s="667" t="str">
        <f t="shared" si="39"/>
        <v>Regelzone TenneT (gesamt)</v>
      </c>
      <c r="I824" s="662"/>
    </row>
    <row r="825" spans="1:9" hidden="1" outlineLevel="1">
      <c r="A825" s="831">
        <v>2022</v>
      </c>
      <c r="B825" s="826" t="s">
        <v>1361</v>
      </c>
      <c r="C825" s="820" t="s">
        <v>2016</v>
      </c>
      <c r="D825" s="1031">
        <v>0</v>
      </c>
      <c r="E825" s="821">
        <f t="shared" si="40"/>
        <v>0</v>
      </c>
      <c r="F825" s="828">
        <f t="shared" si="41"/>
        <v>0</v>
      </c>
      <c r="G825" t="s">
        <v>1362</v>
      </c>
      <c r="H825" s="667" t="str">
        <f t="shared" si="39"/>
        <v>Regelzone TenneT (gesamt)</v>
      </c>
      <c r="I825" s="662"/>
    </row>
    <row r="826" spans="1:9" hidden="1" outlineLevel="1">
      <c r="A826" s="831">
        <v>2022</v>
      </c>
      <c r="B826" s="826" t="s">
        <v>1478</v>
      </c>
      <c r="C826" s="820" t="s">
        <v>2016</v>
      </c>
      <c r="D826" s="1031">
        <v>-5796</v>
      </c>
      <c r="E826" s="821">
        <f t="shared" si="40"/>
        <v>-21.90888</v>
      </c>
      <c r="F826" s="828">
        <f t="shared" si="41"/>
        <v>-24.285240000000002</v>
      </c>
      <c r="G826" t="s">
        <v>1479</v>
      </c>
      <c r="H826" s="667" t="str">
        <f t="shared" si="39"/>
        <v>Regelzone TenneT (gesamt)</v>
      </c>
      <c r="I826" s="662"/>
    </row>
    <row r="827" spans="1:9" hidden="1" outlineLevel="1">
      <c r="A827" s="831">
        <v>2022</v>
      </c>
      <c r="B827" s="826" t="s">
        <v>1375</v>
      </c>
      <c r="C827" s="820" t="s">
        <v>2016</v>
      </c>
      <c r="D827" s="1031">
        <v>471769</v>
      </c>
      <c r="E827" s="821">
        <f t="shared" si="40"/>
        <v>1783.28682</v>
      </c>
      <c r="F827" s="828">
        <f t="shared" si="41"/>
        <v>1976.7121100000002</v>
      </c>
      <c r="G827" t="s">
        <v>1376</v>
      </c>
      <c r="H827" s="667" t="str">
        <f t="shared" si="39"/>
        <v>Regelzone TenneT (gesamt)</v>
      </c>
      <c r="I827" s="662"/>
    </row>
    <row r="828" spans="1:9" hidden="1" outlineLevel="1">
      <c r="A828" s="831">
        <v>2022</v>
      </c>
      <c r="B828" s="826" t="s">
        <v>86</v>
      </c>
      <c r="C828" s="820" t="s">
        <v>2016</v>
      </c>
      <c r="D828" s="1031">
        <v>714534</v>
      </c>
      <c r="E828" s="821">
        <f t="shared" si="40"/>
        <v>2700.9385200000002</v>
      </c>
      <c r="F828" s="828">
        <f t="shared" si="41"/>
        <v>2993.8974600000001</v>
      </c>
      <c r="G828" t="s">
        <v>87</v>
      </c>
      <c r="H828" s="667" t="str">
        <f t="shared" si="39"/>
        <v>Regelzone TenneT (gesamt)</v>
      </c>
      <c r="I828" s="662"/>
    </row>
    <row r="829" spans="1:9" hidden="1" outlineLevel="1">
      <c r="A829" s="831">
        <v>2022</v>
      </c>
      <c r="B829" s="826" t="s">
        <v>1387</v>
      </c>
      <c r="C829" s="820" t="s">
        <v>2016</v>
      </c>
      <c r="D829" s="1031">
        <v>-19340</v>
      </c>
      <c r="E829" s="821">
        <f t="shared" si="40"/>
        <v>-73.105199999999996</v>
      </c>
      <c r="F829" s="828">
        <f t="shared" si="41"/>
        <v>-81.034599999999998</v>
      </c>
      <c r="G829" t="s">
        <v>1388</v>
      </c>
      <c r="H829" s="667" t="str">
        <f t="shared" si="39"/>
        <v>Regelzone TenneT (gesamt)</v>
      </c>
      <c r="I829" s="662"/>
    </row>
    <row r="830" spans="1:9" hidden="1" outlineLevel="1">
      <c r="A830" s="831">
        <v>2022</v>
      </c>
      <c r="B830" s="826" t="s">
        <v>1391</v>
      </c>
      <c r="C830" s="820" t="s">
        <v>2016</v>
      </c>
      <c r="D830" s="1031">
        <v>1111363</v>
      </c>
      <c r="E830" s="821">
        <f t="shared" si="40"/>
        <v>4200.9521400000003</v>
      </c>
      <c r="F830" s="828">
        <f t="shared" si="41"/>
        <v>4656.6109699999997</v>
      </c>
      <c r="G830" t="s">
        <v>1392</v>
      </c>
      <c r="H830" s="667" t="str">
        <f t="shared" si="39"/>
        <v>Regelzone TenneT (gesamt)</v>
      </c>
      <c r="I830" s="662"/>
    </row>
    <row r="831" spans="1:9" hidden="1" outlineLevel="1">
      <c r="A831" s="831">
        <v>2022</v>
      </c>
      <c r="B831" s="826" t="s">
        <v>1401</v>
      </c>
      <c r="C831" s="820" t="s">
        <v>2016</v>
      </c>
      <c r="D831" s="1031">
        <v>12669813</v>
      </c>
      <c r="E831" s="821">
        <f t="shared" si="40"/>
        <v>47891.89314</v>
      </c>
      <c r="F831" s="828">
        <f t="shared" si="41"/>
        <v>53086.516470000002</v>
      </c>
      <c r="G831" t="s">
        <v>1402</v>
      </c>
      <c r="H831" s="667" t="str">
        <f t="shared" si="39"/>
        <v>Regelzone TenneT (gesamt)</v>
      </c>
      <c r="I831" s="662"/>
    </row>
    <row r="832" spans="1:9" hidden="1" outlineLevel="1">
      <c r="A832" s="831">
        <v>2022</v>
      </c>
      <c r="B832" s="826" t="s">
        <v>1405</v>
      </c>
      <c r="C832" s="820" t="s">
        <v>2016</v>
      </c>
      <c r="D832" s="1031">
        <v>0</v>
      </c>
      <c r="E832" s="821">
        <f t="shared" si="40"/>
        <v>0</v>
      </c>
      <c r="F832" s="828">
        <f t="shared" si="41"/>
        <v>0</v>
      </c>
      <c r="G832" t="s">
        <v>1406</v>
      </c>
      <c r="H832" s="667" t="str">
        <f t="shared" si="39"/>
        <v>Regelzone TenneT (gesamt)</v>
      </c>
      <c r="I832" s="662"/>
    </row>
    <row r="833" spans="1:9" hidden="1" outlineLevel="1">
      <c r="A833" s="831">
        <v>2022</v>
      </c>
      <c r="B833" s="826" t="s">
        <v>1407</v>
      </c>
      <c r="C833" s="820" t="s">
        <v>2016</v>
      </c>
      <c r="D833" s="1031">
        <v>-9708773</v>
      </c>
      <c r="E833" s="821">
        <f t="shared" si="40"/>
        <v>-36699.161939999998</v>
      </c>
      <c r="F833" s="828">
        <f t="shared" si="41"/>
        <v>-40679.758869999998</v>
      </c>
      <c r="G833" t="s">
        <v>2039</v>
      </c>
      <c r="H833" s="667" t="str">
        <f t="shared" si="39"/>
        <v>Regelzone TenneT (gesamt)</v>
      </c>
      <c r="I833" s="662"/>
    </row>
    <row r="834" spans="1:9" hidden="1" outlineLevel="1">
      <c r="A834" s="831">
        <v>2022</v>
      </c>
      <c r="B834" s="826" t="s">
        <v>1409</v>
      </c>
      <c r="C834" s="820" t="s">
        <v>2016</v>
      </c>
      <c r="D834" s="1031">
        <v>3329278</v>
      </c>
      <c r="E834" s="821">
        <f t="shared" si="40"/>
        <v>12584.670840000001</v>
      </c>
      <c r="F834" s="828">
        <f t="shared" si="41"/>
        <v>13949.67482</v>
      </c>
      <c r="G834" t="s">
        <v>1410</v>
      </c>
      <c r="H834" s="667" t="str">
        <f t="shared" si="39"/>
        <v>Regelzone TenneT (gesamt)</v>
      </c>
      <c r="I834" s="662"/>
    </row>
    <row r="835" spans="1:9" hidden="1" outlineLevel="1">
      <c r="A835" s="831">
        <v>2022</v>
      </c>
      <c r="B835" s="826" t="s">
        <v>388</v>
      </c>
      <c r="C835" s="820" t="s">
        <v>2016</v>
      </c>
      <c r="D835" s="1031">
        <v>-4400267.2860000003</v>
      </c>
      <c r="E835" s="821">
        <f t="shared" si="40"/>
        <v>-16633.01034108</v>
      </c>
      <c r="F835" s="828">
        <f t="shared" si="41"/>
        <v>-18437.119928340002</v>
      </c>
      <c r="G835" t="s">
        <v>389</v>
      </c>
      <c r="H835" s="667" t="str">
        <f t="shared" si="39"/>
        <v>Regelzone TenneT (gesamt)</v>
      </c>
      <c r="I835" s="662"/>
    </row>
    <row r="836" spans="1:9" hidden="1" outlineLevel="1">
      <c r="A836" s="831">
        <v>2022</v>
      </c>
      <c r="B836" s="826" t="s">
        <v>724</v>
      </c>
      <c r="C836" s="820" t="s">
        <v>2016</v>
      </c>
      <c r="D836" s="1031">
        <v>-309471</v>
      </c>
      <c r="E836" s="821">
        <f t="shared" si="40"/>
        <v>-1169.8003799999999</v>
      </c>
      <c r="F836" s="828">
        <f t="shared" si="41"/>
        <v>-1296.6834900000001</v>
      </c>
      <c r="G836" t="s">
        <v>725</v>
      </c>
      <c r="H836" s="667" t="str">
        <f t="shared" si="39"/>
        <v>Regelzone TenneT (gesamt)</v>
      </c>
      <c r="I836" s="662"/>
    </row>
    <row r="837" spans="1:9" hidden="1" outlineLevel="1">
      <c r="A837" s="831">
        <v>2022</v>
      </c>
      <c r="B837" s="826" t="s">
        <v>1417</v>
      </c>
      <c r="C837" s="820" t="s">
        <v>2016</v>
      </c>
      <c r="D837" s="1031">
        <v>-433360.87</v>
      </c>
      <c r="E837" s="821">
        <f t="shared" si="40"/>
        <v>-1638.1040886000001</v>
      </c>
      <c r="F837" s="828">
        <f t="shared" si="41"/>
        <v>-1815.7820452999999</v>
      </c>
      <c r="G837" t="s">
        <v>1418</v>
      </c>
      <c r="H837" s="667" t="str">
        <f t="shared" si="39"/>
        <v>Regelzone TenneT (gesamt)</v>
      </c>
      <c r="I837" s="662"/>
    </row>
    <row r="838" spans="1:9" hidden="1" outlineLevel="1">
      <c r="A838" s="831">
        <v>2022</v>
      </c>
      <c r="B838" s="826" t="s">
        <v>1431</v>
      </c>
      <c r="C838" s="820" t="s">
        <v>2016</v>
      </c>
      <c r="D838" s="1031">
        <v>-37031</v>
      </c>
      <c r="E838" s="821">
        <f t="shared" si="40"/>
        <v>-139.97718</v>
      </c>
      <c r="F838" s="828">
        <f t="shared" si="41"/>
        <v>-155.15989000000002</v>
      </c>
      <c r="G838" t="s">
        <v>1432</v>
      </c>
      <c r="H838" s="667" t="str">
        <f t="shared" si="39"/>
        <v>Regelzone TenneT (gesamt)</v>
      </c>
      <c r="I838" s="662"/>
    </row>
    <row r="839" spans="1:9" hidden="1" outlineLevel="1">
      <c r="A839" s="831">
        <v>2022</v>
      </c>
      <c r="B839" s="826" t="s">
        <v>577</v>
      </c>
      <c r="C839" s="820" t="s">
        <v>2016</v>
      </c>
      <c r="D839" s="1031">
        <v>-326657</v>
      </c>
      <c r="E839" s="821">
        <f t="shared" si="40"/>
        <v>-1234.7634599999999</v>
      </c>
      <c r="F839" s="828">
        <f t="shared" si="41"/>
        <v>-1368.69283</v>
      </c>
      <c r="G839" t="s">
        <v>578</v>
      </c>
      <c r="H839" s="667" t="str">
        <f t="shared" si="39"/>
        <v>Regelzone TenneT (gesamt)</v>
      </c>
      <c r="I839" s="662"/>
    </row>
    <row r="840" spans="1:9" hidden="1" outlineLevel="1">
      <c r="A840" s="831">
        <v>2022</v>
      </c>
      <c r="B840" s="826" t="s">
        <v>1435</v>
      </c>
      <c r="C840" s="820" t="s">
        <v>2016</v>
      </c>
      <c r="D840" s="1031">
        <v>-17842</v>
      </c>
      <c r="E840" s="821">
        <f t="shared" si="40"/>
        <v>-67.442759999999993</v>
      </c>
      <c r="F840" s="828">
        <f t="shared" si="41"/>
        <v>-74.757980000000003</v>
      </c>
      <c r="G840" t="s">
        <v>2037</v>
      </c>
      <c r="H840" s="667" t="str">
        <f t="shared" si="39"/>
        <v>Regelzone TenneT (gesamt)</v>
      </c>
      <c r="I840" s="662"/>
    </row>
    <row r="841" spans="1:9" hidden="1" outlineLevel="1">
      <c r="A841" s="831">
        <v>2022</v>
      </c>
      <c r="B841" s="826" t="s">
        <v>469</v>
      </c>
      <c r="C841" s="820" t="s">
        <v>2016</v>
      </c>
      <c r="D841" s="1031">
        <v>-253686</v>
      </c>
      <c r="E841" s="821">
        <f t="shared" si="40"/>
        <v>-958.93308000000002</v>
      </c>
      <c r="F841" s="828">
        <f t="shared" si="41"/>
        <v>-1062.94434</v>
      </c>
      <c r="G841" t="s">
        <v>1437</v>
      </c>
      <c r="H841" s="667" t="str">
        <f t="shared" si="39"/>
        <v>Regelzone TenneT (gesamt)</v>
      </c>
      <c r="I841" s="662"/>
    </row>
    <row r="842" spans="1:9" hidden="1" outlineLevel="1">
      <c r="A842" s="831">
        <v>2022</v>
      </c>
      <c r="B842" s="826" t="s">
        <v>1438</v>
      </c>
      <c r="C842" s="820" t="s">
        <v>2016</v>
      </c>
      <c r="D842" s="1031">
        <v>-135104</v>
      </c>
      <c r="E842" s="821">
        <f t="shared" si="40"/>
        <v>-510.69311999999996</v>
      </c>
      <c r="F842" s="828">
        <f t="shared" si="41"/>
        <v>-566.08576000000005</v>
      </c>
      <c r="G842" t="s">
        <v>1439</v>
      </c>
      <c r="H842" s="667" t="str">
        <f t="shared" ref="H842:H905" si="42">+H841</f>
        <v>Regelzone TenneT (gesamt)</v>
      </c>
      <c r="I842" s="662"/>
    </row>
    <row r="843" spans="1:9" hidden="1" outlineLevel="1">
      <c r="A843" s="831">
        <v>2022</v>
      </c>
      <c r="B843" s="826" t="s">
        <v>1444</v>
      </c>
      <c r="C843" s="820" t="s">
        <v>2016</v>
      </c>
      <c r="D843" s="1031">
        <v>-9562</v>
      </c>
      <c r="E843" s="821">
        <f t="shared" si="40"/>
        <v>-36.144359999999999</v>
      </c>
      <c r="F843" s="828">
        <f t="shared" si="41"/>
        <v>-40.064779999999999</v>
      </c>
      <c r="G843" t="s">
        <v>1445</v>
      </c>
      <c r="H843" s="667" t="str">
        <f t="shared" si="42"/>
        <v>Regelzone TenneT (gesamt)</v>
      </c>
      <c r="I843" s="662"/>
    </row>
    <row r="844" spans="1:9" hidden="1" outlineLevel="1">
      <c r="A844" s="831">
        <v>2022</v>
      </c>
      <c r="B844" s="826" t="s">
        <v>1446</v>
      </c>
      <c r="C844" s="820" t="s">
        <v>2016</v>
      </c>
      <c r="D844" s="1031">
        <v>289377</v>
      </c>
      <c r="E844" s="821">
        <f t="shared" si="40"/>
        <v>1093.8450599999999</v>
      </c>
      <c r="F844" s="828">
        <f t="shared" si="41"/>
        <v>1212.48963</v>
      </c>
      <c r="G844" t="s">
        <v>1447</v>
      </c>
      <c r="H844" s="667" t="str">
        <f t="shared" si="42"/>
        <v>Regelzone TenneT (gesamt)</v>
      </c>
      <c r="I844" s="662"/>
    </row>
    <row r="845" spans="1:9" hidden="1" outlineLevel="1">
      <c r="A845" s="831">
        <v>2022</v>
      </c>
      <c r="B845" s="826" t="s">
        <v>1480</v>
      </c>
      <c r="C845" s="820" t="s">
        <v>2016</v>
      </c>
      <c r="D845" s="1031">
        <v>1801</v>
      </c>
      <c r="E845" s="821">
        <f t="shared" si="40"/>
        <v>6.8077800000000002</v>
      </c>
      <c r="F845" s="828">
        <f t="shared" si="41"/>
        <v>7.5461900000000002</v>
      </c>
      <c r="G845" t="s">
        <v>1481</v>
      </c>
      <c r="H845" s="667" t="str">
        <f t="shared" si="42"/>
        <v>Regelzone TenneT (gesamt)</v>
      </c>
      <c r="I845" s="662"/>
    </row>
    <row r="846" spans="1:9" hidden="1" outlineLevel="1">
      <c r="A846" s="831">
        <v>2022</v>
      </c>
      <c r="B846" s="826" t="s">
        <v>1456</v>
      </c>
      <c r="C846" s="820" t="s">
        <v>2016</v>
      </c>
      <c r="D846" s="1031">
        <v>-1025817</v>
      </c>
      <c r="E846" s="821">
        <f t="shared" si="40"/>
        <v>-3877.58826</v>
      </c>
      <c r="F846" s="828">
        <f t="shared" si="41"/>
        <v>-4298.1732300000003</v>
      </c>
      <c r="G846" t="s">
        <v>1457</v>
      </c>
      <c r="H846" s="667" t="str">
        <f t="shared" si="42"/>
        <v>Regelzone TenneT (gesamt)</v>
      </c>
      <c r="I846" s="662"/>
    </row>
    <row r="847" spans="1:9" hidden="1" outlineLevel="1">
      <c r="A847" s="831">
        <v>2022</v>
      </c>
      <c r="B847" s="826" t="s">
        <v>1458</v>
      </c>
      <c r="C847" s="820" t="s">
        <v>2016</v>
      </c>
      <c r="D847" s="1031">
        <v>-33994</v>
      </c>
      <c r="E847" s="821">
        <f t="shared" si="40"/>
        <v>-128.49732</v>
      </c>
      <c r="F847" s="828">
        <f t="shared" si="41"/>
        <v>-142.43486000000001</v>
      </c>
      <c r="G847" t="s">
        <v>1459</v>
      </c>
      <c r="H847" s="667" t="str">
        <f t="shared" si="42"/>
        <v>Regelzone TenneT (gesamt)</v>
      </c>
      <c r="I847" s="662"/>
    </row>
    <row r="848" spans="1:9" hidden="1" outlineLevel="1">
      <c r="A848" s="831">
        <v>2022</v>
      </c>
      <c r="B848" s="826" t="s">
        <v>172</v>
      </c>
      <c r="C848" s="820" t="s">
        <v>2016</v>
      </c>
      <c r="D848" s="1031">
        <v>5278</v>
      </c>
      <c r="E848" s="821">
        <f t="shared" si="40"/>
        <v>19.950839999999999</v>
      </c>
      <c r="F848" s="828">
        <f t="shared" si="41"/>
        <v>22.114820000000002</v>
      </c>
      <c r="G848" t="s">
        <v>173</v>
      </c>
      <c r="H848" s="667" t="str">
        <f t="shared" si="42"/>
        <v>Regelzone TenneT (gesamt)</v>
      </c>
      <c r="I848" s="662"/>
    </row>
    <row r="849" spans="1:9" hidden="1" outlineLevel="1">
      <c r="A849" s="831">
        <v>2022</v>
      </c>
      <c r="B849" s="826" t="s">
        <v>1945</v>
      </c>
      <c r="C849" s="820" t="s">
        <v>2016</v>
      </c>
      <c r="D849" s="1031">
        <v>-102635.6</v>
      </c>
      <c r="E849" s="821">
        <f t="shared" si="40"/>
        <v>-387.96256800000003</v>
      </c>
      <c r="F849" s="828">
        <f t="shared" si="41"/>
        <v>-430.04316400000005</v>
      </c>
      <c r="G849" t="s">
        <v>1946</v>
      </c>
      <c r="H849" s="667" t="str">
        <f t="shared" si="42"/>
        <v>Regelzone TenneT (gesamt)</v>
      </c>
      <c r="I849" s="662"/>
    </row>
    <row r="850" spans="1:9" hidden="1" outlineLevel="1">
      <c r="A850" s="831">
        <v>2022</v>
      </c>
      <c r="B850" s="826" t="s">
        <v>1460</v>
      </c>
      <c r="C850" s="820" t="s">
        <v>2016</v>
      </c>
      <c r="D850" s="1031">
        <v>1488</v>
      </c>
      <c r="E850" s="821">
        <f t="shared" si="40"/>
        <v>5.6246400000000003</v>
      </c>
      <c r="F850" s="828">
        <f t="shared" si="41"/>
        <v>6.2347200000000003</v>
      </c>
      <c r="G850" t="s">
        <v>1461</v>
      </c>
      <c r="H850" s="667" t="str">
        <f t="shared" si="42"/>
        <v>Regelzone TenneT (gesamt)</v>
      </c>
      <c r="I850" s="662"/>
    </row>
    <row r="851" spans="1:9" hidden="1" outlineLevel="1">
      <c r="A851" s="831">
        <v>2022</v>
      </c>
      <c r="B851" s="826" t="s">
        <v>1462</v>
      </c>
      <c r="C851" s="820" t="s">
        <v>2016</v>
      </c>
      <c r="D851" s="1031">
        <v>-502035</v>
      </c>
      <c r="E851" s="821">
        <f t="shared" si="40"/>
        <v>-1897.6922999999999</v>
      </c>
      <c r="F851" s="828">
        <f t="shared" si="41"/>
        <v>-2103.5266500000002</v>
      </c>
      <c r="G851" t="s">
        <v>1463</v>
      </c>
      <c r="H851" s="667" t="str">
        <f t="shared" si="42"/>
        <v>Regelzone TenneT (gesamt)</v>
      </c>
      <c r="I851" s="662"/>
    </row>
    <row r="852" spans="1:9" hidden="1" outlineLevel="1">
      <c r="A852" s="831">
        <v>2022</v>
      </c>
      <c r="B852" s="826" t="s">
        <v>1466</v>
      </c>
      <c r="C852" s="820" t="s">
        <v>2016</v>
      </c>
      <c r="D852" s="1031">
        <v>-356236.42</v>
      </c>
      <c r="E852" s="821">
        <f t="shared" si="40"/>
        <v>-1346.5736675999999</v>
      </c>
      <c r="F852" s="828">
        <f t="shared" si="41"/>
        <v>-1492.6305998</v>
      </c>
      <c r="G852" t="s">
        <v>1467</v>
      </c>
      <c r="H852" s="667" t="str">
        <f t="shared" si="42"/>
        <v>Regelzone TenneT (gesamt)</v>
      </c>
      <c r="I852" s="662"/>
    </row>
    <row r="853" spans="1:9" hidden="1" outlineLevel="1">
      <c r="A853" s="831">
        <v>2022</v>
      </c>
      <c r="B853" s="826" t="s">
        <v>1468</v>
      </c>
      <c r="C853" s="820" t="s">
        <v>2016</v>
      </c>
      <c r="D853" s="1031">
        <v>39119.040000000001</v>
      </c>
      <c r="E853" s="821">
        <f t="shared" si="40"/>
        <v>147.86997120000001</v>
      </c>
      <c r="F853" s="828">
        <f t="shared" si="41"/>
        <v>163.90877760000001</v>
      </c>
      <c r="G853" t="s">
        <v>1469</v>
      </c>
      <c r="H853" s="667" t="str">
        <f t="shared" si="42"/>
        <v>Regelzone TenneT (gesamt)</v>
      </c>
      <c r="I853" s="662"/>
    </row>
    <row r="854" spans="1:9" hidden="1" outlineLevel="1">
      <c r="A854" s="831">
        <v>2022</v>
      </c>
      <c r="B854" s="826" t="s">
        <v>1472</v>
      </c>
      <c r="C854" s="820" t="s">
        <v>2016</v>
      </c>
      <c r="D854" s="1031">
        <v>51394</v>
      </c>
      <c r="E854" s="821">
        <f t="shared" si="40"/>
        <v>194.26931999999999</v>
      </c>
      <c r="F854" s="828">
        <f t="shared" si="41"/>
        <v>215.34086000000002</v>
      </c>
      <c r="G854" t="s">
        <v>1473</v>
      </c>
      <c r="H854" s="667" t="str">
        <f t="shared" si="42"/>
        <v>Regelzone TenneT (gesamt)</v>
      </c>
      <c r="I854" s="662"/>
    </row>
    <row r="855" spans="1:9" hidden="1" outlineLevel="1">
      <c r="A855" s="831">
        <v>2022</v>
      </c>
      <c r="B855" s="826" t="s">
        <v>1897</v>
      </c>
      <c r="C855" s="820" t="s">
        <v>2016</v>
      </c>
      <c r="D855" s="1031">
        <v>22941</v>
      </c>
      <c r="E855" s="821">
        <f t="shared" si="40"/>
        <v>86.716979999999992</v>
      </c>
      <c r="F855" s="828">
        <f t="shared" si="41"/>
        <v>96.122790000000009</v>
      </c>
      <c r="G855" t="s">
        <v>1898</v>
      </c>
      <c r="H855" s="667" t="str">
        <f t="shared" si="42"/>
        <v>Regelzone TenneT (gesamt)</v>
      </c>
      <c r="I855" s="662"/>
    </row>
    <row r="856" spans="1:9" hidden="1" outlineLevel="1">
      <c r="A856" s="831">
        <v>2022</v>
      </c>
      <c r="B856" s="826" t="s">
        <v>577</v>
      </c>
      <c r="C856" s="820" t="s">
        <v>2017</v>
      </c>
      <c r="D856" s="821">
        <v>-285981</v>
      </c>
      <c r="E856" s="829">
        <v>-114</v>
      </c>
      <c r="F856" s="828">
        <v>-114</v>
      </c>
      <c r="G856" t="s">
        <v>578</v>
      </c>
      <c r="H856" s="667" t="str">
        <f>+H855</f>
        <v>Regelzone TenneT (gesamt)</v>
      </c>
      <c r="I856" s="662"/>
    </row>
    <row r="857" spans="1:9" hidden="1" outlineLevel="1">
      <c r="A857" s="831">
        <v>2022</v>
      </c>
      <c r="B857" s="826" t="s">
        <v>577</v>
      </c>
      <c r="C857" s="820" t="s">
        <v>2022</v>
      </c>
      <c r="D857" s="821">
        <v>1008521</v>
      </c>
      <c r="E857" s="829">
        <v>303</v>
      </c>
      <c r="F857" s="828">
        <v>303</v>
      </c>
      <c r="G857" t="s">
        <v>578</v>
      </c>
      <c r="H857" s="667" t="str">
        <f t="shared" si="42"/>
        <v>Regelzone TenneT (gesamt)</v>
      </c>
      <c r="I857" s="662"/>
    </row>
    <row r="858" spans="1:9" ht="13.5" hidden="1" outlineLevel="1" thickBot="1">
      <c r="A858" s="832">
        <v>2022</v>
      </c>
      <c r="B858" s="822" t="s">
        <v>1282</v>
      </c>
      <c r="C858" s="827" t="s">
        <v>2022</v>
      </c>
      <c r="D858" s="825">
        <v>36624</v>
      </c>
      <c r="E858" s="824">
        <v>11</v>
      </c>
      <c r="F858" s="1038">
        <v>11</v>
      </c>
      <c r="G858" t="s">
        <v>2036</v>
      </c>
      <c r="H858" s="667" t="str">
        <f t="shared" si="42"/>
        <v>Regelzone TenneT (gesamt)</v>
      </c>
      <c r="I858" s="662"/>
    </row>
    <row r="859" spans="1:9" hidden="1" outlineLevel="1">
      <c r="A859" s="1028">
        <v>2023</v>
      </c>
      <c r="B859" s="1029" t="s">
        <v>858</v>
      </c>
      <c r="C859" s="1030" t="s">
        <v>2016</v>
      </c>
      <c r="D859" s="1031">
        <v>-175919</v>
      </c>
      <c r="E859" s="1031">
        <f>+D859*0.00357</f>
        <v>-628.03082999999992</v>
      </c>
      <c r="F859" s="1032">
        <f>+D859*0.00591</f>
        <v>-1039.68129</v>
      </c>
      <c r="G859" s="8" t="s">
        <v>859</v>
      </c>
      <c r="H859" s="667" t="str">
        <f t="shared" si="42"/>
        <v>Regelzone TenneT (gesamt)</v>
      </c>
      <c r="I859" s="662"/>
    </row>
    <row r="860" spans="1:9" hidden="1" outlineLevel="1">
      <c r="A860" s="1028">
        <v>2023</v>
      </c>
      <c r="B860" s="1033" t="s">
        <v>862</v>
      </c>
      <c r="C860" s="1030" t="s">
        <v>2016</v>
      </c>
      <c r="D860" s="1031">
        <v>-34726</v>
      </c>
      <c r="E860" s="1031">
        <f t="shared" ref="E860:E923" si="43">+D860*0.00357</f>
        <v>-123.97181999999999</v>
      </c>
      <c r="F860" s="1032">
        <f t="shared" ref="F860:F923" si="44">+D860*0.00591</f>
        <v>-205.23066</v>
      </c>
      <c r="G860" s="8" t="s">
        <v>863</v>
      </c>
      <c r="H860" s="667" t="str">
        <f t="shared" si="42"/>
        <v>Regelzone TenneT (gesamt)</v>
      </c>
      <c r="I860" s="662"/>
    </row>
    <row r="861" spans="1:9" hidden="1" outlineLevel="1">
      <c r="A861" s="1028">
        <v>2023</v>
      </c>
      <c r="B861" s="1033" t="s">
        <v>864</v>
      </c>
      <c r="C861" s="1030" t="s">
        <v>2016</v>
      </c>
      <c r="D861" s="1031">
        <v>4603845</v>
      </c>
      <c r="E861" s="1031">
        <f t="shared" si="43"/>
        <v>16435.726650000001</v>
      </c>
      <c r="F861" s="1032">
        <f t="shared" si="44"/>
        <v>27208.723950000003</v>
      </c>
      <c r="G861" s="8" t="s">
        <v>865</v>
      </c>
      <c r="H861" s="667" t="str">
        <f t="shared" si="42"/>
        <v>Regelzone TenneT (gesamt)</v>
      </c>
      <c r="I861" s="662"/>
    </row>
    <row r="862" spans="1:9" hidden="1" outlineLevel="1">
      <c r="A862" s="1028">
        <v>2023</v>
      </c>
      <c r="B862" s="1033" t="s">
        <v>876</v>
      </c>
      <c r="C862" s="1030" t="s">
        <v>2016</v>
      </c>
      <c r="D862" s="1031">
        <v>-26829</v>
      </c>
      <c r="E862" s="1031">
        <f t="shared" si="43"/>
        <v>-95.779529999999994</v>
      </c>
      <c r="F862" s="1032">
        <f t="shared" si="44"/>
        <v>-158.55939000000001</v>
      </c>
      <c r="G862" s="8" t="s">
        <v>877</v>
      </c>
      <c r="H862" s="667" t="str">
        <f t="shared" si="42"/>
        <v>Regelzone TenneT (gesamt)</v>
      </c>
      <c r="I862" s="662"/>
    </row>
    <row r="863" spans="1:9" hidden="1" outlineLevel="1">
      <c r="A863" s="1028">
        <v>2023</v>
      </c>
      <c r="B863" s="1033" t="s">
        <v>322</v>
      </c>
      <c r="C863" s="1030" t="s">
        <v>2016</v>
      </c>
      <c r="D863" s="1031">
        <v>-46712</v>
      </c>
      <c r="E863" s="1031">
        <f t="shared" si="43"/>
        <v>-166.76183999999998</v>
      </c>
      <c r="F863" s="1032">
        <f t="shared" si="44"/>
        <v>-276.06792000000002</v>
      </c>
      <c r="G863" s="8" t="s">
        <v>2033</v>
      </c>
      <c r="H863" s="667" t="str">
        <f t="shared" si="42"/>
        <v>Regelzone TenneT (gesamt)</v>
      </c>
      <c r="I863" s="662"/>
    </row>
    <row r="864" spans="1:9" hidden="1" outlineLevel="1">
      <c r="A864" s="1028">
        <v>2023</v>
      </c>
      <c r="B864" s="1033" t="s">
        <v>880</v>
      </c>
      <c r="C864" s="1030" t="s">
        <v>2016</v>
      </c>
      <c r="D864" s="1031">
        <v>-15263</v>
      </c>
      <c r="E864" s="1031">
        <f t="shared" si="43"/>
        <v>-54.488909999999997</v>
      </c>
      <c r="F864" s="1032">
        <f t="shared" si="44"/>
        <v>-90.204329999999999</v>
      </c>
      <c r="G864" s="8" t="s">
        <v>881</v>
      </c>
      <c r="H864" s="667" t="str">
        <f t="shared" si="42"/>
        <v>Regelzone TenneT (gesamt)</v>
      </c>
      <c r="I864" s="662"/>
    </row>
    <row r="865" spans="1:9" hidden="1" outlineLevel="1">
      <c r="A865" s="1028">
        <v>2023</v>
      </c>
      <c r="B865" s="1033" t="s">
        <v>882</v>
      </c>
      <c r="C865" s="1030" t="s">
        <v>2016</v>
      </c>
      <c r="D865" s="1031">
        <v>-28227.5</v>
      </c>
      <c r="E865" s="1031">
        <f t="shared" si="43"/>
        <v>-100.77217499999999</v>
      </c>
      <c r="F865" s="1032">
        <f t="shared" si="44"/>
        <v>-166.82452500000002</v>
      </c>
      <c r="G865" s="8" t="s">
        <v>883</v>
      </c>
      <c r="H865" s="667" t="str">
        <f t="shared" si="42"/>
        <v>Regelzone TenneT (gesamt)</v>
      </c>
      <c r="I865" s="662"/>
    </row>
    <row r="866" spans="1:9" hidden="1" outlineLevel="1">
      <c r="A866" s="1028">
        <v>2023</v>
      </c>
      <c r="B866" s="1033" t="s">
        <v>884</v>
      </c>
      <c r="C866" s="1030" t="s">
        <v>2016</v>
      </c>
      <c r="D866" s="1031">
        <v>437562</v>
      </c>
      <c r="E866" s="1031">
        <f t="shared" si="43"/>
        <v>1562.0963399999998</v>
      </c>
      <c r="F866" s="1032">
        <f t="shared" si="44"/>
        <v>2585.9914200000003</v>
      </c>
      <c r="G866" s="8" t="s">
        <v>885</v>
      </c>
      <c r="H866" s="667" t="str">
        <f t="shared" si="42"/>
        <v>Regelzone TenneT (gesamt)</v>
      </c>
      <c r="I866" s="662"/>
    </row>
    <row r="867" spans="1:9" hidden="1" outlineLevel="1">
      <c r="A867" s="1028">
        <v>2023</v>
      </c>
      <c r="B867" s="1033" t="s">
        <v>890</v>
      </c>
      <c r="C867" s="1030" t="s">
        <v>2016</v>
      </c>
      <c r="D867" s="1031">
        <v>-27262</v>
      </c>
      <c r="E867" s="1031">
        <f t="shared" si="43"/>
        <v>-97.325339999999997</v>
      </c>
      <c r="F867" s="1032">
        <f t="shared" si="44"/>
        <v>-161.11842000000001</v>
      </c>
      <c r="G867" s="8" t="s">
        <v>891</v>
      </c>
      <c r="H867" s="667" t="str">
        <f t="shared" si="42"/>
        <v>Regelzone TenneT (gesamt)</v>
      </c>
      <c r="I867" s="662"/>
    </row>
    <row r="868" spans="1:9" hidden="1" outlineLevel="1">
      <c r="A868" s="1028">
        <v>2023</v>
      </c>
      <c r="B868" s="1033" t="s">
        <v>892</v>
      </c>
      <c r="C868" s="1030" t="s">
        <v>2016</v>
      </c>
      <c r="D868" s="1031">
        <v>378951</v>
      </c>
      <c r="E868" s="1031">
        <f t="shared" si="43"/>
        <v>1352.8550699999998</v>
      </c>
      <c r="F868" s="1032">
        <f t="shared" si="44"/>
        <v>2239.60041</v>
      </c>
      <c r="G868" s="8" t="s">
        <v>2038</v>
      </c>
      <c r="H868" s="667" t="str">
        <f t="shared" si="42"/>
        <v>Regelzone TenneT (gesamt)</v>
      </c>
      <c r="I868" s="662"/>
    </row>
    <row r="869" spans="1:9" hidden="1" outlineLevel="1">
      <c r="A869" s="1028">
        <v>2023</v>
      </c>
      <c r="B869" s="1033" t="s">
        <v>896</v>
      </c>
      <c r="C869" s="1030" t="s">
        <v>2016</v>
      </c>
      <c r="D869" s="1031">
        <v>11182472</v>
      </c>
      <c r="E869" s="1031">
        <f t="shared" si="43"/>
        <v>39921.425039999995</v>
      </c>
      <c r="F869" s="1032">
        <f t="shared" si="44"/>
        <v>66088.409520000001</v>
      </c>
      <c r="G869" s="8" t="s">
        <v>897</v>
      </c>
      <c r="H869" s="667" t="str">
        <f t="shared" si="42"/>
        <v>Regelzone TenneT (gesamt)</v>
      </c>
      <c r="I869" s="662"/>
    </row>
    <row r="870" spans="1:9" hidden="1" outlineLevel="1">
      <c r="A870" s="1028">
        <v>2023</v>
      </c>
      <c r="B870" s="1033" t="s">
        <v>1865</v>
      </c>
      <c r="C870" s="1030" t="s">
        <v>2016</v>
      </c>
      <c r="D870" s="1031">
        <v>131037</v>
      </c>
      <c r="E870" s="1031">
        <f t="shared" si="43"/>
        <v>467.80208999999996</v>
      </c>
      <c r="F870" s="1032">
        <f t="shared" si="44"/>
        <v>774.42867000000001</v>
      </c>
      <c r="G870" s="8" t="s">
        <v>1866</v>
      </c>
      <c r="H870" s="667" t="str">
        <f t="shared" si="42"/>
        <v>Regelzone TenneT (gesamt)</v>
      </c>
      <c r="I870" s="662"/>
    </row>
    <row r="871" spans="1:9" hidden="1" outlineLevel="1">
      <c r="A871" s="1028">
        <v>2023</v>
      </c>
      <c r="B871" s="1033" t="s">
        <v>898</v>
      </c>
      <c r="C871" s="1030" t="s">
        <v>2016</v>
      </c>
      <c r="D871" s="1031">
        <v>5910118</v>
      </c>
      <c r="E871" s="1031">
        <f t="shared" si="43"/>
        <v>21099.12126</v>
      </c>
      <c r="F871" s="1032">
        <f t="shared" si="44"/>
        <v>34928.797380000004</v>
      </c>
      <c r="G871" s="8" t="s">
        <v>899</v>
      </c>
      <c r="H871" s="667" t="str">
        <f t="shared" si="42"/>
        <v>Regelzone TenneT (gesamt)</v>
      </c>
      <c r="I871" s="662"/>
    </row>
    <row r="872" spans="1:9" hidden="1" outlineLevel="1">
      <c r="A872" s="1028">
        <v>2023</v>
      </c>
      <c r="B872" s="1033" t="s">
        <v>902</v>
      </c>
      <c r="C872" s="1030" t="s">
        <v>2016</v>
      </c>
      <c r="D872" s="1031">
        <v>-513572</v>
      </c>
      <c r="E872" s="1031">
        <f t="shared" si="43"/>
        <v>-1833.4520399999999</v>
      </c>
      <c r="F872" s="1032">
        <f t="shared" si="44"/>
        <v>-3035.2105200000001</v>
      </c>
      <c r="G872" s="8" t="s">
        <v>903</v>
      </c>
      <c r="H872" s="667" t="str">
        <f t="shared" si="42"/>
        <v>Regelzone TenneT (gesamt)</v>
      </c>
      <c r="I872" s="662"/>
    </row>
    <row r="873" spans="1:9" hidden="1" outlineLevel="1">
      <c r="A873" s="1028">
        <v>2023</v>
      </c>
      <c r="B873" s="1033" t="s">
        <v>904</v>
      </c>
      <c r="C873" s="1030" t="s">
        <v>2016</v>
      </c>
      <c r="D873" s="1031">
        <v>158083</v>
      </c>
      <c r="E873" s="1031">
        <f t="shared" si="43"/>
        <v>564.35631000000001</v>
      </c>
      <c r="F873" s="1032">
        <f t="shared" si="44"/>
        <v>934.27053000000001</v>
      </c>
      <c r="G873" s="8" t="s">
        <v>905</v>
      </c>
      <c r="H873" s="667" t="str">
        <f t="shared" si="42"/>
        <v>Regelzone TenneT (gesamt)</v>
      </c>
      <c r="I873" s="662"/>
    </row>
    <row r="874" spans="1:9" hidden="1" outlineLevel="1">
      <c r="A874" s="1028">
        <v>2023</v>
      </c>
      <c r="B874" s="1033" t="s">
        <v>910</v>
      </c>
      <c r="C874" s="1030" t="s">
        <v>2016</v>
      </c>
      <c r="D874" s="1031">
        <v>-5017217</v>
      </c>
      <c r="E874" s="1031">
        <f t="shared" si="43"/>
        <v>-17911.464690000001</v>
      </c>
      <c r="F874" s="1032">
        <f t="shared" si="44"/>
        <v>-29651.752470000003</v>
      </c>
      <c r="G874" s="8" t="s">
        <v>911</v>
      </c>
      <c r="H874" s="667" t="str">
        <f t="shared" si="42"/>
        <v>Regelzone TenneT (gesamt)</v>
      </c>
      <c r="I874" s="662"/>
    </row>
    <row r="875" spans="1:9" hidden="1" outlineLevel="1">
      <c r="A875" s="1028">
        <v>2023</v>
      </c>
      <c r="B875" s="1033" t="s">
        <v>914</v>
      </c>
      <c r="C875" s="1030" t="s">
        <v>2016</v>
      </c>
      <c r="D875" s="1031">
        <v>114069</v>
      </c>
      <c r="E875" s="1031">
        <f t="shared" si="43"/>
        <v>407.22632999999996</v>
      </c>
      <c r="F875" s="1032">
        <f t="shared" si="44"/>
        <v>674.14778999999999</v>
      </c>
      <c r="G875" s="8" t="s">
        <v>915</v>
      </c>
      <c r="H875" s="667" t="str">
        <f t="shared" si="42"/>
        <v>Regelzone TenneT (gesamt)</v>
      </c>
      <c r="I875" s="662"/>
    </row>
    <row r="876" spans="1:9" hidden="1" outlineLevel="1">
      <c r="A876" s="1028">
        <v>2023</v>
      </c>
      <c r="B876" s="1033" t="s">
        <v>926</v>
      </c>
      <c r="C876" s="1030" t="s">
        <v>2016</v>
      </c>
      <c r="D876" s="1031">
        <v>63843</v>
      </c>
      <c r="E876" s="1031">
        <f t="shared" si="43"/>
        <v>227.91951</v>
      </c>
      <c r="F876" s="1032">
        <f t="shared" si="44"/>
        <v>377.31213000000002</v>
      </c>
      <c r="G876" s="8" t="s">
        <v>927</v>
      </c>
      <c r="H876" s="667" t="str">
        <f t="shared" si="42"/>
        <v>Regelzone TenneT (gesamt)</v>
      </c>
      <c r="I876" s="662"/>
    </row>
    <row r="877" spans="1:9" hidden="1" outlineLevel="1">
      <c r="A877" s="1028">
        <v>2023</v>
      </c>
      <c r="B877" s="1033" t="s">
        <v>932</v>
      </c>
      <c r="C877" s="1030" t="s">
        <v>2016</v>
      </c>
      <c r="D877" s="1031">
        <v>-203942</v>
      </c>
      <c r="E877" s="1031">
        <f t="shared" si="43"/>
        <v>-728.07294000000002</v>
      </c>
      <c r="F877" s="1032">
        <f t="shared" si="44"/>
        <v>-1205.2972200000002</v>
      </c>
      <c r="G877" s="8" t="s">
        <v>933</v>
      </c>
      <c r="H877" s="667" t="str">
        <f t="shared" si="42"/>
        <v>Regelzone TenneT (gesamt)</v>
      </c>
      <c r="I877" s="662"/>
    </row>
    <row r="878" spans="1:9" hidden="1" outlineLevel="1">
      <c r="A878" s="1028">
        <v>2023</v>
      </c>
      <c r="B878" s="1033" t="s">
        <v>934</v>
      </c>
      <c r="C878" s="1030" t="s">
        <v>2016</v>
      </c>
      <c r="D878" s="1031">
        <v>0</v>
      </c>
      <c r="E878" s="1031">
        <f t="shared" si="43"/>
        <v>0</v>
      </c>
      <c r="F878" s="1032">
        <f t="shared" si="44"/>
        <v>0</v>
      </c>
      <c r="G878" s="8" t="s">
        <v>935</v>
      </c>
      <c r="H878" s="667" t="str">
        <f t="shared" si="42"/>
        <v>Regelzone TenneT (gesamt)</v>
      </c>
      <c r="I878" s="662"/>
    </row>
    <row r="879" spans="1:9" hidden="1" outlineLevel="1">
      <c r="A879" s="1028">
        <v>2023</v>
      </c>
      <c r="B879" s="1033" t="s">
        <v>938</v>
      </c>
      <c r="C879" s="1030" t="s">
        <v>2016</v>
      </c>
      <c r="D879" s="1031">
        <v>-4900</v>
      </c>
      <c r="E879" s="1031">
        <f t="shared" si="43"/>
        <v>-17.492999999999999</v>
      </c>
      <c r="F879" s="1032">
        <f t="shared" si="44"/>
        <v>-28.959000000000003</v>
      </c>
      <c r="G879" s="8" t="s">
        <v>939</v>
      </c>
      <c r="H879" s="667" t="str">
        <f t="shared" si="42"/>
        <v>Regelzone TenneT (gesamt)</v>
      </c>
      <c r="I879" s="662"/>
    </row>
    <row r="880" spans="1:9" hidden="1" outlineLevel="1">
      <c r="A880" s="1028">
        <v>2023</v>
      </c>
      <c r="B880" s="1033" t="s">
        <v>944</v>
      </c>
      <c r="C880" s="1030" t="s">
        <v>2016</v>
      </c>
      <c r="D880" s="1031">
        <v>131803</v>
      </c>
      <c r="E880" s="1031">
        <f t="shared" si="43"/>
        <v>470.53670999999997</v>
      </c>
      <c r="F880" s="1032">
        <f t="shared" si="44"/>
        <v>778.95573000000002</v>
      </c>
      <c r="G880" s="8" t="s">
        <v>945</v>
      </c>
      <c r="H880" s="667" t="str">
        <f t="shared" si="42"/>
        <v>Regelzone TenneT (gesamt)</v>
      </c>
      <c r="I880" s="662"/>
    </row>
    <row r="881" spans="1:9" hidden="1" outlineLevel="1">
      <c r="A881" s="1028">
        <v>2023</v>
      </c>
      <c r="B881" s="1033" t="s">
        <v>958</v>
      </c>
      <c r="C881" s="1030" t="s">
        <v>2016</v>
      </c>
      <c r="D881" s="1031">
        <v>-181992</v>
      </c>
      <c r="E881" s="1031">
        <f t="shared" si="43"/>
        <v>-649.71143999999993</v>
      </c>
      <c r="F881" s="1032">
        <f t="shared" si="44"/>
        <v>-1075.5727200000001</v>
      </c>
      <c r="G881" s="8" t="s">
        <v>959</v>
      </c>
      <c r="H881" s="667" t="str">
        <f t="shared" si="42"/>
        <v>Regelzone TenneT (gesamt)</v>
      </c>
      <c r="I881" s="662"/>
    </row>
    <row r="882" spans="1:9" hidden="1" outlineLevel="1">
      <c r="A882" s="1028">
        <v>2023</v>
      </c>
      <c r="B882" s="1033" t="s">
        <v>962</v>
      </c>
      <c r="C882" s="1030" t="s">
        <v>2016</v>
      </c>
      <c r="D882" s="1031">
        <v>1005579</v>
      </c>
      <c r="E882" s="1031">
        <f t="shared" si="43"/>
        <v>3589.9170299999996</v>
      </c>
      <c r="F882" s="1032">
        <f t="shared" si="44"/>
        <v>5942.9718900000007</v>
      </c>
      <c r="G882" s="8" t="s">
        <v>963</v>
      </c>
      <c r="H882" s="667" t="str">
        <f t="shared" si="42"/>
        <v>Regelzone TenneT (gesamt)</v>
      </c>
      <c r="I882" s="662"/>
    </row>
    <row r="883" spans="1:9" hidden="1" outlineLevel="1">
      <c r="A883" s="1028">
        <v>2023</v>
      </c>
      <c r="B883" s="1033" t="s">
        <v>966</v>
      </c>
      <c r="C883" s="1030" t="s">
        <v>2016</v>
      </c>
      <c r="D883" s="1031">
        <v>-25833</v>
      </c>
      <c r="E883" s="1031">
        <f t="shared" si="43"/>
        <v>-92.22381</v>
      </c>
      <c r="F883" s="1032">
        <f t="shared" si="44"/>
        <v>-152.67303000000001</v>
      </c>
      <c r="G883" s="8" t="s">
        <v>967</v>
      </c>
      <c r="H883" s="667" t="str">
        <f t="shared" si="42"/>
        <v>Regelzone TenneT (gesamt)</v>
      </c>
      <c r="I883" s="662"/>
    </row>
    <row r="884" spans="1:9" hidden="1" outlineLevel="1">
      <c r="A884" s="1028">
        <v>2023</v>
      </c>
      <c r="B884" s="1033" t="s">
        <v>976</v>
      </c>
      <c r="C884" s="1030" t="s">
        <v>2016</v>
      </c>
      <c r="D884" s="1031">
        <v>-552583.6</v>
      </c>
      <c r="E884" s="1031">
        <f t="shared" si="43"/>
        <v>-1972.7234519999997</v>
      </c>
      <c r="F884" s="1032">
        <f t="shared" si="44"/>
        <v>-3265.769076</v>
      </c>
      <c r="G884" s="8" t="s">
        <v>977</v>
      </c>
      <c r="H884" s="667" t="str">
        <f t="shared" si="42"/>
        <v>Regelzone TenneT (gesamt)</v>
      </c>
      <c r="I884" s="662"/>
    </row>
    <row r="885" spans="1:9" hidden="1" outlineLevel="1">
      <c r="A885" s="1028">
        <v>2023</v>
      </c>
      <c r="B885" s="1033" t="s">
        <v>982</v>
      </c>
      <c r="C885" s="1030" t="s">
        <v>2016</v>
      </c>
      <c r="D885" s="1031">
        <v>-2631</v>
      </c>
      <c r="E885" s="1031">
        <f t="shared" si="43"/>
        <v>-9.392669999999999</v>
      </c>
      <c r="F885" s="1032">
        <f t="shared" si="44"/>
        <v>-15.54921</v>
      </c>
      <c r="G885" s="8" t="s">
        <v>983</v>
      </c>
      <c r="H885" s="667" t="str">
        <f t="shared" si="42"/>
        <v>Regelzone TenneT (gesamt)</v>
      </c>
      <c r="I885" s="662"/>
    </row>
    <row r="886" spans="1:9" hidden="1" outlineLevel="1">
      <c r="A886" s="1028">
        <v>2023</v>
      </c>
      <c r="B886" s="1033" t="s">
        <v>984</v>
      </c>
      <c r="C886" s="1030" t="s">
        <v>2016</v>
      </c>
      <c r="D886" s="1031">
        <v>-4625057</v>
      </c>
      <c r="E886" s="1031">
        <f t="shared" si="43"/>
        <v>-16511.45349</v>
      </c>
      <c r="F886" s="1032">
        <f t="shared" si="44"/>
        <v>-27334.086870000003</v>
      </c>
      <c r="G886" s="8" t="s">
        <v>985</v>
      </c>
      <c r="H886" s="667" t="str">
        <f t="shared" si="42"/>
        <v>Regelzone TenneT (gesamt)</v>
      </c>
      <c r="I886" s="662"/>
    </row>
    <row r="887" spans="1:9" hidden="1" outlineLevel="1">
      <c r="A887" s="1028">
        <v>2023</v>
      </c>
      <c r="B887" s="1033" t="s">
        <v>986</v>
      </c>
      <c r="C887" s="1030" t="s">
        <v>2016</v>
      </c>
      <c r="D887" s="1031">
        <v>-8834</v>
      </c>
      <c r="E887" s="1031">
        <f t="shared" si="43"/>
        <v>-31.537379999999999</v>
      </c>
      <c r="F887" s="1032">
        <f t="shared" si="44"/>
        <v>-52.208940000000005</v>
      </c>
      <c r="G887" s="8" t="s">
        <v>987</v>
      </c>
      <c r="H887" s="667" t="str">
        <f t="shared" si="42"/>
        <v>Regelzone TenneT (gesamt)</v>
      </c>
      <c r="I887" s="662"/>
    </row>
    <row r="888" spans="1:9" hidden="1" outlineLevel="1">
      <c r="A888" s="1028">
        <v>2023</v>
      </c>
      <c r="B888" s="1033" t="s">
        <v>998</v>
      </c>
      <c r="C888" s="1030" t="s">
        <v>2016</v>
      </c>
      <c r="D888" s="1031">
        <v>-33311</v>
      </c>
      <c r="E888" s="1031">
        <f t="shared" si="43"/>
        <v>-118.92026999999999</v>
      </c>
      <c r="F888" s="1032">
        <f t="shared" si="44"/>
        <v>-196.86801</v>
      </c>
      <c r="G888" s="8" t="s">
        <v>999</v>
      </c>
      <c r="H888" s="667" t="str">
        <f t="shared" si="42"/>
        <v>Regelzone TenneT (gesamt)</v>
      </c>
      <c r="I888" s="662"/>
    </row>
    <row r="889" spans="1:9" hidden="1" outlineLevel="1">
      <c r="A889" s="1028">
        <v>2023</v>
      </c>
      <c r="B889" s="1033" t="s">
        <v>1002</v>
      </c>
      <c r="C889" s="1030" t="s">
        <v>2016</v>
      </c>
      <c r="D889" s="1031">
        <v>449336</v>
      </c>
      <c r="E889" s="1031">
        <f t="shared" si="43"/>
        <v>1604.12952</v>
      </c>
      <c r="F889" s="1032">
        <f t="shared" si="44"/>
        <v>2655.5757600000002</v>
      </c>
      <c r="G889" s="8" t="s">
        <v>1003</v>
      </c>
      <c r="H889" s="667" t="str">
        <f t="shared" si="42"/>
        <v>Regelzone TenneT (gesamt)</v>
      </c>
      <c r="I889" s="662"/>
    </row>
    <row r="890" spans="1:9" hidden="1" outlineLevel="1">
      <c r="A890" s="1028">
        <v>2023</v>
      </c>
      <c r="B890" s="1033" t="s">
        <v>1006</v>
      </c>
      <c r="C890" s="1030" t="s">
        <v>2016</v>
      </c>
      <c r="D890" s="1031">
        <v>-3376</v>
      </c>
      <c r="E890" s="1031">
        <f t="shared" si="43"/>
        <v>-12.05232</v>
      </c>
      <c r="F890" s="1032">
        <f t="shared" si="44"/>
        <v>-19.952160000000003</v>
      </c>
      <c r="G890" s="8" t="s">
        <v>1007</v>
      </c>
      <c r="H890" s="667" t="str">
        <f t="shared" si="42"/>
        <v>Regelzone TenneT (gesamt)</v>
      </c>
      <c r="I890" s="662"/>
    </row>
    <row r="891" spans="1:9" hidden="1" outlineLevel="1">
      <c r="A891" s="1028">
        <v>2023</v>
      </c>
      <c r="B891" s="1033" t="s">
        <v>1008</v>
      </c>
      <c r="C891" s="1030" t="s">
        <v>2016</v>
      </c>
      <c r="D891" s="1031">
        <v>-19561</v>
      </c>
      <c r="E891" s="1031">
        <f t="shared" si="43"/>
        <v>-69.832769999999996</v>
      </c>
      <c r="F891" s="1032">
        <f t="shared" si="44"/>
        <v>-115.60551000000001</v>
      </c>
      <c r="G891" s="8" t="s">
        <v>1009</v>
      </c>
      <c r="H891" s="667" t="str">
        <f t="shared" si="42"/>
        <v>Regelzone TenneT (gesamt)</v>
      </c>
      <c r="I891" s="662"/>
    </row>
    <row r="892" spans="1:9" hidden="1" outlineLevel="1">
      <c r="A892" s="1028">
        <v>2023</v>
      </c>
      <c r="B892" s="1033" t="s">
        <v>1010</v>
      </c>
      <c r="C892" s="1030" t="s">
        <v>2016</v>
      </c>
      <c r="D892" s="1031">
        <v>-46735</v>
      </c>
      <c r="E892" s="1031">
        <f t="shared" si="43"/>
        <v>-166.84394999999998</v>
      </c>
      <c r="F892" s="1032">
        <f t="shared" si="44"/>
        <v>-276.20384999999999</v>
      </c>
      <c r="G892" s="8" t="s">
        <v>1011</v>
      </c>
      <c r="H892" s="667" t="str">
        <f t="shared" si="42"/>
        <v>Regelzone TenneT (gesamt)</v>
      </c>
      <c r="I892" s="662"/>
    </row>
    <row r="893" spans="1:9" hidden="1" outlineLevel="1">
      <c r="A893" s="1028">
        <v>2023</v>
      </c>
      <c r="B893" s="1033" t="s">
        <v>1014</v>
      </c>
      <c r="C893" s="1030" t="s">
        <v>2016</v>
      </c>
      <c r="D893" s="1031">
        <v>-313437</v>
      </c>
      <c r="E893" s="1031">
        <f t="shared" si="43"/>
        <v>-1118.97009</v>
      </c>
      <c r="F893" s="1032">
        <f t="shared" si="44"/>
        <v>-1852.4126700000002</v>
      </c>
      <c r="G893" s="8" t="s">
        <v>1015</v>
      </c>
      <c r="H893" s="667" t="str">
        <f t="shared" si="42"/>
        <v>Regelzone TenneT (gesamt)</v>
      </c>
      <c r="I893" s="662"/>
    </row>
    <row r="894" spans="1:9" hidden="1" outlineLevel="1">
      <c r="A894" s="1028">
        <v>2023</v>
      </c>
      <c r="B894" s="1033" t="s">
        <v>1022</v>
      </c>
      <c r="C894" s="1030" t="s">
        <v>2016</v>
      </c>
      <c r="D894" s="1031">
        <v>-2422831</v>
      </c>
      <c r="E894" s="1031">
        <f t="shared" si="43"/>
        <v>-8649.5066699999988</v>
      </c>
      <c r="F894" s="1032">
        <f t="shared" si="44"/>
        <v>-14318.931210000001</v>
      </c>
      <c r="G894" s="8" t="s">
        <v>1023</v>
      </c>
      <c r="H894" s="667" t="str">
        <f t="shared" si="42"/>
        <v>Regelzone TenneT (gesamt)</v>
      </c>
      <c r="I894" s="662"/>
    </row>
    <row r="895" spans="1:9" hidden="1" outlineLevel="1">
      <c r="A895" s="1028">
        <v>2023</v>
      </c>
      <c r="B895" s="1033" t="s">
        <v>1024</v>
      </c>
      <c r="C895" s="1030" t="s">
        <v>2016</v>
      </c>
      <c r="D895" s="1031">
        <v>-5190939.4170000004</v>
      </c>
      <c r="E895" s="1031">
        <f t="shared" si="43"/>
        <v>-18531.653718689999</v>
      </c>
      <c r="F895" s="1032">
        <f t="shared" si="44"/>
        <v>-30678.451954470005</v>
      </c>
      <c r="G895" s="8" t="s">
        <v>1025</v>
      </c>
      <c r="H895" s="667" t="str">
        <f t="shared" si="42"/>
        <v>Regelzone TenneT (gesamt)</v>
      </c>
      <c r="I895" s="662"/>
    </row>
    <row r="896" spans="1:9" hidden="1" outlineLevel="1">
      <c r="A896" s="1028">
        <v>2023</v>
      </c>
      <c r="B896" s="1033" t="s">
        <v>1046</v>
      </c>
      <c r="C896" s="1030" t="s">
        <v>2016</v>
      </c>
      <c r="D896" s="1031">
        <v>956433</v>
      </c>
      <c r="E896" s="1031">
        <f t="shared" si="43"/>
        <v>3414.4658099999997</v>
      </c>
      <c r="F896" s="1032">
        <f t="shared" si="44"/>
        <v>5652.5190300000004</v>
      </c>
      <c r="G896" s="8" t="s">
        <v>2034</v>
      </c>
      <c r="H896" s="667" t="str">
        <f t="shared" si="42"/>
        <v>Regelzone TenneT (gesamt)</v>
      </c>
      <c r="I896" s="662"/>
    </row>
    <row r="897" spans="1:9" hidden="1" outlineLevel="1">
      <c r="A897" s="1028">
        <v>2023</v>
      </c>
      <c r="B897" s="1033" t="s">
        <v>1054</v>
      </c>
      <c r="C897" s="1030" t="s">
        <v>2016</v>
      </c>
      <c r="D897" s="1031">
        <v>-1792921</v>
      </c>
      <c r="E897" s="1031">
        <f t="shared" si="43"/>
        <v>-6400.7279699999999</v>
      </c>
      <c r="F897" s="1032">
        <f t="shared" si="44"/>
        <v>-10596.163110000001</v>
      </c>
      <c r="G897" s="8" t="s">
        <v>1055</v>
      </c>
      <c r="H897" s="667" t="str">
        <f t="shared" si="42"/>
        <v>Regelzone TenneT (gesamt)</v>
      </c>
      <c r="I897" s="662"/>
    </row>
    <row r="898" spans="1:9" hidden="1" outlineLevel="1">
      <c r="A898" s="1028">
        <v>2023</v>
      </c>
      <c r="B898" s="1033" t="s">
        <v>1058</v>
      </c>
      <c r="C898" s="1030" t="s">
        <v>2016</v>
      </c>
      <c r="D898" s="1031">
        <v>-223037.2</v>
      </c>
      <c r="E898" s="1031">
        <f t="shared" si="43"/>
        <v>-796.24280399999998</v>
      </c>
      <c r="F898" s="1032">
        <f t="shared" si="44"/>
        <v>-1318.1498520000002</v>
      </c>
      <c r="G898" s="8" t="s">
        <v>1059</v>
      </c>
      <c r="H898" s="667" t="str">
        <f t="shared" si="42"/>
        <v>Regelzone TenneT (gesamt)</v>
      </c>
      <c r="I898" s="662"/>
    </row>
    <row r="899" spans="1:9" hidden="1" outlineLevel="1">
      <c r="A899" s="1028">
        <v>2023</v>
      </c>
      <c r="B899" s="1033" t="s">
        <v>1064</v>
      </c>
      <c r="C899" s="1030" t="s">
        <v>2016</v>
      </c>
      <c r="D899" s="1031">
        <v>1070656</v>
      </c>
      <c r="E899" s="1031">
        <f t="shared" si="43"/>
        <v>3822.2419199999999</v>
      </c>
      <c r="F899" s="1032">
        <f t="shared" si="44"/>
        <v>6327.5769600000003</v>
      </c>
      <c r="G899" s="8" t="s">
        <v>1065</v>
      </c>
      <c r="H899" s="667" t="str">
        <f t="shared" si="42"/>
        <v>Regelzone TenneT (gesamt)</v>
      </c>
      <c r="I899" s="662"/>
    </row>
    <row r="900" spans="1:9" hidden="1" outlineLevel="1">
      <c r="A900" s="1028">
        <v>2023</v>
      </c>
      <c r="B900" s="1033" t="s">
        <v>1066</v>
      </c>
      <c r="C900" s="1030" t="s">
        <v>2016</v>
      </c>
      <c r="D900" s="1031">
        <v>88605</v>
      </c>
      <c r="E900" s="1031">
        <f t="shared" si="43"/>
        <v>316.31984999999997</v>
      </c>
      <c r="F900" s="1032">
        <f t="shared" si="44"/>
        <v>523.65555000000006</v>
      </c>
      <c r="G900" s="8" t="s">
        <v>1067</v>
      </c>
      <c r="H900" s="667" t="str">
        <f t="shared" si="42"/>
        <v>Regelzone TenneT (gesamt)</v>
      </c>
      <c r="I900" s="662"/>
    </row>
    <row r="901" spans="1:9" hidden="1" outlineLevel="1">
      <c r="A901" s="1028">
        <v>2023</v>
      </c>
      <c r="B901" s="1033" t="s">
        <v>1070</v>
      </c>
      <c r="C901" s="1030" t="s">
        <v>2016</v>
      </c>
      <c r="D901" s="1031">
        <v>274468</v>
      </c>
      <c r="E901" s="1031">
        <f t="shared" si="43"/>
        <v>979.85075999999992</v>
      </c>
      <c r="F901" s="1032">
        <f t="shared" si="44"/>
        <v>1622.1058800000001</v>
      </c>
      <c r="G901" s="8" t="s">
        <v>1071</v>
      </c>
      <c r="H901" s="667" t="str">
        <f t="shared" si="42"/>
        <v>Regelzone TenneT (gesamt)</v>
      </c>
      <c r="I901" s="662"/>
    </row>
    <row r="902" spans="1:9" hidden="1" outlineLevel="1">
      <c r="A902" s="1028">
        <v>2023</v>
      </c>
      <c r="B902" s="1033" t="s">
        <v>1074</v>
      </c>
      <c r="C902" s="1030" t="s">
        <v>2016</v>
      </c>
      <c r="D902" s="1031">
        <v>-64915</v>
      </c>
      <c r="E902" s="1031">
        <f t="shared" si="43"/>
        <v>-231.74654999999998</v>
      </c>
      <c r="F902" s="1032">
        <f t="shared" si="44"/>
        <v>-383.64765</v>
      </c>
      <c r="G902" s="8" t="s">
        <v>1075</v>
      </c>
      <c r="H902" s="667" t="str">
        <f t="shared" si="42"/>
        <v>Regelzone TenneT (gesamt)</v>
      </c>
      <c r="I902" s="662"/>
    </row>
    <row r="903" spans="1:9" hidden="1" outlineLevel="1">
      <c r="A903" s="1028">
        <v>2023</v>
      </c>
      <c r="B903" s="1033" t="s">
        <v>1086</v>
      </c>
      <c r="C903" s="1030" t="s">
        <v>2016</v>
      </c>
      <c r="D903" s="1031">
        <v>574507</v>
      </c>
      <c r="E903" s="1031">
        <f t="shared" si="43"/>
        <v>2050.98999</v>
      </c>
      <c r="F903" s="1032">
        <f t="shared" si="44"/>
        <v>3395.33637</v>
      </c>
      <c r="G903" s="8" t="s">
        <v>1087</v>
      </c>
      <c r="H903" s="667" t="str">
        <f t="shared" si="42"/>
        <v>Regelzone TenneT (gesamt)</v>
      </c>
      <c r="I903" s="662"/>
    </row>
    <row r="904" spans="1:9" hidden="1" outlineLevel="1">
      <c r="A904" s="1028">
        <v>2023</v>
      </c>
      <c r="B904" s="1033" t="s">
        <v>1096</v>
      </c>
      <c r="C904" s="1030" t="s">
        <v>2016</v>
      </c>
      <c r="D904" s="1031">
        <v>-36275</v>
      </c>
      <c r="E904" s="1031">
        <f t="shared" si="43"/>
        <v>-129.50174999999999</v>
      </c>
      <c r="F904" s="1032">
        <f t="shared" si="44"/>
        <v>-214.38525000000001</v>
      </c>
      <c r="G904" s="8" t="s">
        <v>1097</v>
      </c>
      <c r="H904" s="667" t="str">
        <f t="shared" si="42"/>
        <v>Regelzone TenneT (gesamt)</v>
      </c>
      <c r="I904" s="662"/>
    </row>
    <row r="905" spans="1:9" hidden="1" outlineLevel="1">
      <c r="A905" s="1028">
        <v>2023</v>
      </c>
      <c r="B905" s="1033" t="s">
        <v>1106</v>
      </c>
      <c r="C905" s="1030" t="s">
        <v>2016</v>
      </c>
      <c r="D905" s="1031">
        <v>-1116786</v>
      </c>
      <c r="E905" s="1031">
        <f t="shared" si="43"/>
        <v>-3986.9260199999999</v>
      </c>
      <c r="F905" s="1032">
        <f t="shared" si="44"/>
        <v>-6600.2052600000006</v>
      </c>
      <c r="G905" s="8" t="s">
        <v>1107</v>
      </c>
      <c r="H905" s="667" t="str">
        <f t="shared" si="42"/>
        <v>Regelzone TenneT (gesamt)</v>
      </c>
      <c r="I905" s="662"/>
    </row>
    <row r="906" spans="1:9" hidden="1" outlineLevel="1">
      <c r="A906" s="1028">
        <v>2023</v>
      </c>
      <c r="B906" s="1033" t="s">
        <v>1114</v>
      </c>
      <c r="C906" s="1030" t="s">
        <v>2016</v>
      </c>
      <c r="D906" s="1031">
        <v>-93991</v>
      </c>
      <c r="E906" s="1031">
        <f t="shared" si="43"/>
        <v>-335.54786999999999</v>
      </c>
      <c r="F906" s="1032">
        <f t="shared" si="44"/>
        <v>-555.48680999999999</v>
      </c>
      <c r="G906" s="8" t="s">
        <v>1115</v>
      </c>
      <c r="H906" s="667" t="str">
        <f t="shared" ref="H906:H969" si="45">+H905</f>
        <v>Regelzone TenneT (gesamt)</v>
      </c>
      <c r="I906" s="662"/>
    </row>
    <row r="907" spans="1:9" hidden="1" outlineLevel="1">
      <c r="A907" s="1028">
        <v>2023</v>
      </c>
      <c r="B907" s="1033" t="s">
        <v>1875</v>
      </c>
      <c r="C907" s="1030" t="s">
        <v>2016</v>
      </c>
      <c r="D907" s="1031">
        <v>0</v>
      </c>
      <c r="E907" s="1031">
        <f t="shared" si="43"/>
        <v>0</v>
      </c>
      <c r="F907" s="1032">
        <f t="shared" si="44"/>
        <v>0</v>
      </c>
      <c r="G907" s="8" t="s">
        <v>1876</v>
      </c>
      <c r="H907" s="667" t="str">
        <f t="shared" si="45"/>
        <v>Regelzone TenneT (gesamt)</v>
      </c>
      <c r="I907" s="662"/>
    </row>
    <row r="908" spans="1:9" hidden="1" outlineLevel="1">
      <c r="A908" s="1028">
        <v>2023</v>
      </c>
      <c r="B908" s="1033" t="s">
        <v>1124</v>
      </c>
      <c r="C908" s="1030" t="s">
        <v>2016</v>
      </c>
      <c r="D908" s="1031">
        <v>323679.8</v>
      </c>
      <c r="E908" s="1031">
        <f t="shared" si="43"/>
        <v>1155.5368859999999</v>
      </c>
      <c r="F908" s="1032">
        <f t="shared" si="44"/>
        <v>1912.9476180000001</v>
      </c>
      <c r="G908" s="8" t="s">
        <v>1125</v>
      </c>
      <c r="H908" s="667" t="str">
        <f t="shared" si="45"/>
        <v>Regelzone TenneT (gesamt)</v>
      </c>
      <c r="I908" s="662"/>
    </row>
    <row r="909" spans="1:9" hidden="1" outlineLevel="1">
      <c r="A909" s="1028">
        <v>2023</v>
      </c>
      <c r="B909" s="1033" t="s">
        <v>1130</v>
      </c>
      <c r="C909" s="1030" t="s">
        <v>2016</v>
      </c>
      <c r="D909" s="1031">
        <v>3325925</v>
      </c>
      <c r="E909" s="1031">
        <f t="shared" si="43"/>
        <v>11873.552249999999</v>
      </c>
      <c r="F909" s="1032">
        <f t="shared" si="44"/>
        <v>19656.21675</v>
      </c>
      <c r="G909" s="8" t="s">
        <v>1131</v>
      </c>
      <c r="H909" s="667" t="str">
        <f t="shared" si="45"/>
        <v>Regelzone TenneT (gesamt)</v>
      </c>
      <c r="I909" s="662"/>
    </row>
    <row r="910" spans="1:9" hidden="1" outlineLevel="1">
      <c r="A910" s="1028">
        <v>2023</v>
      </c>
      <c r="B910" s="1033" t="s">
        <v>1134</v>
      </c>
      <c r="C910" s="1030" t="s">
        <v>2016</v>
      </c>
      <c r="D910" s="1031">
        <v>90281</v>
      </c>
      <c r="E910" s="1031">
        <f t="shared" si="43"/>
        <v>322.30316999999997</v>
      </c>
      <c r="F910" s="1032">
        <f t="shared" si="44"/>
        <v>533.56071000000009</v>
      </c>
      <c r="G910" s="8" t="s">
        <v>1135</v>
      </c>
      <c r="H910" s="667" t="str">
        <f t="shared" si="45"/>
        <v>Regelzone TenneT (gesamt)</v>
      </c>
      <c r="I910" s="662"/>
    </row>
    <row r="911" spans="1:9" hidden="1" outlineLevel="1">
      <c r="A911" s="1028">
        <v>2023</v>
      </c>
      <c r="B911" s="1033" t="s">
        <v>1138</v>
      </c>
      <c r="C911" s="1030" t="s">
        <v>2016</v>
      </c>
      <c r="D911" s="1031">
        <v>-2297</v>
      </c>
      <c r="E911" s="1031">
        <f t="shared" si="43"/>
        <v>-8.200289999999999</v>
      </c>
      <c r="F911" s="1032">
        <f t="shared" si="44"/>
        <v>-13.575270000000002</v>
      </c>
      <c r="G911" s="8" t="s">
        <v>1139</v>
      </c>
      <c r="H911" s="667" t="str">
        <f t="shared" si="45"/>
        <v>Regelzone TenneT (gesamt)</v>
      </c>
      <c r="I911" s="662"/>
    </row>
    <row r="912" spans="1:9" hidden="1" outlineLevel="1">
      <c r="A912" s="1028">
        <v>2023</v>
      </c>
      <c r="B912" s="1033" t="s">
        <v>1140</v>
      </c>
      <c r="C912" s="1030" t="s">
        <v>2016</v>
      </c>
      <c r="D912" s="1031">
        <v>-11664161</v>
      </c>
      <c r="E912" s="1031">
        <f t="shared" si="43"/>
        <v>-41641.054769999995</v>
      </c>
      <c r="F912" s="1032">
        <f t="shared" si="44"/>
        <v>-68935.191510000004</v>
      </c>
      <c r="G912" s="8" t="s">
        <v>1141</v>
      </c>
      <c r="H912" s="667" t="str">
        <f t="shared" si="45"/>
        <v>Regelzone TenneT (gesamt)</v>
      </c>
      <c r="I912" s="662"/>
    </row>
    <row r="913" spans="1:9" hidden="1" outlineLevel="1">
      <c r="A913" s="1028">
        <v>2023</v>
      </c>
      <c r="B913" s="1033" t="s">
        <v>1146</v>
      </c>
      <c r="C913" s="1030" t="s">
        <v>2016</v>
      </c>
      <c r="D913" s="1031">
        <v>195188</v>
      </c>
      <c r="E913" s="1031">
        <f t="shared" si="43"/>
        <v>696.82115999999996</v>
      </c>
      <c r="F913" s="1032">
        <f t="shared" si="44"/>
        <v>1153.5610800000002</v>
      </c>
      <c r="G913" s="8" t="s">
        <v>1147</v>
      </c>
      <c r="H913" s="667" t="str">
        <f t="shared" si="45"/>
        <v>Regelzone TenneT (gesamt)</v>
      </c>
      <c r="I913" s="662"/>
    </row>
    <row r="914" spans="1:9" hidden="1" outlineLevel="1">
      <c r="A914" s="1028">
        <v>2023</v>
      </c>
      <c r="B914" s="1033" t="s">
        <v>1150</v>
      </c>
      <c r="C914" s="1030" t="s">
        <v>2016</v>
      </c>
      <c r="D914" s="1031">
        <v>-173714</v>
      </c>
      <c r="E914" s="1031">
        <f t="shared" si="43"/>
        <v>-620.15897999999993</v>
      </c>
      <c r="F914" s="1032">
        <f t="shared" si="44"/>
        <v>-1026.6497400000001</v>
      </c>
      <c r="G914" s="8" t="s">
        <v>1151</v>
      </c>
      <c r="H914" s="667" t="str">
        <f t="shared" si="45"/>
        <v>Regelzone TenneT (gesamt)</v>
      </c>
      <c r="I914" s="662"/>
    </row>
    <row r="915" spans="1:9" hidden="1" outlineLevel="1">
      <c r="A915" s="1028">
        <v>2023</v>
      </c>
      <c r="B915" s="1033" t="s">
        <v>1154</v>
      </c>
      <c r="C915" s="1030" t="s">
        <v>2016</v>
      </c>
      <c r="D915" s="1031">
        <v>-11111</v>
      </c>
      <c r="E915" s="1031">
        <f t="shared" si="43"/>
        <v>-39.666269999999997</v>
      </c>
      <c r="F915" s="1032">
        <f t="shared" si="44"/>
        <v>-65.66601</v>
      </c>
      <c r="G915" s="8" t="s">
        <v>1155</v>
      </c>
      <c r="H915" s="667" t="str">
        <f t="shared" si="45"/>
        <v>Regelzone TenneT (gesamt)</v>
      </c>
      <c r="I915" s="662"/>
    </row>
    <row r="916" spans="1:9" hidden="1" outlineLevel="1">
      <c r="A916" s="1028">
        <v>2023</v>
      </c>
      <c r="B916" s="1033" t="s">
        <v>1160</v>
      </c>
      <c r="C916" s="1030" t="s">
        <v>2016</v>
      </c>
      <c r="D916" s="1031">
        <v>-3546600.3029999998</v>
      </c>
      <c r="E916" s="1031">
        <f t="shared" si="43"/>
        <v>-12661.363081709998</v>
      </c>
      <c r="F916" s="1032">
        <f t="shared" si="44"/>
        <v>-20960.407790730002</v>
      </c>
      <c r="G916" s="8" t="s">
        <v>1161</v>
      </c>
      <c r="H916" s="667" t="str">
        <f t="shared" si="45"/>
        <v>Regelzone TenneT (gesamt)</v>
      </c>
      <c r="I916" s="662"/>
    </row>
    <row r="917" spans="1:9" hidden="1" outlineLevel="1">
      <c r="A917" s="1028">
        <v>2023</v>
      </c>
      <c r="B917" s="1033" t="s">
        <v>1164</v>
      </c>
      <c r="C917" s="1030" t="s">
        <v>2016</v>
      </c>
      <c r="D917" s="1031">
        <v>126916</v>
      </c>
      <c r="E917" s="1031">
        <f t="shared" si="43"/>
        <v>453.09011999999996</v>
      </c>
      <c r="F917" s="1032">
        <f t="shared" si="44"/>
        <v>750.07356000000004</v>
      </c>
      <c r="G917" s="8" t="s">
        <v>1165</v>
      </c>
      <c r="H917" s="667" t="str">
        <f t="shared" si="45"/>
        <v>Regelzone TenneT (gesamt)</v>
      </c>
      <c r="I917" s="662"/>
    </row>
    <row r="918" spans="1:9" hidden="1" outlineLevel="1">
      <c r="A918" s="1028">
        <v>2023</v>
      </c>
      <c r="B918" s="1033" t="s">
        <v>1170</v>
      </c>
      <c r="C918" s="1030" t="s">
        <v>2016</v>
      </c>
      <c r="D918" s="1031">
        <v>-50130</v>
      </c>
      <c r="E918" s="1031">
        <f t="shared" si="43"/>
        <v>-178.9641</v>
      </c>
      <c r="F918" s="1032">
        <f t="shared" si="44"/>
        <v>-296.26830000000001</v>
      </c>
      <c r="G918" s="8" t="s">
        <v>1171</v>
      </c>
      <c r="H918" s="667" t="str">
        <f t="shared" si="45"/>
        <v>Regelzone TenneT (gesamt)</v>
      </c>
      <c r="I918" s="662"/>
    </row>
    <row r="919" spans="1:9" hidden="1" outlineLevel="1">
      <c r="A919" s="1028">
        <v>2023</v>
      </c>
      <c r="B919" s="1033" t="s">
        <v>1172</v>
      </c>
      <c r="C919" s="1030" t="s">
        <v>2016</v>
      </c>
      <c r="D919" s="1031">
        <v>-7050</v>
      </c>
      <c r="E919" s="1031">
        <f t="shared" si="43"/>
        <v>-25.168499999999998</v>
      </c>
      <c r="F919" s="1032">
        <f t="shared" si="44"/>
        <v>-41.665500000000002</v>
      </c>
      <c r="G919" s="8" t="s">
        <v>1173</v>
      </c>
      <c r="H919" s="667" t="str">
        <f t="shared" si="45"/>
        <v>Regelzone TenneT (gesamt)</v>
      </c>
      <c r="I919" s="662"/>
    </row>
    <row r="920" spans="1:9" hidden="1" outlineLevel="1">
      <c r="A920" s="1028">
        <v>2023</v>
      </c>
      <c r="B920" s="1033" t="s">
        <v>1174</v>
      </c>
      <c r="C920" s="1030" t="s">
        <v>2016</v>
      </c>
      <c r="D920" s="1031">
        <v>-278381</v>
      </c>
      <c r="E920" s="1031">
        <f t="shared" si="43"/>
        <v>-993.82016999999996</v>
      </c>
      <c r="F920" s="1032">
        <f t="shared" si="44"/>
        <v>-1645.23171</v>
      </c>
      <c r="G920" s="8" t="s">
        <v>1175</v>
      </c>
      <c r="H920" s="667" t="str">
        <f t="shared" si="45"/>
        <v>Regelzone TenneT (gesamt)</v>
      </c>
      <c r="I920" s="662"/>
    </row>
    <row r="921" spans="1:9" hidden="1" outlineLevel="1">
      <c r="A921" s="1028">
        <v>2023</v>
      </c>
      <c r="B921" s="1033" t="s">
        <v>1176</v>
      </c>
      <c r="C921" s="1030" t="s">
        <v>2016</v>
      </c>
      <c r="D921" s="1031">
        <v>1033785.92</v>
      </c>
      <c r="E921" s="1031">
        <f t="shared" si="43"/>
        <v>3690.6157343999998</v>
      </c>
      <c r="F921" s="1032">
        <f t="shared" si="44"/>
        <v>6109.6747872000005</v>
      </c>
      <c r="G921" s="8" t="s">
        <v>1177</v>
      </c>
      <c r="H921" s="667" t="str">
        <f t="shared" si="45"/>
        <v>Regelzone TenneT (gesamt)</v>
      </c>
      <c r="I921" s="662"/>
    </row>
    <row r="922" spans="1:9" hidden="1" outlineLevel="1">
      <c r="A922" s="1028">
        <v>2023</v>
      </c>
      <c r="B922" s="1033" t="s">
        <v>1178</v>
      </c>
      <c r="C922" s="1030" t="s">
        <v>2016</v>
      </c>
      <c r="D922" s="1031">
        <v>-351140</v>
      </c>
      <c r="E922" s="1031">
        <f t="shared" si="43"/>
        <v>-1253.5698</v>
      </c>
      <c r="F922" s="1032">
        <f t="shared" si="44"/>
        <v>-2075.2374</v>
      </c>
      <c r="G922" s="8" t="s">
        <v>1179</v>
      </c>
      <c r="H922" s="667" t="str">
        <f t="shared" si="45"/>
        <v>Regelzone TenneT (gesamt)</v>
      </c>
      <c r="I922" s="662"/>
    </row>
    <row r="923" spans="1:9" hidden="1" outlineLevel="1">
      <c r="A923" s="1028">
        <v>2023</v>
      </c>
      <c r="B923" s="1033" t="s">
        <v>1182</v>
      </c>
      <c r="C923" s="1030" t="s">
        <v>2016</v>
      </c>
      <c r="D923" s="1031">
        <v>53430</v>
      </c>
      <c r="E923" s="1031">
        <f t="shared" si="43"/>
        <v>190.74509999999998</v>
      </c>
      <c r="F923" s="1032">
        <f t="shared" si="44"/>
        <v>315.7713</v>
      </c>
      <c r="G923" s="8" t="s">
        <v>1183</v>
      </c>
      <c r="H923" s="667" t="str">
        <f t="shared" si="45"/>
        <v>Regelzone TenneT (gesamt)</v>
      </c>
      <c r="I923" s="662"/>
    </row>
    <row r="924" spans="1:9" hidden="1" outlineLevel="1">
      <c r="A924" s="1028">
        <v>2023</v>
      </c>
      <c r="B924" s="1033" t="s">
        <v>1186</v>
      </c>
      <c r="C924" s="1030" t="s">
        <v>2016</v>
      </c>
      <c r="D924" s="1031">
        <v>90752</v>
      </c>
      <c r="E924" s="1031">
        <f t="shared" ref="E924:E987" si="46">+D924*0.00357</f>
        <v>323.98463999999996</v>
      </c>
      <c r="F924" s="1032">
        <f t="shared" ref="F924:F987" si="47">+D924*0.00591</f>
        <v>536.34432000000004</v>
      </c>
      <c r="G924" s="8" t="s">
        <v>1187</v>
      </c>
      <c r="H924" s="667" t="str">
        <f t="shared" si="45"/>
        <v>Regelzone TenneT (gesamt)</v>
      </c>
      <c r="I924" s="662"/>
    </row>
    <row r="925" spans="1:9" hidden="1" outlineLevel="1">
      <c r="A925" s="1028">
        <v>2023</v>
      </c>
      <c r="B925" s="1033" t="s">
        <v>1190</v>
      </c>
      <c r="C925" s="1030" t="s">
        <v>2016</v>
      </c>
      <c r="D925" s="1031">
        <v>-1148288.21</v>
      </c>
      <c r="E925" s="1031">
        <f t="shared" si="46"/>
        <v>-4099.3889097000001</v>
      </c>
      <c r="F925" s="1032">
        <f t="shared" si="47"/>
        <v>-6786.3833211000001</v>
      </c>
      <c r="G925" s="8" t="s">
        <v>1191</v>
      </c>
      <c r="H925" s="667" t="str">
        <f t="shared" si="45"/>
        <v>Regelzone TenneT (gesamt)</v>
      </c>
      <c r="I925" s="662"/>
    </row>
    <row r="926" spans="1:9" hidden="1" outlineLevel="1">
      <c r="A926" s="1028">
        <v>2023</v>
      </c>
      <c r="B926" s="1033" t="s">
        <v>1194</v>
      </c>
      <c r="C926" s="1030" t="s">
        <v>2016</v>
      </c>
      <c r="D926" s="1031">
        <v>-208551</v>
      </c>
      <c r="E926" s="1031">
        <f t="shared" si="46"/>
        <v>-744.52706999999998</v>
      </c>
      <c r="F926" s="1032">
        <f t="shared" si="47"/>
        <v>-1232.5364100000002</v>
      </c>
      <c r="G926" s="8" t="s">
        <v>1195</v>
      </c>
      <c r="H926" s="667" t="str">
        <f t="shared" si="45"/>
        <v>Regelzone TenneT (gesamt)</v>
      </c>
      <c r="I926" s="662"/>
    </row>
    <row r="927" spans="1:9" hidden="1" outlineLevel="1">
      <c r="A927" s="1028">
        <v>2023</v>
      </c>
      <c r="B927" s="1033" t="s">
        <v>1196</v>
      </c>
      <c r="C927" s="1030" t="s">
        <v>2016</v>
      </c>
      <c r="D927" s="1031">
        <v>-234260</v>
      </c>
      <c r="E927" s="1031">
        <f t="shared" si="46"/>
        <v>-836.30819999999994</v>
      </c>
      <c r="F927" s="1032">
        <f t="shared" si="47"/>
        <v>-1384.4766</v>
      </c>
      <c r="G927" s="8" t="s">
        <v>1197</v>
      </c>
      <c r="H927" s="667" t="str">
        <f t="shared" si="45"/>
        <v>Regelzone TenneT (gesamt)</v>
      </c>
      <c r="I927" s="662"/>
    </row>
    <row r="928" spans="1:9" hidden="1" outlineLevel="1">
      <c r="A928" s="1028">
        <v>2023</v>
      </c>
      <c r="B928" s="1033" t="s">
        <v>1200</v>
      </c>
      <c r="C928" s="1030" t="s">
        <v>2016</v>
      </c>
      <c r="D928" s="1031">
        <v>128361</v>
      </c>
      <c r="E928" s="1031">
        <f t="shared" si="46"/>
        <v>458.24876999999998</v>
      </c>
      <c r="F928" s="1032">
        <f t="shared" si="47"/>
        <v>758.61351000000002</v>
      </c>
      <c r="G928" s="8" t="s">
        <v>1201</v>
      </c>
      <c r="H928" s="667" t="str">
        <f t="shared" si="45"/>
        <v>Regelzone TenneT (gesamt)</v>
      </c>
      <c r="I928" s="662"/>
    </row>
    <row r="929" spans="1:9" hidden="1" outlineLevel="1">
      <c r="A929" s="1028">
        <v>2023</v>
      </c>
      <c r="B929" s="1033" t="s">
        <v>1204</v>
      </c>
      <c r="C929" s="1030" t="s">
        <v>2016</v>
      </c>
      <c r="D929" s="1031">
        <v>21426607</v>
      </c>
      <c r="E929" s="1031">
        <f t="shared" si="46"/>
        <v>76492.98698999999</v>
      </c>
      <c r="F929" s="1032">
        <f t="shared" si="47"/>
        <v>126631.24737000001</v>
      </c>
      <c r="G929" s="8" t="s">
        <v>1205</v>
      </c>
      <c r="H929" s="667" t="str">
        <f t="shared" si="45"/>
        <v>Regelzone TenneT (gesamt)</v>
      </c>
      <c r="I929" s="662"/>
    </row>
    <row r="930" spans="1:9" hidden="1" outlineLevel="1">
      <c r="A930" s="1028">
        <v>2023</v>
      </c>
      <c r="B930" s="1033" t="s">
        <v>1476</v>
      </c>
      <c r="C930" s="1030" t="s">
        <v>2016</v>
      </c>
      <c r="D930" s="1031">
        <v>44196</v>
      </c>
      <c r="E930" s="1031">
        <f t="shared" si="46"/>
        <v>157.77972</v>
      </c>
      <c r="F930" s="1032">
        <f t="shared" si="47"/>
        <v>261.19836000000004</v>
      </c>
      <c r="G930" s="8" t="s">
        <v>1477</v>
      </c>
      <c r="H930" s="667" t="str">
        <f t="shared" si="45"/>
        <v>Regelzone TenneT (gesamt)</v>
      </c>
      <c r="I930" s="662"/>
    </row>
    <row r="931" spans="1:9" hidden="1" outlineLevel="1">
      <c r="A931" s="1028">
        <v>2023</v>
      </c>
      <c r="B931" s="1033" t="s">
        <v>1228</v>
      </c>
      <c r="C931" s="1030" t="s">
        <v>2016</v>
      </c>
      <c r="D931" s="1031">
        <v>-114404</v>
      </c>
      <c r="E931" s="1031">
        <f t="shared" si="46"/>
        <v>-408.42228</v>
      </c>
      <c r="F931" s="1032">
        <f t="shared" si="47"/>
        <v>-676.12764000000004</v>
      </c>
      <c r="G931" s="8" t="s">
        <v>1229</v>
      </c>
      <c r="H931" s="667" t="str">
        <f t="shared" si="45"/>
        <v>Regelzone TenneT (gesamt)</v>
      </c>
      <c r="I931" s="662"/>
    </row>
    <row r="932" spans="1:9" hidden="1" outlineLevel="1">
      <c r="A932" s="1028">
        <v>2023</v>
      </c>
      <c r="B932" s="1033" t="s">
        <v>1230</v>
      </c>
      <c r="C932" s="1030" t="s">
        <v>2016</v>
      </c>
      <c r="D932" s="1031">
        <v>-4120</v>
      </c>
      <c r="E932" s="1031">
        <f t="shared" si="46"/>
        <v>-14.708399999999999</v>
      </c>
      <c r="F932" s="1032">
        <f t="shared" si="47"/>
        <v>-24.3492</v>
      </c>
      <c r="G932" s="8" t="s">
        <v>1231</v>
      </c>
      <c r="H932" s="667" t="str">
        <f t="shared" si="45"/>
        <v>Regelzone TenneT (gesamt)</v>
      </c>
      <c r="I932" s="662"/>
    </row>
    <row r="933" spans="1:9" hidden="1" outlineLevel="1">
      <c r="A933" s="1028">
        <v>2023</v>
      </c>
      <c r="B933" s="1033" t="s">
        <v>1238</v>
      </c>
      <c r="C933" s="1030" t="s">
        <v>2016</v>
      </c>
      <c r="D933" s="1031">
        <v>0</v>
      </c>
      <c r="E933" s="1031">
        <f t="shared" si="46"/>
        <v>0</v>
      </c>
      <c r="F933" s="1032">
        <f t="shared" si="47"/>
        <v>0</v>
      </c>
      <c r="G933" s="8" t="s">
        <v>1239</v>
      </c>
      <c r="H933" s="667" t="str">
        <f t="shared" si="45"/>
        <v>Regelzone TenneT (gesamt)</v>
      </c>
      <c r="I933" s="662"/>
    </row>
    <row r="934" spans="1:9" hidden="1" outlineLevel="1">
      <c r="A934" s="1028">
        <v>2023</v>
      </c>
      <c r="B934" s="1033" t="s">
        <v>1240</v>
      </c>
      <c r="C934" s="1030" t="s">
        <v>2016</v>
      </c>
      <c r="D934" s="1031">
        <v>191827</v>
      </c>
      <c r="E934" s="1031">
        <f t="shared" si="46"/>
        <v>684.82238999999993</v>
      </c>
      <c r="F934" s="1032">
        <f t="shared" si="47"/>
        <v>1133.69757</v>
      </c>
      <c r="G934" s="8" t="s">
        <v>1241</v>
      </c>
      <c r="H934" s="667" t="str">
        <f t="shared" si="45"/>
        <v>Regelzone TenneT (gesamt)</v>
      </c>
      <c r="I934" s="662"/>
    </row>
    <row r="935" spans="1:9" hidden="1" outlineLevel="1">
      <c r="A935" s="1028">
        <v>2023</v>
      </c>
      <c r="B935" s="1033" t="s">
        <v>1242</v>
      </c>
      <c r="C935" s="1030" t="s">
        <v>2016</v>
      </c>
      <c r="D935" s="1031">
        <v>1911735</v>
      </c>
      <c r="E935" s="1031">
        <f t="shared" si="46"/>
        <v>6824.8939499999997</v>
      </c>
      <c r="F935" s="1032">
        <f t="shared" si="47"/>
        <v>11298.353850000001</v>
      </c>
      <c r="G935" s="8" t="s">
        <v>1243</v>
      </c>
      <c r="H935" s="667" t="str">
        <f t="shared" si="45"/>
        <v>Regelzone TenneT (gesamt)</v>
      </c>
      <c r="I935" s="662"/>
    </row>
    <row r="936" spans="1:9" hidden="1" outlineLevel="1">
      <c r="A936" s="1028">
        <v>2023</v>
      </c>
      <c r="B936" s="1033" t="s">
        <v>1246</v>
      </c>
      <c r="C936" s="1030" t="s">
        <v>2016</v>
      </c>
      <c r="D936" s="1031">
        <v>726682</v>
      </c>
      <c r="E936" s="1031">
        <f t="shared" si="46"/>
        <v>2594.2547399999999</v>
      </c>
      <c r="F936" s="1032">
        <f t="shared" si="47"/>
        <v>4294.6906200000003</v>
      </c>
      <c r="G936" s="8" t="s">
        <v>1247</v>
      </c>
      <c r="H936" s="667" t="str">
        <f t="shared" si="45"/>
        <v>Regelzone TenneT (gesamt)</v>
      </c>
      <c r="I936" s="662"/>
    </row>
    <row r="937" spans="1:9" hidden="1" outlineLevel="1">
      <c r="A937" s="1028">
        <v>2023</v>
      </c>
      <c r="B937" s="1033" t="s">
        <v>1254</v>
      </c>
      <c r="C937" s="1030" t="s">
        <v>2016</v>
      </c>
      <c r="D937" s="1031">
        <v>-126186</v>
      </c>
      <c r="E937" s="1031">
        <f t="shared" si="46"/>
        <v>-450.48401999999999</v>
      </c>
      <c r="F937" s="1032">
        <f t="shared" si="47"/>
        <v>-745.75926000000004</v>
      </c>
      <c r="G937" s="8" t="s">
        <v>1255</v>
      </c>
      <c r="H937" s="667" t="str">
        <f t="shared" si="45"/>
        <v>Regelzone TenneT (gesamt)</v>
      </c>
      <c r="I937" s="662"/>
    </row>
    <row r="938" spans="1:9" hidden="1" outlineLevel="1">
      <c r="A938" s="1028">
        <v>2023</v>
      </c>
      <c r="B938" s="1033" t="s">
        <v>1256</v>
      </c>
      <c r="C938" s="1030" t="s">
        <v>2016</v>
      </c>
      <c r="D938" s="1031">
        <v>-47193</v>
      </c>
      <c r="E938" s="1031">
        <f t="shared" si="46"/>
        <v>-168.47900999999999</v>
      </c>
      <c r="F938" s="1032">
        <f t="shared" si="47"/>
        <v>-278.91063000000003</v>
      </c>
      <c r="G938" s="8" t="s">
        <v>1257</v>
      </c>
      <c r="H938" s="667" t="str">
        <f t="shared" si="45"/>
        <v>Regelzone TenneT (gesamt)</v>
      </c>
      <c r="I938" s="662"/>
    </row>
    <row r="939" spans="1:9" hidden="1" outlineLevel="1">
      <c r="A939" s="1028">
        <v>2023</v>
      </c>
      <c r="B939" s="1033" t="s">
        <v>1258</v>
      </c>
      <c r="C939" s="1030" t="s">
        <v>2016</v>
      </c>
      <c r="D939" s="1031">
        <v>57702</v>
      </c>
      <c r="E939" s="1031">
        <f t="shared" si="46"/>
        <v>205.99614</v>
      </c>
      <c r="F939" s="1032">
        <f t="shared" si="47"/>
        <v>341.01882000000001</v>
      </c>
      <c r="G939" s="8" t="s">
        <v>1259</v>
      </c>
      <c r="H939" s="667" t="str">
        <f t="shared" si="45"/>
        <v>Regelzone TenneT (gesamt)</v>
      </c>
      <c r="I939" s="662"/>
    </row>
    <row r="940" spans="1:9" hidden="1" outlineLevel="1">
      <c r="A940" s="1028">
        <v>2023</v>
      </c>
      <c r="B940" s="1033" t="s">
        <v>1260</v>
      </c>
      <c r="C940" s="1030" t="s">
        <v>2016</v>
      </c>
      <c r="D940" s="1031">
        <v>8258591</v>
      </c>
      <c r="E940" s="1031">
        <f t="shared" si="46"/>
        <v>29483.169869999998</v>
      </c>
      <c r="F940" s="1032">
        <f t="shared" si="47"/>
        <v>48808.272810000002</v>
      </c>
      <c r="G940" s="8" t="s">
        <v>1261</v>
      </c>
      <c r="H940" s="667" t="str">
        <f t="shared" si="45"/>
        <v>Regelzone TenneT (gesamt)</v>
      </c>
      <c r="I940" s="662"/>
    </row>
    <row r="941" spans="1:9" hidden="1" outlineLevel="1">
      <c r="A941" s="1028">
        <v>2023</v>
      </c>
      <c r="B941" s="1033" t="s">
        <v>1272</v>
      </c>
      <c r="C941" s="1030" t="s">
        <v>2016</v>
      </c>
      <c r="D941" s="1031">
        <v>-193756</v>
      </c>
      <c r="E941" s="1031">
        <f t="shared" si="46"/>
        <v>-691.70891999999992</v>
      </c>
      <c r="F941" s="1032">
        <f t="shared" si="47"/>
        <v>-1145.0979600000001</v>
      </c>
      <c r="G941" s="8" t="s">
        <v>1273</v>
      </c>
      <c r="H941" s="667" t="str">
        <f t="shared" si="45"/>
        <v>Regelzone TenneT (gesamt)</v>
      </c>
      <c r="I941" s="662"/>
    </row>
    <row r="942" spans="1:9" hidden="1" outlineLevel="1">
      <c r="A942" s="1028">
        <v>2023</v>
      </c>
      <c r="B942" s="1033" t="s">
        <v>1274</v>
      </c>
      <c r="C942" s="1030" t="s">
        <v>2016</v>
      </c>
      <c r="D942" s="1031">
        <v>-1430388</v>
      </c>
      <c r="E942" s="1031">
        <f t="shared" si="46"/>
        <v>-5106.4851600000002</v>
      </c>
      <c r="F942" s="1032">
        <f t="shared" si="47"/>
        <v>-8453.5930800000006</v>
      </c>
      <c r="G942" s="8" t="s">
        <v>1275</v>
      </c>
      <c r="H942" s="667" t="str">
        <f t="shared" si="45"/>
        <v>Regelzone TenneT (gesamt)</v>
      </c>
      <c r="I942" s="662"/>
    </row>
    <row r="943" spans="1:9" hidden="1" outlineLevel="1">
      <c r="A943" s="1028">
        <v>2023</v>
      </c>
      <c r="B943" s="1033" t="s">
        <v>1276</v>
      </c>
      <c r="C943" s="1030" t="s">
        <v>2016</v>
      </c>
      <c r="D943" s="1031">
        <v>-361327</v>
      </c>
      <c r="E943" s="1031">
        <f t="shared" si="46"/>
        <v>-1289.9373899999998</v>
      </c>
      <c r="F943" s="1032">
        <f t="shared" si="47"/>
        <v>-2135.4425700000002</v>
      </c>
      <c r="G943" s="8" t="s">
        <v>2035</v>
      </c>
      <c r="H943" s="667" t="str">
        <f t="shared" si="45"/>
        <v>Regelzone TenneT (gesamt)</v>
      </c>
      <c r="I943" s="662"/>
    </row>
    <row r="944" spans="1:9" hidden="1" outlineLevel="1">
      <c r="A944" s="1028">
        <v>2023</v>
      </c>
      <c r="B944" s="1033" t="s">
        <v>1280</v>
      </c>
      <c r="C944" s="1030" t="s">
        <v>2016</v>
      </c>
      <c r="D944" s="1031">
        <v>-123393</v>
      </c>
      <c r="E944" s="1031">
        <f t="shared" si="46"/>
        <v>-440.51300999999995</v>
      </c>
      <c r="F944" s="1032">
        <f t="shared" si="47"/>
        <v>-729.25263000000007</v>
      </c>
      <c r="G944" s="8" t="s">
        <v>1281</v>
      </c>
      <c r="H944" s="667" t="str">
        <f t="shared" si="45"/>
        <v>Regelzone TenneT (gesamt)</v>
      </c>
      <c r="I944" s="662"/>
    </row>
    <row r="945" spans="1:9" hidden="1" outlineLevel="1">
      <c r="A945" s="1028">
        <v>2023</v>
      </c>
      <c r="B945" s="1033" t="s">
        <v>1282</v>
      </c>
      <c r="C945" s="1030" t="s">
        <v>2016</v>
      </c>
      <c r="D945" s="1031">
        <v>-20040055</v>
      </c>
      <c r="E945" s="1031">
        <f t="shared" si="46"/>
        <v>-71542.996350000001</v>
      </c>
      <c r="F945" s="1032">
        <f t="shared" si="47"/>
        <v>-118436.72505000001</v>
      </c>
      <c r="G945" s="8" t="s">
        <v>2036</v>
      </c>
      <c r="H945" s="667" t="str">
        <f t="shared" si="45"/>
        <v>Regelzone TenneT (gesamt)</v>
      </c>
      <c r="I945" s="662"/>
    </row>
    <row r="946" spans="1:9" hidden="1" outlineLevel="1">
      <c r="A946" s="1028">
        <v>2023</v>
      </c>
      <c r="B946" s="1033" t="s">
        <v>1284</v>
      </c>
      <c r="C946" s="1030" t="s">
        <v>2016</v>
      </c>
      <c r="D946" s="1031">
        <v>-7470</v>
      </c>
      <c r="E946" s="1031">
        <f t="shared" si="46"/>
        <v>-26.667899999999999</v>
      </c>
      <c r="F946" s="1032">
        <f t="shared" si="47"/>
        <v>-44.1477</v>
      </c>
      <c r="G946" s="8" t="s">
        <v>1285</v>
      </c>
      <c r="H946" s="667" t="str">
        <f t="shared" si="45"/>
        <v>Regelzone TenneT (gesamt)</v>
      </c>
      <c r="I946" s="662"/>
    </row>
    <row r="947" spans="1:9" hidden="1" outlineLevel="1">
      <c r="A947" s="1028">
        <v>2023</v>
      </c>
      <c r="B947" s="1033" t="s">
        <v>1286</v>
      </c>
      <c r="C947" s="1030" t="s">
        <v>2016</v>
      </c>
      <c r="D947" s="1031">
        <v>-283516</v>
      </c>
      <c r="E947" s="1031">
        <f t="shared" si="46"/>
        <v>-1012.15212</v>
      </c>
      <c r="F947" s="1032">
        <f t="shared" si="47"/>
        <v>-1675.5795600000001</v>
      </c>
      <c r="G947" s="8" t="s">
        <v>1287</v>
      </c>
      <c r="H947" s="667" t="str">
        <f t="shared" si="45"/>
        <v>Regelzone TenneT (gesamt)</v>
      </c>
      <c r="I947" s="662"/>
    </row>
    <row r="948" spans="1:9" hidden="1" outlineLevel="1">
      <c r="A948" s="1028">
        <v>2023</v>
      </c>
      <c r="B948" s="1033" t="s">
        <v>1290</v>
      </c>
      <c r="C948" s="1030" t="s">
        <v>2016</v>
      </c>
      <c r="D948" s="1031">
        <v>-49568</v>
      </c>
      <c r="E948" s="1031">
        <f t="shared" si="46"/>
        <v>-176.95775999999998</v>
      </c>
      <c r="F948" s="1032">
        <f t="shared" si="47"/>
        <v>-292.94688000000002</v>
      </c>
      <c r="G948" s="8" t="s">
        <v>1291</v>
      </c>
      <c r="H948" s="667" t="str">
        <f t="shared" si="45"/>
        <v>Regelzone TenneT (gesamt)</v>
      </c>
      <c r="I948" s="662"/>
    </row>
    <row r="949" spans="1:9" hidden="1" outlineLevel="1">
      <c r="A949" s="1028">
        <v>2023</v>
      </c>
      <c r="B949" s="1033" t="s">
        <v>1292</v>
      </c>
      <c r="C949" s="1030" t="s">
        <v>2016</v>
      </c>
      <c r="D949" s="1031">
        <v>0</v>
      </c>
      <c r="E949" s="1031">
        <f t="shared" si="46"/>
        <v>0</v>
      </c>
      <c r="F949" s="1032">
        <f t="shared" si="47"/>
        <v>0</v>
      </c>
      <c r="G949" s="8" t="s">
        <v>1293</v>
      </c>
      <c r="H949" s="667" t="str">
        <f t="shared" si="45"/>
        <v>Regelzone TenneT (gesamt)</v>
      </c>
      <c r="I949" s="662"/>
    </row>
    <row r="950" spans="1:9" hidden="1" outlineLevel="1">
      <c r="A950" s="1028">
        <v>2023</v>
      </c>
      <c r="B950" s="1033" t="s">
        <v>1294</v>
      </c>
      <c r="C950" s="1030" t="s">
        <v>2016</v>
      </c>
      <c r="D950" s="1031">
        <v>-41227</v>
      </c>
      <c r="E950" s="1031">
        <f t="shared" si="46"/>
        <v>-147.18038999999999</v>
      </c>
      <c r="F950" s="1032">
        <f t="shared" si="47"/>
        <v>-243.65157000000002</v>
      </c>
      <c r="G950" s="8" t="s">
        <v>1295</v>
      </c>
      <c r="H950" s="667" t="str">
        <f t="shared" si="45"/>
        <v>Regelzone TenneT (gesamt)</v>
      </c>
      <c r="I950" s="662"/>
    </row>
    <row r="951" spans="1:9" hidden="1" outlineLevel="1">
      <c r="A951" s="1028">
        <v>2023</v>
      </c>
      <c r="B951" s="1033" t="s">
        <v>1296</v>
      </c>
      <c r="C951" s="1030" t="s">
        <v>2016</v>
      </c>
      <c r="D951" s="1031">
        <v>3858</v>
      </c>
      <c r="E951" s="1031">
        <f t="shared" si="46"/>
        <v>13.773059999999999</v>
      </c>
      <c r="F951" s="1032">
        <f t="shared" si="47"/>
        <v>22.80078</v>
      </c>
      <c r="G951" s="8" t="s">
        <v>1297</v>
      </c>
      <c r="H951" s="667" t="str">
        <f t="shared" si="45"/>
        <v>Regelzone TenneT (gesamt)</v>
      </c>
      <c r="I951" s="662"/>
    </row>
    <row r="952" spans="1:9" hidden="1" outlineLevel="1">
      <c r="A952" s="1028">
        <v>2023</v>
      </c>
      <c r="B952" s="1033" t="s">
        <v>1891</v>
      </c>
      <c r="C952" s="1030" t="s">
        <v>2016</v>
      </c>
      <c r="D952" s="1031">
        <v>-35417</v>
      </c>
      <c r="E952" s="1031">
        <f t="shared" si="46"/>
        <v>-126.43868999999999</v>
      </c>
      <c r="F952" s="1032">
        <f t="shared" si="47"/>
        <v>-209.31447</v>
      </c>
      <c r="G952" s="8" t="s">
        <v>1892</v>
      </c>
      <c r="H952" s="667" t="str">
        <f t="shared" si="45"/>
        <v>Regelzone TenneT (gesamt)</v>
      </c>
      <c r="I952" s="662"/>
    </row>
    <row r="953" spans="1:9" hidden="1" outlineLevel="1">
      <c r="A953" s="1028">
        <v>2023</v>
      </c>
      <c r="B953" s="1033" t="s">
        <v>1302</v>
      </c>
      <c r="C953" s="1030" t="s">
        <v>2016</v>
      </c>
      <c r="D953" s="1031">
        <v>-947582</v>
      </c>
      <c r="E953" s="1031">
        <f t="shared" si="46"/>
        <v>-3382.8677399999997</v>
      </c>
      <c r="F953" s="1032">
        <f t="shared" si="47"/>
        <v>-5600.2096200000005</v>
      </c>
      <c r="G953" s="8" t="s">
        <v>1303</v>
      </c>
      <c r="H953" s="667" t="str">
        <f t="shared" si="45"/>
        <v>Regelzone TenneT (gesamt)</v>
      </c>
      <c r="I953" s="662"/>
    </row>
    <row r="954" spans="1:9" hidden="1" outlineLevel="1">
      <c r="A954" s="1028">
        <v>2023</v>
      </c>
      <c r="B954" s="1033" t="s">
        <v>1304</v>
      </c>
      <c r="C954" s="1030" t="s">
        <v>2016</v>
      </c>
      <c r="D954" s="1031">
        <v>146541</v>
      </c>
      <c r="E954" s="1031">
        <f t="shared" si="46"/>
        <v>523.15136999999993</v>
      </c>
      <c r="F954" s="1032">
        <f t="shared" si="47"/>
        <v>866.05731000000003</v>
      </c>
      <c r="G954" s="8" t="s">
        <v>1305</v>
      </c>
      <c r="H954" s="667" t="str">
        <f t="shared" si="45"/>
        <v>Regelzone TenneT (gesamt)</v>
      </c>
      <c r="I954" s="662"/>
    </row>
    <row r="955" spans="1:9" hidden="1" outlineLevel="1">
      <c r="A955" s="1028">
        <v>2023</v>
      </c>
      <c r="B955" s="1033" t="s">
        <v>1312</v>
      </c>
      <c r="C955" s="1030" t="s">
        <v>2016</v>
      </c>
      <c r="D955" s="1031">
        <v>3325344</v>
      </c>
      <c r="E955" s="1031">
        <f t="shared" si="46"/>
        <v>11871.478079999999</v>
      </c>
      <c r="F955" s="1032">
        <f t="shared" si="47"/>
        <v>19652.783040000002</v>
      </c>
      <c r="G955" s="8" t="s">
        <v>1313</v>
      </c>
      <c r="H955" s="667" t="str">
        <f t="shared" si="45"/>
        <v>Regelzone TenneT (gesamt)</v>
      </c>
      <c r="I955" s="662"/>
    </row>
    <row r="956" spans="1:9" hidden="1" outlineLevel="1">
      <c r="A956" s="1028">
        <v>2023</v>
      </c>
      <c r="B956" s="1033" t="s">
        <v>1326</v>
      </c>
      <c r="C956" s="1030" t="s">
        <v>2016</v>
      </c>
      <c r="D956" s="1031">
        <v>-9227</v>
      </c>
      <c r="E956" s="1031">
        <f t="shared" si="46"/>
        <v>-32.940390000000001</v>
      </c>
      <c r="F956" s="1032">
        <f t="shared" si="47"/>
        <v>-54.531570000000002</v>
      </c>
      <c r="G956" s="8" t="s">
        <v>1327</v>
      </c>
      <c r="H956" s="667" t="str">
        <f t="shared" si="45"/>
        <v>Regelzone TenneT (gesamt)</v>
      </c>
      <c r="I956" s="662"/>
    </row>
    <row r="957" spans="1:9" hidden="1" outlineLevel="1">
      <c r="A957" s="1028">
        <v>2023</v>
      </c>
      <c r="B957" s="1033" t="s">
        <v>1328</v>
      </c>
      <c r="C957" s="1030" t="s">
        <v>2016</v>
      </c>
      <c r="D957" s="1031">
        <v>-2002777</v>
      </c>
      <c r="E957" s="1031">
        <f t="shared" si="46"/>
        <v>-7149.9138899999998</v>
      </c>
      <c r="F957" s="1032">
        <f t="shared" si="47"/>
        <v>-11836.41207</v>
      </c>
      <c r="G957" s="8" t="s">
        <v>1329</v>
      </c>
      <c r="H957" s="667" t="str">
        <f t="shared" si="45"/>
        <v>Regelzone TenneT (gesamt)</v>
      </c>
      <c r="I957" s="662"/>
    </row>
    <row r="958" spans="1:9" hidden="1" outlineLevel="1">
      <c r="A958" s="1028">
        <v>2023</v>
      </c>
      <c r="B958" s="1033" t="s">
        <v>499</v>
      </c>
      <c r="C958" s="1030" t="s">
        <v>2016</v>
      </c>
      <c r="D958" s="1031">
        <v>-59629</v>
      </c>
      <c r="E958" s="1031">
        <f t="shared" si="46"/>
        <v>-212.87553</v>
      </c>
      <c r="F958" s="1032">
        <f t="shared" si="47"/>
        <v>-352.40739000000002</v>
      </c>
      <c r="G958" s="8" t="s">
        <v>500</v>
      </c>
      <c r="H958" s="667" t="str">
        <f t="shared" si="45"/>
        <v>Regelzone TenneT (gesamt)</v>
      </c>
      <c r="I958" s="662"/>
    </row>
    <row r="959" spans="1:9" hidden="1" outlineLevel="1">
      <c r="A959" s="1028">
        <v>2023</v>
      </c>
      <c r="B959" s="1033" t="s">
        <v>1334</v>
      </c>
      <c r="C959" s="1030" t="s">
        <v>2016</v>
      </c>
      <c r="D959" s="1031">
        <v>-2190343</v>
      </c>
      <c r="E959" s="1031">
        <f t="shared" si="46"/>
        <v>-7819.5245099999993</v>
      </c>
      <c r="F959" s="1032">
        <f t="shared" si="47"/>
        <v>-12944.92713</v>
      </c>
      <c r="G959" s="8" t="s">
        <v>2040</v>
      </c>
      <c r="H959" s="667" t="str">
        <f t="shared" si="45"/>
        <v>Regelzone TenneT (gesamt)</v>
      </c>
      <c r="I959" s="662"/>
    </row>
    <row r="960" spans="1:9" hidden="1" outlineLevel="1">
      <c r="A960" s="1028">
        <v>2023</v>
      </c>
      <c r="B960" s="1033" t="s">
        <v>748</v>
      </c>
      <c r="C960" s="1030" t="s">
        <v>2016</v>
      </c>
      <c r="D960" s="1031">
        <v>120580</v>
      </c>
      <c r="E960" s="1031">
        <f t="shared" si="46"/>
        <v>430.47059999999999</v>
      </c>
      <c r="F960" s="1032">
        <f t="shared" si="47"/>
        <v>712.62780000000009</v>
      </c>
      <c r="G960" s="8" t="s">
        <v>1338</v>
      </c>
      <c r="H960" s="667" t="str">
        <f t="shared" si="45"/>
        <v>Regelzone TenneT (gesamt)</v>
      </c>
      <c r="I960" s="662"/>
    </row>
    <row r="961" spans="1:9" hidden="1" outlineLevel="1">
      <c r="A961" s="1028">
        <v>2023</v>
      </c>
      <c r="B961" s="1033" t="s">
        <v>1339</v>
      </c>
      <c r="C961" s="1030" t="s">
        <v>2016</v>
      </c>
      <c r="D961" s="1031">
        <v>-238392</v>
      </c>
      <c r="E961" s="1031">
        <f t="shared" si="46"/>
        <v>-851.05944</v>
      </c>
      <c r="F961" s="1032">
        <f t="shared" si="47"/>
        <v>-1408.8967200000002</v>
      </c>
      <c r="G961" s="8" t="s">
        <v>1340</v>
      </c>
      <c r="H961" s="667" t="str">
        <f t="shared" si="45"/>
        <v>Regelzone TenneT (gesamt)</v>
      </c>
      <c r="I961" s="662"/>
    </row>
    <row r="962" spans="1:9" hidden="1" outlineLevel="1">
      <c r="A962" s="1028">
        <v>2023</v>
      </c>
      <c r="B962" s="1033" t="s">
        <v>1349</v>
      </c>
      <c r="C962" s="1030" t="s">
        <v>2016</v>
      </c>
      <c r="D962" s="1031">
        <v>16015</v>
      </c>
      <c r="E962" s="1031">
        <f t="shared" si="46"/>
        <v>57.173549999999999</v>
      </c>
      <c r="F962" s="1032">
        <f t="shared" si="47"/>
        <v>94.648650000000004</v>
      </c>
      <c r="G962" s="8" t="s">
        <v>1350</v>
      </c>
      <c r="H962" s="667" t="str">
        <f t="shared" si="45"/>
        <v>Regelzone TenneT (gesamt)</v>
      </c>
      <c r="I962" s="662"/>
    </row>
    <row r="963" spans="1:9" hidden="1" outlineLevel="1">
      <c r="A963" s="1028">
        <v>2023</v>
      </c>
      <c r="B963" s="1033" t="s">
        <v>1355</v>
      </c>
      <c r="C963" s="1030" t="s">
        <v>2016</v>
      </c>
      <c r="D963" s="1031">
        <v>46683.6</v>
      </c>
      <c r="E963" s="1031">
        <f t="shared" si="46"/>
        <v>166.66045199999999</v>
      </c>
      <c r="F963" s="1032">
        <f t="shared" si="47"/>
        <v>275.90007600000001</v>
      </c>
      <c r="G963" s="8" t="s">
        <v>1356</v>
      </c>
      <c r="H963" s="667" t="str">
        <f t="shared" si="45"/>
        <v>Regelzone TenneT (gesamt)</v>
      </c>
      <c r="I963" s="662"/>
    </row>
    <row r="964" spans="1:9" hidden="1" outlineLevel="1">
      <c r="A964" s="1028">
        <v>2023</v>
      </c>
      <c r="B964" s="1033" t="s">
        <v>1357</v>
      </c>
      <c r="C964" s="1030" t="s">
        <v>2016</v>
      </c>
      <c r="D964" s="1031">
        <v>-73266</v>
      </c>
      <c r="E964" s="1031">
        <f t="shared" si="46"/>
        <v>-261.55962</v>
      </c>
      <c r="F964" s="1032">
        <f t="shared" si="47"/>
        <v>-433.00206000000003</v>
      </c>
      <c r="G964" s="8" t="s">
        <v>1358</v>
      </c>
      <c r="H964" s="667" t="str">
        <f t="shared" si="45"/>
        <v>Regelzone TenneT (gesamt)</v>
      </c>
      <c r="I964" s="662"/>
    </row>
    <row r="965" spans="1:9" hidden="1" outlineLevel="1">
      <c r="A965" s="1028">
        <v>2023</v>
      </c>
      <c r="B965" s="1033" t="s">
        <v>1361</v>
      </c>
      <c r="C965" s="1030" t="s">
        <v>2016</v>
      </c>
      <c r="D965" s="1031">
        <v>0</v>
      </c>
      <c r="E965" s="1031">
        <f t="shared" si="46"/>
        <v>0</v>
      </c>
      <c r="F965" s="1032">
        <f t="shared" si="47"/>
        <v>0</v>
      </c>
      <c r="G965" s="8" t="s">
        <v>1362</v>
      </c>
      <c r="H965" s="667" t="str">
        <f t="shared" si="45"/>
        <v>Regelzone TenneT (gesamt)</v>
      </c>
      <c r="I965" s="662"/>
    </row>
    <row r="966" spans="1:9" hidden="1" outlineLevel="1">
      <c r="A966" s="1028">
        <v>2023</v>
      </c>
      <c r="B966" s="1033" t="s">
        <v>1363</v>
      </c>
      <c r="C966" s="1030" t="s">
        <v>2016</v>
      </c>
      <c r="D966" s="1031">
        <v>-8538</v>
      </c>
      <c r="E966" s="1031">
        <f t="shared" si="46"/>
        <v>-30.480659999999997</v>
      </c>
      <c r="F966" s="1032">
        <f t="shared" si="47"/>
        <v>-50.459580000000003</v>
      </c>
      <c r="G966" s="8" t="s">
        <v>1364</v>
      </c>
      <c r="H966" s="667" t="str">
        <f t="shared" si="45"/>
        <v>Regelzone TenneT (gesamt)</v>
      </c>
      <c r="I966" s="662"/>
    </row>
    <row r="967" spans="1:9" hidden="1" outlineLevel="1">
      <c r="A967" s="1028">
        <v>2023</v>
      </c>
      <c r="B967" s="1033" t="s">
        <v>1478</v>
      </c>
      <c r="C967" s="1030" t="s">
        <v>2016</v>
      </c>
      <c r="D967" s="1031">
        <f>151501+24427</f>
        <v>175928</v>
      </c>
      <c r="E967" s="1031">
        <f t="shared" si="46"/>
        <v>628.06295999999998</v>
      </c>
      <c r="F967" s="1032">
        <f t="shared" si="47"/>
        <v>1039.7344800000001</v>
      </c>
      <c r="G967" s="8" t="s">
        <v>1479</v>
      </c>
      <c r="H967" s="667" t="str">
        <f t="shared" si="45"/>
        <v>Regelzone TenneT (gesamt)</v>
      </c>
      <c r="I967" s="662"/>
    </row>
    <row r="968" spans="1:9" hidden="1" outlineLevel="1">
      <c r="A968" s="1028">
        <v>2023</v>
      </c>
      <c r="B968" s="1033" t="s">
        <v>1375</v>
      </c>
      <c r="C968" s="1030" t="s">
        <v>2016</v>
      </c>
      <c r="D968" s="1031">
        <v>4416162</v>
      </c>
      <c r="E968" s="1031">
        <f t="shared" si="46"/>
        <v>15765.698339999999</v>
      </c>
      <c r="F968" s="1032">
        <f t="shared" si="47"/>
        <v>26099.51742</v>
      </c>
      <c r="G968" s="8" t="s">
        <v>1376</v>
      </c>
      <c r="H968" s="667" t="str">
        <f t="shared" si="45"/>
        <v>Regelzone TenneT (gesamt)</v>
      </c>
      <c r="I968" s="662"/>
    </row>
    <row r="969" spans="1:9" hidden="1" outlineLevel="1">
      <c r="A969" s="1028">
        <v>2023</v>
      </c>
      <c r="B969" s="1033" t="s">
        <v>86</v>
      </c>
      <c r="C969" s="1030" t="s">
        <v>2016</v>
      </c>
      <c r="D969" s="1031">
        <v>749672.83</v>
      </c>
      <c r="E969" s="1031">
        <f t="shared" si="46"/>
        <v>2676.3320030999998</v>
      </c>
      <c r="F969" s="1032">
        <f t="shared" si="47"/>
        <v>4430.5664253000004</v>
      </c>
      <c r="G969" s="8" t="s">
        <v>87</v>
      </c>
      <c r="H969" s="667" t="str">
        <f t="shared" si="45"/>
        <v>Regelzone TenneT (gesamt)</v>
      </c>
      <c r="I969" s="662"/>
    </row>
    <row r="970" spans="1:9" hidden="1" outlineLevel="1">
      <c r="A970" s="1028">
        <v>2023</v>
      </c>
      <c r="B970" s="1033" t="s">
        <v>1907</v>
      </c>
      <c r="C970" s="1030" t="s">
        <v>2016</v>
      </c>
      <c r="D970" s="1031">
        <v>0</v>
      </c>
      <c r="E970" s="1031">
        <f t="shared" si="46"/>
        <v>0</v>
      </c>
      <c r="F970" s="1032">
        <f t="shared" si="47"/>
        <v>0</v>
      </c>
      <c r="G970" s="8" t="s">
        <v>1908</v>
      </c>
      <c r="H970" s="667" t="str">
        <f t="shared" ref="H970:H1026" si="48">+H969</f>
        <v>Regelzone TenneT (gesamt)</v>
      </c>
      <c r="I970" s="662"/>
    </row>
    <row r="971" spans="1:9" hidden="1" outlineLevel="1">
      <c r="A971" s="1028">
        <v>2023</v>
      </c>
      <c r="B971" s="1033" t="s">
        <v>1381</v>
      </c>
      <c r="C971" s="1030" t="s">
        <v>2016</v>
      </c>
      <c r="D971" s="1031">
        <v>-8751</v>
      </c>
      <c r="E971" s="1031">
        <f t="shared" si="46"/>
        <v>-31.241069999999997</v>
      </c>
      <c r="F971" s="1032">
        <f t="shared" si="47"/>
        <v>-51.718410000000006</v>
      </c>
      <c r="G971" s="8" t="s">
        <v>1382</v>
      </c>
      <c r="H971" s="667" t="str">
        <f t="shared" si="48"/>
        <v>Regelzone TenneT (gesamt)</v>
      </c>
      <c r="I971" s="662"/>
    </row>
    <row r="972" spans="1:9" hidden="1" outlineLevel="1">
      <c r="A972" s="1028">
        <v>2023</v>
      </c>
      <c r="B972" s="1033" t="s">
        <v>1383</v>
      </c>
      <c r="C972" s="1030" t="s">
        <v>2016</v>
      </c>
      <c r="D972" s="1031">
        <v>-9998</v>
      </c>
      <c r="E972" s="1031">
        <f t="shared" si="46"/>
        <v>-35.692859999999996</v>
      </c>
      <c r="F972" s="1032">
        <f t="shared" si="47"/>
        <v>-59.088180000000001</v>
      </c>
      <c r="G972" s="8" t="s">
        <v>1384</v>
      </c>
      <c r="H972" s="667" t="str">
        <f t="shared" si="48"/>
        <v>Regelzone TenneT (gesamt)</v>
      </c>
      <c r="I972" s="662"/>
    </row>
    <row r="973" spans="1:9" hidden="1" outlineLevel="1">
      <c r="A973" s="1028">
        <v>2023</v>
      </c>
      <c r="B973" s="1033" t="s">
        <v>1387</v>
      </c>
      <c r="C973" s="1030" t="s">
        <v>2016</v>
      </c>
      <c r="D973" s="1031">
        <v>-243549</v>
      </c>
      <c r="E973" s="1031">
        <f t="shared" si="46"/>
        <v>-869.46992999999998</v>
      </c>
      <c r="F973" s="1032">
        <f t="shared" si="47"/>
        <v>-1439.3745900000001</v>
      </c>
      <c r="G973" s="8" t="s">
        <v>1388</v>
      </c>
      <c r="H973" s="667" t="str">
        <f t="shared" si="48"/>
        <v>Regelzone TenneT (gesamt)</v>
      </c>
      <c r="I973" s="662"/>
    </row>
    <row r="974" spans="1:9" hidden="1" outlineLevel="1">
      <c r="A974" s="1028">
        <v>2023</v>
      </c>
      <c r="B974" s="1033" t="s">
        <v>1391</v>
      </c>
      <c r="C974" s="1030" t="s">
        <v>2016</v>
      </c>
      <c r="D974" s="1031">
        <v>7902437</v>
      </c>
      <c r="E974" s="1031">
        <f t="shared" si="46"/>
        <v>28211.700089999998</v>
      </c>
      <c r="F974" s="1032">
        <f t="shared" si="47"/>
        <v>46703.402670000003</v>
      </c>
      <c r="G974" s="8" t="s">
        <v>1392</v>
      </c>
      <c r="H974" s="667" t="str">
        <f t="shared" si="48"/>
        <v>Regelzone TenneT (gesamt)</v>
      </c>
      <c r="I974" s="662"/>
    </row>
    <row r="975" spans="1:9" hidden="1" outlineLevel="1">
      <c r="A975" s="1028">
        <v>2023</v>
      </c>
      <c r="B975" s="1033" t="s">
        <v>1395</v>
      </c>
      <c r="C975" s="1030" t="s">
        <v>2016</v>
      </c>
      <c r="D975" s="1031">
        <v>15467602</v>
      </c>
      <c r="E975" s="1031">
        <f t="shared" si="46"/>
        <v>55219.339139999996</v>
      </c>
      <c r="F975" s="1032">
        <f t="shared" si="47"/>
        <v>91413.527820000003</v>
      </c>
      <c r="G975" s="8" t="s">
        <v>2041</v>
      </c>
      <c r="H975" s="667" t="str">
        <f t="shared" si="48"/>
        <v>Regelzone TenneT (gesamt)</v>
      </c>
      <c r="I975" s="662"/>
    </row>
    <row r="976" spans="1:9" hidden="1" outlineLevel="1">
      <c r="A976" s="1028">
        <v>2023</v>
      </c>
      <c r="B976" s="1033" t="s">
        <v>1401</v>
      </c>
      <c r="C976" s="1030" t="s">
        <v>2016</v>
      </c>
      <c r="D976" s="1031">
        <v>20702305</v>
      </c>
      <c r="E976" s="1031">
        <f t="shared" si="46"/>
        <v>73907.22885</v>
      </c>
      <c r="F976" s="1032">
        <f t="shared" si="47"/>
        <v>122350.62255</v>
      </c>
      <c r="G976" s="8" t="s">
        <v>1402</v>
      </c>
      <c r="H976" s="667" t="str">
        <f t="shared" si="48"/>
        <v>Regelzone TenneT (gesamt)</v>
      </c>
      <c r="I976" s="662"/>
    </row>
    <row r="977" spans="1:9" hidden="1" outlineLevel="1">
      <c r="A977" s="1028">
        <v>2023</v>
      </c>
      <c r="B977" s="1033" t="s">
        <v>1405</v>
      </c>
      <c r="C977" s="1030" t="s">
        <v>2016</v>
      </c>
      <c r="D977" s="1031">
        <v>-26343875</v>
      </c>
      <c r="E977" s="1031">
        <f t="shared" si="46"/>
        <v>-94047.633749999994</v>
      </c>
      <c r="F977" s="1032">
        <f t="shared" si="47"/>
        <v>-155692.30125000002</v>
      </c>
      <c r="G977" s="8" t="s">
        <v>1406</v>
      </c>
      <c r="H977" s="667" t="str">
        <f t="shared" si="48"/>
        <v>Regelzone TenneT (gesamt)</v>
      </c>
      <c r="I977" s="662"/>
    </row>
    <row r="978" spans="1:9" hidden="1" outlineLevel="1">
      <c r="A978" s="1028">
        <v>2023</v>
      </c>
      <c r="B978" s="1033" t="s">
        <v>1407</v>
      </c>
      <c r="C978" s="1030" t="s">
        <v>2016</v>
      </c>
      <c r="D978" s="1031">
        <v>-7447486</v>
      </c>
      <c r="E978" s="1031">
        <f t="shared" si="46"/>
        <v>-26587.525019999997</v>
      </c>
      <c r="F978" s="1032">
        <f t="shared" si="47"/>
        <v>-44014.642260000001</v>
      </c>
      <c r="G978" s="8" t="s">
        <v>2039</v>
      </c>
      <c r="H978" s="667" t="str">
        <f t="shared" si="48"/>
        <v>Regelzone TenneT (gesamt)</v>
      </c>
      <c r="I978" s="662"/>
    </row>
    <row r="979" spans="1:9" hidden="1" outlineLevel="1">
      <c r="A979" s="1028">
        <v>2023</v>
      </c>
      <c r="B979" s="1033" t="s">
        <v>1409</v>
      </c>
      <c r="C979" s="1030" t="s">
        <v>2016</v>
      </c>
      <c r="D979" s="1031">
        <v>3133776</v>
      </c>
      <c r="E979" s="1031">
        <f t="shared" si="46"/>
        <v>11187.580319999999</v>
      </c>
      <c r="F979" s="1032">
        <f t="shared" si="47"/>
        <v>18520.616160000001</v>
      </c>
      <c r="G979" s="8" t="s">
        <v>1410</v>
      </c>
      <c r="H979" s="667" t="str">
        <f t="shared" si="48"/>
        <v>Regelzone TenneT (gesamt)</v>
      </c>
      <c r="I979" s="662"/>
    </row>
    <row r="980" spans="1:9" hidden="1" outlineLevel="1">
      <c r="A980" s="1028">
        <v>2023</v>
      </c>
      <c r="B980" s="1033" t="s">
        <v>509</v>
      </c>
      <c r="C980" s="1030" t="s">
        <v>2016</v>
      </c>
      <c r="D980" s="1031">
        <v>-29993220</v>
      </c>
      <c r="E980" s="1031">
        <f t="shared" si="46"/>
        <v>-107075.79539999999</v>
      </c>
      <c r="F980" s="1032">
        <f t="shared" si="47"/>
        <v>-177259.9302</v>
      </c>
      <c r="G980" s="8" t="s">
        <v>510</v>
      </c>
      <c r="H980" s="667" t="str">
        <f t="shared" si="48"/>
        <v>Regelzone TenneT (gesamt)</v>
      </c>
      <c r="I980" s="662"/>
    </row>
    <row r="981" spans="1:9" hidden="1" outlineLevel="1">
      <c r="A981" s="1028">
        <v>2023</v>
      </c>
      <c r="B981" s="1033" t="s">
        <v>388</v>
      </c>
      <c r="C981" s="1030" t="s">
        <v>2016</v>
      </c>
      <c r="D981" s="1031">
        <v>-10331967.778999999</v>
      </c>
      <c r="E981" s="1031">
        <f t="shared" si="46"/>
        <v>-36885.124971029996</v>
      </c>
      <c r="F981" s="1032">
        <f t="shared" si="47"/>
        <v>-61061.929573889996</v>
      </c>
      <c r="G981" s="8" t="s">
        <v>389</v>
      </c>
      <c r="H981" s="667" t="str">
        <f t="shared" si="48"/>
        <v>Regelzone TenneT (gesamt)</v>
      </c>
      <c r="I981" s="662"/>
    </row>
    <row r="982" spans="1:9" hidden="1" outlineLevel="1">
      <c r="A982" s="1028">
        <v>2023</v>
      </c>
      <c r="B982" s="1033" t="s">
        <v>724</v>
      </c>
      <c r="C982" s="1030" t="s">
        <v>2016</v>
      </c>
      <c r="D982" s="1031">
        <v>1610785</v>
      </c>
      <c r="E982" s="1031">
        <f t="shared" si="46"/>
        <v>5750.50245</v>
      </c>
      <c r="F982" s="1032">
        <f t="shared" si="47"/>
        <v>9519.7393499999998</v>
      </c>
      <c r="G982" s="8" t="s">
        <v>725</v>
      </c>
      <c r="H982" s="667" t="str">
        <f t="shared" si="48"/>
        <v>Regelzone TenneT (gesamt)</v>
      </c>
      <c r="I982" s="662"/>
    </row>
    <row r="983" spans="1:9" hidden="1" outlineLevel="1">
      <c r="A983" s="1028">
        <v>2023</v>
      </c>
      <c r="B983" s="1033" t="s">
        <v>1417</v>
      </c>
      <c r="C983" s="1030" t="s">
        <v>2016</v>
      </c>
      <c r="D983" s="1031">
        <v>-1783134</v>
      </c>
      <c r="E983" s="1031">
        <f t="shared" si="46"/>
        <v>-6365.78838</v>
      </c>
      <c r="F983" s="1032">
        <f t="shared" si="47"/>
        <v>-10538.32194</v>
      </c>
      <c r="G983" s="8" t="s">
        <v>1418</v>
      </c>
      <c r="H983" s="667" t="str">
        <f t="shared" si="48"/>
        <v>Regelzone TenneT (gesamt)</v>
      </c>
      <c r="I983" s="662"/>
    </row>
    <row r="984" spans="1:9" hidden="1" outlineLevel="1">
      <c r="A984" s="1028">
        <v>2023</v>
      </c>
      <c r="B984" s="1033" t="s">
        <v>1419</v>
      </c>
      <c r="C984" s="1030" t="s">
        <v>2016</v>
      </c>
      <c r="D984" s="1031">
        <v>-372908</v>
      </c>
      <c r="E984" s="1031">
        <f t="shared" si="46"/>
        <v>-1331.2815599999999</v>
      </c>
      <c r="F984" s="1032">
        <f t="shared" si="47"/>
        <v>-2203.8862800000002</v>
      </c>
      <c r="G984" s="8" t="s">
        <v>1420</v>
      </c>
      <c r="H984" s="667" t="str">
        <f t="shared" si="48"/>
        <v>Regelzone TenneT (gesamt)</v>
      </c>
      <c r="I984" s="662"/>
    </row>
    <row r="985" spans="1:9" hidden="1" outlineLevel="1">
      <c r="A985" s="1028">
        <v>2023</v>
      </c>
      <c r="B985" s="1033" t="s">
        <v>1425</v>
      </c>
      <c r="C985" s="1030" t="s">
        <v>2016</v>
      </c>
      <c r="D985" s="1031">
        <v>396000</v>
      </c>
      <c r="E985" s="1031">
        <f t="shared" si="46"/>
        <v>1413.72</v>
      </c>
      <c r="F985" s="1032">
        <f t="shared" si="47"/>
        <v>2340.36</v>
      </c>
      <c r="G985" s="8" t="s">
        <v>1426</v>
      </c>
      <c r="H985" s="667" t="str">
        <f t="shared" si="48"/>
        <v>Regelzone TenneT (gesamt)</v>
      </c>
      <c r="I985" s="662"/>
    </row>
    <row r="986" spans="1:9" hidden="1" outlineLevel="1">
      <c r="A986" s="1028">
        <v>2023</v>
      </c>
      <c r="B986" s="1033" t="s">
        <v>429</v>
      </c>
      <c r="C986" s="1030" t="s">
        <v>2016</v>
      </c>
      <c r="D986" s="1031">
        <v>167404</v>
      </c>
      <c r="E986" s="1031">
        <f t="shared" si="46"/>
        <v>597.63227999999992</v>
      </c>
      <c r="F986" s="1032">
        <f t="shared" si="47"/>
        <v>989.35764000000006</v>
      </c>
      <c r="G986" s="8" t="s">
        <v>430</v>
      </c>
      <c r="H986" s="667" t="str">
        <f t="shared" si="48"/>
        <v>Regelzone TenneT (gesamt)</v>
      </c>
      <c r="I986" s="662"/>
    </row>
    <row r="987" spans="1:9" hidden="1" outlineLevel="1">
      <c r="A987" s="1028">
        <v>2023</v>
      </c>
      <c r="B987" s="1033" t="s">
        <v>1429</v>
      </c>
      <c r="C987" s="1030" t="s">
        <v>2016</v>
      </c>
      <c r="D987" s="1031">
        <v>-60697</v>
      </c>
      <c r="E987" s="1031">
        <f t="shared" si="46"/>
        <v>-216.68828999999999</v>
      </c>
      <c r="F987" s="1032">
        <f t="shared" si="47"/>
        <v>-358.71926999999999</v>
      </c>
      <c r="G987" s="8" t="s">
        <v>1430</v>
      </c>
      <c r="H987" s="667" t="str">
        <f t="shared" si="48"/>
        <v>Regelzone TenneT (gesamt)</v>
      </c>
      <c r="I987" s="662"/>
    </row>
    <row r="988" spans="1:9" hidden="1" outlineLevel="1">
      <c r="A988" s="1028">
        <v>2023</v>
      </c>
      <c r="B988" s="1033" t="s">
        <v>1431</v>
      </c>
      <c r="C988" s="1030" t="s">
        <v>2016</v>
      </c>
      <c r="D988" s="1031">
        <v>-231553</v>
      </c>
      <c r="E988" s="1031">
        <f t="shared" ref="E988:E997" si="49">+D988*0.00357</f>
        <v>-826.64420999999993</v>
      </c>
      <c r="F988" s="1032">
        <f t="shared" ref="F988:F997" si="50">+D988*0.00591</f>
        <v>-1368.4782300000002</v>
      </c>
      <c r="G988" s="8" t="s">
        <v>1432</v>
      </c>
      <c r="H988" s="667" t="str">
        <f t="shared" si="48"/>
        <v>Regelzone TenneT (gesamt)</v>
      </c>
      <c r="I988" s="662"/>
    </row>
    <row r="989" spans="1:9" hidden="1" outlineLevel="1">
      <c r="A989" s="1028">
        <v>2023</v>
      </c>
      <c r="B989" s="1033" t="s">
        <v>577</v>
      </c>
      <c r="C989" s="1030" t="s">
        <v>2016</v>
      </c>
      <c r="D989" s="1031">
        <v>106421</v>
      </c>
      <c r="E989" s="1031">
        <f t="shared" si="49"/>
        <v>379.92296999999996</v>
      </c>
      <c r="F989" s="1032">
        <f t="shared" si="50"/>
        <v>628.94811000000004</v>
      </c>
      <c r="G989" s="8" t="s">
        <v>578</v>
      </c>
      <c r="H989" s="667" t="str">
        <f t="shared" si="48"/>
        <v>Regelzone TenneT (gesamt)</v>
      </c>
      <c r="I989" s="662"/>
    </row>
    <row r="990" spans="1:9" hidden="1" outlineLevel="1">
      <c r="A990" s="1028">
        <v>2023</v>
      </c>
      <c r="B990" s="1033" t="s">
        <v>1435</v>
      </c>
      <c r="C990" s="1030" t="s">
        <v>2016</v>
      </c>
      <c r="D990" s="1031">
        <v>-208158</v>
      </c>
      <c r="E990" s="1031">
        <f t="shared" si="49"/>
        <v>-743.12405999999999</v>
      </c>
      <c r="F990" s="1032">
        <f t="shared" si="50"/>
        <v>-1230.21378</v>
      </c>
      <c r="G990" s="8" t="s">
        <v>2037</v>
      </c>
      <c r="H990" s="667" t="str">
        <f t="shared" si="48"/>
        <v>Regelzone TenneT (gesamt)</v>
      </c>
      <c r="I990" s="662"/>
    </row>
    <row r="991" spans="1:9" hidden="1" outlineLevel="1">
      <c r="A991" s="1028">
        <v>2023</v>
      </c>
      <c r="B991" s="1033" t="s">
        <v>664</v>
      </c>
      <c r="C991" s="1030" t="s">
        <v>2016</v>
      </c>
      <c r="D991" s="1031">
        <v>175863</v>
      </c>
      <c r="E991" s="1031">
        <f t="shared" si="49"/>
        <v>627.83091000000002</v>
      </c>
      <c r="F991" s="1032">
        <f t="shared" si="50"/>
        <v>1039.35033</v>
      </c>
      <c r="G991" s="8" t="s">
        <v>665</v>
      </c>
      <c r="H991" s="667" t="str">
        <f t="shared" si="48"/>
        <v>Regelzone TenneT (gesamt)</v>
      </c>
      <c r="I991" s="662"/>
    </row>
    <row r="992" spans="1:9" hidden="1" outlineLevel="1">
      <c r="A992" s="1028">
        <v>2023</v>
      </c>
      <c r="B992" s="1033" t="s">
        <v>469</v>
      </c>
      <c r="C992" s="1030" t="s">
        <v>2016</v>
      </c>
      <c r="D992" s="1031">
        <v>-4479067</v>
      </c>
      <c r="E992" s="1031">
        <f t="shared" si="49"/>
        <v>-15990.269189999999</v>
      </c>
      <c r="F992" s="1032">
        <f t="shared" si="50"/>
        <v>-26471.285970000001</v>
      </c>
      <c r="G992" s="8" t="s">
        <v>1437</v>
      </c>
      <c r="H992" s="667" t="str">
        <f t="shared" si="48"/>
        <v>Regelzone TenneT (gesamt)</v>
      </c>
      <c r="I992" s="662"/>
    </row>
    <row r="993" spans="1:9" hidden="1" outlineLevel="1">
      <c r="A993" s="1028">
        <v>2023</v>
      </c>
      <c r="B993" s="1033" t="s">
        <v>1438</v>
      </c>
      <c r="C993" s="1030" t="s">
        <v>2016</v>
      </c>
      <c r="D993" s="1031">
        <v>112808</v>
      </c>
      <c r="E993" s="1031">
        <f t="shared" si="49"/>
        <v>402.72456</v>
      </c>
      <c r="F993" s="1032">
        <f t="shared" si="50"/>
        <v>666.69528000000003</v>
      </c>
      <c r="G993" s="8" t="s">
        <v>1439</v>
      </c>
      <c r="H993" s="667" t="str">
        <f t="shared" si="48"/>
        <v>Regelzone TenneT (gesamt)</v>
      </c>
      <c r="I993" s="662"/>
    </row>
    <row r="994" spans="1:9" hidden="1" outlineLevel="1">
      <c r="A994" s="1028">
        <v>2023</v>
      </c>
      <c r="B994" s="1033" t="s">
        <v>1444</v>
      </c>
      <c r="C994" s="1030" t="s">
        <v>2016</v>
      </c>
      <c r="D994" s="1031">
        <v>-1168154</v>
      </c>
      <c r="E994" s="1031">
        <f t="shared" si="49"/>
        <v>-4170.3097799999996</v>
      </c>
      <c r="F994" s="1032">
        <f t="shared" si="50"/>
        <v>-6903.7901400000001</v>
      </c>
      <c r="G994" s="8" t="s">
        <v>1445</v>
      </c>
      <c r="H994" s="667" t="str">
        <f t="shared" si="48"/>
        <v>Regelzone TenneT (gesamt)</v>
      </c>
      <c r="I994" s="662"/>
    </row>
    <row r="995" spans="1:9" hidden="1" outlineLevel="1">
      <c r="A995" s="1028">
        <v>2023</v>
      </c>
      <c r="B995" s="1033" t="s">
        <v>1446</v>
      </c>
      <c r="C995" s="1030" t="s">
        <v>2016</v>
      </c>
      <c r="D995" s="1031">
        <v>-895614</v>
      </c>
      <c r="E995" s="1031">
        <f t="shared" si="49"/>
        <v>-3197.3419799999997</v>
      </c>
      <c r="F995" s="1032">
        <f t="shared" si="50"/>
        <v>-5293.0787399999999</v>
      </c>
      <c r="G995" s="8" t="s">
        <v>1447</v>
      </c>
      <c r="H995" s="667" t="str">
        <f t="shared" si="48"/>
        <v>Regelzone TenneT (gesamt)</v>
      </c>
      <c r="I995" s="662"/>
    </row>
    <row r="996" spans="1:9" hidden="1" outlineLevel="1">
      <c r="A996" s="1028">
        <v>2023</v>
      </c>
      <c r="B996" s="1033" t="s">
        <v>1480</v>
      </c>
      <c r="C996" s="1030" t="s">
        <v>2016</v>
      </c>
      <c r="D996" s="1031">
        <v>-843854</v>
      </c>
      <c r="E996" s="1031">
        <f t="shared" si="49"/>
        <v>-3012.5587799999998</v>
      </c>
      <c r="F996" s="1032">
        <f t="shared" si="50"/>
        <v>-4987.1771400000007</v>
      </c>
      <c r="G996" s="8" t="s">
        <v>1481</v>
      </c>
      <c r="H996" s="667" t="str">
        <f t="shared" si="48"/>
        <v>Regelzone TenneT (gesamt)</v>
      </c>
      <c r="I996" s="662"/>
    </row>
    <row r="997" spans="1:9" hidden="1" outlineLevel="1">
      <c r="A997" s="1028">
        <v>2023</v>
      </c>
      <c r="B997" s="1033" t="s">
        <v>1456</v>
      </c>
      <c r="C997" s="1030" t="s">
        <v>2016</v>
      </c>
      <c r="D997" s="1031">
        <v>-2084338</v>
      </c>
      <c r="E997" s="1031">
        <f t="shared" si="49"/>
        <v>-7441.0866599999999</v>
      </c>
      <c r="F997" s="1032">
        <f t="shared" si="50"/>
        <v>-12318.43758</v>
      </c>
      <c r="G997" s="8" t="s">
        <v>1457</v>
      </c>
      <c r="H997" s="667" t="str">
        <f t="shared" si="48"/>
        <v>Regelzone TenneT (gesamt)</v>
      </c>
      <c r="I997" s="662"/>
    </row>
    <row r="998" spans="1:9" hidden="1" outlineLevel="1">
      <c r="A998" s="1028">
        <v>2023</v>
      </c>
      <c r="B998" s="1033" t="s">
        <v>1458</v>
      </c>
      <c r="C998" s="1030" t="s">
        <v>2016</v>
      </c>
      <c r="D998" s="1031">
        <v>-269767</v>
      </c>
      <c r="E998" s="1031">
        <f t="shared" ref="E998:E1013" si="51">+D998*0.00357</f>
        <v>-963.06818999999996</v>
      </c>
      <c r="F998" s="1032">
        <f t="shared" ref="F998:F1013" si="52">+D998*0.00591</f>
        <v>-1594.3229700000002</v>
      </c>
      <c r="G998" s="8" t="s">
        <v>1459</v>
      </c>
      <c r="H998" s="666" t="str">
        <f t="shared" ref="H998:H1013" si="53">+H997</f>
        <v>Regelzone TenneT (gesamt)</v>
      </c>
      <c r="I998" s="662"/>
    </row>
    <row r="999" spans="1:9" hidden="1" outlineLevel="1">
      <c r="A999" s="1028">
        <v>2023</v>
      </c>
      <c r="B999" s="1033" t="s">
        <v>172</v>
      </c>
      <c r="C999" s="1030" t="s">
        <v>2016</v>
      </c>
      <c r="D999" s="1031">
        <v>7825</v>
      </c>
      <c r="E999" s="1031">
        <f t="shared" si="51"/>
        <v>27.93525</v>
      </c>
      <c r="F999" s="1032">
        <f t="shared" si="52"/>
        <v>46.245750000000001</v>
      </c>
      <c r="G999" s="8" t="s">
        <v>173</v>
      </c>
      <c r="H999" s="666" t="str">
        <f t="shared" si="53"/>
        <v>Regelzone TenneT (gesamt)</v>
      </c>
      <c r="I999" s="662"/>
    </row>
    <row r="1000" spans="1:9" hidden="1" outlineLevel="1">
      <c r="A1000" s="1028">
        <v>2023</v>
      </c>
      <c r="B1000" s="1033" t="s">
        <v>1945</v>
      </c>
      <c r="C1000" s="1030" t="s">
        <v>2016</v>
      </c>
      <c r="D1000" s="1031">
        <v>-824697.28099999996</v>
      </c>
      <c r="E1000" s="1031">
        <f t="shared" si="51"/>
        <v>-2944.1692931699995</v>
      </c>
      <c r="F1000" s="1032">
        <f t="shared" si="52"/>
        <v>-4873.96093071</v>
      </c>
      <c r="G1000" s="8" t="s">
        <v>1946</v>
      </c>
      <c r="H1000" s="666" t="str">
        <f t="shared" si="53"/>
        <v>Regelzone TenneT (gesamt)</v>
      </c>
      <c r="I1000" s="662"/>
    </row>
    <row r="1001" spans="1:9" hidden="1" outlineLevel="1">
      <c r="A1001" s="1028">
        <v>2023</v>
      </c>
      <c r="B1001" s="1033" t="s">
        <v>356</v>
      </c>
      <c r="C1001" s="1030" t="s">
        <v>2016</v>
      </c>
      <c r="D1001" s="1031">
        <v>9448681</v>
      </c>
      <c r="E1001" s="1031">
        <f t="shared" si="51"/>
        <v>33731.791169999997</v>
      </c>
      <c r="F1001" s="1032">
        <f t="shared" si="52"/>
        <v>55841.704710000005</v>
      </c>
      <c r="G1001" s="8" t="s">
        <v>357</v>
      </c>
      <c r="H1001" s="666" t="str">
        <f t="shared" si="53"/>
        <v>Regelzone TenneT (gesamt)</v>
      </c>
      <c r="I1001" s="662"/>
    </row>
    <row r="1002" spans="1:9" hidden="1" outlineLevel="1">
      <c r="A1002" s="1028">
        <v>2023</v>
      </c>
      <c r="B1002" s="1033" t="s">
        <v>1460</v>
      </c>
      <c r="C1002" s="1030" t="s">
        <v>2016</v>
      </c>
      <c r="D1002" s="1031">
        <v>293291</v>
      </c>
      <c r="E1002" s="1031">
        <f t="shared" si="51"/>
        <v>1047.0488699999999</v>
      </c>
      <c r="F1002" s="1032">
        <f t="shared" si="52"/>
        <v>1733.3498100000002</v>
      </c>
      <c r="G1002" s="8" t="s">
        <v>1461</v>
      </c>
      <c r="H1002" s="666" t="str">
        <f t="shared" si="53"/>
        <v>Regelzone TenneT (gesamt)</v>
      </c>
      <c r="I1002" s="662"/>
    </row>
    <row r="1003" spans="1:9" hidden="1" outlineLevel="1">
      <c r="A1003" s="1028">
        <v>2023</v>
      </c>
      <c r="B1003" s="1033" t="s">
        <v>1462</v>
      </c>
      <c r="C1003" s="1030" t="s">
        <v>2016</v>
      </c>
      <c r="D1003" s="1031">
        <v>-872612</v>
      </c>
      <c r="E1003" s="1031">
        <f t="shared" si="51"/>
        <v>-3115.2248399999999</v>
      </c>
      <c r="F1003" s="1032">
        <f t="shared" si="52"/>
        <v>-5157.1369199999999</v>
      </c>
      <c r="G1003" s="8" t="s">
        <v>1463</v>
      </c>
      <c r="H1003" s="666" t="str">
        <f t="shared" si="53"/>
        <v>Regelzone TenneT (gesamt)</v>
      </c>
      <c r="I1003" s="662"/>
    </row>
    <row r="1004" spans="1:9" hidden="1" outlineLevel="1">
      <c r="A1004" s="1028">
        <v>2023</v>
      </c>
      <c r="B1004" s="1033" t="s">
        <v>1464</v>
      </c>
      <c r="C1004" s="1030" t="s">
        <v>2016</v>
      </c>
      <c r="D1004" s="1031">
        <v>-4497427.6550000003</v>
      </c>
      <c r="E1004" s="1031">
        <f t="shared" si="51"/>
        <v>-16055.816728350001</v>
      </c>
      <c r="F1004" s="1032">
        <f t="shared" si="52"/>
        <v>-26579.797441050003</v>
      </c>
      <c r="G1004" s="8" t="s">
        <v>1465</v>
      </c>
      <c r="H1004" s="666" t="str">
        <f t="shared" si="53"/>
        <v>Regelzone TenneT (gesamt)</v>
      </c>
      <c r="I1004" s="662"/>
    </row>
    <row r="1005" spans="1:9" hidden="1" outlineLevel="1">
      <c r="A1005" s="1028">
        <v>2023</v>
      </c>
      <c r="B1005" s="1033" t="s">
        <v>1466</v>
      </c>
      <c r="C1005" s="1030" t="s">
        <v>2016</v>
      </c>
      <c r="D1005" s="1031">
        <v>-1204900.25</v>
      </c>
      <c r="E1005" s="1031">
        <f t="shared" si="51"/>
        <v>-4301.4938924999997</v>
      </c>
      <c r="F1005" s="1032">
        <f t="shared" si="52"/>
        <v>-7120.9604775000007</v>
      </c>
      <c r="G1005" s="8" t="s">
        <v>1467</v>
      </c>
      <c r="H1005" s="666" t="str">
        <f t="shared" si="53"/>
        <v>Regelzone TenneT (gesamt)</v>
      </c>
      <c r="I1005" s="662"/>
    </row>
    <row r="1006" spans="1:9" hidden="1" outlineLevel="1">
      <c r="A1006" s="1028">
        <v>2023</v>
      </c>
      <c r="B1006" s="1033" t="s">
        <v>1468</v>
      </c>
      <c r="C1006" s="1030" t="s">
        <v>2016</v>
      </c>
      <c r="D1006" s="1031">
        <v>-1193143.4099999999</v>
      </c>
      <c r="E1006" s="1031">
        <f t="shared" si="51"/>
        <v>-4259.5219736999998</v>
      </c>
      <c r="F1006" s="1032">
        <f t="shared" si="52"/>
        <v>-7051.4775530999996</v>
      </c>
      <c r="G1006" s="8" t="s">
        <v>1469</v>
      </c>
      <c r="H1006" s="666" t="str">
        <f t="shared" si="53"/>
        <v>Regelzone TenneT (gesamt)</v>
      </c>
      <c r="I1006" s="662"/>
    </row>
    <row r="1007" spans="1:9" hidden="1" outlineLevel="1">
      <c r="A1007" s="1028">
        <v>2023</v>
      </c>
      <c r="B1007" s="1033" t="s">
        <v>1472</v>
      </c>
      <c r="C1007" s="1030" t="s">
        <v>2016</v>
      </c>
      <c r="D1007" s="1031">
        <f>82108+4110</f>
        <v>86218</v>
      </c>
      <c r="E1007" s="1031">
        <f t="shared" si="51"/>
        <v>307.79825999999997</v>
      </c>
      <c r="F1007" s="1032">
        <f t="shared" si="52"/>
        <v>509.54838000000001</v>
      </c>
      <c r="G1007" s="8" t="s">
        <v>1473</v>
      </c>
      <c r="H1007" s="666" t="str">
        <f t="shared" si="53"/>
        <v>Regelzone TenneT (gesamt)</v>
      </c>
      <c r="I1007" s="662"/>
    </row>
    <row r="1008" spans="1:9" hidden="1" outlineLevel="1">
      <c r="A1008" s="1028">
        <v>2023</v>
      </c>
      <c r="B1008" s="1033" t="s">
        <v>398</v>
      </c>
      <c r="C1008" s="1030" t="s">
        <v>2016</v>
      </c>
      <c r="D1008" s="1031">
        <v>111648.58</v>
      </c>
      <c r="E1008" s="1031">
        <f t="shared" si="51"/>
        <v>398.5854306</v>
      </c>
      <c r="F1008" s="1032">
        <f t="shared" si="52"/>
        <v>659.8431078000001</v>
      </c>
      <c r="G1008" s="8" t="s">
        <v>399</v>
      </c>
      <c r="H1008" s="666" t="str">
        <f t="shared" si="53"/>
        <v>Regelzone TenneT (gesamt)</v>
      </c>
      <c r="I1008" s="662"/>
    </row>
    <row r="1009" spans="1:9" hidden="1" outlineLevel="1">
      <c r="A1009" s="1028">
        <v>2023</v>
      </c>
      <c r="B1009" s="1033" t="s">
        <v>1951</v>
      </c>
      <c r="C1009" s="1030" t="s">
        <v>2016</v>
      </c>
      <c r="D1009" s="1031">
        <v>-26198</v>
      </c>
      <c r="E1009" s="1031">
        <f t="shared" si="51"/>
        <v>-93.526859999999999</v>
      </c>
      <c r="F1009" s="1032">
        <f t="shared" si="52"/>
        <v>-154.83018000000001</v>
      </c>
      <c r="G1009" s="8" t="s">
        <v>1952</v>
      </c>
      <c r="H1009" s="666" t="str">
        <f t="shared" si="53"/>
        <v>Regelzone TenneT (gesamt)</v>
      </c>
      <c r="I1009" s="662"/>
    </row>
    <row r="1010" spans="1:9" hidden="1" outlineLevel="1">
      <c r="A1010" s="1028">
        <v>2023</v>
      </c>
      <c r="B1010" s="1033" t="s">
        <v>1915</v>
      </c>
      <c r="C1010" s="1030" t="s">
        <v>2016</v>
      </c>
      <c r="D1010" s="1031">
        <v>-96992</v>
      </c>
      <c r="E1010" s="1031">
        <f t="shared" si="51"/>
        <v>-346.26143999999999</v>
      </c>
      <c r="F1010" s="1032">
        <f t="shared" si="52"/>
        <v>-573.22271999999998</v>
      </c>
      <c r="G1010" s="8" t="s">
        <v>1916</v>
      </c>
      <c r="H1010" s="666" t="str">
        <f t="shared" si="53"/>
        <v>Regelzone TenneT (gesamt)</v>
      </c>
      <c r="I1010" s="662"/>
    </row>
    <row r="1011" spans="1:9" hidden="1" outlineLevel="1">
      <c r="A1011" s="1028">
        <v>2023</v>
      </c>
      <c r="B1011" s="1033" t="s">
        <v>1084</v>
      </c>
      <c r="C1011" s="1030" t="s">
        <v>2016</v>
      </c>
      <c r="D1011" s="1031">
        <v>146532</v>
      </c>
      <c r="E1011" s="1031">
        <f t="shared" si="51"/>
        <v>523.11923999999999</v>
      </c>
      <c r="F1011" s="1032">
        <f t="shared" si="52"/>
        <v>866.00412000000006</v>
      </c>
      <c r="G1011" s="8" t="s">
        <v>1085</v>
      </c>
      <c r="H1011" s="666" t="str">
        <f t="shared" si="53"/>
        <v>Regelzone TenneT (gesamt)</v>
      </c>
      <c r="I1011" s="662"/>
    </row>
    <row r="1012" spans="1:9" hidden="1" outlineLevel="1">
      <c r="A1012" s="1028">
        <v>2023</v>
      </c>
      <c r="B1012" s="1033" t="s">
        <v>1897</v>
      </c>
      <c r="C1012" s="1030" t="s">
        <v>2016</v>
      </c>
      <c r="D1012" s="1031">
        <v>3405</v>
      </c>
      <c r="E1012" s="1031">
        <f t="shared" si="51"/>
        <v>12.155849999999999</v>
      </c>
      <c r="F1012" s="1032">
        <f t="shared" si="52"/>
        <v>20.123550000000002</v>
      </c>
      <c r="G1012" s="8" t="s">
        <v>1898</v>
      </c>
      <c r="H1012" s="666" t="str">
        <f t="shared" si="53"/>
        <v>Regelzone TenneT (gesamt)</v>
      </c>
      <c r="I1012" s="662"/>
    </row>
    <row r="1013" spans="1:9" hidden="1" outlineLevel="1">
      <c r="A1013" s="1028">
        <v>2023</v>
      </c>
      <c r="B1013" s="1033" t="s">
        <v>886</v>
      </c>
      <c r="C1013" s="1030" t="s">
        <v>2016</v>
      </c>
      <c r="D1013" s="1031">
        <v>376474</v>
      </c>
      <c r="E1013" s="1031">
        <f t="shared" si="51"/>
        <v>1344.0121799999999</v>
      </c>
      <c r="F1013" s="1032">
        <f t="shared" si="52"/>
        <v>2224.9613400000003</v>
      </c>
      <c r="G1013" s="8" t="s">
        <v>887</v>
      </c>
      <c r="H1013" s="666" t="str">
        <f t="shared" si="53"/>
        <v>Regelzone TenneT (gesamt)</v>
      </c>
      <c r="I1013" s="662"/>
    </row>
    <row r="1014" spans="1:9" hidden="1" outlineLevel="1">
      <c r="A1014" s="1028">
        <v>2023</v>
      </c>
      <c r="B1014" s="1033" t="s">
        <v>910</v>
      </c>
      <c r="C1014" s="1030" t="s">
        <v>2017</v>
      </c>
      <c r="D1014" s="1031">
        <v>4366972</v>
      </c>
      <c r="E1014" s="1034">
        <v>1747</v>
      </c>
      <c r="F1014" s="1032">
        <v>1747</v>
      </c>
      <c r="G1014" s="8" t="s">
        <v>911</v>
      </c>
      <c r="H1014" s="667" t="str">
        <f>+H997</f>
        <v>Regelzone TenneT (gesamt)</v>
      </c>
      <c r="I1014" s="662"/>
    </row>
    <row r="1015" spans="1:9" hidden="1" outlineLevel="1">
      <c r="A1015" s="1028">
        <v>2023</v>
      </c>
      <c r="B1015" s="1033" t="s">
        <v>1204</v>
      </c>
      <c r="C1015" s="1030" t="s">
        <v>2017</v>
      </c>
      <c r="D1015" s="1031">
        <v>-5006595</v>
      </c>
      <c r="E1015" s="1034">
        <v>-2003</v>
      </c>
      <c r="F1015" s="1032">
        <v>-2003</v>
      </c>
      <c r="G1015" s="8" t="s">
        <v>1205</v>
      </c>
      <c r="H1015" s="667" t="str">
        <f t="shared" si="48"/>
        <v>Regelzone TenneT (gesamt)</v>
      </c>
      <c r="I1015" s="662"/>
    </row>
    <row r="1016" spans="1:9" hidden="1" outlineLevel="1">
      <c r="A1016" s="1028">
        <v>2023</v>
      </c>
      <c r="B1016" s="1033" t="s">
        <v>577</v>
      </c>
      <c r="C1016" s="1030" t="s">
        <v>2017</v>
      </c>
      <c r="D1016" s="1031">
        <v>5000350</v>
      </c>
      <c r="E1016" s="1034">
        <v>2000</v>
      </c>
      <c r="F1016" s="1032">
        <v>2000</v>
      </c>
      <c r="G1016" s="8" t="s">
        <v>578</v>
      </c>
      <c r="H1016" s="667" t="str">
        <f t="shared" si="48"/>
        <v>Regelzone TenneT (gesamt)</v>
      </c>
      <c r="I1016" s="662"/>
    </row>
    <row r="1017" spans="1:9" hidden="1" outlineLevel="1">
      <c r="A1017" s="1028">
        <v>2023</v>
      </c>
      <c r="B1017" s="1033" t="s">
        <v>1282</v>
      </c>
      <c r="C1017" s="1030" t="s">
        <v>2042</v>
      </c>
      <c r="D1017" s="1031">
        <v>6759110</v>
      </c>
      <c r="E1017" s="1034">
        <v>2028</v>
      </c>
      <c r="F1017" s="1032">
        <v>2028</v>
      </c>
      <c r="G1017" s="8" t="s">
        <v>2036</v>
      </c>
      <c r="H1017" s="667" t="str">
        <f t="shared" si="48"/>
        <v>Regelzone TenneT (gesamt)</v>
      </c>
      <c r="I1017" s="662"/>
    </row>
    <row r="1018" spans="1:9" hidden="1" outlineLevel="1">
      <c r="A1018" s="1028">
        <v>2023</v>
      </c>
      <c r="B1018" s="1033" t="s">
        <v>577</v>
      </c>
      <c r="C1018" s="1030" t="s">
        <v>2042</v>
      </c>
      <c r="D1018" s="1031">
        <v>7754574</v>
      </c>
      <c r="E1018" s="1034">
        <v>2326</v>
      </c>
      <c r="F1018" s="1032">
        <v>2326</v>
      </c>
      <c r="G1018" s="8" t="s">
        <v>578</v>
      </c>
      <c r="H1018" s="667" t="str">
        <f t="shared" si="48"/>
        <v>Regelzone TenneT (gesamt)</v>
      </c>
      <c r="I1018" s="662"/>
    </row>
    <row r="1019" spans="1:9" hidden="1" outlineLevel="1">
      <c r="A1019" s="1028">
        <v>2023</v>
      </c>
      <c r="B1019" s="1033" t="s">
        <v>1875</v>
      </c>
      <c r="C1019" s="1030" t="s">
        <v>2018</v>
      </c>
      <c r="D1019" s="1031">
        <v>-5943</v>
      </c>
      <c r="E1019" s="1034">
        <v>0</v>
      </c>
      <c r="F1019" s="1032">
        <v>0</v>
      </c>
      <c r="G1019" s="8" t="s">
        <v>1876</v>
      </c>
      <c r="H1019" s="667" t="str">
        <f t="shared" si="48"/>
        <v>Regelzone TenneT (gesamt)</v>
      </c>
      <c r="I1019" s="662"/>
    </row>
    <row r="1020" spans="1:9" hidden="1" outlineLevel="1">
      <c r="A1020" s="1028">
        <v>2023</v>
      </c>
      <c r="B1020" s="1033" t="s">
        <v>1204</v>
      </c>
      <c r="C1020" s="1030" t="s">
        <v>2018</v>
      </c>
      <c r="D1020" s="1031">
        <v>594048</v>
      </c>
      <c r="E1020" s="1034">
        <v>-2121</v>
      </c>
      <c r="F1020" s="1032">
        <v>-3511</v>
      </c>
      <c r="G1020" s="8" t="s">
        <v>1205</v>
      </c>
      <c r="H1020" s="667" t="str">
        <f t="shared" si="48"/>
        <v>Regelzone TenneT (gesamt)</v>
      </c>
      <c r="I1020" s="662"/>
    </row>
    <row r="1021" spans="1:9" hidden="1" outlineLevel="1">
      <c r="A1021" s="1028">
        <v>2023</v>
      </c>
      <c r="B1021" s="1033" t="s">
        <v>724</v>
      </c>
      <c r="C1021" s="1030" t="s">
        <v>2018</v>
      </c>
      <c r="D1021" s="1031">
        <v>3287953</v>
      </c>
      <c r="E1021" s="1034">
        <v>-11738</v>
      </c>
      <c r="F1021" s="1032">
        <v>-19432</v>
      </c>
      <c r="G1021" s="8" t="s">
        <v>725</v>
      </c>
      <c r="H1021" s="667" t="str">
        <f t="shared" si="48"/>
        <v>Regelzone TenneT (gesamt)</v>
      </c>
      <c r="I1021" s="662"/>
    </row>
    <row r="1022" spans="1:9" hidden="1" outlineLevel="1">
      <c r="A1022" s="1028">
        <v>2023</v>
      </c>
      <c r="B1022" s="1033" t="s">
        <v>1875</v>
      </c>
      <c r="C1022" s="1030" t="s">
        <v>2030</v>
      </c>
      <c r="D1022" s="1031">
        <v>-152818</v>
      </c>
      <c r="E1022" s="1034">
        <v>-546</v>
      </c>
      <c r="F1022" s="1032">
        <v>-903</v>
      </c>
      <c r="G1022" s="8" t="s">
        <v>1876</v>
      </c>
      <c r="H1022" s="667" t="str">
        <f t="shared" si="48"/>
        <v>Regelzone TenneT (gesamt)</v>
      </c>
      <c r="I1022" s="662"/>
    </row>
    <row r="1023" spans="1:9" hidden="1" outlineLevel="1">
      <c r="A1023" s="1028">
        <v>2023</v>
      </c>
      <c r="B1023" s="1033" t="s">
        <v>1292</v>
      </c>
      <c r="C1023" s="1030" t="s">
        <v>2030</v>
      </c>
      <c r="D1023" s="1031">
        <v>-232032</v>
      </c>
      <c r="E1023" s="1034">
        <v>-835</v>
      </c>
      <c r="F1023" s="1032">
        <v>-1369</v>
      </c>
      <c r="G1023" s="8" t="s">
        <v>1293</v>
      </c>
      <c r="H1023" s="667" t="str">
        <f t="shared" si="48"/>
        <v>Regelzone TenneT (gesamt)</v>
      </c>
      <c r="I1023" s="662"/>
    </row>
    <row r="1024" spans="1:9" hidden="1" outlineLevel="1">
      <c r="A1024" s="1028">
        <v>2023</v>
      </c>
      <c r="B1024" s="1033" t="s">
        <v>1907</v>
      </c>
      <c r="C1024" s="1030" t="s">
        <v>2030</v>
      </c>
      <c r="D1024" s="1031">
        <v>-177500</v>
      </c>
      <c r="E1024" s="1034">
        <v>-63</v>
      </c>
      <c r="F1024" s="1032">
        <v>-105</v>
      </c>
      <c r="G1024" s="8" t="s">
        <v>1908</v>
      </c>
      <c r="H1024" s="667" t="str">
        <f t="shared" si="48"/>
        <v>Regelzone TenneT (gesamt)</v>
      </c>
      <c r="I1024" s="662"/>
    </row>
    <row r="1025" spans="1:9" hidden="1" outlineLevel="1">
      <c r="A1025" s="1028">
        <v>2023</v>
      </c>
      <c r="B1025" s="1033" t="s">
        <v>1292</v>
      </c>
      <c r="C1025" s="1040" t="s">
        <v>2043</v>
      </c>
      <c r="D1025" s="1031">
        <v>-19847</v>
      </c>
      <c r="E1025" s="1034">
        <v>-71</v>
      </c>
      <c r="F1025" s="1032">
        <v>-117</v>
      </c>
      <c r="G1025" s="8" t="s">
        <v>1293</v>
      </c>
      <c r="H1025" s="667" t="str">
        <f t="shared" si="48"/>
        <v>Regelzone TenneT (gesamt)</v>
      </c>
      <c r="I1025" s="662"/>
    </row>
    <row r="1026" spans="1:9" ht="13.5" hidden="1" outlineLevel="1" thickBot="1">
      <c r="A1026" s="1028">
        <v>2023</v>
      </c>
      <c r="B1026" s="1033" t="s">
        <v>1907</v>
      </c>
      <c r="C1026" s="1035" t="s">
        <v>2043</v>
      </c>
      <c r="D1026" s="1036">
        <v>-6342</v>
      </c>
      <c r="E1026" s="1036">
        <v>-23</v>
      </c>
      <c r="F1026" s="1039">
        <v>-37</v>
      </c>
      <c r="G1026" s="8" t="s">
        <v>1908</v>
      </c>
      <c r="H1026" s="667" t="str">
        <f t="shared" si="48"/>
        <v>Regelzone TenneT (gesamt)</v>
      </c>
      <c r="I1026" s="662"/>
    </row>
    <row r="1027" spans="1:9" ht="19.5" customHeight="1" collapsed="1" thickBot="1">
      <c r="A1027" s="1077" t="s">
        <v>2044</v>
      </c>
      <c r="B1027" s="1078"/>
      <c r="C1027" s="1079"/>
      <c r="D1027" s="1080">
        <f>SUM(D647:D1026)-D1022-D1023-D1024-D1025-D1026</f>
        <v>-58701221.697000012</v>
      </c>
      <c r="E1027" s="1081">
        <f>SUM(E647:E1026)</f>
        <v>-293173.77609370992</v>
      </c>
      <c r="F1027" s="1082">
        <f>SUM(F647:F1026)</f>
        <v>-402372.38073823013</v>
      </c>
      <c r="G1027"/>
      <c r="H1027" s="666"/>
      <c r="I1027" s="662"/>
    </row>
    <row r="1028" spans="1:9" hidden="1">
      <c r="A1028" s="1058"/>
      <c r="B1028" s="1058"/>
      <c r="C1028" s="2"/>
      <c r="D1028" s="1083"/>
      <c r="E1028" s="1083"/>
      <c r="F1028" s="1083"/>
      <c r="G1028"/>
      <c r="H1028" s="666"/>
      <c r="I1028" s="662"/>
    </row>
    <row r="1029" spans="1:9" hidden="1">
      <c r="A1029" s="1058"/>
      <c r="B1029" s="1058"/>
      <c r="C1029" s="2"/>
      <c r="D1029" s="1083"/>
      <c r="E1029" s="1083"/>
      <c r="F1029" s="1083"/>
      <c r="G1029"/>
      <c r="H1029" s="666"/>
      <c r="I1029" s="662"/>
    </row>
    <row r="1030" spans="1:9" hidden="1">
      <c r="A1030" s="1058"/>
      <c r="B1030" s="1058"/>
      <c r="C1030" s="2"/>
      <c r="D1030" s="1083"/>
      <c r="E1030" s="1083"/>
      <c r="F1030" s="1083"/>
      <c r="G1030"/>
      <c r="H1030" s="666"/>
      <c r="I1030" s="662"/>
    </row>
    <row r="1031" spans="1:9" hidden="1">
      <c r="A1031" s="1058"/>
      <c r="B1031" s="1058"/>
      <c r="C1031" s="2"/>
      <c r="D1031" s="1083"/>
      <c r="E1031" s="1083"/>
      <c r="F1031" s="1083"/>
      <c r="G1031"/>
      <c r="H1031" s="666"/>
      <c r="I1031" s="662"/>
    </row>
    <row r="1032" spans="1:9" hidden="1">
      <c r="A1032" s="1058"/>
      <c r="B1032" s="1058"/>
      <c r="C1032" s="2"/>
      <c r="D1032" s="1083"/>
      <c r="E1032" s="1083"/>
      <c r="F1032" s="1083"/>
      <c r="G1032"/>
      <c r="H1032" s="666"/>
      <c r="I1032" s="662"/>
    </row>
    <row r="1033" spans="1:9" hidden="1">
      <c r="A1033" s="1058"/>
      <c r="B1033" s="1058"/>
      <c r="C1033" s="2"/>
      <c r="D1033" s="1083"/>
      <c r="E1033" s="1083"/>
      <c r="F1033" s="1083"/>
      <c r="G1033"/>
      <c r="H1033" s="666"/>
      <c r="I1033" s="662"/>
    </row>
    <row r="1034" spans="1:9" hidden="1">
      <c r="A1034" s="1058"/>
      <c r="B1034" s="1058"/>
      <c r="C1034" s="2"/>
      <c r="D1034" s="1083"/>
      <c r="E1034" s="1083"/>
      <c r="F1034" s="1083"/>
      <c r="G1034"/>
      <c r="H1034" s="666"/>
      <c r="I1034" s="662"/>
    </row>
    <row r="1035" spans="1:9" hidden="1">
      <c r="A1035" s="1058"/>
      <c r="B1035" s="1058"/>
      <c r="C1035" s="2"/>
      <c r="D1035" s="1083"/>
      <c r="E1035" s="1083"/>
      <c r="F1035" s="1083"/>
      <c r="G1035"/>
      <c r="H1035" s="666"/>
      <c r="I1035" s="662"/>
    </row>
    <row r="1036" spans="1:9" hidden="1">
      <c r="A1036" s="1058"/>
      <c r="B1036" s="1058"/>
      <c r="C1036" s="2"/>
      <c r="D1036" s="73"/>
      <c r="E1036" s="73"/>
      <c r="F1036" s="73"/>
      <c r="H1036" s="666"/>
      <c r="I1036" s="662"/>
    </row>
    <row r="1037" spans="1:9">
      <c r="A1037" s="1058"/>
      <c r="B1037" s="1058"/>
      <c r="C1037" s="2"/>
      <c r="D1037" s="73"/>
      <c r="E1037" s="73"/>
      <c r="F1037" s="73"/>
      <c r="H1037" s="666"/>
      <c r="I1037" s="662"/>
    </row>
    <row r="1038" spans="1:9">
      <c r="A1038" s="16" t="s">
        <v>2045</v>
      </c>
      <c r="C1038" s="1"/>
      <c r="D1038" s="1084"/>
      <c r="E1038" s="1084"/>
      <c r="F1038" s="387"/>
      <c r="H1038" s="666"/>
      <c r="I1038" s="662"/>
    </row>
    <row r="1039" spans="1:9" ht="15" thickBot="1">
      <c r="A1039" s="87"/>
      <c r="B1039" s="65"/>
      <c r="C1039" s="1"/>
      <c r="D1039" s="186"/>
      <c r="E1039" s="186"/>
      <c r="H1039" s="666"/>
      <c r="I1039" s="662"/>
    </row>
    <row r="1040" spans="1:9" ht="89.25" customHeight="1">
      <c r="A1040" s="937" t="s">
        <v>1739</v>
      </c>
      <c r="B1040" s="1085" t="s">
        <v>2011</v>
      </c>
      <c r="C1040" s="938" t="s">
        <v>2012</v>
      </c>
      <c r="D1040" s="939" t="s">
        <v>2013</v>
      </c>
      <c r="E1040" s="940" t="s">
        <v>2014</v>
      </c>
      <c r="F1040" s="941" t="s">
        <v>2015</v>
      </c>
      <c r="H1040" s="666"/>
      <c r="I1040" s="662"/>
    </row>
    <row r="1041" spans="1:10" ht="13.5" thickBot="1">
      <c r="A1041" s="942"/>
      <c r="B1041" s="556"/>
      <c r="C1041" s="560"/>
      <c r="D1041" s="581" t="s">
        <v>84</v>
      </c>
      <c r="E1041" s="583" t="s">
        <v>1722</v>
      </c>
      <c r="F1041" s="943" t="s">
        <v>1722</v>
      </c>
      <c r="H1041" s="666"/>
      <c r="I1041" s="662"/>
    </row>
    <row r="1042" spans="1:10" ht="13.5" hidden="1" outlineLevel="1" thickBot="1">
      <c r="A1042" s="944">
        <v>2020</v>
      </c>
      <c r="B1042" s="77" t="s">
        <v>1645</v>
      </c>
      <c r="C1042" s="59" t="s">
        <v>2016</v>
      </c>
      <c r="D1042" s="47">
        <v>-44045</v>
      </c>
      <c r="E1042" s="249">
        <v>-99</v>
      </c>
      <c r="F1042" s="945">
        <v>-183.23</v>
      </c>
      <c r="G1042" s="8" t="s">
        <v>1646</v>
      </c>
      <c r="H1042" s="666" t="s">
        <v>1486</v>
      </c>
      <c r="I1042" s="662"/>
      <c r="J1042"/>
    </row>
    <row r="1043" spans="1:10" hidden="1" outlineLevel="1">
      <c r="A1043" s="944">
        <v>2021</v>
      </c>
      <c r="B1043" s="77" t="s">
        <v>1489</v>
      </c>
      <c r="C1043" s="59" t="s">
        <v>2016</v>
      </c>
      <c r="D1043" s="47">
        <v>-34284</v>
      </c>
      <c r="E1043" s="249">
        <v>-87</v>
      </c>
      <c r="F1043" s="945">
        <v>-135.41999999999999</v>
      </c>
      <c r="G1043" s="8" t="s">
        <v>1490</v>
      </c>
      <c r="H1043" s="666" t="s">
        <v>1486</v>
      </c>
      <c r="I1043" s="662"/>
      <c r="J1043"/>
    </row>
    <row r="1044" spans="1:10" hidden="1" outlineLevel="1">
      <c r="A1044" s="946">
        <v>2021</v>
      </c>
      <c r="B1044" s="75" t="s">
        <v>655</v>
      </c>
      <c r="C1044" s="126" t="s">
        <v>2016</v>
      </c>
      <c r="D1044" s="57">
        <v>-49901</v>
      </c>
      <c r="E1044" s="58">
        <v>-126.75</v>
      </c>
      <c r="F1044" s="947">
        <v>-197.11</v>
      </c>
      <c r="G1044" s="8" t="s">
        <v>578</v>
      </c>
      <c r="H1044" s="666" t="s">
        <v>1486</v>
      </c>
      <c r="I1044" s="662"/>
      <c r="J1044"/>
    </row>
    <row r="1045" spans="1:10" hidden="1" outlineLevel="1">
      <c r="A1045" s="946">
        <v>2021</v>
      </c>
      <c r="B1045" s="75" t="s">
        <v>655</v>
      </c>
      <c r="C1045" s="126" t="s">
        <v>2017</v>
      </c>
      <c r="D1045" s="48">
        <v>-493299</v>
      </c>
      <c r="E1045" s="48">
        <v>-197.32</v>
      </c>
      <c r="F1045" s="948">
        <v>-197.32</v>
      </c>
      <c r="G1045" s="8" t="s">
        <v>578</v>
      </c>
      <c r="H1045" s="666" t="s">
        <v>1486</v>
      </c>
      <c r="I1045" s="662"/>
      <c r="J1045"/>
    </row>
    <row r="1046" spans="1:10" hidden="1" outlineLevel="1">
      <c r="A1046" s="946">
        <v>2021</v>
      </c>
      <c r="B1046" s="75" t="s">
        <v>655</v>
      </c>
      <c r="C1046" s="126" t="s">
        <v>2022</v>
      </c>
      <c r="D1046" s="57">
        <v>133451</v>
      </c>
      <c r="E1046" s="58">
        <v>40.04</v>
      </c>
      <c r="F1046" s="947">
        <v>40.04</v>
      </c>
      <c r="G1046" s="8" t="s">
        <v>578</v>
      </c>
      <c r="H1046" s="666" t="s">
        <v>1486</v>
      </c>
      <c r="I1046" s="662"/>
      <c r="J1046"/>
    </row>
    <row r="1047" spans="1:10" hidden="1" outlineLevel="1">
      <c r="A1047" s="946">
        <v>2021</v>
      </c>
      <c r="B1047" s="75" t="s">
        <v>1493</v>
      </c>
      <c r="C1047" s="126" t="s">
        <v>2016</v>
      </c>
      <c r="D1047" s="48">
        <v>-529560</v>
      </c>
      <c r="E1047" s="48">
        <v>-1345.08</v>
      </c>
      <c r="F1047" s="948">
        <v>-2091.7600000000002</v>
      </c>
      <c r="G1047" s="8" t="s">
        <v>1494</v>
      </c>
      <c r="H1047" s="666" t="s">
        <v>1486</v>
      </c>
      <c r="I1047" s="662"/>
      <c r="J1047"/>
    </row>
    <row r="1048" spans="1:10" hidden="1" outlineLevel="1">
      <c r="A1048" s="946">
        <v>2021</v>
      </c>
      <c r="B1048" s="75" t="s">
        <v>1495</v>
      </c>
      <c r="C1048" s="126" t="s">
        <v>2016</v>
      </c>
      <c r="D1048" s="57">
        <v>-4301131</v>
      </c>
      <c r="E1048" s="58">
        <v>-10924.87</v>
      </c>
      <c r="F1048" s="947">
        <v>-16989.47</v>
      </c>
      <c r="G1048" s="8" t="s">
        <v>1496</v>
      </c>
      <c r="H1048" s="666" t="s">
        <v>1486</v>
      </c>
      <c r="I1048" s="662"/>
      <c r="J1048"/>
    </row>
    <row r="1049" spans="1:10" hidden="1" outlineLevel="1">
      <c r="A1049" s="946">
        <v>2021</v>
      </c>
      <c r="B1049" s="75" t="s">
        <v>1497</v>
      </c>
      <c r="C1049" s="126" t="s">
        <v>2016</v>
      </c>
      <c r="D1049" s="48">
        <v>-5369</v>
      </c>
      <c r="E1049" s="48">
        <v>-13.64</v>
      </c>
      <c r="F1049" s="948">
        <v>-21.21</v>
      </c>
      <c r="G1049" s="8" t="s">
        <v>1498</v>
      </c>
      <c r="H1049" s="666" t="s">
        <v>1486</v>
      </c>
      <c r="I1049" s="662"/>
      <c r="J1049"/>
    </row>
    <row r="1050" spans="1:10" hidden="1" outlineLevel="1">
      <c r="A1050" s="946">
        <v>2021</v>
      </c>
      <c r="B1050" s="75" t="s">
        <v>1503</v>
      </c>
      <c r="C1050" s="126" t="s">
        <v>2016</v>
      </c>
      <c r="D1050" s="57">
        <v>-5522</v>
      </c>
      <c r="E1050" s="58">
        <v>-14.03</v>
      </c>
      <c r="F1050" s="947">
        <v>-21.81</v>
      </c>
      <c r="G1050" s="8" t="s">
        <v>1504</v>
      </c>
      <c r="H1050" s="666" t="s">
        <v>1486</v>
      </c>
      <c r="I1050" s="662"/>
      <c r="J1050"/>
    </row>
    <row r="1051" spans="1:10" hidden="1" outlineLevel="1">
      <c r="A1051" s="946">
        <v>2021</v>
      </c>
      <c r="B1051" s="75" t="s">
        <v>1505</v>
      </c>
      <c r="C1051" s="126" t="s">
        <v>2016</v>
      </c>
      <c r="D1051" s="48">
        <v>-3246</v>
      </c>
      <c r="E1051" s="48">
        <v>-8.24</v>
      </c>
      <c r="F1051" s="948">
        <v>-12.82</v>
      </c>
      <c r="G1051" s="8" t="s">
        <v>1506</v>
      </c>
      <c r="H1051" s="666" t="s">
        <v>1486</v>
      </c>
      <c r="I1051" s="662"/>
      <c r="J1051"/>
    </row>
    <row r="1052" spans="1:10" hidden="1" outlineLevel="1">
      <c r="A1052" s="946">
        <v>2021</v>
      </c>
      <c r="B1052" s="75" t="s">
        <v>1511</v>
      </c>
      <c r="C1052" s="126" t="s">
        <v>2016</v>
      </c>
      <c r="D1052" s="57">
        <v>-70</v>
      </c>
      <c r="E1052" s="58">
        <v>-0.18</v>
      </c>
      <c r="F1052" s="947">
        <v>-0.28000000000000003</v>
      </c>
      <c r="G1052" s="8" t="s">
        <v>1512</v>
      </c>
      <c r="H1052" s="666" t="s">
        <v>1486</v>
      </c>
      <c r="I1052" s="662"/>
      <c r="J1052"/>
    </row>
    <row r="1053" spans="1:10" hidden="1" outlineLevel="1">
      <c r="A1053" s="946">
        <v>2021</v>
      </c>
      <c r="B1053" s="75" t="s">
        <v>1513</v>
      </c>
      <c r="C1053" s="126" t="s">
        <v>2016</v>
      </c>
      <c r="D1053" s="48">
        <v>62957</v>
      </c>
      <c r="E1053" s="48">
        <v>159.91</v>
      </c>
      <c r="F1053" s="948">
        <v>248.68</v>
      </c>
      <c r="G1053" s="8" t="s">
        <v>1514</v>
      </c>
      <c r="H1053" s="666" t="s">
        <v>1486</v>
      </c>
      <c r="I1053" s="662"/>
      <c r="J1053"/>
    </row>
    <row r="1054" spans="1:10" hidden="1" outlineLevel="1">
      <c r="A1054" s="946">
        <v>2021</v>
      </c>
      <c r="B1054" s="75" t="s">
        <v>1517</v>
      </c>
      <c r="C1054" s="126" t="s">
        <v>2016</v>
      </c>
      <c r="D1054" s="57">
        <v>778033</v>
      </c>
      <c r="E1054" s="58">
        <v>1976.2</v>
      </c>
      <c r="F1054" s="947">
        <v>3073.23</v>
      </c>
      <c r="G1054" s="8" t="s">
        <v>1518</v>
      </c>
      <c r="H1054" s="666" t="s">
        <v>1486</v>
      </c>
      <c r="I1054" s="662"/>
      <c r="J1054"/>
    </row>
    <row r="1055" spans="1:10" hidden="1" outlineLevel="1">
      <c r="A1055" s="946">
        <v>2021</v>
      </c>
      <c r="B1055" s="75" t="s">
        <v>1519</v>
      </c>
      <c r="C1055" s="126" t="s">
        <v>2016</v>
      </c>
      <c r="D1055" s="48">
        <v>-6256</v>
      </c>
      <c r="E1055" s="48">
        <v>-15.89</v>
      </c>
      <c r="F1055" s="948">
        <v>-24.71</v>
      </c>
      <c r="G1055" s="8" t="s">
        <v>1520</v>
      </c>
      <c r="H1055" s="666" t="s">
        <v>1486</v>
      </c>
      <c r="I1055" s="662"/>
      <c r="J1055"/>
    </row>
    <row r="1056" spans="1:10" hidden="1" outlineLevel="1">
      <c r="A1056" s="946">
        <v>2021</v>
      </c>
      <c r="B1056" s="75" t="s">
        <v>1521</v>
      </c>
      <c r="C1056" s="126" t="s">
        <v>2016</v>
      </c>
      <c r="D1056" s="57">
        <v>60976</v>
      </c>
      <c r="E1056" s="58">
        <v>154.88</v>
      </c>
      <c r="F1056" s="947">
        <v>240.86</v>
      </c>
      <c r="G1056" s="8" t="s">
        <v>1522</v>
      </c>
      <c r="H1056" s="666" t="s">
        <v>1486</v>
      </c>
      <c r="I1056" s="662"/>
      <c r="J1056"/>
    </row>
    <row r="1057" spans="1:10" hidden="1" outlineLevel="1">
      <c r="A1057" s="946">
        <v>2021</v>
      </c>
      <c r="B1057" s="75" t="s">
        <v>1523</v>
      </c>
      <c r="C1057" s="126" t="s">
        <v>2016</v>
      </c>
      <c r="D1057" s="48">
        <v>1325</v>
      </c>
      <c r="E1057" s="48">
        <v>3.37</v>
      </c>
      <c r="F1057" s="948">
        <v>5.23</v>
      </c>
      <c r="G1057" s="8" t="s">
        <v>1524</v>
      </c>
      <c r="H1057" s="666" t="s">
        <v>1486</v>
      </c>
      <c r="I1057" s="662"/>
      <c r="J1057"/>
    </row>
    <row r="1058" spans="1:10" hidden="1" outlineLevel="1">
      <c r="A1058" s="946">
        <v>2021</v>
      </c>
      <c r="B1058" s="75" t="s">
        <v>1529</v>
      </c>
      <c r="C1058" s="126" t="s">
        <v>2016</v>
      </c>
      <c r="D1058" s="57">
        <v>-76947</v>
      </c>
      <c r="E1058" s="58">
        <v>-195.45</v>
      </c>
      <c r="F1058" s="947">
        <v>-303.94</v>
      </c>
      <c r="G1058" s="8" t="s">
        <v>1530</v>
      </c>
      <c r="H1058" s="666" t="s">
        <v>1486</v>
      </c>
      <c r="I1058" s="662"/>
      <c r="J1058"/>
    </row>
    <row r="1059" spans="1:10" hidden="1" outlineLevel="1">
      <c r="A1059" s="946">
        <v>2021</v>
      </c>
      <c r="B1059" s="75" t="s">
        <v>1537</v>
      </c>
      <c r="C1059" s="126" t="s">
        <v>2016</v>
      </c>
      <c r="D1059" s="48">
        <v>13834</v>
      </c>
      <c r="E1059" s="48">
        <v>35.14</v>
      </c>
      <c r="F1059" s="948">
        <v>54.64</v>
      </c>
      <c r="G1059" s="8" t="s">
        <v>1538</v>
      </c>
      <c r="H1059" s="666" t="s">
        <v>1486</v>
      </c>
      <c r="I1059" s="662"/>
      <c r="J1059"/>
    </row>
    <row r="1060" spans="1:10" hidden="1" outlineLevel="1">
      <c r="A1060" s="946">
        <v>2021</v>
      </c>
      <c r="B1060" s="75" t="s">
        <v>86</v>
      </c>
      <c r="C1060" s="126" t="s">
        <v>2016</v>
      </c>
      <c r="D1060" s="57">
        <v>4559</v>
      </c>
      <c r="E1060" s="58">
        <v>11.58</v>
      </c>
      <c r="F1060" s="947">
        <v>18.010000000000002</v>
      </c>
      <c r="G1060" s="8" t="s">
        <v>87</v>
      </c>
      <c r="H1060" s="666" t="s">
        <v>1486</v>
      </c>
      <c r="I1060" s="662"/>
      <c r="J1060"/>
    </row>
    <row r="1061" spans="1:10" hidden="1" outlineLevel="1">
      <c r="A1061" s="946">
        <v>2021</v>
      </c>
      <c r="B1061" s="75" t="s">
        <v>1561</v>
      </c>
      <c r="C1061" s="126" t="s">
        <v>2016</v>
      </c>
      <c r="D1061" s="48">
        <v>-3248257</v>
      </c>
      <c r="E1061" s="48">
        <v>-8250.57</v>
      </c>
      <c r="F1061" s="948">
        <v>-12830.62</v>
      </c>
      <c r="G1061" s="8" t="s">
        <v>1562</v>
      </c>
      <c r="H1061" s="666" t="s">
        <v>1486</v>
      </c>
      <c r="I1061" s="662"/>
      <c r="J1061"/>
    </row>
    <row r="1062" spans="1:10" hidden="1" outlineLevel="1">
      <c r="A1062" s="946">
        <v>2021</v>
      </c>
      <c r="B1062" s="75" t="s">
        <v>613</v>
      </c>
      <c r="C1062" s="126" t="s">
        <v>2016</v>
      </c>
      <c r="D1062" s="57">
        <v>26420</v>
      </c>
      <c r="E1062" s="58">
        <v>67.11</v>
      </c>
      <c r="F1062" s="947">
        <v>104.36</v>
      </c>
      <c r="G1062" s="8" t="s">
        <v>614</v>
      </c>
      <c r="H1062" s="666" t="s">
        <v>1486</v>
      </c>
      <c r="I1062" s="662"/>
      <c r="J1062"/>
    </row>
    <row r="1063" spans="1:10" hidden="1" outlineLevel="1">
      <c r="A1063" s="946">
        <v>2021</v>
      </c>
      <c r="B1063" s="75" t="s">
        <v>1567</v>
      </c>
      <c r="C1063" s="126" t="s">
        <v>2016</v>
      </c>
      <c r="D1063" s="48">
        <v>91317</v>
      </c>
      <c r="E1063" s="48">
        <v>231.95</v>
      </c>
      <c r="F1063" s="948">
        <v>360.7</v>
      </c>
      <c r="G1063" s="8" t="s">
        <v>1568</v>
      </c>
      <c r="H1063" s="666" t="s">
        <v>1486</v>
      </c>
      <c r="I1063" s="662"/>
      <c r="J1063"/>
    </row>
    <row r="1064" spans="1:10" hidden="1" outlineLevel="1">
      <c r="A1064" s="946">
        <v>2021</v>
      </c>
      <c r="B1064" s="75" t="s">
        <v>1577</v>
      </c>
      <c r="C1064" s="126" t="s">
        <v>2016</v>
      </c>
      <c r="D1064" s="57">
        <v>-52607</v>
      </c>
      <c r="E1064" s="58">
        <v>-133.62</v>
      </c>
      <c r="F1064" s="947">
        <v>-207.8</v>
      </c>
      <c r="G1064" s="8" t="s">
        <v>1578</v>
      </c>
      <c r="H1064" s="666" t="s">
        <v>1486</v>
      </c>
      <c r="I1064" s="662"/>
      <c r="J1064"/>
    </row>
    <row r="1065" spans="1:10" hidden="1" outlineLevel="1">
      <c r="A1065" s="946">
        <v>2021</v>
      </c>
      <c r="B1065" s="75" t="s">
        <v>1579</v>
      </c>
      <c r="C1065" s="126" t="s">
        <v>2016</v>
      </c>
      <c r="D1065" s="48">
        <v>-18339</v>
      </c>
      <c r="E1065" s="48">
        <v>-46.58</v>
      </c>
      <c r="F1065" s="948">
        <v>-72.44</v>
      </c>
      <c r="G1065" s="8" t="s">
        <v>1580</v>
      </c>
      <c r="H1065" s="666" t="s">
        <v>1486</v>
      </c>
      <c r="I1065" s="662"/>
      <c r="J1065"/>
    </row>
    <row r="1066" spans="1:10" hidden="1" outlineLevel="1">
      <c r="A1066" s="946">
        <v>2021</v>
      </c>
      <c r="B1066" s="75" t="s">
        <v>1581</v>
      </c>
      <c r="C1066" s="126" t="s">
        <v>2016</v>
      </c>
      <c r="D1066" s="57">
        <v>42250</v>
      </c>
      <c r="E1066" s="58">
        <v>107.32</v>
      </c>
      <c r="F1066" s="947">
        <v>166.89</v>
      </c>
      <c r="G1066" s="8" t="s">
        <v>1582</v>
      </c>
      <c r="H1066" s="666" t="s">
        <v>1486</v>
      </c>
      <c r="I1066" s="662"/>
      <c r="J1066"/>
    </row>
    <row r="1067" spans="1:10" hidden="1" outlineLevel="1">
      <c r="A1067" s="946">
        <v>2021</v>
      </c>
      <c r="B1067" s="75" t="s">
        <v>1587</v>
      </c>
      <c r="C1067" s="126" t="s">
        <v>2016</v>
      </c>
      <c r="D1067" s="48">
        <v>-3233</v>
      </c>
      <c r="E1067" s="48">
        <v>-8.2100000000000009</v>
      </c>
      <c r="F1067" s="948">
        <v>-12.77</v>
      </c>
      <c r="G1067" s="8" t="s">
        <v>1588</v>
      </c>
      <c r="H1067" s="666" t="s">
        <v>1486</v>
      </c>
      <c r="I1067" s="662"/>
      <c r="J1067"/>
    </row>
    <row r="1068" spans="1:10" hidden="1" outlineLevel="1">
      <c r="A1068" s="946">
        <v>2021</v>
      </c>
      <c r="B1068" s="75" t="s">
        <v>1593</v>
      </c>
      <c r="C1068" s="126" t="s">
        <v>2016</v>
      </c>
      <c r="D1068" s="57">
        <v>-4019</v>
      </c>
      <c r="E1068" s="58">
        <v>-10.210000000000001</v>
      </c>
      <c r="F1068" s="947">
        <v>-15.88</v>
      </c>
      <c r="G1068" s="8" t="s">
        <v>1594</v>
      </c>
      <c r="H1068" s="666" t="s">
        <v>1486</v>
      </c>
      <c r="I1068" s="662"/>
      <c r="J1068"/>
    </row>
    <row r="1069" spans="1:10" hidden="1" outlineLevel="1">
      <c r="A1069" s="946">
        <v>2021</v>
      </c>
      <c r="B1069" s="75" t="s">
        <v>1601</v>
      </c>
      <c r="C1069" s="126" t="s">
        <v>2016</v>
      </c>
      <c r="D1069" s="48">
        <v>-21649</v>
      </c>
      <c r="E1069" s="48">
        <v>-54.99</v>
      </c>
      <c r="F1069" s="948">
        <v>-85.51</v>
      </c>
      <c r="G1069" s="8" t="s">
        <v>1602</v>
      </c>
      <c r="H1069" s="666" t="s">
        <v>1486</v>
      </c>
      <c r="I1069" s="662"/>
      <c r="J1069"/>
    </row>
    <row r="1070" spans="1:10" hidden="1" outlineLevel="1">
      <c r="A1070" s="946">
        <v>2021</v>
      </c>
      <c r="B1070" s="75" t="s">
        <v>1605</v>
      </c>
      <c r="C1070" s="126" t="s">
        <v>2016</v>
      </c>
      <c r="D1070" s="57">
        <v>-284</v>
      </c>
      <c r="E1070" s="58">
        <v>-0.72</v>
      </c>
      <c r="F1070" s="947">
        <v>-1.1200000000000001</v>
      </c>
      <c r="G1070" s="8" t="s">
        <v>1606</v>
      </c>
      <c r="H1070" s="666" t="s">
        <v>1486</v>
      </c>
      <c r="I1070" s="662"/>
      <c r="J1070"/>
    </row>
    <row r="1071" spans="1:10" hidden="1" outlineLevel="1">
      <c r="A1071" s="946">
        <v>2021</v>
      </c>
      <c r="B1071" s="75" t="s">
        <v>1609</v>
      </c>
      <c r="C1071" s="126" t="s">
        <v>2016</v>
      </c>
      <c r="D1071" s="48">
        <v>6371</v>
      </c>
      <c r="E1071" s="48">
        <v>16.18</v>
      </c>
      <c r="F1071" s="948">
        <v>25.17</v>
      </c>
      <c r="G1071" s="8" t="s">
        <v>1610</v>
      </c>
      <c r="H1071" s="666" t="s">
        <v>1486</v>
      </c>
      <c r="I1071" s="662"/>
      <c r="J1071"/>
    </row>
    <row r="1072" spans="1:10" hidden="1" outlineLevel="1">
      <c r="A1072" s="946">
        <v>2021</v>
      </c>
      <c r="B1072" s="75" t="s">
        <v>1611</v>
      </c>
      <c r="C1072" s="126" t="s">
        <v>2016</v>
      </c>
      <c r="D1072" s="57">
        <v>-38191</v>
      </c>
      <c r="E1072" s="58">
        <v>-97.01</v>
      </c>
      <c r="F1072" s="947">
        <v>-150.85</v>
      </c>
      <c r="G1072" s="8" t="s">
        <v>1612</v>
      </c>
      <c r="H1072" s="666" t="s">
        <v>1486</v>
      </c>
      <c r="I1072" s="662"/>
      <c r="J1072"/>
    </row>
    <row r="1073" spans="1:10" hidden="1" outlineLevel="1">
      <c r="A1073" s="946">
        <v>2021</v>
      </c>
      <c r="B1073" s="75" t="s">
        <v>1613</v>
      </c>
      <c r="C1073" s="126" t="s">
        <v>2016</v>
      </c>
      <c r="D1073" s="48">
        <v>-2094</v>
      </c>
      <c r="E1073" s="48">
        <v>-5.32</v>
      </c>
      <c r="F1073" s="948">
        <v>-8.27</v>
      </c>
      <c r="G1073" s="8" t="s">
        <v>1614</v>
      </c>
      <c r="H1073" s="666" t="s">
        <v>1486</v>
      </c>
      <c r="I1073" s="662"/>
      <c r="J1073"/>
    </row>
    <row r="1074" spans="1:10" hidden="1" outlineLevel="1">
      <c r="A1074" s="946">
        <v>2021</v>
      </c>
      <c r="B1074" s="75" t="s">
        <v>1621</v>
      </c>
      <c r="C1074" s="126" t="s">
        <v>2016</v>
      </c>
      <c r="D1074" s="57">
        <v>14554</v>
      </c>
      <c r="E1074" s="58">
        <v>36.97</v>
      </c>
      <c r="F1074" s="947">
        <v>57.49</v>
      </c>
      <c r="G1074" s="8" t="s">
        <v>1622</v>
      </c>
      <c r="H1074" s="666" t="s">
        <v>1486</v>
      </c>
      <c r="I1074" s="662"/>
      <c r="J1074"/>
    </row>
    <row r="1075" spans="1:10" hidden="1" outlineLevel="1">
      <c r="A1075" s="946">
        <v>2021</v>
      </c>
      <c r="B1075" s="75" t="s">
        <v>1625</v>
      </c>
      <c r="C1075" s="126" t="s">
        <v>2016</v>
      </c>
      <c r="D1075" s="48">
        <v>-6420</v>
      </c>
      <c r="E1075" s="48">
        <v>-16.309999999999999</v>
      </c>
      <c r="F1075" s="948">
        <v>-25.36</v>
      </c>
      <c r="G1075" s="8" t="s">
        <v>1626</v>
      </c>
      <c r="H1075" s="666" t="s">
        <v>1486</v>
      </c>
      <c r="I1075" s="662"/>
      <c r="J1075"/>
    </row>
    <row r="1076" spans="1:10" hidden="1" outlineLevel="1">
      <c r="A1076" s="946">
        <v>2021</v>
      </c>
      <c r="B1076" s="75" t="s">
        <v>1629</v>
      </c>
      <c r="C1076" s="126" t="s">
        <v>2016</v>
      </c>
      <c r="D1076" s="57">
        <v>-6005573</v>
      </c>
      <c r="E1076" s="58">
        <v>-15254.16</v>
      </c>
      <c r="F1076" s="947">
        <v>-23722.01</v>
      </c>
      <c r="G1076" s="8" t="s">
        <v>1630</v>
      </c>
      <c r="H1076" s="666" t="s">
        <v>1486</v>
      </c>
      <c r="I1076" s="662"/>
      <c r="J1076"/>
    </row>
    <row r="1077" spans="1:10" hidden="1" outlineLevel="1">
      <c r="A1077" s="946">
        <v>2021</v>
      </c>
      <c r="B1077" s="75" t="s">
        <v>1631</v>
      </c>
      <c r="C1077" s="126" t="s">
        <v>2016</v>
      </c>
      <c r="D1077" s="48">
        <v>-743</v>
      </c>
      <c r="E1077" s="48">
        <v>-1.89</v>
      </c>
      <c r="F1077" s="948">
        <v>-2.93</v>
      </c>
      <c r="G1077" s="8" t="s">
        <v>1632</v>
      </c>
      <c r="H1077" s="666" t="s">
        <v>1486</v>
      </c>
      <c r="I1077" s="662"/>
      <c r="J1077"/>
    </row>
    <row r="1078" spans="1:10" hidden="1" outlineLevel="1">
      <c r="A1078" s="946">
        <v>2021</v>
      </c>
      <c r="B1078" s="75" t="s">
        <v>1633</v>
      </c>
      <c r="C1078" s="126" t="s">
        <v>2016</v>
      </c>
      <c r="D1078" s="57">
        <v>3203570</v>
      </c>
      <c r="E1078" s="58">
        <v>8137.07</v>
      </c>
      <c r="F1078" s="947">
        <v>12654.1</v>
      </c>
      <c r="G1078" s="8" t="s">
        <v>1634</v>
      </c>
      <c r="H1078" s="666" t="s">
        <v>1486</v>
      </c>
      <c r="I1078" s="662"/>
      <c r="J1078"/>
    </row>
    <row r="1079" spans="1:10" hidden="1" outlineLevel="1">
      <c r="A1079" s="946">
        <v>2021</v>
      </c>
      <c r="B1079" s="75" t="s">
        <v>1637</v>
      </c>
      <c r="C1079" s="126" t="s">
        <v>2016</v>
      </c>
      <c r="D1079" s="48">
        <v>2660</v>
      </c>
      <c r="E1079" s="48">
        <v>6.76</v>
      </c>
      <c r="F1079" s="948">
        <v>10.51</v>
      </c>
      <c r="G1079" s="8" t="s">
        <v>1638</v>
      </c>
      <c r="H1079" s="666" t="s">
        <v>1486</v>
      </c>
      <c r="I1079" s="662"/>
      <c r="J1079"/>
    </row>
    <row r="1080" spans="1:10" hidden="1" outlineLevel="1">
      <c r="A1080" s="946">
        <v>2021</v>
      </c>
      <c r="B1080" s="75" t="s">
        <v>1645</v>
      </c>
      <c r="C1080" s="126" t="s">
        <v>2016</v>
      </c>
      <c r="D1080" s="57">
        <v>-44148</v>
      </c>
      <c r="E1080" s="58">
        <v>-112.14</v>
      </c>
      <c r="F1080" s="947">
        <v>-174.38</v>
      </c>
      <c r="G1080" s="8" t="s">
        <v>1646</v>
      </c>
      <c r="H1080" s="666" t="s">
        <v>1486</v>
      </c>
      <c r="I1080" s="662"/>
      <c r="J1080"/>
    </row>
    <row r="1081" spans="1:10" hidden="1" outlineLevel="1">
      <c r="A1081" s="946">
        <v>2021</v>
      </c>
      <c r="B1081" s="75" t="s">
        <v>1647</v>
      </c>
      <c r="C1081" s="126" t="s">
        <v>2016</v>
      </c>
      <c r="D1081" s="48">
        <v>20816</v>
      </c>
      <c r="E1081" s="48">
        <v>52.87</v>
      </c>
      <c r="F1081" s="948">
        <v>82.22</v>
      </c>
      <c r="G1081" s="8" t="s">
        <v>1648</v>
      </c>
      <c r="H1081" s="666" t="s">
        <v>1486</v>
      </c>
      <c r="I1081" s="662"/>
      <c r="J1081"/>
    </row>
    <row r="1082" spans="1:10" hidden="1" outlineLevel="1">
      <c r="A1082" s="946">
        <v>2021</v>
      </c>
      <c r="B1082" s="75" t="s">
        <v>1649</v>
      </c>
      <c r="C1082" s="126" t="s">
        <v>2016</v>
      </c>
      <c r="D1082" s="57">
        <v>-8291</v>
      </c>
      <c r="E1082" s="58">
        <v>-21.06</v>
      </c>
      <c r="F1082" s="947">
        <v>-32.75</v>
      </c>
      <c r="G1082" s="8" t="s">
        <v>1650</v>
      </c>
      <c r="H1082" s="666" t="s">
        <v>1486</v>
      </c>
      <c r="I1082" s="662"/>
      <c r="J1082"/>
    </row>
    <row r="1083" spans="1:10" hidden="1" outlineLevel="1">
      <c r="A1083" s="946">
        <v>2021</v>
      </c>
      <c r="B1083" s="75" t="s">
        <v>1651</v>
      </c>
      <c r="C1083" s="126" t="s">
        <v>2016</v>
      </c>
      <c r="D1083" s="48">
        <v>76752</v>
      </c>
      <c r="E1083" s="48">
        <v>194.95</v>
      </c>
      <c r="F1083" s="948">
        <v>303.17</v>
      </c>
      <c r="G1083" s="8" t="s">
        <v>1652</v>
      </c>
      <c r="H1083" s="666" t="s">
        <v>1486</v>
      </c>
      <c r="I1083" s="662"/>
      <c r="J1083"/>
    </row>
    <row r="1084" spans="1:10" hidden="1" outlineLevel="1">
      <c r="A1084" s="946">
        <v>2021</v>
      </c>
      <c r="B1084" s="75" t="s">
        <v>1659</v>
      </c>
      <c r="C1084" s="126" t="s">
        <v>2016</v>
      </c>
      <c r="D1084" s="57">
        <v>-20410</v>
      </c>
      <c r="E1084" s="58">
        <v>-51.84</v>
      </c>
      <c r="F1084" s="947">
        <v>-80.62</v>
      </c>
      <c r="G1084" s="8" t="s">
        <v>1660</v>
      </c>
      <c r="H1084" s="666" t="s">
        <v>1486</v>
      </c>
      <c r="I1084" s="662"/>
      <c r="J1084"/>
    </row>
    <row r="1085" spans="1:10" hidden="1" outlineLevel="1">
      <c r="A1085" s="946">
        <v>2021</v>
      </c>
      <c r="B1085" s="75" t="s">
        <v>789</v>
      </c>
      <c r="C1085" s="126" t="s">
        <v>2016</v>
      </c>
      <c r="D1085" s="48">
        <v>-781047</v>
      </c>
      <c r="E1085" s="48">
        <v>-1983.86</v>
      </c>
      <c r="F1085" s="948">
        <v>-3085.14</v>
      </c>
      <c r="G1085" s="8" t="s">
        <v>790</v>
      </c>
      <c r="H1085" s="666" t="s">
        <v>1486</v>
      </c>
      <c r="I1085" s="662"/>
      <c r="J1085"/>
    </row>
    <row r="1086" spans="1:10" hidden="1" outlineLevel="1">
      <c r="A1086" s="946">
        <v>2021</v>
      </c>
      <c r="B1086" s="75" t="s">
        <v>1677</v>
      </c>
      <c r="C1086" s="126" t="s">
        <v>2016</v>
      </c>
      <c r="D1086" s="57">
        <v>-5991</v>
      </c>
      <c r="E1086" s="58">
        <v>-15.22</v>
      </c>
      <c r="F1086" s="947">
        <v>-23.66</v>
      </c>
      <c r="G1086" s="8" t="s">
        <v>1678</v>
      </c>
      <c r="H1086" s="666" t="s">
        <v>1486</v>
      </c>
      <c r="I1086" s="662"/>
      <c r="J1086"/>
    </row>
    <row r="1087" spans="1:10" hidden="1" outlineLevel="1">
      <c r="A1087" s="946">
        <v>2021</v>
      </c>
      <c r="B1087" s="75" t="s">
        <v>1683</v>
      </c>
      <c r="C1087" s="126" t="s">
        <v>2016</v>
      </c>
      <c r="D1087" s="48">
        <v>-2785</v>
      </c>
      <c r="E1087" s="48">
        <v>-7.07</v>
      </c>
      <c r="F1087" s="948">
        <v>-11</v>
      </c>
      <c r="G1087" s="8" t="s">
        <v>1684</v>
      </c>
      <c r="H1087" s="666" t="s">
        <v>1486</v>
      </c>
      <c r="I1087" s="662"/>
      <c r="J1087"/>
    </row>
    <row r="1088" spans="1:10" hidden="1" outlineLevel="1">
      <c r="A1088" s="946">
        <v>2021</v>
      </c>
      <c r="B1088" s="75" t="s">
        <v>1687</v>
      </c>
      <c r="C1088" s="126" t="s">
        <v>2016</v>
      </c>
      <c r="D1088" s="57">
        <v>5708</v>
      </c>
      <c r="E1088" s="58">
        <v>14.5</v>
      </c>
      <c r="F1088" s="947">
        <v>22.55</v>
      </c>
      <c r="G1088" s="8" t="s">
        <v>1688</v>
      </c>
      <c r="H1088" s="666" t="s">
        <v>1486</v>
      </c>
      <c r="I1088" s="662"/>
      <c r="J1088"/>
    </row>
    <row r="1089" spans="1:10" hidden="1" outlineLevel="1">
      <c r="A1089" s="946">
        <v>2021</v>
      </c>
      <c r="B1089" s="75" t="s">
        <v>1689</v>
      </c>
      <c r="C1089" s="126" t="s">
        <v>2016</v>
      </c>
      <c r="D1089" s="48">
        <v>183156</v>
      </c>
      <c r="E1089" s="48">
        <v>465.22</v>
      </c>
      <c r="F1089" s="948">
        <v>723.47</v>
      </c>
      <c r="G1089" s="8" t="s">
        <v>1690</v>
      </c>
      <c r="H1089" s="666" t="s">
        <v>1486</v>
      </c>
      <c r="I1089" s="662"/>
      <c r="J1089"/>
    </row>
    <row r="1090" spans="1:10" hidden="1" outlineLevel="1">
      <c r="A1090" s="946">
        <v>2021</v>
      </c>
      <c r="B1090" s="75" t="s">
        <v>1699</v>
      </c>
      <c r="C1090" s="126" t="s">
        <v>2016</v>
      </c>
      <c r="D1090" s="57">
        <v>-208430</v>
      </c>
      <c r="E1090" s="58">
        <v>-529.41</v>
      </c>
      <c r="F1090" s="947">
        <v>-823.3</v>
      </c>
      <c r="G1090" s="8" t="s">
        <v>1700</v>
      </c>
      <c r="H1090" s="666" t="s">
        <v>1486</v>
      </c>
      <c r="I1090" s="662"/>
      <c r="J1090"/>
    </row>
    <row r="1091" spans="1:10" hidden="1" outlineLevel="1">
      <c r="A1091" s="946">
        <v>2021</v>
      </c>
      <c r="B1091" s="75" t="s">
        <v>449</v>
      </c>
      <c r="C1091" s="126" t="s">
        <v>2016</v>
      </c>
      <c r="D1091" s="48">
        <v>4111024</v>
      </c>
      <c r="E1091" s="48">
        <v>10442</v>
      </c>
      <c r="F1091" s="948">
        <v>16238.54</v>
      </c>
      <c r="G1091" s="8" t="s">
        <v>450</v>
      </c>
      <c r="H1091" s="666" t="s">
        <v>1486</v>
      </c>
      <c r="I1091" s="662"/>
      <c r="J1091"/>
    </row>
    <row r="1092" spans="1:10" hidden="1" outlineLevel="1">
      <c r="A1092" s="946">
        <v>2021</v>
      </c>
      <c r="B1092" s="75" t="s">
        <v>1705</v>
      </c>
      <c r="C1092" s="126" t="s">
        <v>2016</v>
      </c>
      <c r="D1092" s="48">
        <v>-1944720</v>
      </c>
      <c r="E1092" s="48">
        <v>-4939.59</v>
      </c>
      <c r="F1092" s="947">
        <v>-7681.64</v>
      </c>
      <c r="G1092" s="8" t="s">
        <v>1706</v>
      </c>
      <c r="H1092" s="666" t="s">
        <v>1486</v>
      </c>
      <c r="I1092" s="662"/>
      <c r="J1092"/>
    </row>
    <row r="1093" spans="1:10" ht="13.5" hidden="1" outlineLevel="1" thickBot="1">
      <c r="A1093" s="949">
        <v>2021</v>
      </c>
      <c r="B1093" s="853" t="s">
        <v>1713</v>
      </c>
      <c r="C1093" s="797" t="s">
        <v>2016</v>
      </c>
      <c r="D1093" s="56">
        <v>1192</v>
      </c>
      <c r="E1093" s="56">
        <v>3.03</v>
      </c>
      <c r="F1093" s="950">
        <v>4.71</v>
      </c>
      <c r="G1093" s="8" t="s">
        <v>1714</v>
      </c>
      <c r="H1093" s="666" t="s">
        <v>1486</v>
      </c>
      <c r="I1093" s="662"/>
      <c r="J1093"/>
    </row>
    <row r="1094" spans="1:10" hidden="1" outlineLevel="1">
      <c r="A1094" s="951">
        <v>2022</v>
      </c>
      <c r="B1094" s="80" t="s">
        <v>1489</v>
      </c>
      <c r="C1094" s="60" t="s">
        <v>2016</v>
      </c>
      <c r="D1094" s="55">
        <v>-452876</v>
      </c>
      <c r="E1094" s="55">
        <v>-1711.87</v>
      </c>
      <c r="F1094" s="952">
        <v>-1897.55</v>
      </c>
      <c r="G1094" s="8" t="s">
        <v>1490</v>
      </c>
      <c r="H1094" s="666" t="s">
        <v>1486</v>
      </c>
      <c r="I1094" s="662"/>
      <c r="J1094"/>
    </row>
    <row r="1095" spans="1:10" hidden="1" outlineLevel="1">
      <c r="A1095" s="951">
        <v>2022</v>
      </c>
      <c r="B1095" s="80" t="s">
        <v>655</v>
      </c>
      <c r="C1095" s="60" t="s">
        <v>2016</v>
      </c>
      <c r="D1095" s="55">
        <v>-142881</v>
      </c>
      <c r="E1095" s="55">
        <v>-540.09</v>
      </c>
      <c r="F1095" s="952">
        <v>-598.66999999999996</v>
      </c>
      <c r="G1095" s="8" t="s">
        <v>578</v>
      </c>
      <c r="H1095" s="666" t="s">
        <v>1486</v>
      </c>
      <c r="I1095" s="662"/>
      <c r="J1095"/>
    </row>
    <row r="1096" spans="1:10" hidden="1" outlineLevel="1">
      <c r="A1096" s="951">
        <v>2022</v>
      </c>
      <c r="B1096" s="80" t="s">
        <v>655</v>
      </c>
      <c r="C1096" s="60" t="s">
        <v>2017</v>
      </c>
      <c r="D1096" s="55">
        <v>-255477</v>
      </c>
      <c r="E1096" s="55">
        <v>-102.19</v>
      </c>
      <c r="F1096" s="952">
        <v>-102.19</v>
      </c>
      <c r="G1096" s="8" t="s">
        <v>578</v>
      </c>
      <c r="H1096" s="666" t="s">
        <v>1486</v>
      </c>
      <c r="I1096" s="662"/>
      <c r="J1096"/>
    </row>
    <row r="1097" spans="1:10" hidden="1" outlineLevel="1">
      <c r="A1097" s="951">
        <v>2022</v>
      </c>
      <c r="B1097" s="80" t="s">
        <v>655</v>
      </c>
      <c r="C1097" s="60" t="s">
        <v>2022</v>
      </c>
      <c r="D1097" s="55">
        <v>684332</v>
      </c>
      <c r="E1097" s="55">
        <v>205.3</v>
      </c>
      <c r="F1097" s="952">
        <v>205.3</v>
      </c>
      <c r="G1097" s="8" t="s">
        <v>578</v>
      </c>
      <c r="H1097" s="666" t="s">
        <v>1486</v>
      </c>
      <c r="I1097" s="662"/>
      <c r="J1097"/>
    </row>
    <row r="1098" spans="1:10" hidden="1" outlineLevel="1">
      <c r="A1098" s="951">
        <v>2022</v>
      </c>
      <c r="B1098" s="80" t="s">
        <v>1493</v>
      </c>
      <c r="C1098" s="60" t="s">
        <v>2016</v>
      </c>
      <c r="D1098" s="55">
        <v>-243591</v>
      </c>
      <c r="E1098" s="55">
        <v>-920.77</v>
      </c>
      <c r="F1098" s="952">
        <v>-1020.65</v>
      </c>
      <c r="G1098" s="8" t="s">
        <v>1494</v>
      </c>
      <c r="H1098" s="666" t="s">
        <v>1486</v>
      </c>
      <c r="I1098" s="662"/>
      <c r="J1098"/>
    </row>
    <row r="1099" spans="1:10" hidden="1" outlineLevel="1">
      <c r="A1099" s="951">
        <v>2022</v>
      </c>
      <c r="B1099" s="80" t="s">
        <v>1495</v>
      </c>
      <c r="C1099" s="60" t="s">
        <v>2016</v>
      </c>
      <c r="D1099" s="55">
        <v>-7767210</v>
      </c>
      <c r="E1099" s="55">
        <v>-29360.05</v>
      </c>
      <c r="F1099" s="952">
        <v>-32544.61</v>
      </c>
      <c r="G1099" s="8" t="s">
        <v>1496</v>
      </c>
      <c r="H1099" s="666" t="s">
        <v>1486</v>
      </c>
      <c r="I1099" s="662"/>
      <c r="J1099"/>
    </row>
    <row r="1100" spans="1:10" hidden="1" outlineLevel="1">
      <c r="A1100" s="951">
        <v>2022</v>
      </c>
      <c r="B1100" s="80" t="s">
        <v>1497</v>
      </c>
      <c r="C1100" s="60" t="s">
        <v>2016</v>
      </c>
      <c r="D1100" s="55">
        <v>-10101</v>
      </c>
      <c r="E1100" s="55">
        <v>-38.18</v>
      </c>
      <c r="F1100" s="952">
        <v>-42.32</v>
      </c>
      <c r="G1100" s="8" t="s">
        <v>1498</v>
      </c>
      <c r="H1100" s="666" t="s">
        <v>1486</v>
      </c>
      <c r="I1100" s="662"/>
      <c r="J1100"/>
    </row>
    <row r="1101" spans="1:10" hidden="1" outlineLevel="1">
      <c r="A1101" s="951">
        <v>2022</v>
      </c>
      <c r="B1101" s="80" t="s">
        <v>1503</v>
      </c>
      <c r="C1101" s="60" t="s">
        <v>2016</v>
      </c>
      <c r="D1101" s="55">
        <v>31288</v>
      </c>
      <c r="E1101" s="55">
        <v>118.27</v>
      </c>
      <c r="F1101" s="952">
        <v>131.1</v>
      </c>
      <c r="G1101" s="8" t="s">
        <v>1504</v>
      </c>
      <c r="H1101" s="666" t="s">
        <v>1486</v>
      </c>
      <c r="I1101" s="662"/>
      <c r="J1101"/>
    </row>
    <row r="1102" spans="1:10" hidden="1" outlineLevel="1">
      <c r="A1102" s="951">
        <v>2022</v>
      </c>
      <c r="B1102" s="80" t="s">
        <v>1505</v>
      </c>
      <c r="C1102" s="60" t="s">
        <v>2016</v>
      </c>
      <c r="D1102" s="55">
        <v>70075</v>
      </c>
      <c r="E1102" s="55">
        <v>264.88</v>
      </c>
      <c r="F1102" s="952">
        <v>293.61</v>
      </c>
      <c r="G1102" s="8" t="s">
        <v>1506</v>
      </c>
      <c r="H1102" s="666" t="s">
        <v>1486</v>
      </c>
      <c r="I1102" s="662"/>
      <c r="J1102"/>
    </row>
    <row r="1103" spans="1:10" hidden="1" outlineLevel="1">
      <c r="A1103" s="951">
        <v>2022</v>
      </c>
      <c r="B1103" s="80" t="s">
        <v>1511</v>
      </c>
      <c r="C1103" s="60" t="s">
        <v>2016</v>
      </c>
      <c r="D1103" s="55">
        <v>-4833</v>
      </c>
      <c r="E1103" s="55">
        <v>-18.27</v>
      </c>
      <c r="F1103" s="952">
        <v>-20.25</v>
      </c>
      <c r="G1103" s="8" t="s">
        <v>1512</v>
      </c>
      <c r="H1103" s="666" t="s">
        <v>1486</v>
      </c>
      <c r="I1103" s="662"/>
      <c r="J1103"/>
    </row>
    <row r="1104" spans="1:10" hidden="1" outlineLevel="1">
      <c r="A1104" s="951">
        <v>2022</v>
      </c>
      <c r="B1104" s="80" t="s">
        <v>1513</v>
      </c>
      <c r="C1104" s="60" t="s">
        <v>2016</v>
      </c>
      <c r="D1104" s="55">
        <v>-103290</v>
      </c>
      <c r="E1104" s="55">
        <v>-390.44</v>
      </c>
      <c r="F1104" s="952">
        <v>-432.79</v>
      </c>
      <c r="G1104" s="8" t="s">
        <v>1514</v>
      </c>
      <c r="H1104" s="666" t="s">
        <v>1486</v>
      </c>
      <c r="I1104" s="662"/>
      <c r="J1104"/>
    </row>
    <row r="1105" spans="1:10" hidden="1" outlineLevel="1">
      <c r="A1105" s="951">
        <v>2022</v>
      </c>
      <c r="B1105" s="80" t="s">
        <v>1517</v>
      </c>
      <c r="C1105" s="60" t="s">
        <v>2016</v>
      </c>
      <c r="D1105" s="55">
        <v>402961</v>
      </c>
      <c r="E1105" s="55">
        <v>1523.19</v>
      </c>
      <c r="F1105" s="952">
        <v>1688.41</v>
      </c>
      <c r="G1105" s="8" t="s">
        <v>1518</v>
      </c>
      <c r="H1105" s="666" t="s">
        <v>1486</v>
      </c>
      <c r="I1105" s="662"/>
      <c r="J1105"/>
    </row>
    <row r="1106" spans="1:10" hidden="1" outlineLevel="1">
      <c r="A1106" s="951">
        <v>2022</v>
      </c>
      <c r="B1106" s="80" t="s">
        <v>1519</v>
      </c>
      <c r="C1106" s="60" t="s">
        <v>2016</v>
      </c>
      <c r="D1106" s="55">
        <v>-28036</v>
      </c>
      <c r="E1106" s="55">
        <v>-105.98</v>
      </c>
      <c r="F1106" s="952">
        <v>-117.47</v>
      </c>
      <c r="G1106" s="8" t="s">
        <v>1520</v>
      </c>
      <c r="H1106" s="666" t="s">
        <v>1486</v>
      </c>
      <c r="I1106" s="662"/>
      <c r="J1106"/>
    </row>
    <row r="1107" spans="1:10" hidden="1" outlineLevel="1">
      <c r="A1107" s="951">
        <v>2022</v>
      </c>
      <c r="B1107" s="80" t="s">
        <v>1521</v>
      </c>
      <c r="C1107" s="60" t="s">
        <v>2016</v>
      </c>
      <c r="D1107" s="55">
        <v>-46263</v>
      </c>
      <c r="E1107" s="55">
        <v>-174.87</v>
      </c>
      <c r="F1107" s="952">
        <v>-193.84</v>
      </c>
      <c r="G1107" s="8" t="s">
        <v>1522</v>
      </c>
      <c r="H1107" s="666" t="s">
        <v>1486</v>
      </c>
      <c r="I1107" s="662"/>
      <c r="J1107"/>
    </row>
    <row r="1108" spans="1:10" hidden="1" outlineLevel="1">
      <c r="A1108" s="951">
        <v>2022</v>
      </c>
      <c r="B1108" s="80" t="s">
        <v>1523</v>
      </c>
      <c r="C1108" s="60" t="s">
        <v>2016</v>
      </c>
      <c r="D1108" s="55">
        <v>916938</v>
      </c>
      <c r="E1108" s="55">
        <v>3466.03</v>
      </c>
      <c r="F1108" s="952">
        <v>3841.97</v>
      </c>
      <c r="G1108" s="8" t="s">
        <v>1524</v>
      </c>
      <c r="H1108" s="666" t="s">
        <v>1486</v>
      </c>
      <c r="I1108" s="662"/>
      <c r="J1108"/>
    </row>
    <row r="1109" spans="1:10" hidden="1" outlineLevel="1">
      <c r="A1109" s="951">
        <v>2022</v>
      </c>
      <c r="B1109" s="80" t="s">
        <v>1529</v>
      </c>
      <c r="C1109" s="60" t="s">
        <v>2016</v>
      </c>
      <c r="D1109" s="55">
        <v>-10091</v>
      </c>
      <c r="E1109" s="55">
        <v>-38.14</v>
      </c>
      <c r="F1109" s="952">
        <v>-42.28</v>
      </c>
      <c r="G1109" s="8" t="s">
        <v>1530</v>
      </c>
      <c r="H1109" s="666" t="s">
        <v>1486</v>
      </c>
      <c r="I1109" s="662"/>
      <c r="J1109"/>
    </row>
    <row r="1110" spans="1:10" hidden="1" outlineLevel="1">
      <c r="A1110" s="951">
        <v>2022</v>
      </c>
      <c r="B1110" s="80" t="s">
        <v>1537</v>
      </c>
      <c r="C1110" s="60" t="s">
        <v>2016</v>
      </c>
      <c r="D1110" s="55">
        <v>17361</v>
      </c>
      <c r="E1110" s="55">
        <v>65.62</v>
      </c>
      <c r="F1110" s="952">
        <v>72.739999999999995</v>
      </c>
      <c r="G1110" s="8" t="s">
        <v>1538</v>
      </c>
      <c r="H1110" s="666" t="s">
        <v>1486</v>
      </c>
      <c r="I1110" s="662"/>
      <c r="J1110"/>
    </row>
    <row r="1111" spans="1:10" hidden="1" outlineLevel="1">
      <c r="A1111" s="951">
        <v>2022</v>
      </c>
      <c r="B1111" s="80" t="s">
        <v>86</v>
      </c>
      <c r="C1111" s="60" t="s">
        <v>2016</v>
      </c>
      <c r="D1111" s="55">
        <v>54128</v>
      </c>
      <c r="E1111" s="55">
        <v>204.6</v>
      </c>
      <c r="F1111" s="952">
        <v>226.8</v>
      </c>
      <c r="G1111" s="8" t="s">
        <v>87</v>
      </c>
      <c r="H1111" s="666" t="s">
        <v>1486</v>
      </c>
      <c r="I1111" s="662"/>
      <c r="J1111"/>
    </row>
    <row r="1112" spans="1:10" hidden="1" outlineLevel="1">
      <c r="A1112" s="951">
        <v>2022</v>
      </c>
      <c r="B1112" s="80" t="s">
        <v>1547</v>
      </c>
      <c r="C1112" s="60" t="s">
        <v>2016</v>
      </c>
      <c r="D1112" s="55">
        <v>2523</v>
      </c>
      <c r="E1112" s="55">
        <v>9.5399999999999991</v>
      </c>
      <c r="F1112" s="952">
        <v>10.57</v>
      </c>
      <c r="G1112" s="8" t="s">
        <v>1548</v>
      </c>
      <c r="H1112" s="666" t="s">
        <v>1486</v>
      </c>
      <c r="I1112" s="662"/>
      <c r="J1112"/>
    </row>
    <row r="1113" spans="1:10" hidden="1" outlineLevel="1">
      <c r="A1113" s="951">
        <v>2022</v>
      </c>
      <c r="B1113" s="80" t="s">
        <v>1561</v>
      </c>
      <c r="C1113" s="60" t="s">
        <v>2016</v>
      </c>
      <c r="D1113" s="55">
        <v>-2373880</v>
      </c>
      <c r="E1113" s="55">
        <v>-8973.27</v>
      </c>
      <c r="F1113" s="952">
        <v>-9946.56</v>
      </c>
      <c r="G1113" s="8" t="s">
        <v>1562</v>
      </c>
      <c r="H1113" s="666" t="s">
        <v>1486</v>
      </c>
      <c r="I1113" s="662"/>
      <c r="J1113"/>
    </row>
    <row r="1114" spans="1:10" hidden="1" outlineLevel="1">
      <c r="A1114" s="951">
        <v>2022</v>
      </c>
      <c r="B1114" s="80" t="s">
        <v>613</v>
      </c>
      <c r="C1114" s="60" t="s">
        <v>2016</v>
      </c>
      <c r="D1114" s="55">
        <v>484827</v>
      </c>
      <c r="E1114" s="55">
        <v>1832.65</v>
      </c>
      <c r="F1114" s="952">
        <v>2031.43</v>
      </c>
      <c r="G1114" s="8" t="s">
        <v>614</v>
      </c>
      <c r="H1114" s="666" t="s">
        <v>1486</v>
      </c>
      <c r="I1114" s="662"/>
      <c r="J1114"/>
    </row>
    <row r="1115" spans="1:10" hidden="1" outlineLevel="1">
      <c r="A1115" s="951">
        <v>2022</v>
      </c>
      <c r="B1115" s="80" t="s">
        <v>1567</v>
      </c>
      <c r="C1115" s="60" t="s">
        <v>2016</v>
      </c>
      <c r="D1115" s="55">
        <v>309937</v>
      </c>
      <c r="E1115" s="55">
        <v>1171.56</v>
      </c>
      <c r="F1115" s="952">
        <v>1298.6400000000001</v>
      </c>
      <c r="G1115" s="8" t="s">
        <v>1568</v>
      </c>
      <c r="H1115" s="666" t="s">
        <v>1486</v>
      </c>
      <c r="I1115" s="662"/>
      <c r="J1115"/>
    </row>
    <row r="1116" spans="1:10" hidden="1" outlineLevel="1">
      <c r="A1116" s="951">
        <v>2022</v>
      </c>
      <c r="B1116" s="80" t="s">
        <v>1577</v>
      </c>
      <c r="C1116" s="60" t="s">
        <v>2016</v>
      </c>
      <c r="D1116" s="55">
        <v>964355</v>
      </c>
      <c r="E1116" s="55">
        <v>3645.26</v>
      </c>
      <c r="F1116" s="952">
        <v>4040.65</v>
      </c>
      <c r="G1116" s="8" t="s">
        <v>1578</v>
      </c>
      <c r="H1116" s="666" t="s">
        <v>1486</v>
      </c>
      <c r="I1116" s="662"/>
      <c r="J1116"/>
    </row>
    <row r="1117" spans="1:10" hidden="1" outlineLevel="1">
      <c r="A1117" s="951">
        <v>2022</v>
      </c>
      <c r="B1117" s="80" t="s">
        <v>1579</v>
      </c>
      <c r="C1117" s="60" t="s">
        <v>2016</v>
      </c>
      <c r="D1117" s="55">
        <v>-90974</v>
      </c>
      <c r="E1117" s="55">
        <v>-343.88</v>
      </c>
      <c r="F1117" s="952">
        <v>-381.18</v>
      </c>
      <c r="G1117" s="8" t="s">
        <v>1580</v>
      </c>
      <c r="H1117" s="666" t="s">
        <v>1486</v>
      </c>
      <c r="I1117" s="662"/>
      <c r="J1117"/>
    </row>
    <row r="1118" spans="1:10" hidden="1" outlineLevel="1">
      <c r="A1118" s="951">
        <v>2022</v>
      </c>
      <c r="B1118" s="80" t="s">
        <v>1581</v>
      </c>
      <c r="C1118" s="60" t="s">
        <v>2016</v>
      </c>
      <c r="D1118" s="55">
        <v>71331</v>
      </c>
      <c r="E1118" s="55">
        <v>269.63</v>
      </c>
      <c r="F1118" s="952">
        <v>298.88</v>
      </c>
      <c r="G1118" s="8" t="s">
        <v>1582</v>
      </c>
      <c r="H1118" s="666" t="s">
        <v>1486</v>
      </c>
      <c r="I1118" s="662"/>
      <c r="J1118"/>
    </row>
    <row r="1119" spans="1:10" hidden="1" outlineLevel="1">
      <c r="A1119" s="951">
        <v>2022</v>
      </c>
      <c r="B1119" s="80" t="s">
        <v>1585</v>
      </c>
      <c r="C1119" s="60" t="s">
        <v>2016</v>
      </c>
      <c r="D1119" s="55">
        <v>1965692</v>
      </c>
      <c r="E1119" s="55">
        <v>7430.32</v>
      </c>
      <c r="F1119" s="952">
        <v>8236.25</v>
      </c>
      <c r="G1119" s="8" t="s">
        <v>1586</v>
      </c>
      <c r="H1119" s="666" t="s">
        <v>1486</v>
      </c>
      <c r="I1119" s="662"/>
      <c r="J1119"/>
    </row>
    <row r="1120" spans="1:10" hidden="1" outlineLevel="1">
      <c r="A1120" s="951">
        <v>2022</v>
      </c>
      <c r="B1120" s="80" t="s">
        <v>1587</v>
      </c>
      <c r="C1120" s="60" t="s">
        <v>2016</v>
      </c>
      <c r="D1120" s="55">
        <v>-11634</v>
      </c>
      <c r="E1120" s="55">
        <v>-43.98</v>
      </c>
      <c r="F1120" s="952">
        <v>-48.75</v>
      </c>
      <c r="G1120" s="8" t="s">
        <v>1588</v>
      </c>
      <c r="H1120" s="666" t="s">
        <v>1486</v>
      </c>
      <c r="I1120" s="662"/>
      <c r="J1120"/>
    </row>
    <row r="1121" spans="1:10" hidden="1" outlineLevel="1">
      <c r="A1121" s="951">
        <v>2022</v>
      </c>
      <c r="B1121" s="80" t="s">
        <v>1593</v>
      </c>
      <c r="C1121" s="60" t="s">
        <v>2016</v>
      </c>
      <c r="D1121" s="55">
        <v>-56123</v>
      </c>
      <c r="E1121" s="55">
        <v>-212.14</v>
      </c>
      <c r="F1121" s="952">
        <v>-235.16</v>
      </c>
      <c r="G1121" s="8" t="s">
        <v>1594</v>
      </c>
      <c r="H1121" s="666" t="s">
        <v>1486</v>
      </c>
      <c r="I1121" s="662"/>
      <c r="J1121"/>
    </row>
    <row r="1122" spans="1:10" hidden="1" outlineLevel="1">
      <c r="A1122" s="951">
        <v>2022</v>
      </c>
      <c r="B1122" s="80" t="s">
        <v>1601</v>
      </c>
      <c r="C1122" s="60" t="s">
        <v>2016</v>
      </c>
      <c r="D1122" s="55">
        <v>-238624</v>
      </c>
      <c r="E1122" s="55">
        <v>-902</v>
      </c>
      <c r="F1122" s="952">
        <v>-999.83</v>
      </c>
      <c r="G1122" s="8" t="s">
        <v>1602</v>
      </c>
      <c r="H1122" s="666" t="s">
        <v>1486</v>
      </c>
      <c r="I1122" s="662"/>
      <c r="J1122"/>
    </row>
    <row r="1123" spans="1:10" hidden="1" outlineLevel="1">
      <c r="A1123" s="951">
        <v>2022</v>
      </c>
      <c r="B1123" s="80" t="s">
        <v>1605</v>
      </c>
      <c r="C1123" s="60" t="s">
        <v>2016</v>
      </c>
      <c r="D1123" s="55">
        <v>-5261</v>
      </c>
      <c r="E1123" s="55">
        <v>-19.89</v>
      </c>
      <c r="F1123" s="952">
        <v>-22.04</v>
      </c>
      <c r="G1123" s="8" t="s">
        <v>1606</v>
      </c>
      <c r="H1123" s="666" t="s">
        <v>1486</v>
      </c>
      <c r="I1123" s="662"/>
      <c r="J1123"/>
    </row>
    <row r="1124" spans="1:10" hidden="1" outlineLevel="1">
      <c r="A1124" s="951">
        <v>2022</v>
      </c>
      <c r="B1124" s="80" t="s">
        <v>1609</v>
      </c>
      <c r="C1124" s="60" t="s">
        <v>2016</v>
      </c>
      <c r="D1124" s="55">
        <v>353457</v>
      </c>
      <c r="E1124" s="55">
        <v>1336.07</v>
      </c>
      <c r="F1124" s="952">
        <v>1480.98</v>
      </c>
      <c r="G1124" s="8" t="s">
        <v>1610</v>
      </c>
      <c r="H1124" s="666" t="s">
        <v>1486</v>
      </c>
      <c r="I1124" s="662"/>
      <c r="J1124"/>
    </row>
    <row r="1125" spans="1:10" hidden="1" outlineLevel="1">
      <c r="A1125" s="951">
        <v>2022</v>
      </c>
      <c r="B1125" s="80" t="s">
        <v>1611</v>
      </c>
      <c r="C1125" s="60" t="s">
        <v>2016</v>
      </c>
      <c r="D1125" s="55">
        <v>-38989</v>
      </c>
      <c r="E1125" s="55">
        <v>-147.38</v>
      </c>
      <c r="F1125" s="952">
        <v>-163.36000000000001</v>
      </c>
      <c r="G1125" s="8" t="s">
        <v>1612</v>
      </c>
      <c r="H1125" s="666" t="s">
        <v>1486</v>
      </c>
      <c r="I1125" s="662"/>
      <c r="J1125"/>
    </row>
    <row r="1126" spans="1:10" hidden="1" outlineLevel="1">
      <c r="A1126" s="951">
        <v>2022</v>
      </c>
      <c r="B1126" s="80" t="s">
        <v>1613</v>
      </c>
      <c r="C1126" s="60" t="s">
        <v>2016</v>
      </c>
      <c r="D1126" s="55">
        <v>-20780</v>
      </c>
      <c r="E1126" s="55">
        <v>-78.55</v>
      </c>
      <c r="F1126" s="952">
        <v>-87.07</v>
      </c>
      <c r="G1126" s="8" t="s">
        <v>1614</v>
      </c>
      <c r="H1126" s="666" t="s">
        <v>1486</v>
      </c>
      <c r="I1126" s="662"/>
      <c r="J1126"/>
    </row>
    <row r="1127" spans="1:10" hidden="1" outlineLevel="1">
      <c r="A1127" s="951">
        <v>2022</v>
      </c>
      <c r="B1127" s="80" t="s">
        <v>1621</v>
      </c>
      <c r="C1127" s="60" t="s">
        <v>2016</v>
      </c>
      <c r="D1127" s="55">
        <v>63703</v>
      </c>
      <c r="E1127" s="55">
        <v>240.8</v>
      </c>
      <c r="F1127" s="952">
        <v>266.92</v>
      </c>
      <c r="G1127" s="8" t="s">
        <v>1622</v>
      </c>
      <c r="H1127" s="666" t="s">
        <v>1486</v>
      </c>
      <c r="I1127" s="662"/>
      <c r="J1127"/>
    </row>
    <row r="1128" spans="1:10" hidden="1" outlineLevel="1">
      <c r="A1128" s="951">
        <v>2022</v>
      </c>
      <c r="B1128" s="80" t="s">
        <v>1625</v>
      </c>
      <c r="C1128" s="60" t="s">
        <v>2016</v>
      </c>
      <c r="D1128" s="55">
        <v>6518</v>
      </c>
      <c r="E1128" s="55">
        <v>24.64</v>
      </c>
      <c r="F1128" s="952">
        <v>27.31</v>
      </c>
      <c r="G1128" s="8" t="s">
        <v>1626</v>
      </c>
      <c r="H1128" s="666" t="s">
        <v>1486</v>
      </c>
      <c r="I1128" s="662"/>
      <c r="J1128"/>
    </row>
    <row r="1129" spans="1:10" hidden="1" outlineLevel="1">
      <c r="A1129" s="951">
        <v>2022</v>
      </c>
      <c r="B1129" s="80" t="s">
        <v>1629</v>
      </c>
      <c r="C1129" s="60" t="s">
        <v>2016</v>
      </c>
      <c r="D1129" s="55">
        <v>-5957963</v>
      </c>
      <c r="E1129" s="55">
        <v>-22521.1</v>
      </c>
      <c r="F1129" s="952">
        <v>-24963.86</v>
      </c>
      <c r="G1129" s="8" t="s">
        <v>1630</v>
      </c>
      <c r="H1129" s="666" t="s">
        <v>1486</v>
      </c>
      <c r="I1129" s="662"/>
      <c r="J1129"/>
    </row>
    <row r="1130" spans="1:10" hidden="1" outlineLevel="1">
      <c r="A1130" s="951">
        <v>2022</v>
      </c>
      <c r="B1130" s="80" t="s">
        <v>1631</v>
      </c>
      <c r="C1130" s="60" t="s">
        <v>2016</v>
      </c>
      <c r="D1130" s="55">
        <v>53751</v>
      </c>
      <c r="E1130" s="55">
        <v>203.18</v>
      </c>
      <c r="F1130" s="952">
        <v>225.22</v>
      </c>
      <c r="G1130" s="8" t="s">
        <v>1632</v>
      </c>
      <c r="H1130" s="666" t="s">
        <v>1486</v>
      </c>
      <c r="I1130" s="662"/>
      <c r="J1130"/>
    </row>
    <row r="1131" spans="1:10" hidden="1" outlineLevel="1">
      <c r="A1131" s="951">
        <v>2022</v>
      </c>
      <c r="B1131" s="80" t="s">
        <v>1633</v>
      </c>
      <c r="C1131" s="60" t="s">
        <v>2016</v>
      </c>
      <c r="D1131" s="55">
        <v>4837705</v>
      </c>
      <c r="E1131" s="55">
        <v>18286.52</v>
      </c>
      <c r="F1131" s="952">
        <v>20269.98</v>
      </c>
      <c r="G1131" s="8" t="s">
        <v>1634</v>
      </c>
      <c r="H1131" s="666" t="s">
        <v>1486</v>
      </c>
      <c r="I1131" s="662"/>
      <c r="J1131"/>
    </row>
    <row r="1132" spans="1:10" hidden="1" outlineLevel="1">
      <c r="A1132" s="951">
        <v>2022</v>
      </c>
      <c r="B1132" s="80" t="s">
        <v>1637</v>
      </c>
      <c r="C1132" s="60" t="s">
        <v>2016</v>
      </c>
      <c r="D1132" s="55">
        <v>221647</v>
      </c>
      <c r="E1132" s="55">
        <v>837.83</v>
      </c>
      <c r="F1132" s="952">
        <v>928.7</v>
      </c>
      <c r="G1132" s="8" t="s">
        <v>1638</v>
      </c>
      <c r="H1132" s="666" t="s">
        <v>1486</v>
      </c>
      <c r="I1132" s="662"/>
      <c r="J1132"/>
    </row>
    <row r="1133" spans="1:10" hidden="1" outlineLevel="1">
      <c r="A1133" s="951">
        <v>2022</v>
      </c>
      <c r="B1133" s="80" t="s">
        <v>1645</v>
      </c>
      <c r="C1133" s="60" t="s">
        <v>2016</v>
      </c>
      <c r="D1133" s="55">
        <v>-45404</v>
      </c>
      <c r="E1133" s="55">
        <v>-171.63</v>
      </c>
      <c r="F1133" s="952">
        <v>-190.24</v>
      </c>
      <c r="G1133" s="8" t="s">
        <v>1646</v>
      </c>
      <c r="H1133" s="666" t="s">
        <v>1486</v>
      </c>
      <c r="I1133" s="662"/>
      <c r="J1133"/>
    </row>
    <row r="1134" spans="1:10" hidden="1" outlineLevel="1">
      <c r="A1134" s="951">
        <v>2022</v>
      </c>
      <c r="B1134" s="80" t="s">
        <v>1647</v>
      </c>
      <c r="C1134" s="60" t="s">
        <v>2016</v>
      </c>
      <c r="D1134" s="55">
        <v>-9493</v>
      </c>
      <c r="E1134" s="55">
        <v>-35.880000000000003</v>
      </c>
      <c r="F1134" s="952">
        <v>-39.78</v>
      </c>
      <c r="G1134" s="8" t="s">
        <v>1648</v>
      </c>
      <c r="H1134" s="666" t="s">
        <v>1486</v>
      </c>
      <c r="I1134" s="662"/>
      <c r="J1134"/>
    </row>
    <row r="1135" spans="1:10" hidden="1" outlineLevel="1">
      <c r="A1135" s="951">
        <v>2022</v>
      </c>
      <c r="B1135" s="80" t="s">
        <v>1649</v>
      </c>
      <c r="C1135" s="60" t="s">
        <v>2016</v>
      </c>
      <c r="D1135" s="55">
        <v>-44963</v>
      </c>
      <c r="E1135" s="55">
        <v>-169.96</v>
      </c>
      <c r="F1135" s="952">
        <v>-188.39</v>
      </c>
      <c r="G1135" s="8" t="s">
        <v>1650</v>
      </c>
      <c r="H1135" s="666" t="s">
        <v>1486</v>
      </c>
      <c r="I1135" s="662"/>
      <c r="J1135"/>
    </row>
    <row r="1136" spans="1:10" hidden="1" outlineLevel="1">
      <c r="A1136" s="951">
        <v>2022</v>
      </c>
      <c r="B1136" s="80" t="s">
        <v>1651</v>
      </c>
      <c r="C1136" s="60" t="s">
        <v>2016</v>
      </c>
      <c r="D1136" s="55">
        <v>783062</v>
      </c>
      <c r="E1136" s="55">
        <v>2959.97</v>
      </c>
      <c r="F1136" s="952">
        <v>3281.03</v>
      </c>
      <c r="G1136" s="8" t="s">
        <v>1652</v>
      </c>
      <c r="H1136" s="666" t="s">
        <v>1486</v>
      </c>
      <c r="I1136" s="662"/>
      <c r="J1136"/>
    </row>
    <row r="1137" spans="1:10" hidden="1" outlineLevel="1">
      <c r="A1137" s="951">
        <v>2022</v>
      </c>
      <c r="B1137" s="80" t="s">
        <v>1657</v>
      </c>
      <c r="C1137" s="60" t="s">
        <v>2016</v>
      </c>
      <c r="D1137" s="55">
        <v>104392</v>
      </c>
      <c r="E1137" s="55">
        <v>394.6</v>
      </c>
      <c r="F1137" s="952">
        <v>437.4</v>
      </c>
      <c r="G1137" s="8" t="s">
        <v>1658</v>
      </c>
      <c r="H1137" s="666" t="s">
        <v>1486</v>
      </c>
      <c r="I1137" s="662"/>
      <c r="J1137"/>
    </row>
    <row r="1138" spans="1:10" hidden="1" outlineLevel="1">
      <c r="A1138" s="951">
        <v>2022</v>
      </c>
      <c r="B1138" s="80" t="s">
        <v>1659</v>
      </c>
      <c r="C1138" s="60" t="s">
        <v>2016</v>
      </c>
      <c r="D1138" s="55">
        <v>729127</v>
      </c>
      <c r="E1138" s="55">
        <v>2756.1</v>
      </c>
      <c r="F1138" s="952">
        <v>3055.04</v>
      </c>
      <c r="G1138" s="8" t="s">
        <v>1660</v>
      </c>
      <c r="H1138" s="666" t="s">
        <v>1486</v>
      </c>
      <c r="I1138" s="662"/>
      <c r="J1138"/>
    </row>
    <row r="1139" spans="1:10" hidden="1" outlineLevel="1">
      <c r="A1139" s="951">
        <v>2022</v>
      </c>
      <c r="B1139" s="80" t="s">
        <v>789</v>
      </c>
      <c r="C1139" s="60" t="s">
        <v>2016</v>
      </c>
      <c r="D1139" s="55">
        <v>-411027</v>
      </c>
      <c r="E1139" s="55">
        <v>-1553.68</v>
      </c>
      <c r="F1139" s="952">
        <v>-1722.2</v>
      </c>
      <c r="G1139" s="8" t="s">
        <v>790</v>
      </c>
      <c r="H1139" s="666" t="s">
        <v>1486</v>
      </c>
      <c r="I1139" s="662"/>
      <c r="J1139"/>
    </row>
    <row r="1140" spans="1:10" hidden="1" outlineLevel="1">
      <c r="A1140" s="951">
        <v>2022</v>
      </c>
      <c r="B1140" s="80" t="s">
        <v>1673</v>
      </c>
      <c r="C1140" s="60" t="s">
        <v>2016</v>
      </c>
      <c r="D1140" s="55">
        <v>40727</v>
      </c>
      <c r="E1140" s="55">
        <v>153.94999999999999</v>
      </c>
      <c r="F1140" s="952">
        <v>170.65</v>
      </c>
      <c r="G1140" s="8" t="s">
        <v>1674</v>
      </c>
      <c r="H1140" s="666" t="s">
        <v>1486</v>
      </c>
      <c r="I1140" s="662"/>
      <c r="J1140"/>
    </row>
    <row r="1141" spans="1:10" hidden="1" outlineLevel="1">
      <c r="A1141" s="951">
        <v>2022</v>
      </c>
      <c r="B1141" s="80" t="s">
        <v>1677</v>
      </c>
      <c r="C1141" s="60" t="s">
        <v>2016</v>
      </c>
      <c r="D1141" s="55">
        <v>-55754</v>
      </c>
      <c r="E1141" s="55">
        <v>-210.75</v>
      </c>
      <c r="F1141" s="952">
        <v>-233.61</v>
      </c>
      <c r="G1141" s="8" t="s">
        <v>1678</v>
      </c>
      <c r="H1141" s="666" t="s">
        <v>1486</v>
      </c>
      <c r="I1141" s="662"/>
      <c r="J1141"/>
    </row>
    <row r="1142" spans="1:10" hidden="1" outlineLevel="1">
      <c r="A1142" s="951">
        <v>2022</v>
      </c>
      <c r="B1142" s="80" t="s">
        <v>1683</v>
      </c>
      <c r="C1142" s="60" t="s">
        <v>2016</v>
      </c>
      <c r="D1142" s="55">
        <v>-20949</v>
      </c>
      <c r="E1142" s="55">
        <v>-79.19</v>
      </c>
      <c r="F1142" s="952">
        <v>-87.78</v>
      </c>
      <c r="G1142" s="8" t="s">
        <v>1684</v>
      </c>
      <c r="H1142" s="666" t="s">
        <v>1486</v>
      </c>
      <c r="I1142" s="662"/>
      <c r="J1142"/>
    </row>
    <row r="1143" spans="1:10" hidden="1" outlineLevel="1">
      <c r="A1143" s="951">
        <v>2022</v>
      </c>
      <c r="B1143" s="80" t="s">
        <v>1687</v>
      </c>
      <c r="C1143" s="60" t="s">
        <v>2016</v>
      </c>
      <c r="D1143" s="55">
        <v>181084</v>
      </c>
      <c r="E1143" s="55">
        <v>684.5</v>
      </c>
      <c r="F1143" s="952">
        <v>758.74</v>
      </c>
      <c r="G1143" s="8" t="s">
        <v>1688</v>
      </c>
      <c r="H1143" s="666" t="s">
        <v>1486</v>
      </c>
      <c r="I1143" s="662"/>
      <c r="J1143"/>
    </row>
    <row r="1144" spans="1:10" hidden="1" outlineLevel="1">
      <c r="A1144" s="951">
        <v>2022</v>
      </c>
      <c r="B1144" s="80" t="s">
        <v>1689</v>
      </c>
      <c r="C1144" s="60" t="s">
        <v>2016</v>
      </c>
      <c r="D1144" s="55">
        <v>51275</v>
      </c>
      <c r="E1144" s="55">
        <v>193.82</v>
      </c>
      <c r="F1144" s="952">
        <v>214.84</v>
      </c>
      <c r="G1144" s="8" t="s">
        <v>1690</v>
      </c>
      <c r="H1144" s="666" t="s">
        <v>1486</v>
      </c>
      <c r="I1144" s="662"/>
      <c r="J1144"/>
    </row>
    <row r="1145" spans="1:10" hidden="1" outlineLevel="1">
      <c r="A1145" s="951">
        <v>2022</v>
      </c>
      <c r="B1145" s="80" t="s">
        <v>1695</v>
      </c>
      <c r="C1145" s="60" t="s">
        <v>2016</v>
      </c>
      <c r="D1145" s="55">
        <v>-1191645</v>
      </c>
      <c r="E1145" s="55">
        <v>-4504.42</v>
      </c>
      <c r="F1145" s="952">
        <v>-4992.99</v>
      </c>
      <c r="G1145" s="8" t="s">
        <v>1696</v>
      </c>
      <c r="H1145" s="666" t="s">
        <v>1486</v>
      </c>
      <c r="I1145" s="662"/>
      <c r="J1145"/>
    </row>
    <row r="1146" spans="1:10" hidden="1" outlineLevel="1">
      <c r="A1146" s="951">
        <v>2022</v>
      </c>
      <c r="B1146" s="80" t="s">
        <v>1699</v>
      </c>
      <c r="C1146" s="60" t="s">
        <v>2016</v>
      </c>
      <c r="D1146" s="55">
        <v>384587</v>
      </c>
      <c r="E1146" s="55">
        <v>1453.74</v>
      </c>
      <c r="F1146" s="952">
        <v>1611.42</v>
      </c>
      <c r="G1146" s="8" t="s">
        <v>1700</v>
      </c>
      <c r="H1146" s="666" t="s">
        <v>1486</v>
      </c>
      <c r="I1146" s="662"/>
      <c r="J1146"/>
    </row>
    <row r="1147" spans="1:10" hidden="1" outlineLevel="1">
      <c r="A1147" s="951">
        <v>2022</v>
      </c>
      <c r="B1147" s="80" t="s">
        <v>1705</v>
      </c>
      <c r="C1147" s="60" t="s">
        <v>2016</v>
      </c>
      <c r="D1147" s="55">
        <v>4276</v>
      </c>
      <c r="E1147" s="55">
        <v>16.16</v>
      </c>
      <c r="F1147" s="952">
        <v>17.920000000000002</v>
      </c>
      <c r="G1147" s="8" t="s">
        <v>1706</v>
      </c>
      <c r="H1147" s="666" t="s">
        <v>1486</v>
      </c>
      <c r="I1147" s="662"/>
      <c r="J1147"/>
    </row>
    <row r="1148" spans="1:10" ht="13.5" hidden="1" outlineLevel="1" thickBot="1">
      <c r="A1148" s="949">
        <v>2022</v>
      </c>
      <c r="B1148" s="853" t="s">
        <v>1713</v>
      </c>
      <c r="C1148" s="797" t="s">
        <v>2016</v>
      </c>
      <c r="D1148" s="56">
        <v>4034</v>
      </c>
      <c r="E1148" s="56">
        <v>15.25</v>
      </c>
      <c r="F1148" s="950">
        <v>16.899999999999999</v>
      </c>
      <c r="G1148" s="8" t="s">
        <v>1714</v>
      </c>
      <c r="H1148" s="666" t="s">
        <v>1486</v>
      </c>
      <c r="I1148" s="662"/>
      <c r="J1148"/>
    </row>
    <row r="1149" spans="1:10" hidden="1" outlineLevel="1">
      <c r="A1149" s="951">
        <v>2023</v>
      </c>
      <c r="B1149" s="80" t="s">
        <v>1489</v>
      </c>
      <c r="C1149" s="60" t="s">
        <v>2016</v>
      </c>
      <c r="D1149" s="55">
        <v>-2747091</v>
      </c>
      <c r="E1149" s="55">
        <v>-9807.11</v>
      </c>
      <c r="F1149" s="952">
        <v>-16235.31</v>
      </c>
      <c r="G1149" s="8" t="s">
        <v>1490</v>
      </c>
      <c r="H1149" s="666" t="s">
        <v>1486</v>
      </c>
      <c r="I1149" s="662"/>
      <c r="J1149"/>
    </row>
    <row r="1150" spans="1:10" hidden="1" outlineLevel="1">
      <c r="A1150" s="951">
        <v>2023</v>
      </c>
      <c r="B1150" s="80" t="s">
        <v>655</v>
      </c>
      <c r="C1150" s="60" t="s">
        <v>2016</v>
      </c>
      <c r="D1150" s="55">
        <v>166073</v>
      </c>
      <c r="E1150" s="55">
        <v>592.88</v>
      </c>
      <c r="F1150" s="952">
        <v>981.49</v>
      </c>
      <c r="G1150" s="8" t="s">
        <v>578</v>
      </c>
      <c r="H1150" s="666" t="s">
        <v>1486</v>
      </c>
      <c r="I1150" s="662"/>
      <c r="J1150"/>
    </row>
    <row r="1151" spans="1:10" hidden="1" outlineLevel="1">
      <c r="A1151" s="951">
        <v>2023</v>
      </c>
      <c r="B1151" s="80" t="s">
        <v>655</v>
      </c>
      <c r="C1151" s="60" t="s">
        <v>2017</v>
      </c>
      <c r="D1151" s="55">
        <v>77470</v>
      </c>
      <c r="E1151" s="55">
        <v>30.99</v>
      </c>
      <c r="F1151" s="952">
        <v>30.99</v>
      </c>
      <c r="G1151" s="8" t="s">
        <v>578</v>
      </c>
      <c r="H1151" s="666" t="s">
        <v>1486</v>
      </c>
      <c r="I1151" s="662"/>
      <c r="J1151"/>
    </row>
    <row r="1152" spans="1:10" hidden="1" outlineLevel="1">
      <c r="A1152" s="951">
        <v>2023</v>
      </c>
      <c r="B1152" s="80" t="s">
        <v>655</v>
      </c>
      <c r="C1152" s="60" t="s">
        <v>2022</v>
      </c>
      <c r="D1152" s="55">
        <v>1323953</v>
      </c>
      <c r="E1152" s="55">
        <v>397.19</v>
      </c>
      <c r="F1152" s="952">
        <v>397.19</v>
      </c>
      <c r="G1152" s="8" t="s">
        <v>578</v>
      </c>
      <c r="H1152" s="666" t="s">
        <v>1486</v>
      </c>
      <c r="I1152" s="662"/>
      <c r="J1152"/>
    </row>
    <row r="1153" spans="1:10" hidden="1" outlineLevel="1">
      <c r="A1153" s="951">
        <v>2023</v>
      </c>
      <c r="B1153" s="80" t="s">
        <v>1493</v>
      </c>
      <c r="C1153" s="60" t="s">
        <v>2016</v>
      </c>
      <c r="D1153" s="55">
        <v>-2288926</v>
      </c>
      <c r="E1153" s="55">
        <v>-8171.47</v>
      </c>
      <c r="F1153" s="952">
        <v>-13527.55</v>
      </c>
      <c r="G1153" s="8" t="s">
        <v>1494</v>
      </c>
      <c r="H1153" s="666" t="s">
        <v>1486</v>
      </c>
      <c r="I1153" s="662"/>
      <c r="J1153"/>
    </row>
    <row r="1154" spans="1:10" hidden="1" outlineLevel="1">
      <c r="A1154" s="951">
        <v>2023</v>
      </c>
      <c r="B1154" s="80" t="s">
        <v>172</v>
      </c>
      <c r="C1154" s="60" t="s">
        <v>2016</v>
      </c>
      <c r="D1154" s="55">
        <v>85120</v>
      </c>
      <c r="E1154" s="55">
        <v>303.88</v>
      </c>
      <c r="F1154" s="952">
        <v>503.06</v>
      </c>
      <c r="G1154" s="8" t="s">
        <v>173</v>
      </c>
      <c r="H1154" s="666" t="s">
        <v>1486</v>
      </c>
      <c r="I1154" s="662"/>
      <c r="J1154"/>
    </row>
    <row r="1155" spans="1:10" hidden="1" outlineLevel="1">
      <c r="A1155" s="951">
        <v>2023</v>
      </c>
      <c r="B1155" s="80" t="s">
        <v>1495</v>
      </c>
      <c r="C1155" s="60" t="s">
        <v>2016</v>
      </c>
      <c r="D1155" s="55">
        <v>-4415042</v>
      </c>
      <c r="E1155" s="55">
        <v>-15761.7</v>
      </c>
      <c r="F1155" s="952">
        <v>-26092.9</v>
      </c>
      <c r="G1155" s="8" t="s">
        <v>1496</v>
      </c>
      <c r="H1155" s="666" t="s">
        <v>1486</v>
      </c>
      <c r="I1155" s="662"/>
      <c r="J1155"/>
    </row>
    <row r="1156" spans="1:10" hidden="1" outlineLevel="1">
      <c r="A1156" s="951">
        <v>2023</v>
      </c>
      <c r="B1156" s="80" t="s">
        <v>1497</v>
      </c>
      <c r="C1156" s="60" t="s">
        <v>2016</v>
      </c>
      <c r="D1156" s="55">
        <v>-91503</v>
      </c>
      <c r="E1156" s="55">
        <v>-326.67</v>
      </c>
      <c r="F1156" s="952">
        <v>-540.78</v>
      </c>
      <c r="G1156" s="8" t="s">
        <v>1498</v>
      </c>
      <c r="H1156" s="666" t="s">
        <v>1486</v>
      </c>
      <c r="I1156" s="662"/>
      <c r="J1156"/>
    </row>
    <row r="1157" spans="1:10" hidden="1" outlineLevel="1">
      <c r="A1157" s="951">
        <v>2023</v>
      </c>
      <c r="B1157" s="80" t="s">
        <v>1499</v>
      </c>
      <c r="C1157" s="60" t="s">
        <v>2016</v>
      </c>
      <c r="D1157" s="55">
        <v>-1327</v>
      </c>
      <c r="E1157" s="55">
        <v>-4.74</v>
      </c>
      <c r="F1157" s="952">
        <v>-7.84</v>
      </c>
      <c r="G1157" s="8" t="s">
        <v>1500</v>
      </c>
      <c r="H1157" s="666" t="s">
        <v>1486</v>
      </c>
      <c r="I1157" s="662"/>
      <c r="J1157"/>
    </row>
    <row r="1158" spans="1:10" hidden="1" outlineLevel="1">
      <c r="A1158" s="951">
        <v>2023</v>
      </c>
      <c r="B1158" s="80" t="s">
        <v>1503</v>
      </c>
      <c r="C1158" s="60" t="s">
        <v>2016</v>
      </c>
      <c r="D1158" s="55">
        <v>-155514</v>
      </c>
      <c r="E1158" s="55">
        <v>-555.17999999999995</v>
      </c>
      <c r="F1158" s="952">
        <v>-919.09</v>
      </c>
      <c r="G1158" s="8" t="s">
        <v>1504</v>
      </c>
      <c r="H1158" s="666" t="s">
        <v>1486</v>
      </c>
      <c r="I1158" s="662"/>
      <c r="J1158"/>
    </row>
    <row r="1159" spans="1:10" hidden="1" outlineLevel="1">
      <c r="A1159" s="951">
        <v>2023</v>
      </c>
      <c r="B1159" s="80" t="s">
        <v>1505</v>
      </c>
      <c r="C1159" s="60" t="s">
        <v>2016</v>
      </c>
      <c r="D1159" s="55">
        <v>3320264</v>
      </c>
      <c r="E1159" s="55">
        <v>11853.34</v>
      </c>
      <c r="F1159" s="952">
        <v>19622.759999999998</v>
      </c>
      <c r="G1159" s="8" t="s">
        <v>1506</v>
      </c>
      <c r="H1159" s="666" t="s">
        <v>1486</v>
      </c>
      <c r="I1159" s="662"/>
      <c r="J1159"/>
    </row>
    <row r="1160" spans="1:10" hidden="1" outlineLevel="1">
      <c r="A1160" s="946">
        <v>2023</v>
      </c>
      <c r="B1160" s="253" t="s">
        <v>1511</v>
      </c>
      <c r="C1160" s="84" t="s">
        <v>2016</v>
      </c>
      <c r="D1160" s="255">
        <v>750746</v>
      </c>
      <c r="E1160" s="55">
        <v>2680.16</v>
      </c>
      <c r="F1160" s="952">
        <v>4436.91</v>
      </c>
      <c r="G1160" s="8" t="s">
        <v>1512</v>
      </c>
      <c r="H1160" s="666" t="s">
        <v>1486</v>
      </c>
      <c r="I1160" s="662"/>
      <c r="J1160"/>
    </row>
    <row r="1161" spans="1:10" hidden="1" outlineLevel="1">
      <c r="A1161" s="946">
        <v>2023</v>
      </c>
      <c r="B1161" s="253" t="s">
        <v>1513</v>
      </c>
      <c r="C1161" s="84" t="s">
        <v>2016</v>
      </c>
      <c r="D1161" s="255">
        <v>-1984494</v>
      </c>
      <c r="E1161" s="55">
        <v>-7084.64</v>
      </c>
      <c r="F1161" s="952">
        <v>-11728.36</v>
      </c>
      <c r="G1161" s="8" t="s">
        <v>1514</v>
      </c>
      <c r="H1161" s="666" t="s">
        <v>1486</v>
      </c>
      <c r="I1161" s="662"/>
      <c r="J1161"/>
    </row>
    <row r="1162" spans="1:10" hidden="1" outlineLevel="1">
      <c r="A1162" s="946">
        <v>2023</v>
      </c>
      <c r="B1162" s="253" t="s">
        <v>1517</v>
      </c>
      <c r="C1162" s="84" t="s">
        <v>2016</v>
      </c>
      <c r="D1162" s="255">
        <v>-207833</v>
      </c>
      <c r="E1162" s="55">
        <v>-741.96</v>
      </c>
      <c r="F1162" s="952">
        <v>-1228.29</v>
      </c>
      <c r="G1162" s="8" t="s">
        <v>1518</v>
      </c>
      <c r="H1162" s="666" t="s">
        <v>1486</v>
      </c>
      <c r="I1162" s="662"/>
      <c r="J1162"/>
    </row>
    <row r="1163" spans="1:10" hidden="1" outlineLevel="1">
      <c r="A1163" s="946">
        <v>2023</v>
      </c>
      <c r="B1163" s="253" t="s">
        <v>1519</v>
      </c>
      <c r="C1163" s="84" t="s">
        <v>2016</v>
      </c>
      <c r="D1163" s="255">
        <v>-229877</v>
      </c>
      <c r="E1163" s="55">
        <v>-820.66</v>
      </c>
      <c r="F1163" s="952">
        <v>-1358.57</v>
      </c>
      <c r="G1163" s="8" t="s">
        <v>1520</v>
      </c>
      <c r="H1163" s="666" t="s">
        <v>1486</v>
      </c>
      <c r="I1163" s="662"/>
      <c r="J1163"/>
    </row>
    <row r="1164" spans="1:10" hidden="1" outlineLevel="1">
      <c r="A1164" s="946">
        <v>2023</v>
      </c>
      <c r="B1164" s="253" t="s">
        <v>1521</v>
      </c>
      <c r="C1164" s="84" t="s">
        <v>2016</v>
      </c>
      <c r="D1164" s="255">
        <v>-835248</v>
      </c>
      <c r="E1164" s="55">
        <v>-2981.84</v>
      </c>
      <c r="F1164" s="952">
        <v>-4936.32</v>
      </c>
      <c r="G1164" s="8" t="s">
        <v>1522</v>
      </c>
      <c r="H1164" s="666" t="s">
        <v>1486</v>
      </c>
      <c r="I1164" s="662"/>
      <c r="J1164"/>
    </row>
    <row r="1165" spans="1:10" hidden="1" outlineLevel="1">
      <c r="A1165" s="946">
        <v>2023</v>
      </c>
      <c r="B1165" s="253" t="s">
        <v>1523</v>
      </c>
      <c r="C1165" s="84" t="s">
        <v>2016</v>
      </c>
      <c r="D1165" s="255">
        <v>-216363</v>
      </c>
      <c r="E1165" s="55">
        <v>-772.42</v>
      </c>
      <c r="F1165" s="952">
        <v>-1278.71</v>
      </c>
      <c r="G1165" s="8" t="s">
        <v>1524</v>
      </c>
      <c r="H1165" s="666" t="s">
        <v>1486</v>
      </c>
      <c r="I1165" s="662"/>
      <c r="J1165"/>
    </row>
    <row r="1166" spans="1:10" hidden="1" outlineLevel="1">
      <c r="A1166" s="946">
        <v>2023</v>
      </c>
      <c r="B1166" s="253" t="s">
        <v>1529</v>
      </c>
      <c r="C1166" s="84" t="s">
        <v>2016</v>
      </c>
      <c r="D1166" s="255">
        <v>4618019</v>
      </c>
      <c r="E1166" s="55">
        <v>16486.330000000002</v>
      </c>
      <c r="F1166" s="952">
        <v>27292.49</v>
      </c>
      <c r="G1166" s="8" t="s">
        <v>1530</v>
      </c>
      <c r="H1166" s="666" t="s">
        <v>1486</v>
      </c>
      <c r="I1166" s="662"/>
      <c r="J1166"/>
    </row>
    <row r="1167" spans="1:10" hidden="1" outlineLevel="1">
      <c r="A1167" s="946">
        <v>2023</v>
      </c>
      <c r="B1167" s="253" t="s">
        <v>1533</v>
      </c>
      <c r="C1167" s="84" t="s">
        <v>2016</v>
      </c>
      <c r="D1167" s="255">
        <v>259346</v>
      </c>
      <c r="E1167" s="55">
        <v>925.87</v>
      </c>
      <c r="F1167" s="952">
        <v>1532.73</v>
      </c>
      <c r="G1167" s="8" t="s">
        <v>1534</v>
      </c>
      <c r="H1167" s="666" t="s">
        <v>1486</v>
      </c>
      <c r="I1167" s="662"/>
      <c r="J1167"/>
    </row>
    <row r="1168" spans="1:10" hidden="1" outlineLevel="1">
      <c r="A1168" s="946">
        <v>2023</v>
      </c>
      <c r="B1168" s="253" t="s">
        <v>1961</v>
      </c>
      <c r="C1168" s="84" t="s">
        <v>2016</v>
      </c>
      <c r="D1168" s="255">
        <v>-3105</v>
      </c>
      <c r="E1168" s="55">
        <v>-11.08</v>
      </c>
      <c r="F1168" s="952">
        <v>-18.350000000000001</v>
      </c>
      <c r="G1168" s="8" t="s">
        <v>1962</v>
      </c>
      <c r="H1168" s="666" t="s">
        <v>1486</v>
      </c>
      <c r="I1168" s="662"/>
      <c r="J1168"/>
    </row>
    <row r="1169" spans="1:10" hidden="1" outlineLevel="1">
      <c r="A1169" s="946">
        <v>2023</v>
      </c>
      <c r="B1169" s="253" t="s">
        <v>1537</v>
      </c>
      <c r="C1169" s="84" t="s">
        <v>2016</v>
      </c>
      <c r="D1169" s="255">
        <v>-68569</v>
      </c>
      <c r="E1169" s="55">
        <v>-244.79</v>
      </c>
      <c r="F1169" s="952">
        <v>-405.24</v>
      </c>
      <c r="G1169" s="8" t="s">
        <v>1538</v>
      </c>
      <c r="H1169" s="666" t="s">
        <v>1486</v>
      </c>
      <c r="I1169" s="662"/>
      <c r="J1169"/>
    </row>
    <row r="1170" spans="1:10" hidden="1" outlineLevel="1">
      <c r="A1170" s="946">
        <v>2023</v>
      </c>
      <c r="B1170" s="253" t="s">
        <v>86</v>
      </c>
      <c r="C1170" s="84" t="s">
        <v>2016</v>
      </c>
      <c r="D1170" s="255">
        <v>370921</v>
      </c>
      <c r="E1170" s="55">
        <v>1324.19</v>
      </c>
      <c r="F1170" s="952">
        <v>2192.14</v>
      </c>
      <c r="G1170" s="8" t="s">
        <v>87</v>
      </c>
      <c r="H1170" s="666" t="s">
        <v>1486</v>
      </c>
      <c r="I1170" s="662"/>
      <c r="J1170"/>
    </row>
    <row r="1171" spans="1:10" hidden="1" outlineLevel="1">
      <c r="A1171" s="946">
        <v>2023</v>
      </c>
      <c r="B1171" s="253" t="s">
        <v>398</v>
      </c>
      <c r="C1171" s="84" t="s">
        <v>2016</v>
      </c>
      <c r="D1171" s="255">
        <v>4851</v>
      </c>
      <c r="E1171" s="55">
        <v>17.32</v>
      </c>
      <c r="F1171" s="952">
        <v>28.67</v>
      </c>
      <c r="G1171" s="8" t="s">
        <v>399</v>
      </c>
      <c r="H1171" s="666" t="s">
        <v>1486</v>
      </c>
      <c r="I1171" s="662"/>
      <c r="J1171"/>
    </row>
    <row r="1172" spans="1:10" hidden="1" outlineLevel="1">
      <c r="A1172" s="946">
        <v>2023</v>
      </c>
      <c r="B1172" s="253" t="s">
        <v>1547</v>
      </c>
      <c r="C1172" s="84" t="s">
        <v>2016</v>
      </c>
      <c r="D1172" s="255">
        <v>-1251</v>
      </c>
      <c r="E1172" s="55">
        <v>-4.47</v>
      </c>
      <c r="F1172" s="952">
        <v>-7.39</v>
      </c>
      <c r="G1172" s="8" t="s">
        <v>1548</v>
      </c>
      <c r="H1172" s="666" t="s">
        <v>1486</v>
      </c>
      <c r="I1172" s="662"/>
      <c r="J1172"/>
    </row>
    <row r="1173" spans="1:10" hidden="1" outlineLevel="1">
      <c r="A1173" s="946">
        <v>2023</v>
      </c>
      <c r="B1173" s="253" t="s">
        <v>1559</v>
      </c>
      <c r="C1173" s="84" t="s">
        <v>2016</v>
      </c>
      <c r="D1173" s="255">
        <v>2035700</v>
      </c>
      <c r="E1173" s="55">
        <v>7267.45</v>
      </c>
      <c r="F1173" s="952">
        <v>12030.99</v>
      </c>
      <c r="G1173" s="8" t="s">
        <v>1560</v>
      </c>
      <c r="H1173" s="666" t="s">
        <v>1486</v>
      </c>
      <c r="I1173" s="662"/>
      <c r="J1173"/>
    </row>
    <row r="1174" spans="1:10" hidden="1" outlineLevel="1">
      <c r="A1174" s="946">
        <v>2023</v>
      </c>
      <c r="B1174" s="253" t="s">
        <v>1561</v>
      </c>
      <c r="C1174" s="84" t="s">
        <v>2016</v>
      </c>
      <c r="D1174" s="255">
        <v>-11002569</v>
      </c>
      <c r="E1174" s="55">
        <v>-39279.17</v>
      </c>
      <c r="F1174" s="952">
        <v>-65025.18</v>
      </c>
      <c r="G1174" s="8" t="s">
        <v>1562</v>
      </c>
      <c r="H1174" s="666" t="s">
        <v>1486</v>
      </c>
      <c r="I1174" s="662"/>
      <c r="J1174"/>
    </row>
    <row r="1175" spans="1:10" hidden="1" outlineLevel="1">
      <c r="A1175" s="946">
        <v>2023</v>
      </c>
      <c r="B1175" s="253" t="s">
        <v>1561</v>
      </c>
      <c r="C1175" s="84" t="s">
        <v>2018</v>
      </c>
      <c r="D1175" s="255">
        <v>41790542</v>
      </c>
      <c r="E1175" s="55">
        <v>-149192.22</v>
      </c>
      <c r="F1175" s="952">
        <v>-246982.06</v>
      </c>
      <c r="G1175" s="8" t="s">
        <v>1562</v>
      </c>
      <c r="H1175" s="666" t="s">
        <v>1486</v>
      </c>
      <c r="I1175" s="662"/>
      <c r="J1175"/>
    </row>
    <row r="1176" spans="1:10" hidden="1" outlineLevel="1">
      <c r="A1176" s="946">
        <v>2023</v>
      </c>
      <c r="B1176" s="1087" t="s">
        <v>613</v>
      </c>
      <c r="C1176" s="84" t="s">
        <v>2016</v>
      </c>
      <c r="D1176" s="803">
        <v>50508921</v>
      </c>
      <c r="E1176" s="48">
        <v>180316.85</v>
      </c>
      <c r="F1176" s="947">
        <v>298507.71999999997</v>
      </c>
      <c r="G1176" s="8" t="s">
        <v>614</v>
      </c>
      <c r="H1176" s="666" t="s">
        <v>1486</v>
      </c>
      <c r="I1176" s="662"/>
      <c r="J1176"/>
    </row>
    <row r="1177" spans="1:10" hidden="1" outlineLevel="1">
      <c r="A1177" s="951">
        <v>2023</v>
      </c>
      <c r="B1177" s="624" t="s">
        <v>613</v>
      </c>
      <c r="C1177" s="625" t="s">
        <v>2022</v>
      </c>
      <c r="D1177" s="255">
        <v>9613412</v>
      </c>
      <c r="E1177" s="55">
        <v>2884.02</v>
      </c>
      <c r="F1177" s="952">
        <v>2884.02</v>
      </c>
      <c r="G1177" s="8" t="s">
        <v>614</v>
      </c>
      <c r="H1177" s="666" t="s">
        <v>1486</v>
      </c>
      <c r="I1177" s="662"/>
      <c r="J1177"/>
    </row>
    <row r="1178" spans="1:10" hidden="1" outlineLevel="1">
      <c r="A1178" s="951">
        <v>2023</v>
      </c>
      <c r="B1178" s="254" t="s">
        <v>1567</v>
      </c>
      <c r="C1178" s="84" t="s">
        <v>2016</v>
      </c>
      <c r="D1178" s="255">
        <v>665779</v>
      </c>
      <c r="E1178" s="55">
        <v>2376.83</v>
      </c>
      <c r="F1178" s="952">
        <v>3934.75</v>
      </c>
      <c r="G1178" s="8" t="s">
        <v>1568</v>
      </c>
      <c r="H1178" s="666" t="s">
        <v>1486</v>
      </c>
      <c r="I1178" s="662"/>
      <c r="J1178"/>
    </row>
    <row r="1179" spans="1:10" hidden="1" outlineLevel="1">
      <c r="A1179" s="951">
        <v>2023</v>
      </c>
      <c r="B1179" s="254" t="s">
        <v>1569</v>
      </c>
      <c r="C1179" s="84" t="s">
        <v>2016</v>
      </c>
      <c r="D1179" s="255">
        <v>1645192</v>
      </c>
      <c r="E1179" s="55">
        <v>5873.34</v>
      </c>
      <c r="F1179" s="952">
        <v>9723.08</v>
      </c>
      <c r="G1179" s="8" t="s">
        <v>1570</v>
      </c>
      <c r="H1179" s="666" t="s">
        <v>1486</v>
      </c>
      <c r="I1179" s="662"/>
      <c r="J1179"/>
    </row>
    <row r="1180" spans="1:10" hidden="1" outlineLevel="1">
      <c r="A1180" s="951">
        <v>2023</v>
      </c>
      <c r="B1180" s="254" t="s">
        <v>1577</v>
      </c>
      <c r="C1180" s="84" t="s">
        <v>2016</v>
      </c>
      <c r="D1180" s="255">
        <v>-1201279</v>
      </c>
      <c r="E1180" s="55">
        <v>-4288.57</v>
      </c>
      <c r="F1180" s="952">
        <v>-7099.56</v>
      </c>
      <c r="G1180" s="8" t="s">
        <v>1578</v>
      </c>
      <c r="H1180" s="666" t="s">
        <v>1486</v>
      </c>
      <c r="I1180" s="662"/>
    </row>
    <row r="1181" spans="1:10" hidden="1" outlineLevel="1">
      <c r="A1181" s="951">
        <v>2023</v>
      </c>
      <c r="B1181" s="254" t="s">
        <v>1579</v>
      </c>
      <c r="C1181" s="84" t="s">
        <v>2016</v>
      </c>
      <c r="D1181" s="255">
        <v>-608487</v>
      </c>
      <c r="E1181" s="55">
        <v>-2172.3000000000002</v>
      </c>
      <c r="F1181" s="952">
        <v>-3596.16</v>
      </c>
      <c r="G1181" s="8" t="s">
        <v>1580</v>
      </c>
      <c r="H1181" s="666" t="s">
        <v>1486</v>
      </c>
      <c r="I1181" s="662"/>
    </row>
    <row r="1182" spans="1:10" hidden="1" outlineLevel="1">
      <c r="A1182" s="951">
        <v>2023</v>
      </c>
      <c r="B1182" s="254" t="s">
        <v>1581</v>
      </c>
      <c r="C1182" s="84" t="s">
        <v>2016</v>
      </c>
      <c r="D1182" s="255">
        <v>-1315692</v>
      </c>
      <c r="E1182" s="55">
        <v>-4697.0200000000004</v>
      </c>
      <c r="F1182" s="952">
        <v>-7775.74</v>
      </c>
      <c r="G1182" s="8" t="s">
        <v>1582</v>
      </c>
      <c r="H1182" s="666" t="s">
        <v>1486</v>
      </c>
      <c r="I1182" s="662"/>
    </row>
    <row r="1183" spans="1:10" hidden="1" outlineLevel="1">
      <c r="A1183" s="951">
        <v>2023</v>
      </c>
      <c r="B1183" s="254" t="s">
        <v>1585</v>
      </c>
      <c r="C1183" s="84" t="s">
        <v>2016</v>
      </c>
      <c r="D1183" s="255">
        <v>28528911</v>
      </c>
      <c r="E1183" s="55">
        <v>101848.21</v>
      </c>
      <c r="F1183" s="952">
        <v>168605.86</v>
      </c>
      <c r="G1183" s="8" t="s">
        <v>1586</v>
      </c>
      <c r="H1183" s="666" t="s">
        <v>1486</v>
      </c>
      <c r="I1183" s="662"/>
    </row>
    <row r="1184" spans="1:10" hidden="1" outlineLevel="1">
      <c r="A1184" s="951">
        <v>2023</v>
      </c>
      <c r="B1184" s="254" t="s">
        <v>1587</v>
      </c>
      <c r="C1184" s="84" t="s">
        <v>2016</v>
      </c>
      <c r="D1184" s="255">
        <v>1034</v>
      </c>
      <c r="E1184" s="55">
        <v>3.69</v>
      </c>
      <c r="F1184" s="952">
        <v>6.11</v>
      </c>
      <c r="G1184" s="8" t="s">
        <v>1588</v>
      </c>
      <c r="H1184" s="666" t="s">
        <v>1486</v>
      </c>
      <c r="I1184" s="662"/>
    </row>
    <row r="1185" spans="1:9" hidden="1" outlineLevel="1">
      <c r="A1185" s="951">
        <v>2023</v>
      </c>
      <c r="B1185" s="254" t="s">
        <v>1593</v>
      </c>
      <c r="C1185" s="84" t="s">
        <v>2016</v>
      </c>
      <c r="D1185" s="255">
        <v>-63629</v>
      </c>
      <c r="E1185" s="55">
        <v>-227.16</v>
      </c>
      <c r="F1185" s="952">
        <v>-376.05</v>
      </c>
      <c r="G1185" s="8" t="s">
        <v>1594</v>
      </c>
      <c r="H1185" s="666" t="s">
        <v>1486</v>
      </c>
      <c r="I1185" s="662"/>
    </row>
    <row r="1186" spans="1:9" hidden="1" outlineLevel="1">
      <c r="A1186" s="951">
        <v>2023</v>
      </c>
      <c r="B1186" s="254" t="s">
        <v>1601</v>
      </c>
      <c r="C1186" s="84" t="s">
        <v>2016</v>
      </c>
      <c r="D1186" s="255">
        <v>14433077</v>
      </c>
      <c r="E1186" s="55">
        <v>51526.080000000002</v>
      </c>
      <c r="F1186" s="952">
        <v>85299.49</v>
      </c>
      <c r="G1186" s="8" t="s">
        <v>1602</v>
      </c>
      <c r="H1186" s="666" t="s">
        <v>1486</v>
      </c>
      <c r="I1186" s="662"/>
    </row>
    <row r="1187" spans="1:9" hidden="1" outlineLevel="1">
      <c r="A1187" s="951">
        <v>2023</v>
      </c>
      <c r="B1187" s="254" t="s">
        <v>1605</v>
      </c>
      <c r="C1187" s="84" t="s">
        <v>2016</v>
      </c>
      <c r="D1187" s="255">
        <v>24364</v>
      </c>
      <c r="E1187" s="55">
        <v>86.98</v>
      </c>
      <c r="F1187" s="952">
        <v>143.99</v>
      </c>
      <c r="G1187" s="8" t="s">
        <v>1606</v>
      </c>
      <c r="H1187" s="666" t="s">
        <v>1486</v>
      </c>
      <c r="I1187" s="662"/>
    </row>
    <row r="1188" spans="1:9" hidden="1" outlineLevel="1">
      <c r="A1188" s="951">
        <v>2023</v>
      </c>
      <c r="B1188" s="254" t="s">
        <v>1609</v>
      </c>
      <c r="C1188" s="84" t="s">
        <v>2016</v>
      </c>
      <c r="D1188" s="255">
        <v>-1814629</v>
      </c>
      <c r="E1188" s="55">
        <v>-6478.23</v>
      </c>
      <c r="F1188" s="952">
        <v>-10724.46</v>
      </c>
      <c r="G1188" s="8" t="s">
        <v>1610</v>
      </c>
      <c r="H1188" s="666" t="s">
        <v>1486</v>
      </c>
      <c r="I1188" s="662"/>
    </row>
    <row r="1189" spans="1:9" hidden="1" outlineLevel="1">
      <c r="A1189" s="951">
        <v>2023</v>
      </c>
      <c r="B1189" s="254" t="s">
        <v>1611</v>
      </c>
      <c r="C1189" s="84" t="s">
        <v>2016</v>
      </c>
      <c r="D1189" s="255">
        <v>-371284</v>
      </c>
      <c r="E1189" s="55">
        <v>-1325.48</v>
      </c>
      <c r="F1189" s="952">
        <v>-2194.29</v>
      </c>
      <c r="G1189" s="8" t="s">
        <v>1612</v>
      </c>
      <c r="H1189" s="666" t="s">
        <v>1486</v>
      </c>
      <c r="I1189" s="662"/>
    </row>
    <row r="1190" spans="1:9" hidden="1" outlineLevel="1">
      <c r="A1190" s="951">
        <v>2023</v>
      </c>
      <c r="B1190" s="254" t="s">
        <v>1613</v>
      </c>
      <c r="C1190" s="84" t="s">
        <v>2016</v>
      </c>
      <c r="D1190" s="255">
        <v>-180788</v>
      </c>
      <c r="E1190" s="55">
        <v>-645.41</v>
      </c>
      <c r="F1190" s="952">
        <v>-1068.46</v>
      </c>
      <c r="G1190" s="8" t="s">
        <v>1614</v>
      </c>
      <c r="H1190" s="666" t="s">
        <v>1486</v>
      </c>
      <c r="I1190" s="662"/>
    </row>
    <row r="1191" spans="1:9" hidden="1" outlineLevel="1">
      <c r="A1191" s="951">
        <v>2023</v>
      </c>
      <c r="B1191" s="254" t="s">
        <v>1621</v>
      </c>
      <c r="C1191" s="84" t="s">
        <v>2016</v>
      </c>
      <c r="D1191" s="255">
        <v>-155216</v>
      </c>
      <c r="E1191" s="55">
        <v>-554.12</v>
      </c>
      <c r="F1191" s="952">
        <v>-917.33</v>
      </c>
      <c r="G1191" s="8" t="s">
        <v>1622</v>
      </c>
      <c r="H1191" s="666" t="s">
        <v>1486</v>
      </c>
      <c r="I1191" s="662"/>
    </row>
    <row r="1192" spans="1:9" hidden="1" outlineLevel="1">
      <c r="A1192" s="951">
        <v>2023</v>
      </c>
      <c r="B1192" s="254" t="s">
        <v>1623</v>
      </c>
      <c r="C1192" s="84" t="s">
        <v>2016</v>
      </c>
      <c r="D1192" s="255">
        <v>-522904</v>
      </c>
      <c r="E1192" s="55">
        <v>-1866.77</v>
      </c>
      <c r="F1192" s="952">
        <v>-3090.36</v>
      </c>
      <c r="G1192" s="8" t="s">
        <v>1624</v>
      </c>
      <c r="H1192" s="666" t="s">
        <v>1486</v>
      </c>
      <c r="I1192" s="662"/>
    </row>
    <row r="1193" spans="1:9" hidden="1" outlineLevel="1">
      <c r="A1193" s="951">
        <v>2023</v>
      </c>
      <c r="B1193" s="254" t="s">
        <v>1625</v>
      </c>
      <c r="C1193" s="84" t="s">
        <v>2016</v>
      </c>
      <c r="D1193" s="255">
        <v>-85363</v>
      </c>
      <c r="E1193" s="55">
        <v>-304.75</v>
      </c>
      <c r="F1193" s="952">
        <v>-504.5</v>
      </c>
      <c r="G1193" s="8" t="s">
        <v>1626</v>
      </c>
      <c r="H1193" s="666" t="s">
        <v>1486</v>
      </c>
      <c r="I1193" s="662"/>
    </row>
    <row r="1194" spans="1:9" hidden="1" outlineLevel="1">
      <c r="A1194" s="951">
        <v>2023</v>
      </c>
      <c r="B1194" s="254" t="s">
        <v>1629</v>
      </c>
      <c r="C1194" s="84" t="s">
        <v>2016</v>
      </c>
      <c r="D1194" s="255">
        <v>5848373</v>
      </c>
      <c r="E1194" s="55">
        <v>20878.689999999999</v>
      </c>
      <c r="F1194" s="952">
        <v>34563.879999999997</v>
      </c>
      <c r="G1194" s="8" t="s">
        <v>1630</v>
      </c>
      <c r="H1194" s="666" t="s">
        <v>1486</v>
      </c>
      <c r="I1194" s="662"/>
    </row>
    <row r="1195" spans="1:9" hidden="1" outlineLevel="1">
      <c r="A1195" s="951">
        <v>2023</v>
      </c>
      <c r="B1195" s="254" t="s">
        <v>1631</v>
      </c>
      <c r="C1195" s="84" t="s">
        <v>2016</v>
      </c>
      <c r="D1195" s="255">
        <v>200517</v>
      </c>
      <c r="E1195" s="55">
        <v>715.85</v>
      </c>
      <c r="F1195" s="952">
        <v>1185.06</v>
      </c>
      <c r="G1195" s="8" t="s">
        <v>1632</v>
      </c>
      <c r="H1195" s="666" t="s">
        <v>1486</v>
      </c>
      <c r="I1195" s="662"/>
    </row>
    <row r="1196" spans="1:9" hidden="1" outlineLevel="1">
      <c r="A1196" s="951">
        <v>2023</v>
      </c>
      <c r="B1196" s="254" t="s">
        <v>1633</v>
      </c>
      <c r="C1196" s="84" t="s">
        <v>2016</v>
      </c>
      <c r="D1196" s="255">
        <v>-16000138</v>
      </c>
      <c r="E1196" s="55">
        <v>-57120.49</v>
      </c>
      <c r="F1196" s="952">
        <v>-94560.82</v>
      </c>
      <c r="G1196" s="8" t="s">
        <v>1634</v>
      </c>
      <c r="H1196" s="666" t="s">
        <v>1486</v>
      </c>
      <c r="I1196" s="662"/>
    </row>
    <row r="1197" spans="1:9" hidden="1" outlineLevel="1">
      <c r="A1197" s="951">
        <v>2023</v>
      </c>
      <c r="B1197" s="254" t="s">
        <v>1635</v>
      </c>
      <c r="C1197" s="84" t="s">
        <v>2016</v>
      </c>
      <c r="D1197" s="255">
        <v>74019</v>
      </c>
      <c r="E1197" s="55">
        <v>264.25</v>
      </c>
      <c r="F1197" s="952">
        <v>437.45</v>
      </c>
      <c r="G1197" s="8" t="s">
        <v>1636</v>
      </c>
      <c r="H1197" s="666" t="s">
        <v>1486</v>
      </c>
      <c r="I1197" s="662"/>
    </row>
    <row r="1198" spans="1:9" hidden="1" outlineLevel="1">
      <c r="A1198" s="951">
        <v>2023</v>
      </c>
      <c r="B1198" s="254" t="s">
        <v>1637</v>
      </c>
      <c r="C1198" s="84" t="s">
        <v>2016</v>
      </c>
      <c r="D1198" s="255">
        <v>95233</v>
      </c>
      <c r="E1198" s="55">
        <v>339.98</v>
      </c>
      <c r="F1198" s="952">
        <v>562.83000000000004</v>
      </c>
      <c r="G1198" s="8" t="s">
        <v>1638</v>
      </c>
      <c r="H1198" s="666" t="s">
        <v>1486</v>
      </c>
      <c r="I1198" s="662"/>
    </row>
    <row r="1199" spans="1:9" hidden="1" outlineLevel="1">
      <c r="A1199" s="951">
        <v>2023</v>
      </c>
      <c r="B1199" s="254" t="s">
        <v>1645</v>
      </c>
      <c r="C1199" s="84" t="s">
        <v>2016</v>
      </c>
      <c r="D1199" s="255">
        <v>-203204</v>
      </c>
      <c r="E1199" s="55">
        <v>-725.44</v>
      </c>
      <c r="F1199" s="952">
        <v>-1200.94</v>
      </c>
      <c r="G1199" s="8" t="s">
        <v>1646</v>
      </c>
      <c r="H1199" s="666" t="s">
        <v>1486</v>
      </c>
      <c r="I1199" s="662"/>
    </row>
    <row r="1200" spans="1:9" hidden="1" outlineLevel="1">
      <c r="A1200" s="951">
        <v>2023</v>
      </c>
      <c r="B1200" s="254" t="s">
        <v>1647</v>
      </c>
      <c r="C1200" s="84" t="s">
        <v>2016</v>
      </c>
      <c r="D1200" s="255">
        <v>-323867</v>
      </c>
      <c r="E1200" s="55">
        <v>-1156.21</v>
      </c>
      <c r="F1200" s="952">
        <v>-1914.05</v>
      </c>
      <c r="G1200" s="8" t="s">
        <v>1648</v>
      </c>
      <c r="H1200" s="666" t="s">
        <v>1486</v>
      </c>
      <c r="I1200" s="662"/>
    </row>
    <row r="1201" spans="1:9" hidden="1" outlineLevel="1">
      <c r="A1201" s="951">
        <v>2023</v>
      </c>
      <c r="B1201" s="254" t="s">
        <v>1649</v>
      </c>
      <c r="C1201" s="84" t="s">
        <v>2016</v>
      </c>
      <c r="D1201" s="255">
        <v>13158</v>
      </c>
      <c r="E1201" s="55">
        <v>46.98</v>
      </c>
      <c r="F1201" s="952">
        <v>77.760000000000005</v>
      </c>
      <c r="G1201" s="8" t="s">
        <v>1650</v>
      </c>
      <c r="H1201" s="666" t="s">
        <v>1486</v>
      </c>
      <c r="I1201" s="662"/>
    </row>
    <row r="1202" spans="1:9" hidden="1" outlineLevel="1">
      <c r="A1202" s="951">
        <v>2023</v>
      </c>
      <c r="B1202" s="254" t="s">
        <v>1651</v>
      </c>
      <c r="C1202" s="84" t="s">
        <v>2016</v>
      </c>
      <c r="D1202" s="255">
        <v>1445760</v>
      </c>
      <c r="E1202" s="55">
        <v>5161.3599999999997</v>
      </c>
      <c r="F1202" s="952">
        <v>8544.44</v>
      </c>
      <c r="G1202" s="8" t="s">
        <v>1652</v>
      </c>
      <c r="H1202" s="666" t="s">
        <v>1486</v>
      </c>
      <c r="I1202" s="662"/>
    </row>
    <row r="1203" spans="1:9" hidden="1" outlineLevel="1">
      <c r="A1203" s="951">
        <v>2023</v>
      </c>
      <c r="B1203" s="254" t="s">
        <v>1655</v>
      </c>
      <c r="C1203" s="84" t="s">
        <v>2016</v>
      </c>
      <c r="D1203" s="255">
        <v>2995648</v>
      </c>
      <c r="E1203" s="55">
        <v>10694.46</v>
      </c>
      <c r="F1203" s="952">
        <v>17704.28</v>
      </c>
      <c r="G1203" s="8" t="s">
        <v>1656</v>
      </c>
      <c r="H1203" s="666" t="s">
        <v>1486</v>
      </c>
      <c r="I1203" s="662"/>
    </row>
    <row r="1204" spans="1:9" hidden="1" outlineLevel="1">
      <c r="A1204" s="951">
        <v>2023</v>
      </c>
      <c r="B1204" s="254" t="s">
        <v>1657</v>
      </c>
      <c r="C1204" s="84" t="s">
        <v>2016</v>
      </c>
      <c r="D1204" s="255">
        <v>187856</v>
      </c>
      <c r="E1204" s="55">
        <v>670.65</v>
      </c>
      <c r="F1204" s="952">
        <v>1110.23</v>
      </c>
      <c r="G1204" s="8" t="s">
        <v>1658</v>
      </c>
      <c r="H1204" s="666" t="s">
        <v>1486</v>
      </c>
      <c r="I1204" s="662"/>
    </row>
    <row r="1205" spans="1:9" hidden="1" outlineLevel="1">
      <c r="A1205" s="951">
        <v>2023</v>
      </c>
      <c r="B1205" s="254" t="s">
        <v>1659</v>
      </c>
      <c r="C1205" s="84" t="s">
        <v>2016</v>
      </c>
      <c r="D1205" s="255">
        <v>-4790427</v>
      </c>
      <c r="E1205" s="55">
        <v>-17101.82</v>
      </c>
      <c r="F1205" s="952">
        <v>-28311.42</v>
      </c>
      <c r="G1205" s="8" t="s">
        <v>1660</v>
      </c>
      <c r="H1205" s="666" t="s">
        <v>1486</v>
      </c>
      <c r="I1205" s="662"/>
    </row>
    <row r="1206" spans="1:9" hidden="1" outlineLevel="1">
      <c r="A1206" s="951">
        <v>2023</v>
      </c>
      <c r="B1206" s="254" t="s">
        <v>1663</v>
      </c>
      <c r="C1206" s="84" t="s">
        <v>2016</v>
      </c>
      <c r="D1206" s="255">
        <v>0</v>
      </c>
      <c r="E1206" s="55">
        <v>0</v>
      </c>
      <c r="F1206" s="952">
        <v>0</v>
      </c>
      <c r="G1206" s="8" t="s">
        <v>1664</v>
      </c>
      <c r="H1206" s="666" t="s">
        <v>1486</v>
      </c>
      <c r="I1206" s="662"/>
    </row>
    <row r="1207" spans="1:9" hidden="1" outlineLevel="1">
      <c r="A1207" s="951">
        <v>2023</v>
      </c>
      <c r="B1207" s="254" t="s">
        <v>789</v>
      </c>
      <c r="C1207" s="84" t="s">
        <v>2016</v>
      </c>
      <c r="D1207" s="255">
        <v>138609</v>
      </c>
      <c r="E1207" s="55">
        <v>494.83</v>
      </c>
      <c r="F1207" s="952">
        <v>819.18</v>
      </c>
      <c r="G1207" s="8" t="s">
        <v>790</v>
      </c>
      <c r="H1207" s="666" t="s">
        <v>1486</v>
      </c>
      <c r="I1207" s="662"/>
    </row>
    <row r="1208" spans="1:9" hidden="1" outlineLevel="1">
      <c r="A1208" s="951">
        <v>2023</v>
      </c>
      <c r="B1208" s="254" t="s">
        <v>1673</v>
      </c>
      <c r="C1208" s="84" t="s">
        <v>2016</v>
      </c>
      <c r="D1208" s="255">
        <v>-1413808</v>
      </c>
      <c r="E1208" s="55">
        <v>-5047.29</v>
      </c>
      <c r="F1208" s="952">
        <v>-8355.61</v>
      </c>
      <c r="G1208" s="8" t="s">
        <v>1674</v>
      </c>
      <c r="H1208" s="666" t="s">
        <v>1486</v>
      </c>
      <c r="I1208" s="662"/>
    </row>
    <row r="1209" spans="1:9" hidden="1" outlineLevel="1">
      <c r="A1209" s="951">
        <v>2023</v>
      </c>
      <c r="B1209" s="254" t="s">
        <v>1677</v>
      </c>
      <c r="C1209" s="84" t="s">
        <v>2016</v>
      </c>
      <c r="D1209" s="255">
        <v>-482333</v>
      </c>
      <c r="E1209" s="55">
        <v>-1721.92</v>
      </c>
      <c r="F1209" s="952">
        <v>-2850.59</v>
      </c>
      <c r="G1209" s="8" t="s">
        <v>1678</v>
      </c>
      <c r="H1209" s="666" t="s">
        <v>1486</v>
      </c>
      <c r="I1209" s="662"/>
    </row>
    <row r="1210" spans="1:9" hidden="1" outlineLevel="1">
      <c r="A1210" s="951">
        <v>2023</v>
      </c>
      <c r="B1210" s="254" t="s">
        <v>1683</v>
      </c>
      <c r="C1210" s="84" t="s">
        <v>2016</v>
      </c>
      <c r="D1210" s="255">
        <v>334145</v>
      </c>
      <c r="E1210" s="55">
        <v>1192.9000000000001</v>
      </c>
      <c r="F1210" s="952">
        <v>1974.8</v>
      </c>
      <c r="G1210" s="8" t="s">
        <v>1684</v>
      </c>
      <c r="H1210" s="666" t="s">
        <v>1486</v>
      </c>
      <c r="I1210" s="662"/>
    </row>
    <row r="1211" spans="1:9" hidden="1" outlineLevel="1">
      <c r="A1211" s="951">
        <v>2023</v>
      </c>
      <c r="B1211" s="254" t="s">
        <v>1687</v>
      </c>
      <c r="C1211" s="84" t="s">
        <v>2016</v>
      </c>
      <c r="D1211" s="255">
        <v>828010</v>
      </c>
      <c r="E1211" s="55">
        <v>2956</v>
      </c>
      <c r="F1211" s="952">
        <v>4893.54</v>
      </c>
      <c r="G1211" s="8" t="s">
        <v>1688</v>
      </c>
      <c r="H1211" s="666" t="s">
        <v>1486</v>
      </c>
      <c r="I1211" s="662"/>
    </row>
    <row r="1212" spans="1:9" hidden="1" outlineLevel="1">
      <c r="A1212" s="951">
        <v>2023</v>
      </c>
      <c r="B1212" s="254" t="s">
        <v>1689</v>
      </c>
      <c r="C1212" s="84" t="s">
        <v>2016</v>
      </c>
      <c r="D1212" s="255">
        <v>-119707</v>
      </c>
      <c r="E1212" s="55">
        <v>-427.35</v>
      </c>
      <c r="F1212" s="952">
        <v>-707.47</v>
      </c>
      <c r="G1212" s="8" t="s">
        <v>1690</v>
      </c>
      <c r="H1212" s="666" t="s">
        <v>1486</v>
      </c>
      <c r="I1212" s="662"/>
    </row>
    <row r="1213" spans="1:9" hidden="1" outlineLevel="1">
      <c r="A1213" s="951">
        <v>2023</v>
      </c>
      <c r="B1213" s="254" t="s">
        <v>1691</v>
      </c>
      <c r="C1213" s="84" t="s">
        <v>2016</v>
      </c>
      <c r="D1213" s="255">
        <v>531800</v>
      </c>
      <c r="E1213" s="55">
        <v>1898.53</v>
      </c>
      <c r="F1213" s="952">
        <v>3142.94</v>
      </c>
      <c r="G1213" s="8" t="s">
        <v>1692</v>
      </c>
      <c r="H1213" s="666" t="s">
        <v>1486</v>
      </c>
      <c r="I1213" s="662"/>
    </row>
    <row r="1214" spans="1:9" hidden="1" outlineLevel="1">
      <c r="A1214" s="951">
        <v>2023</v>
      </c>
      <c r="B1214" s="254" t="s">
        <v>1695</v>
      </c>
      <c r="C1214" s="84" t="s">
        <v>2016</v>
      </c>
      <c r="D1214" s="255">
        <v>21316471</v>
      </c>
      <c r="E1214" s="55">
        <v>76099.8</v>
      </c>
      <c r="F1214" s="952">
        <v>125980.34</v>
      </c>
      <c r="G1214" s="8" t="s">
        <v>1696</v>
      </c>
      <c r="H1214" s="666" t="s">
        <v>1486</v>
      </c>
      <c r="I1214" s="662"/>
    </row>
    <row r="1215" spans="1:9" hidden="1" outlineLevel="1">
      <c r="A1215" s="951">
        <v>2023</v>
      </c>
      <c r="B1215" s="254" t="s">
        <v>1699</v>
      </c>
      <c r="C1215" s="84" t="s">
        <v>2016</v>
      </c>
      <c r="D1215" s="255">
        <v>-5896704</v>
      </c>
      <c r="E1215" s="55">
        <v>-21051.23</v>
      </c>
      <c r="F1215" s="952">
        <v>-34849.519999999997</v>
      </c>
      <c r="G1215" s="8" t="s">
        <v>1700</v>
      </c>
      <c r="H1215" s="666" t="s">
        <v>1486</v>
      </c>
      <c r="I1215" s="662"/>
    </row>
    <row r="1216" spans="1:9" hidden="1" outlineLevel="1">
      <c r="A1216" s="951">
        <v>2023</v>
      </c>
      <c r="B1216" s="254" t="s">
        <v>1705</v>
      </c>
      <c r="C1216" s="84" t="s">
        <v>2016</v>
      </c>
      <c r="D1216" s="255">
        <v>3438461</v>
      </c>
      <c r="E1216" s="55">
        <v>12275.31</v>
      </c>
      <c r="F1216" s="952">
        <v>20321.3</v>
      </c>
      <c r="G1216" s="8" t="s">
        <v>1706</v>
      </c>
      <c r="H1216" s="666" t="s">
        <v>1486</v>
      </c>
      <c r="I1216" s="662"/>
    </row>
    <row r="1217" spans="1:12" hidden="1" outlineLevel="1">
      <c r="A1217" s="951">
        <v>2023</v>
      </c>
      <c r="B1217" s="254" t="s">
        <v>1709</v>
      </c>
      <c r="C1217" s="84" t="s">
        <v>2016</v>
      </c>
      <c r="D1217" s="255">
        <v>-18770927</v>
      </c>
      <c r="E1217" s="55">
        <v>-67012.210000000006</v>
      </c>
      <c r="F1217" s="952">
        <v>-110936.18</v>
      </c>
      <c r="G1217" s="8" t="s">
        <v>1710</v>
      </c>
      <c r="H1217" s="666" t="s">
        <v>1486</v>
      </c>
      <c r="I1217" s="662"/>
    </row>
    <row r="1218" spans="1:12" ht="13.5" hidden="1" outlineLevel="1" thickBot="1">
      <c r="A1218" s="949">
        <v>2023</v>
      </c>
      <c r="B1218" s="854" t="s">
        <v>1713</v>
      </c>
      <c r="C1218" s="770" t="s">
        <v>2016</v>
      </c>
      <c r="D1218" s="255">
        <v>2351</v>
      </c>
      <c r="E1218" s="55">
        <v>8.39</v>
      </c>
      <c r="F1218" s="952">
        <v>13.89</v>
      </c>
      <c r="G1218" s="8" t="s">
        <v>1714</v>
      </c>
      <c r="H1218" s="666" t="s">
        <v>1486</v>
      </c>
      <c r="I1218" s="662"/>
    </row>
    <row r="1219" spans="1:12" ht="18" customHeight="1" collapsed="1" thickBot="1">
      <c r="A1219" s="953" t="s">
        <v>2046</v>
      </c>
      <c r="B1219" s="954"/>
      <c r="C1219" s="960"/>
      <c r="D1219" s="959">
        <f>+SUM(D1042:D1218)</f>
        <v>104136053</v>
      </c>
      <c r="E1219" s="1086">
        <f>+SUM(E1042:E1218)</f>
        <v>44794.940000000017</v>
      </c>
      <c r="F1219" s="955">
        <f>+SUM(F1042:F1218)</f>
        <v>87192.329999999973</v>
      </c>
    </row>
    <row r="1221" spans="1:12">
      <c r="A1221" s="8"/>
      <c r="B1221" s="8"/>
      <c r="C1221" s="86"/>
      <c r="D1221" s="16"/>
      <c r="E1221" s="8"/>
      <c r="G1221" s="203"/>
      <c r="H1221" s="203"/>
      <c r="J1221" s="665"/>
    </row>
    <row r="1222" spans="1:12">
      <c r="A1222" s="8"/>
      <c r="B1222" s="8"/>
      <c r="C1222" s="86"/>
      <c r="D1222" s="16"/>
      <c r="E1222" s="8"/>
      <c r="G1222" s="203"/>
      <c r="H1222" s="203"/>
      <c r="J1222" s="665"/>
    </row>
    <row r="1223" spans="1:12">
      <c r="A1223" s="35" t="s">
        <v>2047</v>
      </c>
      <c r="B1223" s="8"/>
      <c r="G1223" s="203"/>
      <c r="H1223" s="203"/>
      <c r="I1223" s="203"/>
      <c r="J1223" s="668"/>
      <c r="K1223" s="203"/>
      <c r="L1223" s="203"/>
    </row>
    <row r="1224" spans="1:12" ht="13.5" thickBot="1">
      <c r="A1224" s="8"/>
      <c r="B1224" s="8"/>
      <c r="G1224" s="203"/>
      <c r="H1224" s="203"/>
      <c r="I1224" s="203"/>
      <c r="J1224" s="668"/>
      <c r="K1224" s="203"/>
      <c r="L1224" s="203"/>
    </row>
    <row r="1225" spans="1:12" ht="51">
      <c r="A1225" s="1195" t="s">
        <v>1739</v>
      </c>
      <c r="B1225" s="1203"/>
      <c r="C1225" s="1196"/>
      <c r="D1225" s="688" t="s">
        <v>1999</v>
      </c>
      <c r="E1225" s="689" t="s">
        <v>2048</v>
      </c>
      <c r="F1225" s="690" t="s">
        <v>2001</v>
      </c>
      <c r="G1225" s="203"/>
      <c r="H1225" s="203"/>
      <c r="I1225" s="203"/>
      <c r="J1225" s="668"/>
      <c r="K1225" s="203"/>
      <c r="L1225" s="203"/>
    </row>
    <row r="1226" spans="1:12" s="597" customFormat="1" ht="18" customHeight="1" thickBot="1">
      <c r="A1226" s="1197"/>
      <c r="B1226" s="1204"/>
      <c r="C1226" s="1198"/>
      <c r="D1226" s="672" t="s">
        <v>84</v>
      </c>
      <c r="E1226" s="614" t="s">
        <v>1722</v>
      </c>
      <c r="F1226" s="608" t="s">
        <v>1722</v>
      </c>
      <c r="G1226" s="596"/>
      <c r="H1226" s="596"/>
      <c r="I1226" s="596"/>
      <c r="J1226" s="669"/>
      <c r="K1226" s="596"/>
      <c r="L1226" s="596"/>
    </row>
    <row r="1227" spans="1:12" ht="13.5" thickBot="1">
      <c r="A1227" s="686" t="s">
        <v>85</v>
      </c>
      <c r="B1227" s="676"/>
      <c r="C1227" s="677"/>
      <c r="D1227" s="684">
        <f t="shared" ref="D1227:E1227" si="54">SUM(D1228:D1230)</f>
        <v>37355964</v>
      </c>
      <c r="E1227" s="684">
        <f t="shared" si="54"/>
        <v>23177.08</v>
      </c>
      <c r="F1227" s="685">
        <f>SUM(F1228:F1230)</f>
        <v>45658.479999999996</v>
      </c>
      <c r="G1227" s="203"/>
      <c r="H1227" s="203"/>
      <c r="I1227" s="203"/>
      <c r="J1227" s="668"/>
      <c r="K1227" s="203"/>
      <c r="L1227" s="203"/>
    </row>
    <row r="1228" spans="1:12" hidden="1" outlineLevel="1">
      <c r="A1228" s="611">
        <f>+Hinweise!B3-1</f>
        <v>2023</v>
      </c>
      <c r="B1228" s="673"/>
      <c r="C1228" s="674"/>
      <c r="D1228" s="706">
        <v>11544808</v>
      </c>
      <c r="E1228" s="707">
        <v>11748.76</v>
      </c>
      <c r="F1228" s="708">
        <v>28658.77</v>
      </c>
      <c r="H1228" s="664" t="s">
        <v>85</v>
      </c>
      <c r="I1228" s="203"/>
      <c r="J1228" s="668"/>
      <c r="K1228" s="203"/>
      <c r="L1228" s="203"/>
    </row>
    <row r="1229" spans="1:12" hidden="1" outlineLevel="1">
      <c r="A1229" s="612">
        <f>+A1228-1</f>
        <v>2022</v>
      </c>
      <c r="B1229" s="36"/>
      <c r="C1229" s="675"/>
      <c r="D1229" s="706">
        <v>11504292</v>
      </c>
      <c r="E1229" s="707">
        <v>1729.86</v>
      </c>
      <c r="F1229" s="708">
        <v>1917.5</v>
      </c>
      <c r="H1229" s="664" t="str">
        <f>+H1228</f>
        <v>Regelzone 50Hertz (gesamt)</v>
      </c>
      <c r="I1229" s="203"/>
      <c r="J1229" s="668"/>
      <c r="K1229" s="203"/>
      <c r="L1229" s="203"/>
    </row>
    <row r="1230" spans="1:12" ht="13.5" hidden="1" outlineLevel="1" thickBot="1">
      <c r="A1230" s="613">
        <f>+A1229-1</f>
        <v>2021</v>
      </c>
      <c r="B1230" s="676"/>
      <c r="C1230" s="677"/>
      <c r="D1230" s="709">
        <v>14306864</v>
      </c>
      <c r="E1230" s="710">
        <v>9698.4599999999991</v>
      </c>
      <c r="F1230" s="708">
        <v>15082.21</v>
      </c>
      <c r="H1230" s="664" t="str">
        <f>+H1229</f>
        <v>Regelzone 50Hertz (gesamt)</v>
      </c>
      <c r="I1230" s="203"/>
      <c r="J1230" s="668"/>
      <c r="K1230" s="203"/>
      <c r="L1230" s="203"/>
    </row>
    <row r="1231" spans="1:12" ht="13.5" collapsed="1" thickBot="1">
      <c r="A1231" s="680" t="s">
        <v>404</v>
      </c>
      <c r="B1231" s="681"/>
      <c r="C1231" s="682"/>
      <c r="D1231" s="683">
        <f>SUM(D1232:D1236)</f>
        <v>45025348</v>
      </c>
      <c r="E1231" s="684">
        <f t="shared" ref="E1231" si="55">SUM(E1232:E1236)</f>
        <v>53707.810000000005</v>
      </c>
      <c r="F1231" s="685">
        <f>SUM(F1232:F1236)</f>
        <v>95986.549999999988</v>
      </c>
      <c r="H1231" s="661"/>
      <c r="I1231" s="203"/>
      <c r="J1231" s="668"/>
      <c r="K1231" s="203"/>
      <c r="L1231" s="203"/>
    </row>
    <row r="1232" spans="1:12" hidden="1" outlineLevel="1">
      <c r="A1232" s="611">
        <f>+A1228</f>
        <v>2023</v>
      </c>
      <c r="B1232" s="673"/>
      <c r="C1232" s="674"/>
      <c r="D1232" s="706">
        <v>-16965728.999999996</v>
      </c>
      <c r="E1232" s="707">
        <v>2110.0100000000002</v>
      </c>
      <c r="F1232" s="708">
        <v>34052.400000000001</v>
      </c>
      <c r="H1232" s="661" t="str">
        <f>+A1231</f>
        <v>Regelzone Amprion (gesamt)</v>
      </c>
      <c r="I1232" s="203"/>
      <c r="J1232" s="668"/>
      <c r="K1232" s="203"/>
      <c r="L1232" s="203"/>
    </row>
    <row r="1233" spans="1:12" hidden="1" outlineLevel="1">
      <c r="A1233" s="612">
        <v>2022</v>
      </c>
      <c r="B1233" s="36"/>
      <c r="C1233" s="675"/>
      <c r="D1233" s="706">
        <v>20772105</v>
      </c>
      <c r="E1233" s="707">
        <v>29745.58</v>
      </c>
      <c r="F1233" s="708">
        <v>33863.339999999997</v>
      </c>
      <c r="H1233" s="661" t="str">
        <f>+A1231</f>
        <v>Regelzone Amprion (gesamt)</v>
      </c>
      <c r="I1233" s="203"/>
      <c r="J1233" s="668"/>
      <c r="K1233" s="203"/>
      <c r="L1233" s="203"/>
    </row>
    <row r="1234" spans="1:12" hidden="1" outlineLevel="1">
      <c r="A1234" s="612">
        <v>2021</v>
      </c>
      <c r="B1234" s="36"/>
      <c r="C1234" s="675"/>
      <c r="D1234" s="706">
        <v>11061549</v>
      </c>
      <c r="E1234" s="707">
        <v>8344.99</v>
      </c>
      <c r="F1234" s="708">
        <v>11303.58</v>
      </c>
      <c r="H1234" s="661" t="str">
        <f>+A1231</f>
        <v>Regelzone Amprion (gesamt)</v>
      </c>
      <c r="I1234" s="203"/>
      <c r="J1234" s="668"/>
      <c r="K1234" s="203"/>
      <c r="L1234" s="203"/>
    </row>
    <row r="1235" spans="1:12" hidden="1" outlineLevel="1">
      <c r="A1235" s="612">
        <v>2020</v>
      </c>
      <c r="B1235" s="36"/>
      <c r="C1235" s="675"/>
      <c r="D1235" s="706">
        <v>13800852</v>
      </c>
      <c r="E1235" s="707">
        <v>6100.26</v>
      </c>
      <c r="F1235" s="708">
        <v>8000.26</v>
      </c>
      <c r="H1235" s="661" t="str">
        <f>+H1232</f>
        <v>Regelzone Amprion (gesamt)</v>
      </c>
      <c r="I1235" s="203"/>
      <c r="J1235" s="668"/>
      <c r="K1235" s="203"/>
      <c r="L1235" s="203"/>
    </row>
    <row r="1236" spans="1:12" ht="13.5" hidden="1" outlineLevel="1" thickBot="1">
      <c r="A1236" s="613">
        <v>2019</v>
      </c>
      <c r="B1236" s="676"/>
      <c r="C1236" s="677"/>
      <c r="D1236" s="709">
        <v>16356571</v>
      </c>
      <c r="E1236" s="710">
        <v>7406.97</v>
      </c>
      <c r="F1236" s="708">
        <v>8766.9699999999993</v>
      </c>
      <c r="H1236" s="661" t="str">
        <f>+H1235</f>
        <v>Regelzone Amprion (gesamt)</v>
      </c>
      <c r="I1236" s="203"/>
      <c r="J1236" s="668"/>
      <c r="K1236" s="203"/>
      <c r="L1236" s="203"/>
    </row>
    <row r="1237" spans="1:12" ht="13.5" collapsed="1" thickBot="1">
      <c r="A1237" s="680" t="s">
        <v>855</v>
      </c>
      <c r="B1237" s="681"/>
      <c r="C1237" s="682"/>
      <c r="D1237" s="683">
        <f>SUM(D1238:D1241)</f>
        <v>-2915653</v>
      </c>
      <c r="E1237" s="684">
        <f t="shared" ref="E1237" si="56">SUM(E1238:E1241)</f>
        <v>-62</v>
      </c>
      <c r="F1237" s="685">
        <f>SUM(F1238:F1241)</f>
        <v>1567</v>
      </c>
      <c r="H1237" s="661"/>
      <c r="I1237" s="203"/>
      <c r="J1237" s="668"/>
      <c r="K1237" s="203"/>
      <c r="L1237" s="203"/>
    </row>
    <row r="1238" spans="1:12" hidden="1" outlineLevel="1">
      <c r="A1238" s="842">
        <v>2023</v>
      </c>
      <c r="B1238" s="833"/>
      <c r="C1238" s="834"/>
      <c r="D1238" s="835">
        <v>828014</v>
      </c>
      <c r="E1238" s="837">
        <v>1129</v>
      </c>
      <c r="F1238" s="839">
        <v>2145</v>
      </c>
      <c r="H1238" s="661" t="str">
        <f>+A1237</f>
        <v>Regelzone TenneT (gesamt)</v>
      </c>
      <c r="I1238" s="203"/>
      <c r="J1238" s="668"/>
      <c r="K1238" s="203"/>
      <c r="L1238" s="203"/>
    </row>
    <row r="1239" spans="1:12" hidden="1" outlineLevel="1">
      <c r="A1239" s="791">
        <v>2022</v>
      </c>
      <c r="B1239" s="840"/>
      <c r="C1239" s="841"/>
      <c r="D1239" s="835">
        <v>-165498</v>
      </c>
      <c r="E1239" s="836">
        <v>-497</v>
      </c>
      <c r="F1239" s="838">
        <v>-497</v>
      </c>
      <c r="H1239" s="661" t="str">
        <f>+H1238</f>
        <v>Regelzone TenneT (gesamt)</v>
      </c>
      <c r="I1239" s="203"/>
      <c r="J1239" s="668"/>
      <c r="K1239" s="203"/>
      <c r="L1239" s="203"/>
    </row>
    <row r="1240" spans="1:12" hidden="1" outlineLevel="1">
      <c r="A1240" s="791">
        <v>2021</v>
      </c>
      <c r="B1240" s="840"/>
      <c r="C1240" s="841"/>
      <c r="D1240" s="835">
        <v>-1770297</v>
      </c>
      <c r="E1240" s="836">
        <v>-56</v>
      </c>
      <c r="F1240" s="838">
        <v>-56</v>
      </c>
      <c r="H1240" s="661" t="str">
        <f>+H1239</f>
        <v>Regelzone TenneT (gesamt)</v>
      </c>
      <c r="I1240" s="203"/>
      <c r="J1240" s="668"/>
      <c r="K1240" s="203"/>
      <c r="L1240" s="203"/>
    </row>
    <row r="1241" spans="1:12" ht="13.5" hidden="1" outlineLevel="1" thickBot="1">
      <c r="A1241" s="791">
        <v>2020</v>
      </c>
      <c r="B1241" s="840"/>
      <c r="C1241" s="841"/>
      <c r="D1241" s="835">
        <v>-1807872</v>
      </c>
      <c r="E1241" s="836">
        <v>-638</v>
      </c>
      <c r="F1241" s="838">
        <v>-25</v>
      </c>
      <c r="H1241" s="661" t="str">
        <f>+H1240</f>
        <v>Regelzone TenneT (gesamt)</v>
      </c>
      <c r="I1241" s="203"/>
      <c r="J1241" s="668"/>
      <c r="K1241" s="203"/>
      <c r="L1241" s="203"/>
    </row>
    <row r="1242" spans="1:12" ht="13.5" collapsed="1" thickBot="1">
      <c r="A1242" s="680" t="s">
        <v>1486</v>
      </c>
      <c r="B1242" s="681"/>
      <c r="C1242" s="682"/>
      <c r="D1242" s="683">
        <f>SUM(D1243:D1245)</f>
        <v>-26142556</v>
      </c>
      <c r="E1242" s="684">
        <f t="shared" ref="E1242" si="57">SUM(E1243:E1245)</f>
        <v>-20192.900000000001</v>
      </c>
      <c r="F1242" s="685">
        <f>SUM(F1243:F1245)</f>
        <v>-32633.61</v>
      </c>
      <c r="H1242" s="661"/>
      <c r="I1242" s="203"/>
      <c r="J1242" s="668"/>
      <c r="K1242" s="203"/>
      <c r="L1242" s="203"/>
    </row>
    <row r="1243" spans="1:12" hidden="1" outlineLevel="1">
      <c r="A1243" s="611">
        <f>+A1238</f>
        <v>2023</v>
      </c>
      <c r="B1243" s="673"/>
      <c r="C1243" s="674"/>
      <c r="D1243" s="706">
        <v>-23579307</v>
      </c>
      <c r="E1243" s="707">
        <v>-18739.54</v>
      </c>
      <c r="F1243" s="708">
        <v>-31022.61</v>
      </c>
      <c r="H1243" s="661" t="str">
        <f>+A1242</f>
        <v>Regelzone TransnetBW (gesamt)</v>
      </c>
      <c r="I1243" s="203"/>
      <c r="J1243" s="665"/>
      <c r="K1243" s="203"/>
      <c r="L1243" s="203"/>
    </row>
    <row r="1244" spans="1:12" hidden="1" outlineLevel="1">
      <c r="A1244" s="612">
        <f>+A1239</f>
        <v>2022</v>
      </c>
      <c r="B1244" s="36"/>
      <c r="C1244" s="675"/>
      <c r="D1244" s="706">
        <v>-2563249</v>
      </c>
      <c r="E1244" s="707">
        <v>-1453.36</v>
      </c>
      <c r="F1244" s="708">
        <v>-1611</v>
      </c>
      <c r="H1244" s="661" t="str">
        <f>+H1243</f>
        <v>Regelzone TransnetBW (gesamt)</v>
      </c>
      <c r="I1244" s="203"/>
      <c r="J1244" s="665"/>
      <c r="K1244" s="203"/>
      <c r="L1244" s="203"/>
    </row>
    <row r="1245" spans="1:12" ht="13.5" hidden="1" outlineLevel="1" thickBot="1">
      <c r="A1245" s="613">
        <f t="shared" ref="A1245" si="58">+A1241</f>
        <v>2020</v>
      </c>
      <c r="B1245" s="676"/>
      <c r="C1245" s="677"/>
      <c r="D1245" s="706">
        <v>0</v>
      </c>
      <c r="E1245" s="707">
        <v>0</v>
      </c>
      <c r="F1245" s="708">
        <v>0</v>
      </c>
      <c r="H1245" s="661" t="str">
        <f>+H1244</f>
        <v>Regelzone TransnetBW (gesamt)</v>
      </c>
      <c r="I1245" s="203"/>
      <c r="J1245" s="665"/>
      <c r="K1245" s="203"/>
      <c r="L1245" s="203"/>
    </row>
    <row r="1246" spans="1:12" ht="13.5" collapsed="1" thickBot="1">
      <c r="A1246" s="680" t="s">
        <v>1715</v>
      </c>
      <c r="B1246" s="681"/>
      <c r="C1246" s="682"/>
      <c r="D1246" s="683">
        <f>D1227+D1231+D1237+D1242</f>
        <v>53323103</v>
      </c>
      <c r="E1246" s="684">
        <f t="shared" ref="E1246:F1246" si="59">E1227+E1231+E1237+E1242</f>
        <v>56629.990000000013</v>
      </c>
      <c r="F1246" s="956">
        <f t="shared" si="59"/>
        <v>110578.41999999997</v>
      </c>
      <c r="G1246" s="203"/>
      <c r="H1246" s="203"/>
      <c r="I1246" s="203"/>
      <c r="J1246" s="668"/>
      <c r="K1246" s="203"/>
      <c r="L1246" s="203"/>
    </row>
    <row r="1247" spans="1:12" ht="15">
      <c r="A1247" s="8"/>
      <c r="B1247" s="8"/>
      <c r="C1247" s="382"/>
      <c r="D1247" s="277"/>
      <c r="E1247" s="277"/>
      <c r="F1247" s="277"/>
      <c r="G1247" s="203"/>
      <c r="H1247" s="203"/>
      <c r="I1247" s="203"/>
      <c r="J1247" s="668"/>
      <c r="K1247" s="203"/>
      <c r="L1247" s="203"/>
    </row>
    <row r="1248" spans="1:12">
      <c r="A1248" s="35" t="s">
        <v>2049</v>
      </c>
      <c r="B1248" s="203"/>
      <c r="C1248" s="203"/>
      <c r="G1248" s="203"/>
      <c r="H1248" s="668"/>
      <c r="I1248" s="203"/>
      <c r="J1248" s="203"/>
    </row>
    <row r="1249" spans="1:10">
      <c r="A1249" s="8"/>
      <c r="B1249" s="203"/>
      <c r="C1249" s="203"/>
      <c r="G1249" s="203"/>
      <c r="H1249" s="668"/>
      <c r="I1249" s="203"/>
      <c r="J1249" s="203"/>
    </row>
    <row r="1250" spans="1:10">
      <c r="A1250" s="16" t="s">
        <v>2010</v>
      </c>
      <c r="C1250" s="16"/>
      <c r="D1250" s="1"/>
      <c r="E1250" s="186"/>
      <c r="F1250" s="186"/>
      <c r="G1250" s="203"/>
      <c r="H1250" s="8"/>
      <c r="I1250" s="665"/>
    </row>
    <row r="1251" spans="1:10" ht="15" thickBot="1">
      <c r="A1251" s="87"/>
      <c r="B1251" s="65"/>
      <c r="C1251" s="65"/>
      <c r="D1251" s="1"/>
      <c r="E1251" s="186"/>
      <c r="F1251" s="186"/>
      <c r="G1251" s="615"/>
      <c r="H1251" s="8"/>
      <c r="I1251" s="665"/>
    </row>
    <row r="1252" spans="1:10" ht="89.25" customHeight="1" thickBot="1">
      <c r="A1252" s="620" t="s">
        <v>1739</v>
      </c>
      <c r="B1252" s="1195" t="s">
        <v>2012</v>
      </c>
      <c r="C1252" s="1196"/>
      <c r="D1252" s="687" t="s">
        <v>2013</v>
      </c>
      <c r="E1252" s="618" t="s">
        <v>2014</v>
      </c>
      <c r="F1252" s="248" t="s">
        <v>2015</v>
      </c>
      <c r="G1252" s="616"/>
      <c r="H1252" s="8"/>
      <c r="I1252" s="665"/>
    </row>
    <row r="1253" spans="1:10" ht="13.5" thickBot="1">
      <c r="A1253" s="455"/>
      <c r="B1253" s="1205"/>
      <c r="C1253" s="1206"/>
      <c r="D1253" s="587" t="s">
        <v>84</v>
      </c>
      <c r="E1253" s="582" t="s">
        <v>1722</v>
      </c>
      <c r="F1253" s="585" t="s">
        <v>1722</v>
      </c>
      <c r="G1253" s="671"/>
      <c r="H1253" s="8"/>
      <c r="I1253" s="665"/>
    </row>
    <row r="1254" spans="1:10" hidden="1" outlineLevel="1">
      <c r="A1254" s="678">
        <f>+Hinweise!B3-1</f>
        <v>2023</v>
      </c>
      <c r="B1254" s="1180" t="s">
        <v>2016</v>
      </c>
      <c r="C1254" s="1181"/>
      <c r="D1254" s="787">
        <v>-19189851</v>
      </c>
      <c r="E1254" s="711">
        <v>-68507.77</v>
      </c>
      <c r="F1254" s="712">
        <v>-113412.02</v>
      </c>
      <c r="H1254" s="664" t="s">
        <v>85</v>
      </c>
      <c r="I1254" s="665"/>
    </row>
    <row r="1255" spans="1:10" hidden="1" outlineLevel="1">
      <c r="A1255" s="679">
        <f>+A1254</f>
        <v>2023</v>
      </c>
      <c r="B1255" s="1182" t="s">
        <v>2029</v>
      </c>
      <c r="C1255" s="1183"/>
      <c r="D1255" s="713">
        <v>0</v>
      </c>
      <c r="E1255" s="223">
        <v>0</v>
      </c>
      <c r="F1255" s="222">
        <v>0</v>
      </c>
      <c r="H1255" s="664" t="str">
        <f>+H1254</f>
        <v>Regelzone 50Hertz (gesamt)</v>
      </c>
      <c r="I1255" s="665"/>
    </row>
    <row r="1256" spans="1:10" hidden="1" outlineLevel="1">
      <c r="A1256" s="679">
        <f t="shared" ref="A1256:A1260" si="60">+A1255</f>
        <v>2023</v>
      </c>
      <c r="B1256" s="1182" t="s">
        <v>2017</v>
      </c>
      <c r="C1256" s="1183"/>
      <c r="D1256" s="713">
        <v>0</v>
      </c>
      <c r="E1256" s="223">
        <v>0</v>
      </c>
      <c r="F1256" s="222">
        <v>0</v>
      </c>
      <c r="H1256" s="664" t="str">
        <f t="shared" ref="H1256:H1270" si="61">+H1255</f>
        <v>Regelzone 50Hertz (gesamt)</v>
      </c>
      <c r="I1256" s="665"/>
    </row>
    <row r="1257" spans="1:10" hidden="1" outlineLevel="1">
      <c r="A1257" s="679">
        <f t="shared" si="60"/>
        <v>2023</v>
      </c>
      <c r="B1257" s="1182" t="s">
        <v>2050</v>
      </c>
      <c r="C1257" s="1183"/>
      <c r="D1257" s="713">
        <v>0</v>
      </c>
      <c r="E1257" s="223">
        <v>0</v>
      </c>
      <c r="F1257" s="222">
        <v>0</v>
      </c>
      <c r="H1257" s="664" t="str">
        <f t="shared" si="61"/>
        <v>Regelzone 50Hertz (gesamt)</v>
      </c>
      <c r="I1257" s="665"/>
    </row>
    <row r="1258" spans="1:10" hidden="1" outlineLevel="1">
      <c r="A1258" s="679">
        <f t="shared" si="60"/>
        <v>2023</v>
      </c>
      <c r="B1258" s="1182" t="s">
        <v>2051</v>
      </c>
      <c r="C1258" s="1183"/>
      <c r="D1258" s="713">
        <v>0</v>
      </c>
      <c r="E1258" s="223">
        <v>0</v>
      </c>
      <c r="F1258" s="222">
        <v>0</v>
      </c>
      <c r="H1258" s="664" t="str">
        <f t="shared" si="61"/>
        <v>Regelzone 50Hertz (gesamt)</v>
      </c>
      <c r="I1258" s="665"/>
    </row>
    <row r="1259" spans="1:10" hidden="1" outlineLevel="1">
      <c r="A1259" s="679">
        <f t="shared" si="60"/>
        <v>2023</v>
      </c>
      <c r="B1259" s="1182" t="s">
        <v>2052</v>
      </c>
      <c r="C1259" s="1183"/>
      <c r="D1259" s="713">
        <v>0</v>
      </c>
      <c r="E1259" s="223">
        <v>0</v>
      </c>
      <c r="F1259" s="222">
        <v>0</v>
      </c>
      <c r="H1259" s="664" t="str">
        <f t="shared" si="61"/>
        <v>Regelzone 50Hertz (gesamt)</v>
      </c>
      <c r="I1259" s="665"/>
    </row>
    <row r="1260" spans="1:10" ht="13.5" hidden="1" outlineLevel="1" thickBot="1">
      <c r="A1260" s="679">
        <f t="shared" si="60"/>
        <v>2023</v>
      </c>
      <c r="B1260" s="1184" t="s">
        <v>2053</v>
      </c>
      <c r="C1260" s="1185"/>
      <c r="D1260" s="714">
        <v>0</v>
      </c>
      <c r="E1260" s="715">
        <v>0</v>
      </c>
      <c r="F1260" s="716">
        <v>0</v>
      </c>
      <c r="H1260" s="664" t="str">
        <f t="shared" si="61"/>
        <v>Regelzone 50Hertz (gesamt)</v>
      </c>
      <c r="I1260" s="665"/>
    </row>
    <row r="1261" spans="1:10" hidden="1" outlineLevel="1">
      <c r="A1261" s="621">
        <f>+A1254-1</f>
        <v>2022</v>
      </c>
      <c r="B1261" s="1180" t="s">
        <v>2016</v>
      </c>
      <c r="C1261" s="1181"/>
      <c r="D1261" s="788">
        <v>-16988456</v>
      </c>
      <c r="E1261" s="711">
        <v>-64216.37</v>
      </c>
      <c r="F1261" s="712">
        <v>-71181.63</v>
      </c>
      <c r="H1261" s="664" t="str">
        <f>+H1260</f>
        <v>Regelzone 50Hertz (gesamt)</v>
      </c>
      <c r="I1261" s="665"/>
    </row>
    <row r="1262" spans="1:10" hidden="1" outlineLevel="1">
      <c r="A1262" s="622">
        <f>+A1261</f>
        <v>2022</v>
      </c>
      <c r="B1262" s="1182" t="s">
        <v>2029</v>
      </c>
      <c r="C1262" s="1183"/>
      <c r="D1262" s="718">
        <v>0</v>
      </c>
      <c r="E1262" s="223">
        <v>0</v>
      </c>
      <c r="F1262" s="222">
        <v>0</v>
      </c>
      <c r="H1262" s="664" t="str">
        <f t="shared" si="61"/>
        <v>Regelzone 50Hertz (gesamt)</v>
      </c>
      <c r="I1262" s="665"/>
    </row>
    <row r="1263" spans="1:10" hidden="1" outlineLevel="1">
      <c r="A1263" s="622">
        <f t="shared" ref="A1263:A1265" si="62">+A1262</f>
        <v>2022</v>
      </c>
      <c r="B1263" s="1182" t="s">
        <v>2017</v>
      </c>
      <c r="C1263" s="1183"/>
      <c r="D1263" s="718">
        <v>0</v>
      </c>
      <c r="E1263" s="223">
        <v>0</v>
      </c>
      <c r="F1263" s="222">
        <v>0</v>
      </c>
      <c r="H1263" s="664" t="str">
        <f t="shared" si="61"/>
        <v>Regelzone 50Hertz (gesamt)</v>
      </c>
      <c r="I1263" s="665"/>
    </row>
    <row r="1264" spans="1:10" hidden="1" outlineLevel="1">
      <c r="A1264" s="622">
        <f t="shared" si="62"/>
        <v>2022</v>
      </c>
      <c r="B1264" s="1182" t="s">
        <v>2050</v>
      </c>
      <c r="C1264" s="1183"/>
      <c r="D1264" s="718">
        <v>0</v>
      </c>
      <c r="E1264" s="223">
        <v>0</v>
      </c>
      <c r="F1264" s="222">
        <v>0</v>
      </c>
      <c r="H1264" s="664" t="str">
        <f t="shared" si="61"/>
        <v>Regelzone 50Hertz (gesamt)</v>
      </c>
      <c r="I1264" s="665"/>
    </row>
    <row r="1265" spans="1:9" ht="13.5" hidden="1" outlineLevel="1" thickBot="1">
      <c r="A1265" s="622">
        <f t="shared" si="62"/>
        <v>2022</v>
      </c>
      <c r="B1265" s="1184" t="s">
        <v>2051</v>
      </c>
      <c r="C1265" s="1185"/>
      <c r="D1265" s="719">
        <v>0</v>
      </c>
      <c r="E1265" s="715">
        <v>0</v>
      </c>
      <c r="F1265" s="716">
        <v>0</v>
      </c>
      <c r="H1265" s="664" t="str">
        <f t="shared" si="61"/>
        <v>Regelzone 50Hertz (gesamt)</v>
      </c>
      <c r="I1265" s="665"/>
    </row>
    <row r="1266" spans="1:9" hidden="1" outlineLevel="1">
      <c r="A1266" s="621">
        <f>+A1261-1</f>
        <v>2021</v>
      </c>
      <c r="B1266" s="1180" t="s">
        <v>2016</v>
      </c>
      <c r="C1266" s="1181"/>
      <c r="D1266" s="788">
        <v>-14110719</v>
      </c>
      <c r="E1266" s="711">
        <v>-35841.230000000003</v>
      </c>
      <c r="F1266" s="712">
        <v>-55737.34</v>
      </c>
      <c r="H1266" s="664" t="str">
        <f t="shared" si="61"/>
        <v>Regelzone 50Hertz (gesamt)</v>
      </c>
      <c r="I1266" s="665"/>
    </row>
    <row r="1267" spans="1:9" hidden="1" outlineLevel="1">
      <c r="A1267" s="622">
        <f>+A1262-1</f>
        <v>2021</v>
      </c>
      <c r="B1267" s="1182" t="s">
        <v>2029</v>
      </c>
      <c r="C1267" s="1183"/>
      <c r="D1267" s="718">
        <v>0</v>
      </c>
      <c r="E1267" s="223">
        <v>0</v>
      </c>
      <c r="F1267" s="222">
        <v>0</v>
      </c>
      <c r="H1267" s="664" t="str">
        <f t="shared" si="61"/>
        <v>Regelzone 50Hertz (gesamt)</v>
      </c>
      <c r="I1267" s="665"/>
    </row>
    <row r="1268" spans="1:9" hidden="1" outlineLevel="1">
      <c r="A1268" s="622">
        <f>+A1263-1</f>
        <v>2021</v>
      </c>
      <c r="B1268" s="1182" t="s">
        <v>2017</v>
      </c>
      <c r="C1268" s="1183"/>
      <c r="D1268" s="718">
        <v>0</v>
      </c>
      <c r="E1268" s="223">
        <v>0</v>
      </c>
      <c r="F1268" s="222">
        <v>0</v>
      </c>
      <c r="H1268" s="664" t="str">
        <f t="shared" si="61"/>
        <v>Regelzone 50Hertz (gesamt)</v>
      </c>
      <c r="I1268" s="665"/>
    </row>
    <row r="1269" spans="1:9" hidden="1" outlineLevel="1">
      <c r="A1269" s="622">
        <f>+A1264-1</f>
        <v>2021</v>
      </c>
      <c r="B1269" s="1182" t="s">
        <v>2050</v>
      </c>
      <c r="C1269" s="1183"/>
      <c r="D1269" s="718">
        <v>0</v>
      </c>
      <c r="E1269" s="223">
        <v>0</v>
      </c>
      <c r="F1269" s="222">
        <v>0</v>
      </c>
      <c r="H1269" s="664" t="str">
        <f t="shared" si="61"/>
        <v>Regelzone 50Hertz (gesamt)</v>
      </c>
      <c r="I1269" s="665"/>
    </row>
    <row r="1270" spans="1:9" ht="13.5" hidden="1" outlineLevel="1" thickBot="1">
      <c r="A1270" s="623">
        <f>+A1265-1</f>
        <v>2021</v>
      </c>
      <c r="B1270" s="1184" t="s">
        <v>2051</v>
      </c>
      <c r="C1270" s="1185"/>
      <c r="D1270" s="719">
        <v>0</v>
      </c>
      <c r="E1270" s="789">
        <v>0</v>
      </c>
      <c r="F1270" s="719">
        <v>0</v>
      </c>
      <c r="H1270" s="664" t="str">
        <f t="shared" si="61"/>
        <v>Regelzone 50Hertz (gesamt)</v>
      </c>
      <c r="I1270" s="665"/>
    </row>
    <row r="1271" spans="1:9" ht="13.5" collapsed="1" thickBot="1">
      <c r="A1271" s="619" t="s">
        <v>2023</v>
      </c>
      <c r="B1271" s="1201"/>
      <c r="C1271" s="1202"/>
      <c r="D1271" s="617">
        <f>+SUM(D1254:D1270)</f>
        <v>-50289026</v>
      </c>
      <c r="E1271" s="957">
        <f t="shared" ref="E1271:F1271" si="63">+SUM(E1254:E1270)</f>
        <v>-168565.37000000002</v>
      </c>
      <c r="F1271" s="958">
        <f t="shared" si="63"/>
        <v>-240330.99000000002</v>
      </c>
      <c r="G1271" s="203"/>
      <c r="H1271" s="8"/>
      <c r="I1271" s="665"/>
    </row>
    <row r="1272" spans="1:9">
      <c r="A1272" s="8"/>
      <c r="B1272" s="86"/>
      <c r="C1272" s="16"/>
      <c r="D1272" s="8"/>
      <c r="G1272" s="203"/>
      <c r="H1272" s="8"/>
      <c r="I1272" s="665"/>
    </row>
    <row r="1273" spans="1:9" hidden="1">
      <c r="A1273" s="8"/>
      <c r="B1273" s="86"/>
      <c r="C1273" s="16"/>
      <c r="D1273" s="8"/>
      <c r="G1273" s="203"/>
      <c r="H1273" s="8"/>
      <c r="I1273" s="665"/>
    </row>
    <row r="1274" spans="1:9" hidden="1">
      <c r="A1274" s="8"/>
      <c r="B1274" s="86"/>
      <c r="C1274" s="16"/>
      <c r="D1274" s="8"/>
      <c r="E1274" s="749"/>
      <c r="F1274" s="749"/>
      <c r="G1274" s="203"/>
      <c r="H1274" s="8"/>
      <c r="I1274" s="665"/>
    </row>
    <row r="1275" spans="1:9" hidden="1">
      <c r="A1275" s="8"/>
      <c r="B1275" s="86"/>
      <c r="C1275" s="16"/>
      <c r="D1275" s="8"/>
      <c r="G1275" s="203"/>
      <c r="H1275" s="8"/>
      <c r="I1275" s="665"/>
    </row>
    <row r="1276" spans="1:9" hidden="1">
      <c r="A1276" s="8"/>
      <c r="B1276" s="86"/>
      <c r="C1276" s="16"/>
      <c r="D1276" s="8"/>
      <c r="G1276" s="203"/>
      <c r="H1276" s="8"/>
      <c r="I1276" s="665"/>
    </row>
    <row r="1277" spans="1:9" hidden="1">
      <c r="A1277" s="8"/>
      <c r="B1277" s="86"/>
      <c r="C1277" s="16"/>
      <c r="D1277" s="8"/>
      <c r="G1277" s="203"/>
      <c r="H1277" s="8"/>
      <c r="I1277" s="665"/>
    </row>
    <row r="1278" spans="1:9">
      <c r="A1278" s="16" t="s">
        <v>2024</v>
      </c>
      <c r="B1278" s="8"/>
      <c r="C1278" s="16"/>
      <c r="D1278" s="1"/>
      <c r="E1278" s="186"/>
      <c r="F1278" s="186"/>
      <c r="G1278" s="203"/>
      <c r="H1278" s="8"/>
      <c r="I1278" s="665"/>
    </row>
    <row r="1279" spans="1:9" ht="15" thickBot="1">
      <c r="A1279" s="8"/>
      <c r="B1279" s="87"/>
      <c r="C1279" s="65"/>
      <c r="D1279" s="1"/>
      <c r="E1279" s="186"/>
      <c r="F1279" s="186"/>
      <c r="G1279" s="203"/>
      <c r="H1279" s="8"/>
      <c r="I1279" s="665"/>
    </row>
    <row r="1280" spans="1:9" ht="87" customHeight="1" thickBot="1">
      <c r="A1280" s="620" t="s">
        <v>1739</v>
      </c>
      <c r="B1280" s="1195" t="s">
        <v>2012</v>
      </c>
      <c r="C1280" s="1196"/>
      <c r="D1280" s="687" t="s">
        <v>2013</v>
      </c>
      <c r="E1280" s="618" t="s">
        <v>2014</v>
      </c>
      <c r="F1280" s="248" t="s">
        <v>2015</v>
      </c>
      <c r="G1280" s="203"/>
      <c r="H1280" s="8"/>
      <c r="I1280" s="665"/>
    </row>
    <row r="1281" spans="1:9" ht="13.5" thickBot="1">
      <c r="A1281" s="455"/>
      <c r="B1281" s="1197"/>
      <c r="C1281" s="1198"/>
      <c r="D1281" s="587" t="s">
        <v>84</v>
      </c>
      <c r="E1281" s="582" t="s">
        <v>1722</v>
      </c>
      <c r="F1281" s="585" t="s">
        <v>1722</v>
      </c>
      <c r="G1281" s="203"/>
      <c r="H1281" s="8"/>
      <c r="I1281" s="665"/>
    </row>
    <row r="1282" spans="1:9" hidden="1" outlineLevel="1">
      <c r="A1282" s="621">
        <f>+A1254</f>
        <v>2023</v>
      </c>
      <c r="B1282" s="1180" t="s">
        <v>2016</v>
      </c>
      <c r="C1282" s="1181"/>
      <c r="D1282" s="788">
        <v>-66982728</v>
      </c>
      <c r="E1282" s="788">
        <f>ROUND(D1282*0.357/100,2)</f>
        <v>-239128.34</v>
      </c>
      <c r="F1282" s="788">
        <f>ROUND(D1282*0.591/100,2)</f>
        <v>-395867.92</v>
      </c>
      <c r="G1282" s="855"/>
      <c r="H1282" s="664" t="s">
        <v>404</v>
      </c>
      <c r="I1282" s="665"/>
    </row>
    <row r="1283" spans="1:9" hidden="1" outlineLevel="1">
      <c r="A1283" s="622">
        <f>+A1282</f>
        <v>2023</v>
      </c>
      <c r="B1283" s="1182" t="s">
        <v>2029</v>
      </c>
      <c r="C1283" s="1183"/>
      <c r="D1283" s="718">
        <v>0</v>
      </c>
      <c r="E1283" s="806">
        <v>0</v>
      </c>
      <c r="F1283" s="806">
        <v>0</v>
      </c>
      <c r="H1283" s="664" t="str">
        <f>+H1282</f>
        <v>Regelzone Amprion (gesamt)</v>
      </c>
      <c r="I1283" s="665"/>
    </row>
    <row r="1284" spans="1:9" hidden="1" outlineLevel="1">
      <c r="A1284" s="622">
        <f t="shared" ref="A1284:A1288" si="64">+A1283</f>
        <v>2023</v>
      </c>
      <c r="B1284" s="1182" t="s">
        <v>2017</v>
      </c>
      <c r="C1284" s="1183"/>
      <c r="D1284" s="718">
        <v>0</v>
      </c>
      <c r="E1284" s="806">
        <v>0</v>
      </c>
      <c r="F1284" s="806">
        <v>0</v>
      </c>
      <c r="H1284" s="664" t="str">
        <f t="shared" ref="H1284:H1308" si="65">+H1283</f>
        <v>Regelzone Amprion (gesamt)</v>
      </c>
      <c r="I1284" s="665"/>
    </row>
    <row r="1285" spans="1:9" hidden="1" outlineLevel="1">
      <c r="A1285" s="622">
        <f t="shared" si="64"/>
        <v>2023</v>
      </c>
      <c r="B1285" s="1182" t="s">
        <v>2050</v>
      </c>
      <c r="C1285" s="1183"/>
      <c r="D1285" s="718">
        <v>0</v>
      </c>
      <c r="E1285" s="806">
        <v>0</v>
      </c>
      <c r="F1285" s="806">
        <v>0</v>
      </c>
      <c r="H1285" s="664" t="str">
        <f t="shared" si="65"/>
        <v>Regelzone Amprion (gesamt)</v>
      </c>
      <c r="I1285" s="665"/>
    </row>
    <row r="1286" spans="1:9" hidden="1" outlineLevel="1">
      <c r="A1286" s="622">
        <f t="shared" si="64"/>
        <v>2023</v>
      </c>
      <c r="B1286" s="1182" t="s">
        <v>2051</v>
      </c>
      <c r="C1286" s="1183"/>
      <c r="D1286" s="718">
        <v>0</v>
      </c>
      <c r="E1286" s="806">
        <v>0</v>
      </c>
      <c r="F1286" s="806">
        <v>0</v>
      </c>
      <c r="H1286" s="664" t="str">
        <f t="shared" si="65"/>
        <v>Regelzone Amprion (gesamt)</v>
      </c>
      <c r="I1286" s="665"/>
    </row>
    <row r="1287" spans="1:9" hidden="1" outlineLevel="1">
      <c r="A1287" s="622">
        <f t="shared" si="64"/>
        <v>2023</v>
      </c>
      <c r="B1287" s="1182" t="s">
        <v>2052</v>
      </c>
      <c r="C1287" s="1183"/>
      <c r="D1287" s="718">
        <v>0</v>
      </c>
      <c r="E1287" s="806">
        <v>0</v>
      </c>
      <c r="F1287" s="806">
        <v>0</v>
      </c>
      <c r="H1287" s="664" t="str">
        <f t="shared" si="65"/>
        <v>Regelzone Amprion (gesamt)</v>
      </c>
      <c r="I1287" s="665"/>
    </row>
    <row r="1288" spans="1:9" ht="13.5" hidden="1" outlineLevel="1" thickBot="1">
      <c r="A1288" s="622">
        <f t="shared" si="64"/>
        <v>2023</v>
      </c>
      <c r="B1288" s="1184" t="s">
        <v>2053</v>
      </c>
      <c r="C1288" s="1185"/>
      <c r="D1288" s="719">
        <v>0</v>
      </c>
      <c r="E1288" s="807">
        <v>0</v>
      </c>
      <c r="F1288" s="807">
        <v>0</v>
      </c>
      <c r="H1288" s="664" t="str">
        <f t="shared" si="65"/>
        <v>Regelzone Amprion (gesamt)</v>
      </c>
      <c r="I1288" s="665"/>
    </row>
    <row r="1289" spans="1:9" hidden="1" outlineLevel="1">
      <c r="A1289" s="621">
        <f>+A1261</f>
        <v>2022</v>
      </c>
      <c r="B1289" s="1180" t="s">
        <v>2016</v>
      </c>
      <c r="C1289" s="1181"/>
      <c r="D1289" s="788">
        <v>-20772105</v>
      </c>
      <c r="E1289" s="788">
        <f>ROUND(D1289*0.378/100,2)</f>
        <v>-78518.559999999998</v>
      </c>
      <c r="F1289" s="788">
        <f>ROUND(D1289*0.419/100,2)</f>
        <v>-87035.12</v>
      </c>
      <c r="H1289" s="664" t="str">
        <f t="shared" si="65"/>
        <v>Regelzone Amprion (gesamt)</v>
      </c>
      <c r="I1289" s="665"/>
    </row>
    <row r="1290" spans="1:9" hidden="1" outlineLevel="1">
      <c r="A1290" s="622">
        <f>+A1289</f>
        <v>2022</v>
      </c>
      <c r="B1290" s="1182" t="s">
        <v>2029</v>
      </c>
      <c r="C1290" s="1183"/>
      <c r="D1290" s="718">
        <v>0</v>
      </c>
      <c r="E1290" s="806">
        <v>0</v>
      </c>
      <c r="F1290" s="806">
        <v>0</v>
      </c>
      <c r="H1290" s="664" t="str">
        <f t="shared" si="65"/>
        <v>Regelzone Amprion (gesamt)</v>
      </c>
      <c r="I1290" s="665"/>
    </row>
    <row r="1291" spans="1:9" hidden="1" outlineLevel="1">
      <c r="A1291" s="622">
        <f t="shared" ref="A1291:A1293" si="66">+A1290</f>
        <v>2022</v>
      </c>
      <c r="B1291" s="1182" t="s">
        <v>2017</v>
      </c>
      <c r="C1291" s="1183"/>
      <c r="D1291" s="718">
        <v>0</v>
      </c>
      <c r="E1291" s="806">
        <v>0</v>
      </c>
      <c r="F1291" s="806">
        <v>0</v>
      </c>
      <c r="H1291" s="664" t="str">
        <f t="shared" si="65"/>
        <v>Regelzone Amprion (gesamt)</v>
      </c>
      <c r="I1291" s="665"/>
    </row>
    <row r="1292" spans="1:9" hidden="1" outlineLevel="1">
      <c r="A1292" s="622">
        <f t="shared" si="66"/>
        <v>2022</v>
      </c>
      <c r="B1292" s="1182" t="s">
        <v>2050</v>
      </c>
      <c r="C1292" s="1183"/>
      <c r="D1292" s="718">
        <v>0</v>
      </c>
      <c r="E1292" s="806">
        <v>0</v>
      </c>
      <c r="F1292" s="806">
        <v>0</v>
      </c>
      <c r="H1292" s="664" t="str">
        <f t="shared" ref="H1292:H1303" si="67">+H1291</f>
        <v>Regelzone Amprion (gesamt)</v>
      </c>
      <c r="I1292" s="665"/>
    </row>
    <row r="1293" spans="1:9" hidden="1" outlineLevel="1">
      <c r="A1293" s="622">
        <f t="shared" si="66"/>
        <v>2022</v>
      </c>
      <c r="B1293" s="1184" t="s">
        <v>2051</v>
      </c>
      <c r="C1293" s="1185"/>
      <c r="D1293" s="719">
        <v>0</v>
      </c>
      <c r="E1293" s="807">
        <v>0</v>
      </c>
      <c r="F1293" s="807">
        <v>0</v>
      </c>
      <c r="H1293" s="664" t="str">
        <f t="shared" si="67"/>
        <v>Regelzone Amprion (gesamt)</v>
      </c>
      <c r="I1293" s="665"/>
    </row>
    <row r="1294" spans="1:9" hidden="1" outlineLevel="1">
      <c r="A1294" s="621">
        <v>2021</v>
      </c>
      <c r="B1294" s="1186" t="s">
        <v>2016</v>
      </c>
      <c r="C1294" s="1181"/>
      <c r="D1294" s="788">
        <v>-11061549</v>
      </c>
      <c r="E1294" s="788">
        <f>ROUND(D1294*0.254/100,2)</f>
        <v>-28096.33</v>
      </c>
      <c r="F1294" s="788">
        <f>ROUND(D1294*0.395/100,2)</f>
        <v>-43693.120000000003</v>
      </c>
      <c r="H1294" s="664" t="str">
        <f t="shared" si="67"/>
        <v>Regelzone Amprion (gesamt)</v>
      </c>
      <c r="I1294" s="665"/>
    </row>
    <row r="1295" spans="1:9" hidden="1" outlineLevel="1">
      <c r="A1295" s="622">
        <v>2021</v>
      </c>
      <c r="B1295" s="1187" t="s">
        <v>2029</v>
      </c>
      <c r="C1295" s="1183"/>
      <c r="D1295" s="718">
        <v>0</v>
      </c>
      <c r="E1295" s="806">
        <v>0</v>
      </c>
      <c r="F1295" s="806">
        <v>0</v>
      </c>
      <c r="H1295" s="664" t="str">
        <f t="shared" si="67"/>
        <v>Regelzone Amprion (gesamt)</v>
      </c>
      <c r="I1295" s="665"/>
    </row>
    <row r="1296" spans="1:9" hidden="1" outlineLevel="1">
      <c r="A1296" s="622">
        <v>2021</v>
      </c>
      <c r="B1296" s="1187" t="s">
        <v>2017</v>
      </c>
      <c r="C1296" s="1183"/>
      <c r="D1296" s="718">
        <v>0</v>
      </c>
      <c r="E1296" s="806">
        <v>0</v>
      </c>
      <c r="F1296" s="806">
        <v>0</v>
      </c>
      <c r="H1296" s="664" t="str">
        <f t="shared" si="67"/>
        <v>Regelzone Amprion (gesamt)</v>
      </c>
      <c r="I1296" s="665"/>
    </row>
    <row r="1297" spans="1:9" hidden="1" outlineLevel="1">
      <c r="A1297" s="622">
        <v>2021</v>
      </c>
      <c r="B1297" s="1187" t="s">
        <v>2050</v>
      </c>
      <c r="C1297" s="1183"/>
      <c r="D1297" s="718">
        <v>0</v>
      </c>
      <c r="E1297" s="806">
        <v>0</v>
      </c>
      <c r="F1297" s="806">
        <v>0</v>
      </c>
      <c r="H1297" s="664" t="str">
        <f t="shared" si="67"/>
        <v>Regelzone Amprion (gesamt)</v>
      </c>
      <c r="I1297" s="665"/>
    </row>
    <row r="1298" spans="1:9" hidden="1" outlineLevel="1">
      <c r="A1298" s="623">
        <v>2021</v>
      </c>
      <c r="B1298" s="1188" t="s">
        <v>2051</v>
      </c>
      <c r="C1298" s="1185"/>
      <c r="D1298" s="719">
        <v>0</v>
      </c>
      <c r="E1298" s="807">
        <v>0</v>
      </c>
      <c r="F1298" s="807">
        <v>0</v>
      </c>
      <c r="H1298" s="664" t="str">
        <f t="shared" si="67"/>
        <v>Regelzone Amprion (gesamt)</v>
      </c>
      <c r="I1298" s="665"/>
    </row>
    <row r="1299" spans="1:9" hidden="1" outlineLevel="1">
      <c r="A1299" s="622">
        <v>2020</v>
      </c>
      <c r="B1299" s="1180" t="s">
        <v>2016</v>
      </c>
      <c r="C1299" s="1181"/>
      <c r="D1299" s="788">
        <v>-13800852</v>
      </c>
      <c r="E1299" s="788">
        <f>ROUND(D1299*0.226/100,2)</f>
        <v>-31189.93</v>
      </c>
      <c r="F1299" s="788">
        <f>ROUND(D1299*0.416/100,2)</f>
        <v>-57411.54</v>
      </c>
      <c r="H1299" s="664" t="str">
        <f t="shared" si="67"/>
        <v>Regelzone Amprion (gesamt)</v>
      </c>
      <c r="I1299" s="665"/>
    </row>
    <row r="1300" spans="1:9" hidden="1" outlineLevel="1">
      <c r="A1300" s="622">
        <v>2020</v>
      </c>
      <c r="B1300" s="1182" t="s">
        <v>2029</v>
      </c>
      <c r="C1300" s="1183"/>
      <c r="D1300" s="718">
        <v>0</v>
      </c>
      <c r="E1300" s="806">
        <v>0</v>
      </c>
      <c r="F1300" s="806">
        <v>0</v>
      </c>
      <c r="H1300" s="664" t="str">
        <f t="shared" si="67"/>
        <v>Regelzone Amprion (gesamt)</v>
      </c>
      <c r="I1300" s="665"/>
    </row>
    <row r="1301" spans="1:9" hidden="1" outlineLevel="1">
      <c r="A1301" s="622">
        <v>2020</v>
      </c>
      <c r="B1301" s="1182" t="s">
        <v>2017</v>
      </c>
      <c r="C1301" s="1183"/>
      <c r="D1301" s="718">
        <v>0</v>
      </c>
      <c r="E1301" s="806">
        <v>0</v>
      </c>
      <c r="F1301" s="806">
        <v>0</v>
      </c>
      <c r="H1301" s="664" t="str">
        <f t="shared" si="67"/>
        <v>Regelzone Amprion (gesamt)</v>
      </c>
      <c r="I1301" s="665"/>
    </row>
    <row r="1302" spans="1:9" hidden="1" outlineLevel="1">
      <c r="A1302" s="622">
        <v>2020</v>
      </c>
      <c r="B1302" s="1182" t="s">
        <v>2050</v>
      </c>
      <c r="C1302" s="1183"/>
      <c r="D1302" s="718">
        <v>0</v>
      </c>
      <c r="E1302" s="806">
        <v>0</v>
      </c>
      <c r="F1302" s="806">
        <v>0</v>
      </c>
      <c r="H1302" s="664" t="str">
        <f t="shared" si="67"/>
        <v>Regelzone Amprion (gesamt)</v>
      </c>
      <c r="I1302" s="665"/>
    </row>
    <row r="1303" spans="1:9" ht="13.5" hidden="1" outlineLevel="1" thickBot="1">
      <c r="A1303" s="622">
        <v>2020</v>
      </c>
      <c r="B1303" s="1184" t="s">
        <v>2051</v>
      </c>
      <c r="C1303" s="1185"/>
      <c r="D1303" s="719">
        <v>0</v>
      </c>
      <c r="E1303" s="807">
        <v>0</v>
      </c>
      <c r="F1303" s="807">
        <v>0</v>
      </c>
      <c r="H1303" s="664" t="str">
        <f t="shared" si="67"/>
        <v>Regelzone Amprion (gesamt)</v>
      </c>
      <c r="I1303" s="665"/>
    </row>
    <row r="1304" spans="1:9" hidden="1" outlineLevel="1">
      <c r="A1304" s="621">
        <v>2019</v>
      </c>
      <c r="B1304" s="1180" t="s">
        <v>2016</v>
      </c>
      <c r="C1304" s="1181"/>
      <c r="D1304" s="788">
        <v>-16356571</v>
      </c>
      <c r="E1304" s="788">
        <f>ROUND(D1304*0.28/100,2)</f>
        <v>-45798.400000000001</v>
      </c>
      <c r="F1304" s="788">
        <f>ROUND(D1304*0.416/100,2)</f>
        <v>-68043.34</v>
      </c>
      <c r="H1304" s="664" t="str">
        <f>+H1293</f>
        <v>Regelzone Amprion (gesamt)</v>
      </c>
      <c r="I1304" s="665"/>
    </row>
    <row r="1305" spans="1:9" hidden="1" outlineLevel="1">
      <c r="A1305" s="622">
        <f>+A1304</f>
        <v>2019</v>
      </c>
      <c r="B1305" s="1182" t="s">
        <v>2029</v>
      </c>
      <c r="C1305" s="1183"/>
      <c r="D1305" s="718">
        <v>0</v>
      </c>
      <c r="E1305" s="806">
        <v>0</v>
      </c>
      <c r="F1305" s="806">
        <v>0</v>
      </c>
      <c r="H1305" s="664" t="str">
        <f t="shared" si="65"/>
        <v>Regelzone Amprion (gesamt)</v>
      </c>
      <c r="I1305" s="665"/>
    </row>
    <row r="1306" spans="1:9" hidden="1" outlineLevel="1">
      <c r="A1306" s="622">
        <f t="shared" ref="A1306:A1308" si="68">+A1305</f>
        <v>2019</v>
      </c>
      <c r="B1306" s="1182" t="s">
        <v>2017</v>
      </c>
      <c r="C1306" s="1183"/>
      <c r="D1306" s="718">
        <v>0</v>
      </c>
      <c r="E1306" s="806">
        <v>0</v>
      </c>
      <c r="F1306" s="806">
        <v>0</v>
      </c>
      <c r="H1306" s="664" t="str">
        <f t="shared" si="65"/>
        <v>Regelzone Amprion (gesamt)</v>
      </c>
      <c r="I1306" s="665"/>
    </row>
    <row r="1307" spans="1:9" hidden="1" outlineLevel="1">
      <c r="A1307" s="622">
        <f t="shared" si="68"/>
        <v>2019</v>
      </c>
      <c r="B1307" s="1182" t="s">
        <v>2050</v>
      </c>
      <c r="C1307" s="1183"/>
      <c r="D1307" s="718">
        <v>0</v>
      </c>
      <c r="E1307" s="806">
        <v>0</v>
      </c>
      <c r="F1307" s="806">
        <v>0</v>
      </c>
      <c r="H1307" s="664" t="str">
        <f t="shared" si="65"/>
        <v>Regelzone Amprion (gesamt)</v>
      </c>
      <c r="I1307" s="665"/>
    </row>
    <row r="1308" spans="1:9" ht="13.5" hidden="1" outlineLevel="1" thickBot="1">
      <c r="A1308" s="622">
        <f t="shared" si="68"/>
        <v>2019</v>
      </c>
      <c r="B1308" s="1184" t="s">
        <v>2051</v>
      </c>
      <c r="C1308" s="1185"/>
      <c r="D1308" s="719">
        <v>0</v>
      </c>
      <c r="E1308" s="807">
        <v>0</v>
      </c>
      <c r="F1308" s="807">
        <v>0</v>
      </c>
      <c r="H1308" s="664" t="str">
        <f t="shared" si="65"/>
        <v>Regelzone Amprion (gesamt)</v>
      </c>
      <c r="I1308" s="665"/>
    </row>
    <row r="1309" spans="1:9" ht="13.5" collapsed="1" thickBot="1">
      <c r="A1309" s="619" t="s">
        <v>2031</v>
      </c>
      <c r="B1309" s="1201"/>
      <c r="C1309" s="1202"/>
      <c r="D1309" s="617">
        <f>+SUM(D1282:D1308)</f>
        <v>-128973805</v>
      </c>
      <c r="E1309" s="957">
        <f>+SUM(E1282:E1308)</f>
        <v>-422731.56000000006</v>
      </c>
      <c r="F1309" s="617">
        <f>+SUM(F1282:F1308)</f>
        <v>-652051.04</v>
      </c>
      <c r="G1309" s="661"/>
      <c r="H1309" s="8"/>
      <c r="I1309" s="665"/>
    </row>
    <row r="1310" spans="1:9" ht="12.6" customHeight="1"/>
    <row r="1311" spans="1:9">
      <c r="A1311" s="16" t="s">
        <v>2032</v>
      </c>
      <c r="C1311" s="1"/>
      <c r="D1311" s="186"/>
      <c r="E1311" s="186"/>
    </row>
    <row r="1312" spans="1:9" ht="15" thickBot="1">
      <c r="A1312" s="87"/>
      <c r="B1312" s="65"/>
      <c r="C1312" s="1"/>
      <c r="D1312" s="186"/>
      <c r="E1312" s="186"/>
    </row>
    <row r="1313" spans="1:9" ht="89.25" customHeight="1" thickBot="1">
      <c r="A1313" s="620" t="s">
        <v>1739</v>
      </c>
      <c r="B1313" s="1195" t="s">
        <v>2012</v>
      </c>
      <c r="C1313" s="1196"/>
      <c r="D1313" s="687" t="s">
        <v>2013</v>
      </c>
      <c r="E1313" s="618" t="s">
        <v>2014</v>
      </c>
      <c r="F1313" s="248" t="s">
        <v>2015</v>
      </c>
      <c r="G1313" s="203"/>
      <c r="H1313" s="8"/>
      <c r="I1313" s="665"/>
    </row>
    <row r="1314" spans="1:9" ht="13.5" thickBot="1">
      <c r="A1314" s="455"/>
      <c r="B1314" s="1197"/>
      <c r="C1314" s="1198"/>
      <c r="D1314" s="587" t="s">
        <v>84</v>
      </c>
      <c r="E1314" s="582" t="s">
        <v>1722</v>
      </c>
      <c r="F1314" s="585" t="s">
        <v>1722</v>
      </c>
      <c r="G1314" s="203"/>
      <c r="H1314" s="8"/>
      <c r="I1314" s="665"/>
    </row>
    <row r="1315" spans="1:9" hidden="1" outlineLevel="1">
      <c r="A1315" s="850">
        <v>2023</v>
      </c>
      <c r="B1315" s="1199" t="s">
        <v>2016</v>
      </c>
      <c r="C1315" s="1200"/>
      <c r="D1315" s="843">
        <v>1120224</v>
      </c>
      <c r="E1315" s="844">
        <v>3999</v>
      </c>
      <c r="F1315" s="845">
        <v>6621</v>
      </c>
      <c r="H1315" s="664" t="s">
        <v>855</v>
      </c>
      <c r="I1315" s="665"/>
    </row>
    <row r="1316" spans="1:9" hidden="1" outlineLevel="1">
      <c r="A1316" s="851">
        <v>2023</v>
      </c>
      <c r="B1316" s="1191" t="s">
        <v>2029</v>
      </c>
      <c r="C1316" s="1192"/>
      <c r="D1316" s="846">
        <v>0</v>
      </c>
      <c r="E1316" s="836">
        <v>0</v>
      </c>
      <c r="F1316" s="838">
        <v>0</v>
      </c>
      <c r="H1316" s="664" t="str">
        <f>+H1315</f>
        <v>Regelzone TenneT (gesamt)</v>
      </c>
      <c r="I1316" s="665"/>
    </row>
    <row r="1317" spans="1:9" hidden="1" outlineLevel="1">
      <c r="A1317" s="851">
        <v>2023</v>
      </c>
      <c r="B1317" s="1191" t="s">
        <v>2017</v>
      </c>
      <c r="C1317" s="1192"/>
      <c r="D1317" s="846">
        <v>0</v>
      </c>
      <c r="E1317" s="836">
        <v>0</v>
      </c>
      <c r="F1317" s="838">
        <v>0</v>
      </c>
      <c r="H1317" s="664" t="str">
        <f t="shared" ref="H1317:H1331" si="69">+H1316</f>
        <v>Regelzone TenneT (gesamt)</v>
      </c>
      <c r="I1317" s="665"/>
    </row>
    <row r="1318" spans="1:9" hidden="1" outlineLevel="1">
      <c r="A1318" s="851">
        <v>2023</v>
      </c>
      <c r="B1318" s="1191" t="s">
        <v>2050</v>
      </c>
      <c r="C1318" s="1192"/>
      <c r="D1318" s="846">
        <v>0</v>
      </c>
      <c r="E1318" s="836">
        <v>0</v>
      </c>
      <c r="F1318" s="838">
        <v>0</v>
      </c>
      <c r="H1318" s="664" t="str">
        <f t="shared" si="69"/>
        <v>Regelzone TenneT (gesamt)</v>
      </c>
      <c r="I1318" s="665"/>
    </row>
    <row r="1319" spans="1:9" hidden="1" outlineLevel="1">
      <c r="A1319" s="851">
        <v>2023</v>
      </c>
      <c r="B1319" s="1191" t="s">
        <v>2051</v>
      </c>
      <c r="C1319" s="1192"/>
      <c r="D1319" s="846">
        <v>0</v>
      </c>
      <c r="E1319" s="836">
        <v>0</v>
      </c>
      <c r="F1319" s="838">
        <v>0</v>
      </c>
      <c r="H1319" s="664" t="str">
        <f t="shared" si="69"/>
        <v>Regelzone TenneT (gesamt)</v>
      </c>
      <c r="I1319" s="665"/>
    </row>
    <row r="1320" spans="1:9" hidden="1" outlineLevel="1">
      <c r="A1320" s="851">
        <v>2023</v>
      </c>
      <c r="B1320" s="1191" t="s">
        <v>2052</v>
      </c>
      <c r="C1320" s="1192"/>
      <c r="D1320" s="846">
        <v>0</v>
      </c>
      <c r="E1320" s="836">
        <v>0</v>
      </c>
      <c r="F1320" s="838">
        <v>0</v>
      </c>
      <c r="H1320" s="664" t="str">
        <f t="shared" si="69"/>
        <v>Regelzone TenneT (gesamt)</v>
      </c>
      <c r="I1320" s="665"/>
    </row>
    <row r="1321" spans="1:9" ht="13.5" hidden="1" outlineLevel="1" thickBot="1">
      <c r="A1321" s="851">
        <v>2023</v>
      </c>
      <c r="B1321" s="1193" t="s">
        <v>2053</v>
      </c>
      <c r="C1321" s="1194"/>
      <c r="D1321" s="847">
        <v>0</v>
      </c>
      <c r="E1321" s="848">
        <v>0</v>
      </c>
      <c r="F1321" s="849">
        <v>0</v>
      </c>
      <c r="H1321" s="664" t="str">
        <f t="shared" si="69"/>
        <v>Regelzone TenneT (gesamt)</v>
      </c>
      <c r="I1321" s="665"/>
    </row>
    <row r="1322" spans="1:9" hidden="1" outlineLevel="1">
      <c r="A1322" s="850">
        <v>2022</v>
      </c>
      <c r="B1322" s="1199" t="s">
        <v>2016</v>
      </c>
      <c r="C1322" s="1200"/>
      <c r="D1322" s="843">
        <v>1657498</v>
      </c>
      <c r="E1322" s="844">
        <v>6265</v>
      </c>
      <c r="F1322" s="845">
        <v>6945</v>
      </c>
      <c r="H1322" s="664" t="str">
        <f t="shared" si="69"/>
        <v>Regelzone TenneT (gesamt)</v>
      </c>
      <c r="I1322" s="665"/>
    </row>
    <row r="1323" spans="1:9" hidden="1" outlineLevel="1">
      <c r="A1323" s="851">
        <v>2022</v>
      </c>
      <c r="B1323" s="1191" t="s">
        <v>2029</v>
      </c>
      <c r="C1323" s="1192"/>
      <c r="D1323" s="846">
        <v>0</v>
      </c>
      <c r="E1323" s="836">
        <v>0</v>
      </c>
      <c r="F1323" s="838">
        <v>0</v>
      </c>
      <c r="H1323" s="664" t="str">
        <f t="shared" si="69"/>
        <v>Regelzone TenneT (gesamt)</v>
      </c>
      <c r="I1323" s="665"/>
    </row>
    <row r="1324" spans="1:9" hidden="1" outlineLevel="1">
      <c r="A1324" s="851">
        <v>2022</v>
      </c>
      <c r="B1324" s="1191" t="s">
        <v>2017</v>
      </c>
      <c r="C1324" s="1192"/>
      <c r="D1324" s="846">
        <v>0</v>
      </c>
      <c r="E1324" s="836">
        <v>0</v>
      </c>
      <c r="F1324" s="838">
        <v>0</v>
      </c>
      <c r="H1324" s="664" t="str">
        <f t="shared" si="69"/>
        <v>Regelzone TenneT (gesamt)</v>
      </c>
      <c r="I1324" s="665"/>
    </row>
    <row r="1325" spans="1:9" hidden="1" outlineLevel="1">
      <c r="A1325" s="851">
        <v>2022</v>
      </c>
      <c r="B1325" s="1191" t="s">
        <v>2050</v>
      </c>
      <c r="C1325" s="1192"/>
      <c r="D1325" s="846">
        <v>0</v>
      </c>
      <c r="E1325" s="836">
        <v>0</v>
      </c>
      <c r="F1325" s="838">
        <v>0</v>
      </c>
      <c r="H1325" s="664" t="str">
        <f t="shared" si="69"/>
        <v>Regelzone TenneT (gesamt)</v>
      </c>
      <c r="I1325" s="665"/>
    </row>
    <row r="1326" spans="1:9" ht="13.5" hidden="1" outlineLevel="1" thickBot="1">
      <c r="A1326" s="851">
        <v>2022</v>
      </c>
      <c r="B1326" s="1193" t="s">
        <v>2051</v>
      </c>
      <c r="C1326" s="1194"/>
      <c r="D1326" s="847">
        <v>0</v>
      </c>
      <c r="E1326" s="848">
        <v>0</v>
      </c>
      <c r="F1326" s="849">
        <v>0</v>
      </c>
      <c r="H1326" s="664" t="str">
        <f t="shared" si="69"/>
        <v>Regelzone TenneT (gesamt)</v>
      </c>
      <c r="I1326" s="665"/>
    </row>
    <row r="1327" spans="1:9" hidden="1" outlineLevel="1">
      <c r="A1327" s="850">
        <v>2021</v>
      </c>
      <c r="B1327" s="1199" t="s">
        <v>2016</v>
      </c>
      <c r="C1327" s="1200"/>
      <c r="D1327" s="843">
        <v>1770297</v>
      </c>
      <c r="E1327" s="844">
        <v>4497</v>
      </c>
      <c r="F1327" s="845">
        <v>6993</v>
      </c>
      <c r="H1327" s="664" t="str">
        <f t="shared" si="69"/>
        <v>Regelzone TenneT (gesamt)</v>
      </c>
      <c r="I1327" s="665"/>
    </row>
    <row r="1328" spans="1:9" hidden="1" outlineLevel="1">
      <c r="A1328" s="851">
        <v>2021</v>
      </c>
      <c r="B1328" s="1191" t="s">
        <v>2029</v>
      </c>
      <c r="C1328" s="1192"/>
      <c r="D1328" s="846">
        <v>0</v>
      </c>
      <c r="E1328" s="836">
        <v>0</v>
      </c>
      <c r="F1328" s="838">
        <v>0</v>
      </c>
      <c r="H1328" s="664" t="str">
        <f t="shared" si="69"/>
        <v>Regelzone TenneT (gesamt)</v>
      </c>
      <c r="I1328" s="665"/>
    </row>
    <row r="1329" spans="1:9" hidden="1" outlineLevel="1">
      <c r="A1329" s="851">
        <v>2021</v>
      </c>
      <c r="B1329" s="1191" t="s">
        <v>2017</v>
      </c>
      <c r="C1329" s="1192"/>
      <c r="D1329" s="846">
        <v>0</v>
      </c>
      <c r="E1329" s="836">
        <v>0</v>
      </c>
      <c r="F1329" s="838">
        <v>0</v>
      </c>
      <c r="H1329" s="664" t="str">
        <f t="shared" si="69"/>
        <v>Regelzone TenneT (gesamt)</v>
      </c>
      <c r="I1329" s="665"/>
    </row>
    <row r="1330" spans="1:9" hidden="1" outlineLevel="1">
      <c r="A1330" s="851">
        <v>2021</v>
      </c>
      <c r="B1330" s="1191" t="s">
        <v>2050</v>
      </c>
      <c r="C1330" s="1192"/>
      <c r="D1330" s="846">
        <v>0</v>
      </c>
      <c r="E1330" s="836">
        <v>0</v>
      </c>
      <c r="F1330" s="838">
        <v>0</v>
      </c>
      <c r="H1330" s="664" t="str">
        <f t="shared" si="69"/>
        <v>Regelzone TenneT (gesamt)</v>
      </c>
      <c r="I1330" s="665"/>
    </row>
    <row r="1331" spans="1:9" ht="13.5" hidden="1" outlineLevel="1" thickBot="1">
      <c r="A1331" s="851">
        <v>2021</v>
      </c>
      <c r="B1331" s="1193" t="s">
        <v>2051</v>
      </c>
      <c r="C1331" s="1194"/>
      <c r="D1331" s="847">
        <v>0</v>
      </c>
      <c r="E1331" s="848">
        <v>0</v>
      </c>
      <c r="F1331" s="849">
        <v>0</v>
      </c>
      <c r="H1331" s="664" t="str">
        <f t="shared" si="69"/>
        <v>Regelzone TenneT (gesamt)</v>
      </c>
      <c r="I1331" s="665"/>
    </row>
    <row r="1332" spans="1:9" hidden="1" outlineLevel="1">
      <c r="A1332" s="850">
        <v>2020</v>
      </c>
      <c r="B1332" s="1199" t="s">
        <v>2016</v>
      </c>
      <c r="C1332" s="1200"/>
      <c r="D1332" s="843">
        <v>1807872</v>
      </c>
      <c r="E1332" s="844">
        <v>4086</v>
      </c>
      <c r="F1332" s="845">
        <v>7521</v>
      </c>
      <c r="H1332" s="664" t="str">
        <f>+H1331</f>
        <v>Regelzone TenneT (gesamt)</v>
      </c>
      <c r="I1332" s="665"/>
    </row>
    <row r="1333" spans="1:9" hidden="1" outlineLevel="1">
      <c r="A1333" s="851">
        <v>2020</v>
      </c>
      <c r="B1333" s="1191" t="s">
        <v>2029</v>
      </c>
      <c r="C1333" s="1192"/>
      <c r="D1333" s="846">
        <v>0</v>
      </c>
      <c r="E1333" s="836">
        <v>0</v>
      </c>
      <c r="F1333" s="838">
        <v>0</v>
      </c>
      <c r="H1333" s="664" t="str">
        <f>+H1332</f>
        <v>Regelzone TenneT (gesamt)</v>
      </c>
      <c r="I1333" s="665"/>
    </row>
    <row r="1334" spans="1:9" hidden="1" outlineLevel="1">
      <c r="A1334" s="851">
        <v>2020</v>
      </c>
      <c r="B1334" s="1191" t="s">
        <v>2017</v>
      </c>
      <c r="C1334" s="1192"/>
      <c r="D1334" s="846">
        <v>0</v>
      </c>
      <c r="E1334" s="836">
        <v>0</v>
      </c>
      <c r="F1334" s="838">
        <v>0</v>
      </c>
      <c r="H1334" s="664" t="str">
        <f>+H1333</f>
        <v>Regelzone TenneT (gesamt)</v>
      </c>
      <c r="I1334" s="665"/>
    </row>
    <row r="1335" spans="1:9" hidden="1" outlineLevel="1">
      <c r="A1335" s="851">
        <v>2020</v>
      </c>
      <c r="B1335" s="1191" t="s">
        <v>2050</v>
      </c>
      <c r="C1335" s="1192"/>
      <c r="D1335" s="846">
        <v>0</v>
      </c>
      <c r="E1335" s="836">
        <v>0</v>
      </c>
      <c r="F1335" s="838">
        <v>0</v>
      </c>
      <c r="H1335" s="664" t="str">
        <f>+H1334</f>
        <v>Regelzone TenneT (gesamt)</v>
      </c>
      <c r="I1335" s="665"/>
    </row>
    <row r="1336" spans="1:9" ht="13.5" hidden="1" outlineLevel="1" thickBot="1">
      <c r="A1336" s="851">
        <v>2020</v>
      </c>
      <c r="B1336" s="1193" t="s">
        <v>2051</v>
      </c>
      <c r="C1336" s="1194"/>
      <c r="D1336" s="847">
        <v>0</v>
      </c>
      <c r="E1336" s="848">
        <v>0</v>
      </c>
      <c r="F1336" s="849">
        <v>0</v>
      </c>
      <c r="H1336" s="664" t="str">
        <f>+H1335</f>
        <v>Regelzone TenneT (gesamt)</v>
      </c>
      <c r="I1336" s="665"/>
    </row>
    <row r="1337" spans="1:9" ht="13.5" collapsed="1" thickBot="1">
      <c r="A1337" s="619" t="s">
        <v>2044</v>
      </c>
      <c r="B1337" s="1189"/>
      <c r="C1337" s="1190"/>
      <c r="D1337" s="617">
        <f>+SUM(D1315:D1336)</f>
        <v>6355891</v>
      </c>
      <c r="E1337" s="957">
        <f>+SUM(E1315:E1336)</f>
        <v>18847</v>
      </c>
      <c r="F1337" s="958">
        <f>+SUM(F1315:F1336)</f>
        <v>28080</v>
      </c>
      <c r="G1337" s="203"/>
      <c r="H1337" s="8"/>
      <c r="I1337" s="665"/>
    </row>
    <row r="1339" spans="1:9">
      <c r="A1339" s="16" t="s">
        <v>2045</v>
      </c>
      <c r="C1339" s="1"/>
      <c r="D1339" s="186"/>
      <c r="E1339" s="186"/>
    </row>
    <row r="1340" spans="1:9" ht="15" thickBot="1">
      <c r="A1340" s="87"/>
      <c r="B1340" s="65"/>
      <c r="C1340" s="1"/>
      <c r="D1340" s="186"/>
      <c r="E1340" s="186"/>
    </row>
    <row r="1341" spans="1:9" ht="93" customHeight="1" thickBot="1">
      <c r="A1341" s="620" t="s">
        <v>1739</v>
      </c>
      <c r="B1341" s="1195" t="s">
        <v>2012</v>
      </c>
      <c r="C1341" s="1196"/>
      <c r="D1341" s="687" t="s">
        <v>2013</v>
      </c>
      <c r="E1341" s="618" t="s">
        <v>2014</v>
      </c>
      <c r="F1341" s="248" t="s">
        <v>2015</v>
      </c>
      <c r="G1341" s="203"/>
      <c r="H1341" s="8"/>
      <c r="I1341" s="665"/>
    </row>
    <row r="1342" spans="1:9" ht="13.5" thickBot="1">
      <c r="A1342" s="455"/>
      <c r="B1342" s="1197"/>
      <c r="C1342" s="1198"/>
      <c r="D1342" s="587" t="s">
        <v>84</v>
      </c>
      <c r="E1342" s="582" t="s">
        <v>1722</v>
      </c>
      <c r="F1342" s="585" t="s">
        <v>1722</v>
      </c>
      <c r="G1342" s="203"/>
      <c r="H1342" s="8"/>
      <c r="I1342" s="665"/>
    </row>
    <row r="1343" spans="1:9" hidden="1" outlineLevel="1">
      <c r="A1343" s="621">
        <f>+A1315</f>
        <v>2023</v>
      </c>
      <c r="B1343" s="1180" t="s">
        <v>2016</v>
      </c>
      <c r="C1343" s="1181"/>
      <c r="D1343" s="717">
        <v>-58813</v>
      </c>
      <c r="E1343" s="711">
        <v>-210</v>
      </c>
      <c r="F1343" s="712">
        <v>-347.58483000000001</v>
      </c>
      <c r="H1343" s="664" t="s">
        <v>1486</v>
      </c>
      <c r="I1343" s="665"/>
    </row>
    <row r="1344" spans="1:9" hidden="1" outlineLevel="1">
      <c r="A1344" s="622">
        <f>+A1343</f>
        <v>2023</v>
      </c>
      <c r="B1344" s="1182" t="s">
        <v>2029</v>
      </c>
      <c r="C1344" s="1183"/>
      <c r="D1344" s="718">
        <v>0</v>
      </c>
      <c r="E1344" s="223">
        <v>0</v>
      </c>
      <c r="F1344" s="222">
        <v>0</v>
      </c>
      <c r="H1344" s="664" t="str">
        <f>+H1343</f>
        <v>Regelzone TransnetBW (gesamt)</v>
      </c>
      <c r="I1344" s="665"/>
    </row>
    <row r="1345" spans="1:9" hidden="1" outlineLevel="1">
      <c r="A1345" s="622">
        <f t="shared" ref="A1345:A1349" si="70">+A1344</f>
        <v>2023</v>
      </c>
      <c r="B1345" s="1182" t="s">
        <v>2017</v>
      </c>
      <c r="C1345" s="1183"/>
      <c r="D1345" s="718">
        <v>0</v>
      </c>
      <c r="E1345" s="223">
        <v>0</v>
      </c>
      <c r="F1345" s="222">
        <v>0</v>
      </c>
      <c r="H1345" s="664" t="str">
        <f t="shared" ref="H1345:H1359" si="71">+H1344</f>
        <v>Regelzone TransnetBW (gesamt)</v>
      </c>
      <c r="I1345" s="665"/>
    </row>
    <row r="1346" spans="1:9" hidden="1" outlineLevel="1">
      <c r="A1346" s="622">
        <f t="shared" si="70"/>
        <v>2023</v>
      </c>
      <c r="B1346" s="1182" t="s">
        <v>2050</v>
      </c>
      <c r="C1346" s="1183"/>
      <c r="D1346" s="718">
        <v>0</v>
      </c>
      <c r="E1346" s="223">
        <v>0</v>
      </c>
      <c r="F1346" s="222">
        <v>0</v>
      </c>
      <c r="H1346" s="670" t="str">
        <f t="shared" si="71"/>
        <v>Regelzone TransnetBW (gesamt)</v>
      </c>
      <c r="I1346" s="665"/>
    </row>
    <row r="1347" spans="1:9" hidden="1" outlineLevel="1">
      <c r="A1347" s="622">
        <f t="shared" si="70"/>
        <v>2023</v>
      </c>
      <c r="B1347" s="1182" t="s">
        <v>2051</v>
      </c>
      <c r="C1347" s="1183"/>
      <c r="D1347" s="718">
        <v>0</v>
      </c>
      <c r="E1347" s="223">
        <v>0</v>
      </c>
      <c r="F1347" s="222">
        <v>0</v>
      </c>
      <c r="H1347" s="664" t="str">
        <f t="shared" si="71"/>
        <v>Regelzone TransnetBW (gesamt)</v>
      </c>
      <c r="I1347" s="665"/>
    </row>
    <row r="1348" spans="1:9" hidden="1" outlineLevel="1">
      <c r="A1348" s="622">
        <f t="shared" si="70"/>
        <v>2023</v>
      </c>
      <c r="B1348" s="1182" t="s">
        <v>2052</v>
      </c>
      <c r="C1348" s="1183"/>
      <c r="D1348" s="718">
        <v>0</v>
      </c>
      <c r="E1348" s="223">
        <v>0</v>
      </c>
      <c r="F1348" s="222">
        <v>0</v>
      </c>
      <c r="H1348" s="664" t="str">
        <f t="shared" si="71"/>
        <v>Regelzone TransnetBW (gesamt)</v>
      </c>
      <c r="I1348" s="665"/>
    </row>
    <row r="1349" spans="1:9" ht="13.5" hidden="1" outlineLevel="1" thickBot="1">
      <c r="A1349" s="622">
        <f t="shared" si="70"/>
        <v>2023</v>
      </c>
      <c r="B1349" s="1184" t="s">
        <v>2053</v>
      </c>
      <c r="C1349" s="1185"/>
      <c r="D1349" s="719">
        <v>0</v>
      </c>
      <c r="E1349" s="715">
        <v>0</v>
      </c>
      <c r="F1349" s="716">
        <v>0</v>
      </c>
      <c r="H1349" s="664" t="str">
        <f t="shared" si="71"/>
        <v>Regelzone TransnetBW (gesamt)</v>
      </c>
      <c r="I1349" s="665"/>
    </row>
    <row r="1350" spans="1:9" hidden="1" outlineLevel="1">
      <c r="A1350" s="621">
        <f>+A1322</f>
        <v>2022</v>
      </c>
      <c r="B1350" s="1180" t="s">
        <v>2016</v>
      </c>
      <c r="C1350" s="1181"/>
      <c r="D1350" s="717">
        <v>0</v>
      </c>
      <c r="E1350" s="711">
        <v>0</v>
      </c>
      <c r="F1350" s="712">
        <v>0</v>
      </c>
      <c r="H1350" s="664" t="str">
        <f t="shared" si="71"/>
        <v>Regelzone TransnetBW (gesamt)</v>
      </c>
      <c r="I1350" s="665"/>
    </row>
    <row r="1351" spans="1:9" hidden="1" outlineLevel="1">
      <c r="A1351" s="622">
        <f>+A1350</f>
        <v>2022</v>
      </c>
      <c r="B1351" s="1182" t="s">
        <v>2029</v>
      </c>
      <c r="C1351" s="1183"/>
      <c r="D1351" s="718">
        <v>0</v>
      </c>
      <c r="E1351" s="223">
        <v>0</v>
      </c>
      <c r="F1351" s="222">
        <v>0</v>
      </c>
      <c r="H1351" s="664" t="str">
        <f t="shared" si="71"/>
        <v>Regelzone TransnetBW (gesamt)</v>
      </c>
      <c r="I1351" s="665"/>
    </row>
    <row r="1352" spans="1:9" hidden="1" outlineLevel="1">
      <c r="A1352" s="622">
        <f t="shared" ref="A1352:A1354" si="72">+A1351</f>
        <v>2022</v>
      </c>
      <c r="B1352" s="1182" t="s">
        <v>2017</v>
      </c>
      <c r="C1352" s="1183"/>
      <c r="D1352" s="718">
        <v>0</v>
      </c>
      <c r="E1352" s="223">
        <v>0</v>
      </c>
      <c r="F1352" s="222">
        <v>0</v>
      </c>
      <c r="H1352" s="664" t="str">
        <f t="shared" si="71"/>
        <v>Regelzone TransnetBW (gesamt)</v>
      </c>
      <c r="I1352" s="665"/>
    </row>
    <row r="1353" spans="1:9" hidden="1" outlineLevel="1">
      <c r="A1353" s="622">
        <f t="shared" si="72"/>
        <v>2022</v>
      </c>
      <c r="B1353" s="1182" t="s">
        <v>2050</v>
      </c>
      <c r="C1353" s="1183"/>
      <c r="D1353" s="718">
        <v>0</v>
      </c>
      <c r="E1353" s="223">
        <v>0</v>
      </c>
      <c r="F1353" s="222">
        <v>0</v>
      </c>
      <c r="H1353" s="664" t="str">
        <f t="shared" si="71"/>
        <v>Regelzone TransnetBW (gesamt)</v>
      </c>
      <c r="I1353" s="665"/>
    </row>
    <row r="1354" spans="1:9" ht="13.5" hidden="1" outlineLevel="1" thickBot="1">
      <c r="A1354" s="622">
        <f t="shared" si="72"/>
        <v>2022</v>
      </c>
      <c r="B1354" s="1184" t="s">
        <v>2051</v>
      </c>
      <c r="C1354" s="1185"/>
      <c r="D1354" s="719">
        <v>0</v>
      </c>
      <c r="E1354" s="715">
        <v>0</v>
      </c>
      <c r="F1354" s="716">
        <v>0</v>
      </c>
      <c r="H1354" s="664" t="str">
        <f t="shared" si="71"/>
        <v>Regelzone TransnetBW (gesamt)</v>
      </c>
      <c r="I1354" s="665"/>
    </row>
    <row r="1355" spans="1:9" hidden="1" outlineLevel="1">
      <c r="A1355" s="621">
        <f>+A1327</f>
        <v>2021</v>
      </c>
      <c r="B1355" s="1180" t="s">
        <v>2016</v>
      </c>
      <c r="C1355" s="1181"/>
      <c r="D1355" s="717">
        <v>0</v>
      </c>
      <c r="E1355" s="711">
        <v>0</v>
      </c>
      <c r="F1355" s="712">
        <v>0</v>
      </c>
      <c r="H1355" s="664" t="str">
        <f t="shared" si="71"/>
        <v>Regelzone TransnetBW (gesamt)</v>
      </c>
      <c r="I1355" s="665"/>
    </row>
    <row r="1356" spans="1:9" hidden="1" outlineLevel="1">
      <c r="A1356" s="622">
        <f>++A1355</f>
        <v>2021</v>
      </c>
      <c r="B1356" s="1182" t="s">
        <v>2029</v>
      </c>
      <c r="C1356" s="1183"/>
      <c r="D1356" s="718">
        <v>0</v>
      </c>
      <c r="E1356" s="223">
        <v>0</v>
      </c>
      <c r="F1356" s="222">
        <v>0</v>
      </c>
      <c r="H1356" s="664" t="str">
        <f t="shared" si="71"/>
        <v>Regelzone TransnetBW (gesamt)</v>
      </c>
      <c r="I1356" s="665"/>
    </row>
    <row r="1357" spans="1:9" hidden="1" outlineLevel="1">
      <c r="A1357" s="622">
        <f t="shared" ref="A1357:A1359" si="73">++A1356</f>
        <v>2021</v>
      </c>
      <c r="B1357" s="1182" t="s">
        <v>2017</v>
      </c>
      <c r="C1357" s="1183"/>
      <c r="D1357" s="718">
        <v>0</v>
      </c>
      <c r="E1357" s="223">
        <v>0</v>
      </c>
      <c r="F1357" s="222">
        <v>0</v>
      </c>
      <c r="H1357" s="664" t="str">
        <f t="shared" si="71"/>
        <v>Regelzone TransnetBW (gesamt)</v>
      </c>
      <c r="I1357" s="665"/>
    </row>
    <row r="1358" spans="1:9" hidden="1" outlineLevel="1">
      <c r="A1358" s="622">
        <f t="shared" si="73"/>
        <v>2021</v>
      </c>
      <c r="B1358" s="1182" t="s">
        <v>2050</v>
      </c>
      <c r="C1358" s="1183"/>
      <c r="D1358" s="718">
        <v>0</v>
      </c>
      <c r="E1358" s="223">
        <v>0</v>
      </c>
      <c r="F1358" s="222">
        <v>0</v>
      </c>
      <c r="H1358" s="664" t="str">
        <f t="shared" si="71"/>
        <v>Regelzone TransnetBW (gesamt)</v>
      </c>
      <c r="I1358" s="665"/>
    </row>
    <row r="1359" spans="1:9" ht="13.5" hidden="1" outlineLevel="1" thickBot="1">
      <c r="A1359" s="622">
        <f t="shared" si="73"/>
        <v>2021</v>
      </c>
      <c r="B1359" s="1184" t="s">
        <v>2051</v>
      </c>
      <c r="C1359" s="1185"/>
      <c r="D1359" s="719">
        <v>0</v>
      </c>
      <c r="E1359" s="715">
        <v>0</v>
      </c>
      <c r="F1359" s="716">
        <v>0</v>
      </c>
      <c r="H1359" s="664" t="str">
        <f t="shared" si="71"/>
        <v>Regelzone TransnetBW (gesamt)</v>
      </c>
      <c r="I1359" s="665"/>
    </row>
    <row r="1360" spans="1:9" ht="13.5" collapsed="1" thickBot="1">
      <c r="A1360" s="619" t="s">
        <v>2046</v>
      </c>
      <c r="B1360" s="1189"/>
      <c r="C1360" s="1190"/>
      <c r="D1360" s="617">
        <f>+SUM(D1343:D1359)</f>
        <v>-58813</v>
      </c>
      <c r="E1360" s="957">
        <f t="shared" ref="E1360:F1360" si="74">+SUM(E1343:E1359)</f>
        <v>-210</v>
      </c>
      <c r="F1360" s="958">
        <f t="shared" si="74"/>
        <v>-347.58483000000001</v>
      </c>
      <c r="G1360" s="661"/>
      <c r="H1360" s="8"/>
      <c r="I1360" s="665"/>
    </row>
    <row r="1361" spans="1:8">
      <c r="A1361" s="16"/>
      <c r="B1361" s="8"/>
      <c r="C1361" s="203"/>
      <c r="F1361" s="8"/>
      <c r="G1361" s="665"/>
      <c r="H1361" s="8"/>
    </row>
    <row r="1362" spans="1:8">
      <c r="A1362" s="16"/>
      <c r="B1362" s="8"/>
      <c r="C1362" s="203"/>
      <c r="F1362" s="8"/>
      <c r="G1362" s="665"/>
      <c r="H1362" s="8"/>
    </row>
    <row r="1363" spans="1:8">
      <c r="A1363" s="16"/>
      <c r="B1363" s="8"/>
      <c r="C1363" s="203"/>
      <c r="F1363" s="8"/>
      <c r="G1363" s="665"/>
      <c r="H1363" s="8"/>
    </row>
    <row r="1364" spans="1:8">
      <c r="A1364" s="16"/>
      <c r="B1364" s="8"/>
      <c r="C1364" s="203"/>
      <c r="F1364" s="8"/>
      <c r="G1364" s="665"/>
      <c r="H1364" s="8"/>
    </row>
    <row r="1365" spans="1:8">
      <c r="A1365" s="16"/>
      <c r="B1365" s="8"/>
      <c r="C1365" s="203"/>
      <c r="F1365" s="8"/>
      <c r="G1365" s="665"/>
      <c r="H1365" s="8"/>
    </row>
    <row r="1366" spans="1:8">
      <c r="A1366" s="16"/>
      <c r="B1366" s="8"/>
      <c r="C1366" s="203"/>
      <c r="F1366" s="8"/>
      <c r="G1366" s="665"/>
      <c r="H1366" s="8"/>
    </row>
  </sheetData>
  <mergeCells count="92">
    <mergeCell ref="B1262:C1262"/>
    <mergeCell ref="B1263:C1263"/>
    <mergeCell ref="B1264:C1264"/>
    <mergeCell ref="B1252:C1253"/>
    <mergeCell ref="B1254:C1254"/>
    <mergeCell ref="B1255:C1255"/>
    <mergeCell ref="B1256:C1256"/>
    <mergeCell ref="B1257:C1257"/>
    <mergeCell ref="B1258:C1258"/>
    <mergeCell ref="B1291:C1291"/>
    <mergeCell ref="B1271:C1271"/>
    <mergeCell ref="A1225:C1226"/>
    <mergeCell ref="B1282:C1282"/>
    <mergeCell ref="B1283:C1283"/>
    <mergeCell ref="B1284:C1284"/>
    <mergeCell ref="B1285:C1285"/>
    <mergeCell ref="B1265:C1265"/>
    <mergeCell ref="B1266:C1266"/>
    <mergeCell ref="B1267:C1267"/>
    <mergeCell ref="B1268:C1268"/>
    <mergeCell ref="B1269:C1269"/>
    <mergeCell ref="B1270:C1270"/>
    <mergeCell ref="B1259:C1259"/>
    <mergeCell ref="B1260:C1260"/>
    <mergeCell ref="B1261:C1261"/>
    <mergeCell ref="B1308:C1308"/>
    <mergeCell ref="B1280:C1281"/>
    <mergeCell ref="B1309:C1309"/>
    <mergeCell ref="B1315:C1315"/>
    <mergeCell ref="B1316:C1316"/>
    <mergeCell ref="B1292:C1292"/>
    <mergeCell ref="B1293:C1293"/>
    <mergeCell ref="B1304:C1304"/>
    <mergeCell ref="B1305:C1305"/>
    <mergeCell ref="B1306:C1306"/>
    <mergeCell ref="B1307:C1307"/>
    <mergeCell ref="B1286:C1286"/>
    <mergeCell ref="B1287:C1287"/>
    <mergeCell ref="B1288:C1288"/>
    <mergeCell ref="B1289:C1289"/>
    <mergeCell ref="B1290:C1290"/>
    <mergeCell ref="B1313:C1314"/>
    <mergeCell ref="B1341:C1342"/>
    <mergeCell ref="B1323:C1323"/>
    <mergeCell ref="B1324:C1324"/>
    <mergeCell ref="B1325:C1325"/>
    <mergeCell ref="B1326:C1326"/>
    <mergeCell ref="B1327:C1327"/>
    <mergeCell ref="B1328:C1328"/>
    <mergeCell ref="B1317:C1317"/>
    <mergeCell ref="B1318:C1318"/>
    <mergeCell ref="B1319:C1319"/>
    <mergeCell ref="B1320:C1320"/>
    <mergeCell ref="B1321:C1321"/>
    <mergeCell ref="B1322:C1322"/>
    <mergeCell ref="B1332:C1332"/>
    <mergeCell ref="B1333:C1333"/>
    <mergeCell ref="B1348:C1348"/>
    <mergeCell ref="B1329:C1329"/>
    <mergeCell ref="B1330:C1330"/>
    <mergeCell ref="B1331:C1331"/>
    <mergeCell ref="B1337:C1337"/>
    <mergeCell ref="B1343:C1343"/>
    <mergeCell ref="B1344:C1344"/>
    <mergeCell ref="B1345:C1345"/>
    <mergeCell ref="B1346:C1346"/>
    <mergeCell ref="B1347:C1347"/>
    <mergeCell ref="B1334:C1334"/>
    <mergeCell ref="B1335:C1335"/>
    <mergeCell ref="B1336:C1336"/>
    <mergeCell ref="B1360:C1360"/>
    <mergeCell ref="B1349:C1349"/>
    <mergeCell ref="B1350:C1350"/>
    <mergeCell ref="B1351:C1351"/>
    <mergeCell ref="B1352:C1352"/>
    <mergeCell ref="B1353:C1353"/>
    <mergeCell ref="B1354:C1354"/>
    <mergeCell ref="B1355:C1355"/>
    <mergeCell ref="B1356:C1356"/>
    <mergeCell ref="B1357:C1357"/>
    <mergeCell ref="B1358:C1358"/>
    <mergeCell ref="B1359:C1359"/>
    <mergeCell ref="B1294:C1294"/>
    <mergeCell ref="B1295:C1295"/>
    <mergeCell ref="B1296:C1296"/>
    <mergeCell ref="B1297:C1297"/>
    <mergeCell ref="B1298:C1298"/>
    <mergeCell ref="B1299:C1299"/>
    <mergeCell ref="B1300:C1300"/>
    <mergeCell ref="B1301:C1301"/>
    <mergeCell ref="B1302:C1302"/>
    <mergeCell ref="B1303:C1303"/>
  </mergeCells>
  <phoneticPr fontId="57" type="noConversion"/>
  <pageMargins left="0.98425196850393704" right="0.31496062992125984" top="1.1023622047244095" bottom="0.62992125984251968" header="0.31496062992125984" footer="0.31496062992125984"/>
  <pageSetup paperSize="9" scale="58" fitToHeight="2" orientation="landscape" r:id="rId1"/>
  <headerFooter scaleWithDoc="0">
    <oddHeader xml:space="preserve">&amp;L&amp;G&amp;C&amp;"Calibri,Standard"&amp;1&amp;K000000
</oddHeader>
    <oddFooter>&amp;R&amp;UAnlage 2b&amp;U
Seite &amp;P</oddFooter>
  </headerFooter>
  <rowBreaks count="1" manualBreakCount="1">
    <brk id="1222" max="5" man="1"/>
  </rowBreaks>
  <ignoredErrors>
    <ignoredError sqref="F467 A1350" formula="1"/>
  </ignoredError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54A21-89DB-4229-996B-B133315AFD44}">
  <dimension ref="A4:L65"/>
  <sheetViews>
    <sheetView view="pageLayout" zoomScale="90" zoomScaleNormal="100" zoomScalePageLayoutView="90" workbookViewId="0">
      <selection activeCell="H16" sqref="H12:I16"/>
    </sheetView>
  </sheetViews>
  <sheetFormatPr baseColWidth="10" defaultColWidth="8.140625" defaultRowHeight="12.75"/>
  <cols>
    <col min="1" max="1" width="23" customWidth="1"/>
    <col min="2" max="2" width="12" bestFit="1" customWidth="1"/>
    <col min="3" max="3" width="13.28515625" style="185" customWidth="1"/>
    <col min="4" max="4" width="11.28515625" style="185" customWidth="1"/>
    <col min="5" max="5" width="14" style="185" customWidth="1"/>
    <col min="6" max="6" width="10.28515625" style="185" customWidth="1"/>
    <col min="7" max="7" width="13.5703125" style="185" customWidth="1"/>
    <col min="8" max="8" width="10.28515625" style="185" customWidth="1"/>
    <col min="9" max="9" width="14" style="185" customWidth="1"/>
    <col min="10" max="10" width="13.42578125" style="185" customWidth="1"/>
    <col min="11" max="12" width="14.28515625" style="185" customWidth="1"/>
    <col min="13" max="13" width="11.140625" customWidth="1"/>
    <col min="15" max="15" width="69.42578125" customWidth="1"/>
  </cols>
  <sheetData>
    <row r="4" spans="1:12">
      <c r="B4" s="2"/>
      <c r="C4" s="187"/>
      <c r="D4" s="187"/>
      <c r="E4" s="187"/>
      <c r="F4" s="187"/>
      <c r="G4" s="187"/>
      <c r="H4" s="187"/>
      <c r="I4" s="187"/>
      <c r="J4" s="187"/>
      <c r="K4" s="256">
        <f>'Anlage 1a_Zuschlagszahlungen_NB'!E1</f>
        <v>45915</v>
      </c>
    </row>
    <row r="5" spans="1:12">
      <c r="A5" s="1152"/>
      <c r="B5" s="1152"/>
      <c r="C5" s="1152"/>
      <c r="D5" s="1152"/>
      <c r="E5" s="1152"/>
      <c r="F5" s="1152"/>
      <c r="G5" s="1152"/>
      <c r="H5" s="1152"/>
      <c r="I5" s="1152"/>
      <c r="J5" s="1152"/>
      <c r="K5" s="1152"/>
      <c r="L5" s="1152"/>
    </row>
    <row r="6" spans="1:12">
      <c r="A6" s="11" t="s">
        <v>2054</v>
      </c>
      <c r="B6" s="2"/>
      <c r="C6" s="187"/>
      <c r="D6" s="187"/>
      <c r="E6" s="187"/>
      <c r="F6" s="187"/>
      <c r="G6" s="187"/>
      <c r="H6" s="187"/>
      <c r="I6" s="187"/>
      <c r="J6" s="187"/>
      <c r="K6" s="187"/>
      <c r="L6" s="186"/>
    </row>
    <row r="7" spans="1:12">
      <c r="A7" s="16"/>
    </row>
    <row r="8" spans="1:12" ht="13.5" thickBot="1"/>
    <row r="9" spans="1:12" ht="33.6" customHeight="1" thickBot="1">
      <c r="B9" s="1153" t="s">
        <v>85</v>
      </c>
      <c r="C9" s="1154"/>
      <c r="D9" s="1153" t="s">
        <v>404</v>
      </c>
      <c r="E9" s="1154"/>
      <c r="F9" s="1153" t="s">
        <v>855</v>
      </c>
      <c r="G9" s="1207"/>
      <c r="H9" s="1153" t="s">
        <v>1486</v>
      </c>
      <c r="I9" s="1154"/>
      <c r="J9" s="1155" t="s">
        <v>1715</v>
      </c>
      <c r="K9" s="1154"/>
    </row>
    <row r="10" spans="1:12" ht="71.25" customHeight="1" thickBot="1">
      <c r="A10" s="1120" t="s">
        <v>1739</v>
      </c>
      <c r="B10" s="692" t="s">
        <v>2048</v>
      </c>
      <c r="C10" s="693" t="s">
        <v>2055</v>
      </c>
      <c r="D10" s="692" t="s">
        <v>2048</v>
      </c>
      <c r="E10" s="693" t="s">
        <v>2055</v>
      </c>
      <c r="F10" s="692" t="s">
        <v>2048</v>
      </c>
      <c r="G10" s="693" t="s">
        <v>2055</v>
      </c>
      <c r="H10" s="692" t="s">
        <v>2048</v>
      </c>
      <c r="I10" s="693" t="s">
        <v>2055</v>
      </c>
      <c r="J10" s="699" t="s">
        <v>2048</v>
      </c>
      <c r="K10" s="693" t="s">
        <v>2055</v>
      </c>
    </row>
    <row r="11" spans="1:12" ht="13.5" thickBot="1">
      <c r="A11" s="1121"/>
      <c r="B11" s="702" t="s">
        <v>1722</v>
      </c>
      <c r="C11" s="703" t="s">
        <v>1722</v>
      </c>
      <c r="D11" s="702" t="s">
        <v>1722</v>
      </c>
      <c r="E11" s="703" t="s">
        <v>1722</v>
      </c>
      <c r="F11" s="702" t="s">
        <v>1722</v>
      </c>
      <c r="G11" s="703" t="s">
        <v>1722</v>
      </c>
      <c r="H11" s="704" t="s">
        <v>1722</v>
      </c>
      <c r="I11" s="704" t="s">
        <v>1722</v>
      </c>
      <c r="J11" s="705" t="s">
        <v>1722</v>
      </c>
      <c r="K11" s="704" t="s">
        <v>1722</v>
      </c>
    </row>
    <row r="12" spans="1:12">
      <c r="A12" s="1122">
        <f>+Hinweise!B3-1</f>
        <v>2023</v>
      </c>
      <c r="B12" s="440">
        <f>+SUMIFS('Anlage 2b_Korrekturen'!$E:$E,'Anlage 2b_Korrekturen'!$H:$H,'Anlage 2c_Korrekturen_JA'!B$9,'Anlage 2b_Korrekturen'!$A:$A,'Anlage 2c_Korrekturen_JA'!$A12)</f>
        <v>-260869.70999999996</v>
      </c>
      <c r="C12" s="441">
        <f>+SUMIFS('Anlage 2b_Korrekturen'!$F:$F,'Anlage 2b_Korrekturen'!$H:$H,'Anlage 2c_Korrekturen_JA'!B$9,'Anlage 2b_Korrekturen'!$A:$A,'Anlage 2c_Korrekturen_JA'!$A12)</f>
        <v>-422143.2200000002</v>
      </c>
      <c r="D12" s="440">
        <f>+SUMIFS('Anlage 2b_Korrekturen'!$E:$E,'Anlage 2b_Korrekturen'!$H:$H,'Anlage 2c_Korrekturen_JA'!D$9,'Anlage 2b_Korrekturen'!$A:$A,'Anlage 2c_Korrekturen_JA'!$A12)</f>
        <v>-1008559.8413100005</v>
      </c>
      <c r="E12" s="441">
        <f>+SUMIFS('Anlage 2b_Korrekturen'!$F:$F,'Anlage 2b_Korrekturen'!$H:$H,'Anlage 2c_Korrekturen_JA'!D$9,'Anlage 2b_Korrekturen'!$A:$A,'Anlage 2c_Korrekturen_JA'!$A12)</f>
        <v>-1644599.5299999998</v>
      </c>
      <c r="F12" s="440">
        <f>+SUMIFS('Anlage 2b_Korrekturen'!$E:$E,'Anlage 2b_Korrekturen'!$H:$H,'Anlage 2c_Korrekturen_JA'!F$9,'Anlage 2b_Korrekturen'!$A:$A,'Anlage 2c_Korrekturen_JA'!$A12)</f>
        <v>-109978.12048375008</v>
      </c>
      <c r="G12" s="441">
        <f>+SUMIFS('Anlage 2b_Korrekturen'!$F:$F,'Anlage 2b_Korrekturen'!$H:$H,'Anlage 2c_Korrekturen_JA'!F$9,'Anlage 2b_Korrekturen'!$A:$A,'Anlage 2c_Korrekturen_JA'!$A12)</f>
        <v>-185769.68685125001</v>
      </c>
      <c r="H12" s="440">
        <f>+SUMIFS('Anlage 2b_Korrekturen'!$E:$E,'Anlage 2b_Korrekturen'!$H:$H,'Anlage 2c_Korrekturen_JA'!H$9,'Anlage 2b_Korrekturen'!$A:$A,'Anlage 2c_Korrekturen_JA'!$A12)</f>
        <v>71860.149999999936</v>
      </c>
      <c r="I12" s="441">
        <f>+SUMIFS('Anlage 2b_Korrekturen'!$F:$F,'Anlage 2b_Korrekturen'!$H:$H,'Anlage 2c_Korrekturen_JA'!H$9,'Anlage 2b_Korrekturen'!$A:$A,'Anlage 2c_Korrekturen_JA'!$A12)</f>
        <v>116790.71517</v>
      </c>
      <c r="J12" s="257">
        <f t="shared" ref="J12" si="0">+H12+F12+D12+B12</f>
        <v>-1307547.5217937506</v>
      </c>
      <c r="K12" s="441">
        <f>+I12+G12+E12+C12</f>
        <v>-2135721.7216812503</v>
      </c>
    </row>
    <row r="13" spans="1:12">
      <c r="A13" s="1122">
        <f t="shared" ref="A13:A18" si="1">+A12-1</f>
        <v>2022</v>
      </c>
      <c r="B13" s="697">
        <f>+SUMIFS('Anlage 2b_Korrekturen'!$E:$E,'Anlage 2b_Korrekturen'!$H:$H,'Anlage 2c_Korrekturen_JA'!B$9,'Anlage 2b_Korrekturen'!$A:$A,'Anlage 2c_Korrekturen_JA'!$A13)</f>
        <v>764480.73999999976</v>
      </c>
      <c r="C13" s="698">
        <f>+SUMIFS('Anlage 2b_Korrekturen'!$F:$F,'Anlage 2b_Korrekturen'!$H:$H,'Anlage 2c_Korrekturen_JA'!B$9,'Anlage 2b_Korrekturen'!$A:$A,'Anlage 2c_Korrekturen_JA'!$A13)</f>
        <v>847407.8899999999</v>
      </c>
      <c r="D13" s="697">
        <f>+SUMIFS('Anlage 2b_Korrekturen'!$E:$E,'Anlage 2b_Korrekturen'!$H:$H,'Anlage 2c_Korrekturen_JA'!D$9,'Anlage 2b_Korrekturen'!$A:$A,'Anlage 2c_Korrekturen_JA'!$A13)</f>
        <v>-296102.91840000014</v>
      </c>
      <c r="E13" s="698">
        <f>+SUMIFS('Anlage 2b_Korrekturen'!$F:$F,'Anlage 2b_Korrekturen'!$H:$H,'Anlage 2c_Korrekturen_JA'!D$9,'Anlage 2b_Korrekturen'!$A:$A,'Anlage 2c_Korrekturen_JA'!$A13)</f>
        <v>-328517.54839999997</v>
      </c>
      <c r="F13" s="697">
        <f>+SUMIFS('Anlage 2b_Korrekturen'!$E:$E,'Anlage 2b_Korrekturen'!$H:$H,'Anlage 2c_Korrekturen_JA'!F$9,'Anlage 2b_Korrekturen'!$A:$A,'Anlage 2c_Korrekturen_JA'!$A13)</f>
        <v>-136169.35849375991</v>
      </c>
      <c r="G13" s="698">
        <f>+SUMIFS('Anlage 2b_Korrekturen'!$F:$F,'Anlage 2b_Korrekturen'!$H:$H,'Anlage 2c_Korrekturen_JA'!F$9,'Anlage 2b_Korrekturen'!$A:$A,'Anlage 2c_Korrekturen_JA'!$A13)</f>
        <v>-150906.37356847999</v>
      </c>
      <c r="H13" s="697">
        <f>+SUMIFS('Anlage 2b_Korrekturen'!$E:$E,'Anlage 2b_Korrekturen'!$H:$H,'Anlage 2c_Korrekturen_JA'!H$9,'Anlage 2b_Korrekturen'!$A:$A,'Anlage 2c_Korrekturen_JA'!$A13)</f>
        <v>-25057.93</v>
      </c>
      <c r="I13" s="698">
        <f>+SUMIFS('Anlage 2b_Korrekturen'!$F:$F,'Anlage 2b_Korrekturen'!$H:$H,'Anlage 2c_Korrekturen_JA'!H$9,'Anlage 2b_Korrekturen'!$A:$A,'Anlage 2c_Korrekturen_JA'!$A13)</f>
        <v>-27787.01999999999</v>
      </c>
      <c r="J13" s="700">
        <f t="shared" ref="J13:J23" si="2">+H13+F13+D13+B13</f>
        <v>307150.53310623975</v>
      </c>
      <c r="K13" s="698">
        <f>+I13+G13+E13+C13</f>
        <v>340196.94803151995</v>
      </c>
    </row>
    <row r="14" spans="1:12">
      <c r="A14" s="1122">
        <f t="shared" si="1"/>
        <v>2021</v>
      </c>
      <c r="B14" s="697">
        <f>+SUMIFS('Anlage 2b_Korrekturen'!$E:$E,'Anlage 2b_Korrekturen'!$H:$H,'Anlage 2c_Korrekturen_JA'!B$9,'Anlage 2b_Korrekturen'!$A:$A,'Anlage 2c_Korrekturen_JA'!$A14)</f>
        <v>35541.739999999969</v>
      </c>
      <c r="C14" s="698">
        <f>+SUMIFS('Anlage 2b_Korrekturen'!$F:$F,'Anlage 2b_Korrekturen'!$H:$H,'Anlage 2c_Korrekturen_JA'!B$9,'Anlage 2b_Korrekturen'!$A:$A,'Anlage 2c_Korrekturen_JA'!$A14)</f>
        <v>55384.729999999981</v>
      </c>
      <c r="D14" s="697">
        <f>+SUMIFS('Anlage 2b_Korrekturen'!$E:$E,'Anlage 2b_Korrekturen'!$H:$H,'Anlage 2c_Korrekturen_JA'!D$9,'Anlage 2b_Korrekturen'!$A:$A,'Anlage 2c_Korrekturen_JA'!$A14)</f>
        <v>-152489.94931999987</v>
      </c>
      <c r="E14" s="698">
        <f>+SUMIFS('Anlage 2b_Korrekturen'!$F:$F,'Anlage 2b_Korrekturen'!$H:$H,'Anlage 2c_Korrekturen_JA'!D$9,'Anlage 2b_Korrekturen'!$A:$A,'Anlage 2c_Korrekturen_JA'!$A14)</f>
        <v>-241977.12000000011</v>
      </c>
      <c r="F14" s="697">
        <f>+SUMIFS('Anlage 2b_Korrekturen'!$E:$E,'Anlage 2b_Korrekturen'!$H:$H,'Anlage 2c_Korrekturen_JA'!F$9,'Anlage 2b_Korrekturen'!$A:$A,'Anlage 2c_Korrekturen_JA'!$A14)</f>
        <v>-65373.297116200032</v>
      </c>
      <c r="G14" s="698">
        <f>+SUMIFS('Anlage 2b_Korrekturen'!$F:$F,'Anlage 2b_Korrekturen'!$H:$H,'Anlage 2c_Korrekturen_JA'!F$9,'Anlage 2b_Korrekturen'!$A:$A,'Anlage 2c_Korrekturen_JA'!$A14)</f>
        <v>-101451.32031849999</v>
      </c>
      <c r="H14" s="697">
        <f>+SUMIFS('Anlage 2b_Korrekturen'!$E:$E,'Anlage 2b_Korrekturen'!$H:$H,'Anlage 2c_Korrekturen_JA'!H$9,'Anlage 2b_Korrekturen'!$A:$A,'Anlage 2c_Korrekturen_JA'!$A14)</f>
        <v>-22311.180000000004</v>
      </c>
      <c r="I14" s="698">
        <f>+SUMIFS('Anlage 2b_Korrekturen'!$F:$F,'Anlage 2b_Korrekturen'!$H:$H,'Anlage 2c_Korrekturen_JA'!H$9,'Anlage 2b_Korrekturen'!$A:$A,'Anlage 2c_Korrekturen_JA'!$A14)</f>
        <v>-34609.329999999994</v>
      </c>
      <c r="J14" s="700">
        <f t="shared" si="2"/>
        <v>-204632.68643619996</v>
      </c>
      <c r="K14" s="698">
        <f t="shared" ref="K14:K23" si="3">+I14+G14+E14+C14</f>
        <v>-322653.04031850013</v>
      </c>
    </row>
    <row r="15" spans="1:12">
      <c r="A15" s="1122">
        <f t="shared" si="1"/>
        <v>2020</v>
      </c>
      <c r="B15" s="697">
        <f>+SUMIFS('Anlage 2b_Korrekturen'!$E:$E,'Anlage 2b_Korrekturen'!$H:$H,'Anlage 2c_Korrekturen_JA'!B$9,'Anlage 2b_Korrekturen'!$A:$A,'Anlage 2c_Korrekturen_JA'!$A15)</f>
        <v>269.76</v>
      </c>
      <c r="C15" s="698">
        <f>+SUMIFS('Anlage 2b_Korrekturen'!$F:$F,'Anlage 2b_Korrekturen'!$H:$H,'Anlage 2c_Korrekturen_JA'!B$9,'Anlage 2b_Korrekturen'!$A:$A,'Anlage 2c_Korrekturen_JA'!$A15)</f>
        <v>496.54</v>
      </c>
      <c r="D15" s="697">
        <f>+SUMIFS('Anlage 2b_Korrekturen'!$E:$E,'Anlage 2b_Korrekturen'!$H:$H,'Anlage 2c_Korrekturen_JA'!D$9,'Anlage 2b_Korrekturen'!$A:$A,'Anlage 2c_Korrekturen_JA'!$A15)</f>
        <v>-61137.4</v>
      </c>
      <c r="E15" s="698">
        <f>+SUMIFS('Anlage 2b_Korrekturen'!$F:$F,'Anlage 2b_Korrekturen'!$H:$H,'Anlage 2c_Korrekturen_JA'!D$9,'Anlage 2b_Korrekturen'!$A:$A,'Anlage 2c_Korrekturen_JA'!$A15)</f>
        <v>-122992.02000000002</v>
      </c>
      <c r="F15" s="697">
        <f>+SUMIFS('Anlage 2b_Korrekturen'!$E:$E,'Anlage 2b_Korrekturen'!$H:$H,'Anlage 2c_Korrekturen_JA'!F$9,'Anlage 2b_Korrekturen'!$A:$A,'Anlage 2c_Korrekturen_JA'!$A15)</f>
        <v>25592</v>
      </c>
      <c r="G15" s="698">
        <f>+SUMIFS('Anlage 2b_Korrekturen'!$F:$F,'Anlage 2b_Korrekturen'!$H:$H,'Anlage 2c_Korrekturen_JA'!F$9,'Anlage 2b_Korrekturen'!$A:$A,'Anlage 2c_Korrekturen_JA'!$A15)</f>
        <v>48257</v>
      </c>
      <c r="H15" s="697">
        <f>+SUMIFS('Anlage 2b_Korrekturen'!$E:$E,'Anlage 2b_Korrekturen'!$H:$H,'Anlage 2c_Korrekturen_JA'!H$9,'Anlage 2b_Korrekturen'!$A:$A,'Anlage 2c_Korrekturen_JA'!$A15)</f>
        <v>-99</v>
      </c>
      <c r="I15" s="698">
        <f>+SUMIFS('Anlage 2b_Korrekturen'!$F:$F,'Anlage 2b_Korrekturen'!$H:$H,'Anlage 2c_Korrekturen_JA'!H$9,'Anlage 2b_Korrekturen'!$A:$A,'Anlage 2c_Korrekturen_JA'!$A15)</f>
        <v>-183.23</v>
      </c>
      <c r="J15" s="700">
        <f t="shared" si="2"/>
        <v>-35374.639999999999</v>
      </c>
      <c r="K15" s="698">
        <f t="shared" si="3"/>
        <v>-74421.710000000036</v>
      </c>
    </row>
    <row r="16" spans="1:12">
      <c r="A16" s="1122">
        <f t="shared" si="1"/>
        <v>2019</v>
      </c>
      <c r="B16" s="697">
        <f>+SUMIFS('Anlage 2b_Korrekturen'!$E:$E,'Anlage 2b_Korrekturen'!$H:$H,'Anlage 2c_Korrekturen_JA'!B$9,'Anlage 2b_Korrekturen'!$A:$A,'Anlage 2c_Korrekturen_JA'!$A16)</f>
        <v>300.5</v>
      </c>
      <c r="C16" s="698">
        <f>+SUMIFS('Anlage 2b_Korrekturen'!$F:$F,'Anlage 2b_Korrekturen'!$H:$H,'Anlage 2c_Korrekturen_JA'!B$9,'Anlage 2b_Korrekturen'!$A:$A,'Anlage 2c_Korrekturen_JA'!$A16)</f>
        <v>446.46</v>
      </c>
      <c r="D16" s="697">
        <f>+SUMIFS('Anlage 2b_Korrekturen'!$E:$E,'Anlage 2b_Korrekturen'!$H:$H,'Anlage 2c_Korrekturen_JA'!D$9,'Anlage 2b_Korrekturen'!$A:$A,'Anlage 2c_Korrekturen_JA'!$A16)</f>
        <v>-37453.26</v>
      </c>
      <c r="E16" s="698">
        <f>+SUMIFS('Anlage 2b_Korrekturen'!$F:$F,'Anlage 2b_Korrekturen'!$H:$H,'Anlage 2c_Korrekturen_JA'!D$9,'Anlage 2b_Korrekturen'!$A:$A,'Anlage 2c_Korrekturen_JA'!$A16)</f>
        <v>-57882.539999999994</v>
      </c>
      <c r="F16" s="697">
        <f>+SUMIFS('Anlage 2b_Korrekturen'!$E:$E,'Anlage 2b_Korrekturen'!$H:$H,'Anlage 2c_Korrekturen_JA'!F$9,'Anlage 2b_Korrekturen'!$A:$A,'Anlage 2c_Korrekturen_JA'!$A16)</f>
        <v>11540</v>
      </c>
      <c r="G16" s="698">
        <f>+SUMIFS('Anlage 2b_Korrekturen'!$F:$F,'Anlage 2b_Korrekturen'!$H:$H,'Anlage 2c_Korrekturen_JA'!F$9,'Anlage 2b_Korrekturen'!$A:$A,'Anlage 2c_Korrekturen_JA'!$A16)</f>
        <v>17145</v>
      </c>
      <c r="H16" s="697">
        <f>+SUMIFS('Anlage 2b_Korrekturen'!$E:$E,'Anlage 2b_Korrekturen'!$H:$H,'Anlage 2c_Korrekturen_JA'!H$9,'Anlage 2b_Korrekturen'!$A:$A,'Anlage 2c_Korrekturen_JA'!$A16)</f>
        <v>0</v>
      </c>
      <c r="I16" s="698">
        <f>+SUMIFS('Anlage 2b_Korrekturen'!$F:$F,'Anlage 2b_Korrekturen'!$H:$H,'Anlage 2c_Korrekturen_JA'!H$9,'Anlage 2b_Korrekturen'!$A:$A,'Anlage 2c_Korrekturen_JA'!$A16)</f>
        <v>0</v>
      </c>
      <c r="J16" s="700">
        <f t="shared" si="2"/>
        <v>-25612.760000000002</v>
      </c>
      <c r="K16" s="698">
        <f t="shared" si="3"/>
        <v>-40291.079999999994</v>
      </c>
    </row>
    <row r="17" spans="1:12">
      <c r="A17" s="1122">
        <f t="shared" si="1"/>
        <v>2018</v>
      </c>
      <c r="B17" s="697">
        <f>+SUMIFS('Anlage 2b_Korrekturen'!$E:$E,'Anlage 2b_Korrekturen'!$H:$H,'Anlage 2c_Korrekturen_JA'!B$9,'Anlage 2b_Korrekturen'!$A:$A,'Anlage 2c_Korrekturen_JA'!$A17)</f>
        <v>0</v>
      </c>
      <c r="C17" s="698">
        <f>+SUMIFS('Anlage 2b_Korrekturen'!$F:$F,'Anlage 2b_Korrekturen'!$H:$H,'Anlage 2c_Korrekturen_JA'!B$9,'Anlage 2b_Korrekturen'!$A:$A,'Anlage 2c_Korrekturen_JA'!$A17)</f>
        <v>0</v>
      </c>
      <c r="D17" s="697">
        <f>+SUMIFS('Anlage 2b_Korrekturen'!$E:$E,'Anlage 2b_Korrekturen'!$H:$H,'Anlage 2c_Korrekturen_JA'!D$9,'Anlage 2b_Korrekturen'!$A:$A,'Anlage 2c_Korrekturen_JA'!$A17)</f>
        <v>463.77</v>
      </c>
      <c r="E17" s="698">
        <f>+SUMIFS('Anlage 2b_Korrekturen'!$F:$F,'Anlage 2b_Korrekturen'!$H:$H,'Anlage 2c_Korrekturen_JA'!D$9,'Anlage 2b_Korrekturen'!$A:$A,'Anlage 2c_Korrekturen_JA'!$A17)</f>
        <v>49.739999999999995</v>
      </c>
      <c r="F17" s="697">
        <f>+SUMIFS('Anlage 2b_Korrekturen'!$E:$E,'Anlage 2b_Korrekturen'!$H:$H,'Anlage 2c_Korrekturen_JA'!F$9,'Anlage 2b_Korrekturen'!$A:$A,'Anlage 2c_Korrekturen_JA'!$A17)</f>
        <v>0</v>
      </c>
      <c r="G17" s="698">
        <f>+SUMIFS('Anlage 2b_Korrekturen'!$F:$F,'Anlage 2b_Korrekturen'!$H:$H,'Anlage 2c_Korrekturen_JA'!F$9,'Anlage 2b_Korrekturen'!$A:$A,'Anlage 2c_Korrekturen_JA'!$A17)</f>
        <v>0</v>
      </c>
      <c r="H17" s="697">
        <f>+SUMIFS('Anlage 2b_Korrekturen'!$E:$E,'Anlage 2b_Korrekturen'!$H:$H,'Anlage 2c_Korrekturen_JA'!H$9,'Anlage 2b_Korrekturen'!$A:$A,'Anlage 2c_Korrekturen_JA'!$A17)</f>
        <v>0</v>
      </c>
      <c r="I17" s="698">
        <f>+SUMIFS('Anlage 2b_Korrekturen'!$F:$F,'Anlage 2b_Korrekturen'!$H:$H,'Anlage 2c_Korrekturen_JA'!H$9,'Anlage 2b_Korrekturen'!$A:$A,'Anlage 2c_Korrekturen_JA'!$A17)</f>
        <v>0</v>
      </c>
      <c r="J17" s="700">
        <f t="shared" si="2"/>
        <v>463.77</v>
      </c>
      <c r="K17" s="698">
        <f t="shared" si="3"/>
        <v>49.739999999999995</v>
      </c>
    </row>
    <row r="18" spans="1:12">
      <c r="A18" s="1122">
        <f t="shared" si="1"/>
        <v>2017</v>
      </c>
      <c r="B18" s="697">
        <f>+SUMIFS('Anlage 2b_Korrekturen'!$E:$E,'Anlage 2b_Korrekturen'!$H:$H,'Anlage 2c_Korrekturen_JA'!B$9,'Anlage 2b_Korrekturen'!$A:$A,'Anlage 2c_Korrekturen_JA'!$A18)</f>
        <v>0</v>
      </c>
      <c r="C18" s="698">
        <f>+SUMIFS('Anlage 2b_Korrekturen'!$F:$F,'Anlage 2b_Korrekturen'!$H:$H,'Anlage 2c_Korrekturen_JA'!B$9,'Anlage 2b_Korrekturen'!$A:$A,'Anlage 2c_Korrekturen_JA'!$A18)</f>
        <v>0</v>
      </c>
      <c r="D18" s="697">
        <f>+SUMIFS('Anlage 2b_Korrekturen'!$E:$E,'Anlage 2b_Korrekturen'!$H:$H,'Anlage 2c_Korrekturen_JA'!D$9,'Anlage 2b_Korrekturen'!$A:$A,'Anlage 2c_Korrekturen_JA'!$A18)</f>
        <v>419.71000000000004</v>
      </c>
      <c r="E18" s="698">
        <f>+SUMIFS('Anlage 2b_Korrekturen'!$F:$F,'Anlage 2b_Korrekturen'!$H:$H,'Anlage 2c_Korrekturen_JA'!D$9,'Anlage 2b_Korrekturen'!$A:$A,'Anlage 2c_Korrekturen_JA'!$A18)</f>
        <v>-26.830000000000002</v>
      </c>
      <c r="F18" s="697">
        <f>+SUMIFS('Anlage 2b_Korrekturen'!$E:$E,'Anlage 2b_Korrekturen'!$H:$H,'Anlage 2c_Korrekturen_JA'!F$9,'Anlage 2b_Korrekturen'!$A:$A,'Anlage 2c_Korrekturen_JA'!$A18)</f>
        <v>0</v>
      </c>
      <c r="G18" s="698">
        <f>+SUMIFS('Anlage 2b_Korrekturen'!$F:$F,'Anlage 2b_Korrekturen'!$H:$H,'Anlage 2c_Korrekturen_JA'!F$9,'Anlage 2b_Korrekturen'!$A:$A,'Anlage 2c_Korrekturen_JA'!$A18)</f>
        <v>0</v>
      </c>
      <c r="H18" s="697">
        <f>+SUMIFS('Anlage 2b_Korrekturen'!$E:$E,'Anlage 2b_Korrekturen'!$H:$H,'Anlage 2c_Korrekturen_JA'!H$9,'Anlage 2b_Korrekturen'!$A:$A,'Anlage 2c_Korrekturen_JA'!$A18)</f>
        <v>0</v>
      </c>
      <c r="I18" s="698">
        <f>+SUMIFS('Anlage 2b_Korrekturen'!$F:$F,'Anlage 2b_Korrekturen'!$H:$H,'Anlage 2c_Korrekturen_JA'!H$9,'Anlage 2b_Korrekturen'!$A:$A,'Anlage 2c_Korrekturen_JA'!$A18)</f>
        <v>0</v>
      </c>
      <c r="J18" s="700">
        <f t="shared" si="2"/>
        <v>419.71000000000004</v>
      </c>
      <c r="K18" s="698">
        <f t="shared" si="3"/>
        <v>-26.830000000000002</v>
      </c>
    </row>
    <row r="19" spans="1:12">
      <c r="A19" s="1122">
        <f t="shared" ref="A19:A23" si="4">+A18-1</f>
        <v>2016</v>
      </c>
      <c r="B19" s="697">
        <f>+SUMIFS('Anlage 2b_Korrekturen'!$E:$E,'Anlage 2b_Korrekturen'!$H:$H,'Anlage 2c_Korrekturen_JA'!B$9,'Anlage 2b_Korrekturen'!$A:$A,'Anlage 2c_Korrekturen_JA'!$A19)</f>
        <v>0</v>
      </c>
      <c r="C19" s="698">
        <f>+SUMIFS('Anlage 2b_Korrekturen'!$F:$F,'Anlage 2b_Korrekturen'!$H:$H,'Anlage 2c_Korrekturen_JA'!B$9,'Anlage 2b_Korrekturen'!$A:$A,'Anlage 2c_Korrekturen_JA'!$A19)</f>
        <v>0</v>
      </c>
      <c r="D19" s="697">
        <f>+SUMIFS('Anlage 2b_Korrekturen'!$E:$E,'Anlage 2b_Korrekturen'!$H:$H,'Anlage 2c_Korrekturen_JA'!D$9,'Anlage 2b_Korrekturen'!$A:$A,'Anlage 2c_Korrekturen_JA'!$A19)</f>
        <v>384.63</v>
      </c>
      <c r="E19" s="698">
        <f>+SUMIFS('Anlage 2b_Korrekturen'!$F:$F,'Anlage 2b_Korrekturen'!$H:$H,'Anlage 2c_Korrekturen_JA'!D$9,'Anlage 2b_Korrekturen'!$A:$A,'Anlage 2c_Korrekturen_JA'!$A19)</f>
        <v>34.57</v>
      </c>
      <c r="F19" s="697">
        <f>+SUMIFS('Anlage 2b_Korrekturen'!$E:$E,'Anlage 2b_Korrekturen'!$H:$H,'Anlage 2c_Korrekturen_JA'!F$9,'Anlage 2b_Korrekturen'!$A:$A,'Anlage 2c_Korrekturen_JA'!$A19)</f>
        <v>0</v>
      </c>
      <c r="G19" s="698">
        <f>+SUMIFS('Anlage 2b_Korrekturen'!$F:$F,'Anlage 2b_Korrekturen'!$H:$H,'Anlage 2c_Korrekturen_JA'!F$9,'Anlage 2b_Korrekturen'!$A:$A,'Anlage 2c_Korrekturen_JA'!$A19)</f>
        <v>0</v>
      </c>
      <c r="H19" s="697">
        <f>+SUMIFS('Anlage 2b_Korrekturen'!$E:$E,'Anlage 2b_Korrekturen'!$H:$H,'Anlage 2c_Korrekturen_JA'!H$9,'Anlage 2b_Korrekturen'!$A:$A,'Anlage 2c_Korrekturen_JA'!$A19)</f>
        <v>0</v>
      </c>
      <c r="I19" s="698">
        <f>+SUMIFS('Anlage 2b_Korrekturen'!$F:$F,'Anlage 2b_Korrekturen'!$H:$H,'Anlage 2c_Korrekturen_JA'!H$9,'Anlage 2b_Korrekturen'!$A:$A,'Anlage 2c_Korrekturen_JA'!$A19)</f>
        <v>0</v>
      </c>
      <c r="J19" s="700">
        <f t="shared" si="2"/>
        <v>384.63</v>
      </c>
      <c r="K19" s="698">
        <f t="shared" si="3"/>
        <v>34.57</v>
      </c>
    </row>
    <row r="20" spans="1:12">
      <c r="A20" s="1122">
        <f t="shared" si="4"/>
        <v>2015</v>
      </c>
      <c r="B20" s="697">
        <f>+SUMIFS('Anlage 2b_Korrekturen'!$E:$E,'Anlage 2b_Korrekturen'!$H:$H,'Anlage 2c_Korrekturen_JA'!B$9,'Anlage 2b_Korrekturen'!$A:$A,'Anlage 2c_Korrekturen_JA'!$A20)</f>
        <v>0</v>
      </c>
      <c r="C20" s="698">
        <f>+SUMIFS('Anlage 2b_Korrekturen'!$F:$F,'Anlage 2b_Korrekturen'!$H:$H,'Anlage 2c_Korrekturen_JA'!B$9,'Anlage 2b_Korrekturen'!$A:$A,'Anlage 2c_Korrekturen_JA'!$A20)</f>
        <v>0</v>
      </c>
      <c r="D20" s="697">
        <f>+SUMIFS('Anlage 2b_Korrekturen'!$E:$E,'Anlage 2b_Korrekturen'!$H:$H,'Anlage 2c_Korrekturen_JA'!D$9,'Anlage 2b_Korrekturen'!$A:$A,'Anlage 2c_Korrekturen_JA'!$A20)</f>
        <v>172.58</v>
      </c>
      <c r="E20" s="698">
        <f>+SUMIFS('Anlage 2b_Korrekturen'!$F:$F,'Anlage 2b_Korrekturen'!$H:$H,'Anlage 2c_Korrekturen_JA'!D$9,'Anlage 2b_Korrekturen'!$A:$A,'Anlage 2c_Korrekturen_JA'!$A20)</f>
        <v>-34.65</v>
      </c>
      <c r="F20" s="697">
        <f>+SUMIFS('Anlage 2b_Korrekturen'!$E:$E,'Anlage 2b_Korrekturen'!$H:$H,'Anlage 2c_Korrekturen_JA'!F$9,'Anlage 2b_Korrekturen'!$A:$A,'Anlage 2c_Korrekturen_JA'!$A20)</f>
        <v>0</v>
      </c>
      <c r="G20" s="698">
        <f>+SUMIFS('Anlage 2b_Korrekturen'!$F:$F,'Anlage 2b_Korrekturen'!$H:$H,'Anlage 2c_Korrekturen_JA'!F$9,'Anlage 2b_Korrekturen'!$A:$A,'Anlage 2c_Korrekturen_JA'!$A20)</f>
        <v>0</v>
      </c>
      <c r="H20" s="697">
        <f>+SUMIFS('Anlage 2b_Korrekturen'!$E:$E,'Anlage 2b_Korrekturen'!$H:$H,'Anlage 2c_Korrekturen_JA'!H$9,'Anlage 2b_Korrekturen'!$A:$A,'Anlage 2c_Korrekturen_JA'!$A20)</f>
        <v>0</v>
      </c>
      <c r="I20" s="698">
        <f>+SUMIFS('Anlage 2b_Korrekturen'!$F:$F,'Anlage 2b_Korrekturen'!$H:$H,'Anlage 2c_Korrekturen_JA'!H$9,'Anlage 2b_Korrekturen'!$A:$A,'Anlage 2c_Korrekturen_JA'!$A20)</f>
        <v>0</v>
      </c>
      <c r="J20" s="700">
        <f t="shared" si="2"/>
        <v>172.58</v>
      </c>
      <c r="K20" s="698">
        <f t="shared" si="3"/>
        <v>-34.65</v>
      </c>
    </row>
    <row r="21" spans="1:12">
      <c r="A21" s="1122">
        <f t="shared" si="4"/>
        <v>2014</v>
      </c>
      <c r="B21" s="697">
        <f>+SUMIFS('Anlage 2b_Korrekturen'!$E:$E,'Anlage 2b_Korrekturen'!$H:$H,'Anlage 2c_Korrekturen_JA'!B$9,'Anlage 2b_Korrekturen'!$A:$A,'Anlage 2c_Korrekturen_JA'!$A21)</f>
        <v>0</v>
      </c>
      <c r="C21" s="698">
        <f>+SUMIFS('Anlage 2b_Korrekturen'!$F:$F,'Anlage 2b_Korrekturen'!$H:$H,'Anlage 2c_Korrekturen_JA'!B$9,'Anlage 2b_Korrekturen'!$A:$A,'Anlage 2c_Korrekturen_JA'!$A21)</f>
        <v>0</v>
      </c>
      <c r="D21" s="697">
        <f>+SUMIFS('Anlage 2b_Korrekturen'!$E:$E,'Anlage 2b_Korrekturen'!$H:$H,'Anlage 2c_Korrekturen_JA'!D$9,'Anlage 2b_Korrekturen'!$A:$A,'Anlage 2c_Korrekturen_JA'!$A21)</f>
        <v>58.58</v>
      </c>
      <c r="E21" s="698">
        <f>+SUMIFS('Anlage 2b_Korrekturen'!$F:$F,'Anlage 2b_Korrekturen'!$H:$H,'Anlage 2c_Korrekturen_JA'!D$9,'Anlage 2b_Korrekturen'!$A:$A,'Anlage 2c_Korrekturen_JA'!$A21)</f>
        <v>82.289999999999992</v>
      </c>
      <c r="F21" s="697">
        <f>+SUMIFS('Anlage 2b_Korrekturen'!$E:$E,'Anlage 2b_Korrekturen'!$H:$H,'Anlage 2c_Korrekturen_JA'!F$9,'Anlage 2b_Korrekturen'!$A:$A,'Anlage 2c_Korrekturen_JA'!$A21)</f>
        <v>0</v>
      </c>
      <c r="G21" s="698">
        <f>+SUMIFS('Anlage 2b_Korrekturen'!$F:$F,'Anlage 2b_Korrekturen'!$H:$H,'Anlage 2c_Korrekturen_JA'!F$9,'Anlage 2b_Korrekturen'!$A:$A,'Anlage 2c_Korrekturen_JA'!$A21)</f>
        <v>0</v>
      </c>
      <c r="H21" s="697">
        <f>+SUMIFS('Anlage 2b_Korrekturen'!$E:$E,'Anlage 2b_Korrekturen'!$H:$H,'Anlage 2c_Korrekturen_JA'!H$9,'Anlage 2b_Korrekturen'!$A:$A,'Anlage 2c_Korrekturen_JA'!$A21)</f>
        <v>0</v>
      </c>
      <c r="I21" s="698">
        <f>+SUMIFS('Anlage 2b_Korrekturen'!$F:$F,'Anlage 2b_Korrekturen'!$H:$H,'Anlage 2c_Korrekturen_JA'!H$9,'Anlage 2b_Korrekturen'!$A:$A,'Anlage 2c_Korrekturen_JA'!$A21)</f>
        <v>0</v>
      </c>
      <c r="J21" s="700">
        <f t="shared" si="2"/>
        <v>58.58</v>
      </c>
      <c r="K21" s="698">
        <f t="shared" si="3"/>
        <v>82.289999999999992</v>
      </c>
    </row>
    <row r="22" spans="1:12">
      <c r="A22" s="1123">
        <f t="shared" si="4"/>
        <v>2013</v>
      </c>
      <c r="B22" s="697">
        <f>+SUMIFS('Anlage 2b_Korrekturen'!$E:$E,'Anlage 2b_Korrekturen'!$H:$H,'Anlage 2c_Korrekturen_JA'!B$9,'Anlage 2b_Korrekturen'!$A:$A,'Anlage 2c_Korrekturen_JA'!$A22)</f>
        <v>0</v>
      </c>
      <c r="C22" s="698">
        <f>+SUMIFS('Anlage 2b_Korrekturen'!$F:$F,'Anlage 2b_Korrekturen'!$H:$H,'Anlage 2c_Korrekturen_JA'!B$9,'Anlage 2b_Korrekturen'!$A:$A,'Anlage 2c_Korrekturen_JA'!$A22)</f>
        <v>0</v>
      </c>
      <c r="D22" s="697">
        <f>+SUMIFS('Anlage 2b_Korrekturen'!$E:$E,'Anlage 2b_Korrekturen'!$H:$H,'Anlage 2c_Korrekturen_JA'!D$9,'Anlage 2b_Korrekturen'!$A:$A,'Anlage 2c_Korrekturen_JA'!$A22)</f>
        <v>7.62</v>
      </c>
      <c r="E22" s="698">
        <f>+SUMIFS('Anlage 2b_Korrekturen'!$F:$F,'Anlage 2b_Korrekturen'!$H:$H,'Anlage 2c_Korrekturen_JA'!D$9,'Anlage 2b_Korrekturen'!$A:$A,'Anlage 2c_Korrekturen_JA'!$A22)</f>
        <v>16.55</v>
      </c>
      <c r="F22" s="697">
        <f>+SUMIFS('Anlage 2b_Korrekturen'!$E:$E,'Anlage 2b_Korrekturen'!$H:$H,'Anlage 2c_Korrekturen_JA'!F$9,'Anlage 2b_Korrekturen'!$A:$A,'Anlage 2c_Korrekturen_JA'!$A22)</f>
        <v>0</v>
      </c>
      <c r="G22" s="698">
        <f>+SUMIFS('Anlage 2b_Korrekturen'!$F:$F,'Anlage 2b_Korrekturen'!$H:$H,'Anlage 2c_Korrekturen_JA'!F$9,'Anlage 2b_Korrekturen'!$A:$A,'Anlage 2c_Korrekturen_JA'!$A22)</f>
        <v>0</v>
      </c>
      <c r="H22" s="697">
        <f>+SUMIFS('Anlage 2b_Korrekturen'!$E:$E,'Anlage 2b_Korrekturen'!$H:$H,'Anlage 2c_Korrekturen_JA'!H$9,'Anlage 2b_Korrekturen'!$A:$A,'Anlage 2c_Korrekturen_JA'!$A22)</f>
        <v>0</v>
      </c>
      <c r="I22" s="698">
        <f>+SUMIFS('Anlage 2b_Korrekturen'!$F:$F,'Anlage 2b_Korrekturen'!$H:$H,'Anlage 2c_Korrekturen_JA'!H$9,'Anlage 2b_Korrekturen'!$A:$A,'Anlage 2c_Korrekturen_JA'!$A22)</f>
        <v>0</v>
      </c>
      <c r="J22" s="700">
        <f t="shared" si="2"/>
        <v>7.62</v>
      </c>
      <c r="K22" s="698">
        <f t="shared" si="3"/>
        <v>16.55</v>
      </c>
    </row>
    <row r="23" spans="1:12">
      <c r="A23" s="1124">
        <f t="shared" si="4"/>
        <v>2012</v>
      </c>
      <c r="B23" s="1041">
        <f>+SUMIFS('Anlage 2b_Korrekturen'!$E:$E,'Anlage 2b_Korrekturen'!$H:$H,'Anlage 2c_Korrekturen_JA'!B$9,'Anlage 2b_Korrekturen'!$A:$A,'Anlage 2c_Korrekturen_JA'!$A23)</f>
        <v>0</v>
      </c>
      <c r="C23" s="1042">
        <f>+SUMIFS('Anlage 2b_Korrekturen'!$F:$F,'Anlage 2b_Korrekturen'!$H:$H,'Anlage 2c_Korrekturen_JA'!B$9,'Anlage 2b_Korrekturen'!$A:$A,'Anlage 2c_Korrekturen_JA'!$A23)</f>
        <v>0</v>
      </c>
      <c r="D23" s="1041">
        <f>+SUMIFS('Anlage 2b_Korrekturen'!$E:$E,'Anlage 2b_Korrekturen'!$H:$H,'Anlage 2c_Korrekturen_JA'!D$9,'Anlage 2b_Korrekturen'!$A:$A,'Anlage 2c_Korrekturen_JA'!$A23)</f>
        <v>1.19</v>
      </c>
      <c r="E23" s="698">
        <f>+SUMIFS('Anlage 2b_Korrekturen'!$F:$F,'Anlage 2b_Korrekturen'!$H:$H,'Anlage 2c_Korrekturen_JA'!D$9,'Anlage 2b_Korrekturen'!$A:$A,'Anlage 2c_Korrekturen_JA'!$A23)</f>
        <v>0</v>
      </c>
      <c r="F23" s="1041">
        <f>+SUMIFS('Anlage 2b_Korrekturen'!$E:$E,'Anlage 2b_Korrekturen'!$H:$H,'Anlage 2c_Korrekturen_JA'!F$9,'Anlage 2b_Korrekturen'!$A:$A,'Anlage 2c_Korrekturen_JA'!$A23)</f>
        <v>0</v>
      </c>
      <c r="G23" s="1042">
        <f>+SUMIFS('Anlage 2b_Korrekturen'!$F:$F,'Anlage 2b_Korrekturen'!$H:$H,'Anlage 2c_Korrekturen_JA'!F$9,'Anlage 2b_Korrekturen'!$A:$A,'Anlage 2c_Korrekturen_JA'!$A23)</f>
        <v>0</v>
      </c>
      <c r="H23" s="1041">
        <f>+SUMIFS('Anlage 2b_Korrekturen'!$E:$E,'Anlage 2b_Korrekturen'!$H:$H,'Anlage 2c_Korrekturen_JA'!H$9,'Anlage 2b_Korrekturen'!$A:$A,'Anlage 2c_Korrekturen_JA'!$A23)</f>
        <v>0</v>
      </c>
      <c r="I23" s="1042">
        <f>+SUMIFS('Anlage 2b_Korrekturen'!$F:$F,'Anlage 2b_Korrekturen'!$H:$H,'Anlage 2c_Korrekturen_JA'!H$9,'Anlage 2b_Korrekturen'!$A:$A,'Anlage 2c_Korrekturen_JA'!$A23)</f>
        <v>0</v>
      </c>
      <c r="J23" s="1043">
        <f t="shared" si="2"/>
        <v>1.19</v>
      </c>
      <c r="K23" s="1042">
        <f t="shared" si="3"/>
        <v>0</v>
      </c>
    </row>
    <row r="24" spans="1:12">
      <c r="A24" s="1125">
        <f>+A23-1</f>
        <v>2011</v>
      </c>
      <c r="B24" s="1041">
        <f>+SUMIFS('Anlage 2b_Korrekturen'!$E:$E,'Anlage 2b_Korrekturen'!$H:$H,'Anlage 2c_Korrekturen_JA'!B$9,'Anlage 2b_Korrekturen'!$A:$A,'Anlage 2c_Korrekturen_JA'!$A24)</f>
        <v>0</v>
      </c>
      <c r="C24" s="1042">
        <f>+SUMIFS('Anlage 2b_Korrekturen'!$F:$F,'Anlage 2b_Korrekturen'!$H:$H,'Anlage 2c_Korrekturen_JA'!B$9,'Anlage 2b_Korrekturen'!$A:$A,'Anlage 2c_Korrekturen_JA'!$A24)</f>
        <v>0</v>
      </c>
      <c r="D24" s="1041">
        <f>+SUMIFS('Anlage 2b_Korrekturen'!$E:$E,'Anlage 2b_Korrekturen'!$H:$H,'Anlage 2c_Korrekturen_JA'!D$9,'Anlage 2b_Korrekturen'!$A:$A,'Anlage 2c_Korrekturen_JA'!$A24)</f>
        <v>3.57</v>
      </c>
      <c r="E24" s="1042">
        <f>+SUMIFS('Anlage 2b_Korrekturen'!$F:$F,'Anlage 2b_Korrekturen'!$H:$H,'Anlage 2c_Korrekturen_JA'!D$9,'Anlage 2b_Korrekturen'!$A:$A,'Anlage 2c_Korrekturen_JA'!$A24)</f>
        <v>0</v>
      </c>
      <c r="F24" s="1041">
        <f>+SUMIFS('Anlage 2b_Korrekturen'!$E:$E,'Anlage 2b_Korrekturen'!$H:$H,'Anlage 2c_Korrekturen_JA'!F$9,'Anlage 2b_Korrekturen'!$A:$A,'Anlage 2c_Korrekturen_JA'!$A24)</f>
        <v>0</v>
      </c>
      <c r="G24" s="1042">
        <f>+SUMIFS('Anlage 2b_Korrekturen'!$F:$F,'Anlage 2b_Korrekturen'!$H:$H,'Anlage 2c_Korrekturen_JA'!F$9,'Anlage 2b_Korrekturen'!$A:$A,'Anlage 2c_Korrekturen_JA'!$A24)</f>
        <v>0</v>
      </c>
      <c r="H24" s="1041">
        <f>+SUMIFS('Anlage 2b_Korrekturen'!$E:$E,'Anlage 2b_Korrekturen'!$H:$H,'Anlage 2c_Korrekturen_JA'!H$9,'Anlage 2b_Korrekturen'!$A:$A,'Anlage 2c_Korrekturen_JA'!$A24)</f>
        <v>0</v>
      </c>
      <c r="I24" s="1042">
        <f>+SUMIFS('Anlage 2b_Korrekturen'!$F:$F,'Anlage 2b_Korrekturen'!$H:$H,'Anlage 2c_Korrekturen_JA'!H$9,'Anlage 2b_Korrekturen'!$A:$A,'Anlage 2c_Korrekturen_JA'!$A24)</f>
        <v>0</v>
      </c>
      <c r="J24" s="1043">
        <f>+H24+F24+D24+B24</f>
        <v>3.57</v>
      </c>
      <c r="K24" s="1042">
        <f>+I24+G24+E24+C24</f>
        <v>0</v>
      </c>
    </row>
    <row r="25" spans="1:12" ht="13.5" thickBot="1">
      <c r="A25" s="1125">
        <f>+A24-1</f>
        <v>2010</v>
      </c>
      <c r="B25" s="1041">
        <f>+SUMIFS('Anlage 2b_Korrekturen'!$E:$E,'Anlage 2b_Korrekturen'!$H:$H,'Anlage 2c_Korrekturen_JA'!B$9,'Anlage 2b_Korrekturen'!$A:$A,'Anlage 2c_Korrekturen_JA'!$A25)</f>
        <v>0</v>
      </c>
      <c r="C25" s="1042">
        <f>+SUMIFS('Anlage 2b_Korrekturen'!$F:$F,'Anlage 2b_Korrekturen'!$H:$H,'Anlage 2c_Korrekturen_JA'!B$9,'Anlage 2b_Korrekturen'!$A:$A,'Anlage 2c_Korrekturen_JA'!$A25)</f>
        <v>0</v>
      </c>
      <c r="D25" s="1041">
        <f>+SUMIFS('Anlage 2b_Korrekturen'!$E:$E,'Anlage 2b_Korrekturen'!$H:$H,'Anlage 2c_Korrekturen_JA'!D$9,'Anlage 2b_Korrekturen'!$A:$A,'Anlage 2c_Korrekturen_JA'!$A25)</f>
        <v>9.9700000000000006</v>
      </c>
      <c r="E25" s="1042">
        <f>+SUMIFS('Anlage 2b_Korrekturen'!$F:$F,'Anlage 2b_Korrekturen'!$H:$H,'Anlage 2c_Korrekturen_JA'!D$9,'Anlage 2b_Korrekturen'!$A:$A,'Anlage 2c_Korrekturen_JA'!$A25)</f>
        <v>0</v>
      </c>
      <c r="F25" s="1041">
        <f>+SUMIFS('Anlage 2b_Korrekturen'!$E:$E,'Anlage 2b_Korrekturen'!$H:$H,'Anlage 2c_Korrekturen_JA'!F$9,'Anlage 2b_Korrekturen'!$A:$A,'Anlage 2c_Korrekturen_JA'!$A25)</f>
        <v>0</v>
      </c>
      <c r="G25" s="1042">
        <f>+SUMIFS('Anlage 2b_Korrekturen'!$F:$F,'Anlage 2b_Korrekturen'!$H:$H,'Anlage 2c_Korrekturen_JA'!F$9,'Anlage 2b_Korrekturen'!$A:$A,'Anlage 2c_Korrekturen_JA'!$A25)</f>
        <v>0</v>
      </c>
      <c r="H25" s="1041">
        <f>+SUMIFS('Anlage 2b_Korrekturen'!$E:$E,'Anlage 2b_Korrekturen'!$H:$H,'Anlage 2c_Korrekturen_JA'!H$9,'Anlage 2b_Korrekturen'!$A:$A,'Anlage 2c_Korrekturen_JA'!$A25)</f>
        <v>0</v>
      </c>
      <c r="I25" s="1042">
        <f>+SUMIFS('Anlage 2b_Korrekturen'!$F:$F,'Anlage 2b_Korrekturen'!$H:$H,'Anlage 2c_Korrekturen_JA'!H$9,'Anlage 2b_Korrekturen'!$A:$A,'Anlage 2c_Korrekturen_JA'!$A25)</f>
        <v>0</v>
      </c>
      <c r="J25" s="1043">
        <f>+H25+F25+D25+B25</f>
        <v>9.9700000000000006</v>
      </c>
      <c r="K25" s="1042">
        <f>+I25+G25+E25+C25</f>
        <v>0</v>
      </c>
    </row>
    <row r="26" spans="1:12" ht="13.5" thickBot="1">
      <c r="A26" s="1126" t="s">
        <v>1715</v>
      </c>
      <c r="B26" s="694">
        <f>+SUM(B12:B23)</f>
        <v>539723.0299999998</v>
      </c>
      <c r="C26" s="695">
        <f t="shared" ref="C26:K26" si="5">+SUM(C12:C23)</f>
        <v>481592.39999999967</v>
      </c>
      <c r="D26" s="694">
        <f t="shared" si="5"/>
        <v>-1554235.2890300003</v>
      </c>
      <c r="E26" s="695">
        <f t="shared" si="5"/>
        <v>-2395847.0884000002</v>
      </c>
      <c r="F26" s="694">
        <f t="shared" si="5"/>
        <v>-274388.77609371004</v>
      </c>
      <c r="G26" s="695">
        <f t="shared" si="5"/>
        <v>-372725.38073823001</v>
      </c>
      <c r="H26" s="694">
        <f t="shared" si="5"/>
        <v>24392.039999999932</v>
      </c>
      <c r="I26" s="695">
        <f t="shared" si="5"/>
        <v>54211.135170000009</v>
      </c>
      <c r="J26" s="701">
        <f t="shared" si="5"/>
        <v>-1264508.9951237107</v>
      </c>
      <c r="K26" s="695">
        <f t="shared" si="5"/>
        <v>-2232768.9339682306</v>
      </c>
      <c r="L26" s="696"/>
    </row>
    <row r="28" spans="1:12">
      <c r="D28"/>
      <c r="E28"/>
      <c r="F28"/>
      <c r="G28"/>
      <c r="H28"/>
      <c r="I28"/>
    </row>
    <row r="29" spans="1:12">
      <c r="D29"/>
      <c r="E29"/>
      <c r="F29"/>
      <c r="G29"/>
      <c r="H29"/>
      <c r="I29"/>
    </row>
    <row r="46" ht="31.15" customHeight="1"/>
    <row r="65" spans="4:10">
      <c r="D65"/>
      <c r="F65"/>
      <c r="H65"/>
      <c r="J65"/>
    </row>
  </sheetData>
  <sheetProtection algorithmName="SHA-512" hashValue="uKaiSO4ryKGjElSmjSd+VS80kaw1T57VYavdTdqt+ndFjCjMEH0eFCy7roqPv62bdScZgtalEB/XcmPfqhEceQ==" saltValue="zhi2eJtQKpyiU38YWY1hYA==" spinCount="100000" sheet="1" objects="1" scenarios="1"/>
  <mergeCells count="6">
    <mergeCell ref="A5:L5"/>
    <mergeCell ref="B9:C9"/>
    <mergeCell ref="D9:E9"/>
    <mergeCell ref="F9:G9"/>
    <mergeCell ref="H9:I9"/>
    <mergeCell ref="J9:K9"/>
  </mergeCells>
  <pageMargins left="0.23622047244094491" right="0.23622047244094491" top="0.74803149606299213" bottom="0.74803149606299213" header="0.31496062992125984" footer="0.31496062992125984"/>
  <pageSetup paperSize="9" scale="97" orientation="landscape" r:id="rId1"/>
  <headerFooter differentOddEven="1" scaleWithDoc="0">
    <oddHeader>&amp;L&amp;G</oddHeader>
    <oddFooter>&amp;R&amp;UAnlage 2c
&amp;USeite &amp;P</oddFooter>
    <evenHeader>&amp;L&amp;G</evenHeader>
    <evenFooter>&amp;R&amp;UAnlage 2c&amp;U
Seite &amp;P</even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6"/>
  <dimension ref="A1:L3638"/>
  <sheetViews>
    <sheetView zoomScale="70" zoomScaleNormal="70" zoomScalePageLayoutView="80" workbookViewId="0">
      <selection activeCell="F743" sqref="F743"/>
    </sheetView>
  </sheetViews>
  <sheetFormatPr baseColWidth="10" defaultColWidth="2.5703125" defaultRowHeight="12.75" outlineLevelRow="1"/>
  <cols>
    <col min="1" max="1" width="31.42578125" customWidth="1"/>
    <col min="2" max="6" width="29" style="96" customWidth="1"/>
    <col min="7" max="7" width="32.28515625" style="96" customWidth="1"/>
    <col min="8" max="8" width="29" style="96" customWidth="1"/>
    <col min="9" max="9" width="29.5703125" customWidth="1"/>
    <col min="10" max="10" width="17.5703125" customWidth="1"/>
    <col min="11" max="11" width="8.140625" customWidth="1"/>
    <col min="12" max="12" width="11" customWidth="1"/>
  </cols>
  <sheetData>
    <row r="1" spans="1:12" s="138" customFormat="1" ht="18">
      <c r="A1" s="136" t="s">
        <v>2056</v>
      </c>
      <c r="B1" s="137"/>
      <c r="C1" s="137"/>
      <c r="D1" s="137"/>
      <c r="E1" s="137"/>
      <c r="F1" s="137"/>
      <c r="G1" s="137"/>
      <c r="H1" s="137"/>
    </row>
    <row r="3" spans="1:12">
      <c r="A3" s="13" t="s">
        <v>2057</v>
      </c>
      <c r="B3" s="18"/>
      <c r="C3" s="18"/>
      <c r="D3" s="18"/>
      <c r="E3" s="18"/>
      <c r="F3" s="18"/>
      <c r="G3" s="18"/>
      <c r="H3" s="18"/>
      <c r="I3" s="29">
        <f>'Anlage 1a_Zuschlagszahlungen_NB'!E1</f>
        <v>45915</v>
      </c>
      <c r="J3" s="107"/>
    </row>
    <row r="4" spans="1:12" ht="13.5" thickBot="1">
      <c r="A4" s="8"/>
      <c r="B4" s="18"/>
      <c r="C4" s="18"/>
      <c r="D4" s="18"/>
      <c r="E4" s="18"/>
      <c r="F4" s="18"/>
      <c r="G4" s="18"/>
      <c r="H4" s="18"/>
      <c r="I4" s="8"/>
    </row>
    <row r="5" spans="1:12" s="279" customFormat="1" ht="104.25" customHeight="1">
      <c r="A5" s="542"/>
      <c r="B5" s="540" t="s">
        <v>2058</v>
      </c>
      <c r="C5" s="538" t="s">
        <v>2059</v>
      </c>
      <c r="D5" s="538" t="s">
        <v>2060</v>
      </c>
      <c r="E5" s="538" t="s">
        <v>2061</v>
      </c>
      <c r="F5" s="538" t="s">
        <v>2062</v>
      </c>
      <c r="G5" s="538" t="s">
        <v>2063</v>
      </c>
      <c r="H5" s="539" t="s">
        <v>2064</v>
      </c>
      <c r="I5" s="1089" t="s">
        <v>2065</v>
      </c>
      <c r="J5" s="280"/>
    </row>
    <row r="6" spans="1:12" s="8" customFormat="1" ht="13.5" thickBot="1">
      <c r="A6" s="541"/>
      <c r="B6" s="581" t="s">
        <v>1722</v>
      </c>
      <c r="C6" s="580" t="s">
        <v>1722</v>
      </c>
      <c r="D6" s="580" t="s">
        <v>1722</v>
      </c>
      <c r="E6" s="580" t="s">
        <v>1722</v>
      </c>
      <c r="F6" s="580" t="s">
        <v>1722</v>
      </c>
      <c r="G6" s="580" t="s">
        <v>1722</v>
      </c>
      <c r="H6" s="586" t="s">
        <v>1722</v>
      </c>
      <c r="I6" s="1090" t="s">
        <v>1722</v>
      </c>
      <c r="J6" s="4"/>
    </row>
    <row r="7" spans="1:12">
      <c r="A7" s="462" t="s">
        <v>85</v>
      </c>
      <c r="B7" s="543">
        <f>VLOOKUP($A7,'Anlage 1a_Zuschlagszahlungen_NB'!$A$868:$E$1595,5,0)</f>
        <v>263759780.28999999</v>
      </c>
      <c r="C7" s="94">
        <f>_xlfn.IFNA(VLOOKUP($A7,'Anlage 1b_Abzüge, Pflicht, Boni'!$A$9:$D$94,2,FALSE),0)</f>
        <v>-709111.7300000001</v>
      </c>
      <c r="D7" s="94">
        <f>_xlfn.IFNA(VLOOKUP(A7,'Anlage 1b_Abzüge, Pflicht, Boni'!$A$9:$D$94,3,FALSE),0)</f>
        <v>-13420.5</v>
      </c>
      <c r="E7" s="94">
        <f>_xlfn.IFNA(VLOOKUP(A7,'Anlage 1b_Abzüge, Pflicht, Boni'!$A$9:$D$94,4,FALSE),0)</f>
        <v>0</v>
      </c>
      <c r="F7" s="94">
        <f>SUM(B7:E7)</f>
        <v>263037248.06</v>
      </c>
      <c r="G7" s="94">
        <f>SUM(G8:G166)</f>
        <v>9243306.5299999993</v>
      </c>
      <c r="H7" s="144">
        <f>SUM(H8:H166)</f>
        <v>-1592</v>
      </c>
      <c r="I7" s="748">
        <f>F7+G7+H7</f>
        <v>272278962.58999997</v>
      </c>
      <c r="J7" s="20"/>
      <c r="K7" s="27"/>
      <c r="L7" s="27"/>
    </row>
    <row r="8" spans="1:12" hidden="1" outlineLevel="1">
      <c r="A8" s="418" t="s">
        <v>86</v>
      </c>
      <c r="B8" s="543">
        <f>VLOOKUP($A8,'Anlage 1a_Zuschlagszahlungen_NB'!$A$868:$E$1595,5,0)</f>
        <v>65352.039999999994</v>
      </c>
      <c r="C8" s="95">
        <f>_xlfn.IFNA(VLOOKUP($A8,'Anlage 1b_Abzüge, Pflicht, Boni'!$A$9:$D$94,2,FALSE),0)</f>
        <v>0</v>
      </c>
      <c r="D8" s="95">
        <f>_xlfn.IFNA(VLOOKUP(A8,'Anlage 1b_Abzüge, Pflicht, Boni'!$A$9:$D$94,3,FALSE),0)</f>
        <v>0</v>
      </c>
      <c r="E8" s="95">
        <f>_xlfn.IFNA(VLOOKUP(A8,'Anlage 1b_Abzüge, Pflicht, Boni'!$A$9:$D$94,4,FALSE),0)</f>
        <v>0</v>
      </c>
      <c r="F8" s="94">
        <f t="shared" ref="F8:F156" si="0">SUM(B8:E8)</f>
        <v>65352.039999999994</v>
      </c>
      <c r="G8" s="95">
        <f>SUMIFS('Anlage 1c_Korrekturen_NB'!$L$11:$L$78,'Anlage 1c_Korrekturen_NB'!$A$11:$A$78,'Anlage 3a_Zusammenfassung_KWKG'!$A8)</f>
        <v>0</v>
      </c>
      <c r="H8" s="144">
        <f>SUMIFS('Anlage 1c_Korrekturen_NB'!$D$610:$D$676,'Anlage 1c_Korrekturen_NB'!$A$610:$A$676,'Anlage 3a_Zusammenfassung_KWKG'!$A8)</f>
        <v>0</v>
      </c>
      <c r="I8" s="748">
        <f t="shared" ref="I8:I38" si="1">G8+H8</f>
        <v>0</v>
      </c>
      <c r="J8" s="20"/>
      <c r="K8" s="27"/>
      <c r="L8" s="27"/>
    </row>
    <row r="9" spans="1:12" hidden="1" outlineLevel="1">
      <c r="A9" s="454" t="s">
        <v>88</v>
      </c>
      <c r="B9" s="544">
        <f>VLOOKUP($A9,'Anlage 1a_Zuschlagszahlungen_NB'!$A$868:$E$1595,5,0)</f>
        <v>36773.78</v>
      </c>
      <c r="C9" s="95">
        <f>_xlfn.IFNA(VLOOKUP($A9,'Anlage 1b_Abzüge, Pflicht, Boni'!$A$9:$D$94,2,FALSE),0)</f>
        <v>0</v>
      </c>
      <c r="D9" s="95">
        <f>_xlfn.IFNA(VLOOKUP(A9,'Anlage 1b_Abzüge, Pflicht, Boni'!$A$9:$D$94,3,FALSE),0)</f>
        <v>0</v>
      </c>
      <c r="E9" s="95">
        <f>_xlfn.IFNA(VLOOKUP(A9,'Anlage 1b_Abzüge, Pflicht, Boni'!$A$9:$D$94,4,FALSE),0)</f>
        <v>0</v>
      </c>
      <c r="F9" s="95">
        <f t="shared" ref="F9:F40" si="2">SUM(B9:E9)</f>
        <v>36773.78</v>
      </c>
      <c r="G9" s="95">
        <f>SUMIFS('Anlage 1c_Korrekturen_NB'!$L$11:$L$78,'Anlage 1c_Korrekturen_NB'!$A$11:$A$78,'Anlage 3a_Zusammenfassung_KWKG'!$A9)</f>
        <v>0</v>
      </c>
      <c r="H9" s="144">
        <f>SUMIFS('Anlage 1c_Korrekturen_NB'!$D$610:$D$676,'Anlage 1c_Korrekturen_NB'!$A$610:$A$676,'Anlage 3a_Zusammenfassung_KWKG'!$A9)</f>
        <v>0</v>
      </c>
      <c r="I9" s="1091">
        <f t="shared" si="1"/>
        <v>0</v>
      </c>
      <c r="J9" s="98"/>
      <c r="K9" s="12"/>
      <c r="L9" s="12"/>
    </row>
    <row r="10" spans="1:12" hidden="1" outlineLevel="1">
      <c r="A10" s="454" t="s">
        <v>90</v>
      </c>
      <c r="B10" s="544">
        <f>VLOOKUP($A10,'Anlage 1a_Zuschlagszahlungen_NB'!$A$868:$E$1595,5,0)</f>
        <v>10707118.84</v>
      </c>
      <c r="C10" s="95">
        <f>_xlfn.IFNA(VLOOKUP($A10,'Anlage 1b_Abzüge, Pflicht, Boni'!$A$9:$D$94,2,FALSE),0)</f>
        <v>0</v>
      </c>
      <c r="D10" s="95">
        <f>_xlfn.IFNA(VLOOKUP(A10,'Anlage 1b_Abzüge, Pflicht, Boni'!$A$9:$D$94,3,FALSE),0)</f>
        <v>0</v>
      </c>
      <c r="E10" s="95">
        <f>_xlfn.IFNA(VLOOKUP(A10,'Anlage 1b_Abzüge, Pflicht, Boni'!$A$9:$D$94,4,FALSE),0)</f>
        <v>0</v>
      </c>
      <c r="F10" s="95">
        <f t="shared" si="2"/>
        <v>10707118.84</v>
      </c>
      <c r="G10" s="95">
        <f>SUMIFS('Anlage 1c_Korrekturen_NB'!$L$11:$L$78,'Anlage 1c_Korrekturen_NB'!$A$11:$A$78,'Anlage 3a_Zusammenfassung_KWKG'!$A10)</f>
        <v>0</v>
      </c>
      <c r="H10" s="144">
        <f>SUMIFS('Anlage 1c_Korrekturen_NB'!$D$610:$D$676,'Anlage 1c_Korrekturen_NB'!$A$610:$A$676,'Anlage 3a_Zusammenfassung_KWKG'!$A10)</f>
        <v>0</v>
      </c>
      <c r="I10" s="1091">
        <f t="shared" si="1"/>
        <v>0</v>
      </c>
      <c r="J10" s="98"/>
      <c r="K10" s="12"/>
      <c r="L10" s="12"/>
    </row>
    <row r="11" spans="1:12" hidden="1" outlineLevel="1">
      <c r="A11" s="454" t="s">
        <v>92</v>
      </c>
      <c r="B11" s="544">
        <f>VLOOKUP($A11,'Anlage 1a_Zuschlagszahlungen_NB'!$A$868:$E$1595,5,0)</f>
        <v>2493.63</v>
      </c>
      <c r="C11" s="95">
        <f>_xlfn.IFNA(VLOOKUP($A11,'Anlage 1b_Abzüge, Pflicht, Boni'!$A$9:$D$94,2,FALSE),0)</f>
        <v>0</v>
      </c>
      <c r="D11" s="95">
        <f>_xlfn.IFNA(VLOOKUP(A11,'Anlage 1b_Abzüge, Pflicht, Boni'!$A$9:$D$94,3,FALSE),0)</f>
        <v>0</v>
      </c>
      <c r="E11" s="95">
        <f>_xlfn.IFNA(VLOOKUP(A11,'Anlage 1b_Abzüge, Pflicht, Boni'!$A$9:$D$94,4,FALSE),0)</f>
        <v>0</v>
      </c>
      <c r="F11" s="95">
        <f t="shared" si="2"/>
        <v>2493.63</v>
      </c>
      <c r="G11" s="95">
        <f>SUMIFS('Anlage 1c_Korrekturen_NB'!$L$11:$L$78,'Anlage 1c_Korrekturen_NB'!$A$11:$A$78,'Anlage 3a_Zusammenfassung_KWKG'!$A11)</f>
        <v>0</v>
      </c>
      <c r="H11" s="144">
        <f>SUMIFS('Anlage 1c_Korrekturen_NB'!$D$610:$D$676,'Anlage 1c_Korrekturen_NB'!$A$610:$A$676,'Anlage 3a_Zusammenfassung_KWKG'!$A11)</f>
        <v>0</v>
      </c>
      <c r="I11" s="1091">
        <f t="shared" si="1"/>
        <v>0</v>
      </c>
      <c r="J11" s="98"/>
      <c r="K11" s="12"/>
      <c r="L11" s="12"/>
    </row>
    <row r="12" spans="1:12" hidden="1" outlineLevel="1">
      <c r="A12" s="454" t="s">
        <v>94</v>
      </c>
      <c r="B12" s="544">
        <f>VLOOKUP($A12,'Anlage 1a_Zuschlagszahlungen_NB'!$A$868:$E$1595,5,0)</f>
        <v>693930.13</v>
      </c>
      <c r="C12" s="95">
        <f>_xlfn.IFNA(VLOOKUP($A12,'Anlage 1b_Abzüge, Pflicht, Boni'!$A$9:$D$94,2,FALSE),0)</f>
        <v>0</v>
      </c>
      <c r="D12" s="95">
        <f>_xlfn.IFNA(VLOOKUP(A12,'Anlage 1b_Abzüge, Pflicht, Boni'!$A$9:$D$94,3,FALSE),0)</f>
        <v>0</v>
      </c>
      <c r="E12" s="95">
        <f>_xlfn.IFNA(VLOOKUP(A12,'Anlage 1b_Abzüge, Pflicht, Boni'!$A$9:$D$94,4,FALSE),0)</f>
        <v>0</v>
      </c>
      <c r="F12" s="95">
        <f t="shared" si="2"/>
        <v>693930.13</v>
      </c>
      <c r="G12" s="95">
        <f>SUMIFS('Anlage 1c_Korrekturen_NB'!$L$11:$L$78,'Anlage 1c_Korrekturen_NB'!$A$11:$A$78,'Anlage 3a_Zusammenfassung_KWKG'!$A12)</f>
        <v>195421.95</v>
      </c>
      <c r="H12" s="144">
        <f>SUMIFS('Anlage 1c_Korrekturen_NB'!$D$610:$D$676,'Anlage 1c_Korrekturen_NB'!$A$610:$A$676,'Anlage 3a_Zusammenfassung_KWKG'!$A12)</f>
        <v>0</v>
      </c>
      <c r="I12" s="1091">
        <f t="shared" si="1"/>
        <v>195421.95</v>
      </c>
      <c r="J12" s="98"/>
      <c r="K12" s="12"/>
      <c r="L12" s="12"/>
    </row>
    <row r="13" spans="1:12" hidden="1" outlineLevel="1">
      <c r="A13" s="454" t="s">
        <v>96</v>
      </c>
      <c r="B13" s="544">
        <f>VLOOKUP($A13,'Anlage 1a_Zuschlagszahlungen_NB'!$A$868:$E$1595,5,0)</f>
        <v>3874265.0200000005</v>
      </c>
      <c r="C13" s="95">
        <f>_xlfn.IFNA(VLOOKUP($A13,'Anlage 1b_Abzüge, Pflicht, Boni'!$A$9:$D$94,2,FALSE),0)</f>
        <v>0</v>
      </c>
      <c r="D13" s="95">
        <f>_xlfn.IFNA(VLOOKUP(A13,'Anlage 1b_Abzüge, Pflicht, Boni'!$A$9:$D$94,3,FALSE),0)</f>
        <v>0</v>
      </c>
      <c r="E13" s="95">
        <f>_xlfn.IFNA(VLOOKUP(A13,'Anlage 1b_Abzüge, Pflicht, Boni'!$A$9:$D$94,4,FALSE),0)</f>
        <v>0</v>
      </c>
      <c r="F13" s="95">
        <f t="shared" si="2"/>
        <v>3874265.0200000005</v>
      </c>
      <c r="G13" s="95">
        <f>SUMIFS('Anlage 1c_Korrekturen_NB'!$L$11:$L$78,'Anlage 1c_Korrekturen_NB'!$A$11:$A$78,'Anlage 3a_Zusammenfassung_KWKG'!$A13)</f>
        <v>0</v>
      </c>
      <c r="H13" s="144">
        <f>SUMIFS('Anlage 1c_Korrekturen_NB'!$D$610:$D$676,'Anlage 1c_Korrekturen_NB'!$A$610:$A$676,'Anlage 3a_Zusammenfassung_KWKG'!$A13)</f>
        <v>0</v>
      </c>
      <c r="I13" s="1091">
        <f t="shared" si="1"/>
        <v>0</v>
      </c>
      <c r="J13" s="98"/>
      <c r="K13" s="12"/>
      <c r="L13" s="12"/>
    </row>
    <row r="14" spans="1:12" hidden="1" outlineLevel="1">
      <c r="A14" s="454" t="s">
        <v>98</v>
      </c>
      <c r="B14" s="544">
        <f>VLOOKUP($A14,'Anlage 1a_Zuschlagszahlungen_NB'!$A$868:$E$1595,5,0)</f>
        <v>33981.440000000002</v>
      </c>
      <c r="C14" s="95">
        <f>_xlfn.IFNA(VLOOKUP($A14,'Anlage 1b_Abzüge, Pflicht, Boni'!$A$9:$D$94,2,FALSE),0)</f>
        <v>0</v>
      </c>
      <c r="D14" s="95">
        <f>_xlfn.IFNA(VLOOKUP(A14,'Anlage 1b_Abzüge, Pflicht, Boni'!$A$9:$D$94,3,FALSE),0)</f>
        <v>0</v>
      </c>
      <c r="E14" s="95">
        <f>_xlfn.IFNA(VLOOKUP(A14,'Anlage 1b_Abzüge, Pflicht, Boni'!$A$9:$D$94,4,FALSE),0)</f>
        <v>0</v>
      </c>
      <c r="F14" s="95">
        <f t="shared" si="2"/>
        <v>33981.440000000002</v>
      </c>
      <c r="G14" s="95">
        <f>SUMIFS('Anlage 1c_Korrekturen_NB'!$L$11:$L$78,'Anlage 1c_Korrekturen_NB'!$A$11:$A$78,'Anlage 3a_Zusammenfassung_KWKG'!$A14)</f>
        <v>0</v>
      </c>
      <c r="H14" s="144">
        <f>SUMIFS('Anlage 1c_Korrekturen_NB'!$D$610:$D$676,'Anlage 1c_Korrekturen_NB'!$A$610:$A$676,'Anlage 3a_Zusammenfassung_KWKG'!$A14)</f>
        <v>0</v>
      </c>
      <c r="I14" s="1091">
        <f t="shared" si="1"/>
        <v>0</v>
      </c>
      <c r="J14" s="98"/>
      <c r="K14" s="12"/>
      <c r="L14" s="12"/>
    </row>
    <row r="15" spans="1:12" hidden="1" outlineLevel="1">
      <c r="A15" s="454" t="s">
        <v>100</v>
      </c>
      <c r="B15" s="544">
        <f>VLOOKUP($A15,'Anlage 1a_Zuschlagszahlungen_NB'!$A$868:$E$1595,5,0)</f>
        <v>459348.52999999991</v>
      </c>
      <c r="C15" s="95">
        <f>_xlfn.IFNA(VLOOKUP($A15,'Anlage 1b_Abzüge, Pflicht, Boni'!$A$9:$D$94,2,FALSE),0)</f>
        <v>0</v>
      </c>
      <c r="D15" s="95">
        <f>_xlfn.IFNA(VLOOKUP(A15,'Anlage 1b_Abzüge, Pflicht, Boni'!$A$9:$D$94,3,FALSE),0)</f>
        <v>0</v>
      </c>
      <c r="E15" s="95">
        <f>_xlfn.IFNA(VLOOKUP(A15,'Anlage 1b_Abzüge, Pflicht, Boni'!$A$9:$D$94,4,FALSE),0)</f>
        <v>0</v>
      </c>
      <c r="F15" s="95">
        <f t="shared" si="2"/>
        <v>459348.52999999991</v>
      </c>
      <c r="G15" s="95">
        <f>SUMIFS('Anlage 1c_Korrekturen_NB'!$L$11:$L$78,'Anlage 1c_Korrekturen_NB'!$A$11:$A$78,'Anlage 3a_Zusammenfassung_KWKG'!$A15)</f>
        <v>0</v>
      </c>
      <c r="H15" s="144">
        <f>SUMIFS('Anlage 1c_Korrekturen_NB'!$D$610:$D$676,'Anlage 1c_Korrekturen_NB'!$A$610:$A$676,'Anlage 3a_Zusammenfassung_KWKG'!$A15)</f>
        <v>0</v>
      </c>
      <c r="I15" s="1091">
        <f t="shared" si="1"/>
        <v>0</v>
      </c>
      <c r="J15" s="98"/>
      <c r="K15" s="12"/>
      <c r="L15" s="12"/>
    </row>
    <row r="16" spans="1:12" hidden="1" outlineLevel="1">
      <c r="A16" s="454" t="s">
        <v>102</v>
      </c>
      <c r="B16" s="544">
        <f>VLOOKUP($A16,'Anlage 1a_Zuschlagszahlungen_NB'!$A$868:$E$1595,5,0)</f>
        <v>1291368.2400000002</v>
      </c>
      <c r="C16" s="95">
        <f>_xlfn.IFNA(VLOOKUP($A16,'Anlage 1b_Abzüge, Pflicht, Boni'!$A$9:$D$94,2,FALSE),0)</f>
        <v>0</v>
      </c>
      <c r="D16" s="95">
        <f>_xlfn.IFNA(VLOOKUP(A16,'Anlage 1b_Abzüge, Pflicht, Boni'!$A$9:$D$94,3,FALSE),0)</f>
        <v>0</v>
      </c>
      <c r="E16" s="95">
        <f>_xlfn.IFNA(VLOOKUP(A16,'Anlage 1b_Abzüge, Pflicht, Boni'!$A$9:$D$94,4,FALSE),0)</f>
        <v>0</v>
      </c>
      <c r="F16" s="95">
        <f t="shared" si="2"/>
        <v>1291368.2400000002</v>
      </c>
      <c r="G16" s="95">
        <f>SUMIFS('Anlage 1c_Korrekturen_NB'!$L$11:$L$78,'Anlage 1c_Korrekturen_NB'!$A$11:$A$78,'Anlage 3a_Zusammenfassung_KWKG'!$A16)</f>
        <v>0</v>
      </c>
      <c r="H16" s="144">
        <f>SUMIFS('Anlage 1c_Korrekturen_NB'!$D$610:$D$676,'Anlage 1c_Korrekturen_NB'!$A$610:$A$676,'Anlage 3a_Zusammenfassung_KWKG'!$A16)</f>
        <v>0</v>
      </c>
      <c r="I16" s="1091">
        <f t="shared" si="1"/>
        <v>0</v>
      </c>
      <c r="J16" s="98"/>
      <c r="K16" s="12"/>
      <c r="L16" s="12"/>
    </row>
    <row r="17" spans="1:12" hidden="1" outlineLevel="1">
      <c r="A17" s="454" t="s">
        <v>104</v>
      </c>
      <c r="B17" s="544">
        <f>VLOOKUP($A17,'Anlage 1a_Zuschlagszahlungen_NB'!$A$868:$E$1595,5,0)</f>
        <v>9625.1299999999992</v>
      </c>
      <c r="C17" s="95">
        <f>_xlfn.IFNA(VLOOKUP($A17,'Anlage 1b_Abzüge, Pflicht, Boni'!$A$9:$D$94,2,FALSE),0)</f>
        <v>0</v>
      </c>
      <c r="D17" s="95">
        <f>_xlfn.IFNA(VLOOKUP(A17,'Anlage 1b_Abzüge, Pflicht, Boni'!$A$9:$D$94,3,FALSE),0)</f>
        <v>0</v>
      </c>
      <c r="E17" s="95">
        <f>_xlfn.IFNA(VLOOKUP(A17,'Anlage 1b_Abzüge, Pflicht, Boni'!$A$9:$D$94,4,FALSE),0)</f>
        <v>0</v>
      </c>
      <c r="F17" s="95">
        <f t="shared" si="2"/>
        <v>9625.1299999999992</v>
      </c>
      <c r="G17" s="95">
        <f>SUMIFS('Anlage 1c_Korrekturen_NB'!$L$11:$L$78,'Anlage 1c_Korrekturen_NB'!$A$11:$A$78,'Anlage 3a_Zusammenfassung_KWKG'!$A17)</f>
        <v>0</v>
      </c>
      <c r="H17" s="144">
        <f>SUMIFS('Anlage 1c_Korrekturen_NB'!$D$610:$D$676,'Anlage 1c_Korrekturen_NB'!$A$610:$A$676,'Anlage 3a_Zusammenfassung_KWKG'!$A17)</f>
        <v>0</v>
      </c>
      <c r="I17" s="1091">
        <f t="shared" si="1"/>
        <v>0</v>
      </c>
      <c r="J17" s="98"/>
      <c r="K17" s="12"/>
      <c r="L17" s="12"/>
    </row>
    <row r="18" spans="1:12" hidden="1" outlineLevel="1">
      <c r="A18" s="454" t="s">
        <v>106</v>
      </c>
      <c r="B18" s="544">
        <f>VLOOKUP($A18,'Anlage 1a_Zuschlagszahlungen_NB'!$A$868:$E$1595,5,0)</f>
        <v>1574771.82</v>
      </c>
      <c r="C18" s="95">
        <f>_xlfn.IFNA(VLOOKUP($A18,'Anlage 1b_Abzüge, Pflicht, Boni'!$A$9:$D$94,2,FALSE),0)</f>
        <v>0</v>
      </c>
      <c r="D18" s="95">
        <f>_xlfn.IFNA(VLOOKUP(A18,'Anlage 1b_Abzüge, Pflicht, Boni'!$A$9:$D$94,3,FALSE),0)</f>
        <v>0</v>
      </c>
      <c r="E18" s="95">
        <f>_xlfn.IFNA(VLOOKUP(A18,'Anlage 1b_Abzüge, Pflicht, Boni'!$A$9:$D$94,4,FALSE),0)</f>
        <v>0</v>
      </c>
      <c r="F18" s="95">
        <f t="shared" si="2"/>
        <v>1574771.82</v>
      </c>
      <c r="G18" s="95">
        <f>SUMIFS('Anlage 1c_Korrekturen_NB'!$L$11:$L$78,'Anlage 1c_Korrekturen_NB'!$A$11:$A$78,'Anlage 3a_Zusammenfassung_KWKG'!$A18)</f>
        <v>0</v>
      </c>
      <c r="H18" s="144">
        <f>SUMIFS('Anlage 1c_Korrekturen_NB'!$D$610:$D$676,'Anlage 1c_Korrekturen_NB'!$A$610:$A$676,'Anlage 3a_Zusammenfassung_KWKG'!$A18)</f>
        <v>0</v>
      </c>
      <c r="I18" s="1091">
        <f t="shared" si="1"/>
        <v>0</v>
      </c>
      <c r="J18" s="98"/>
      <c r="K18" s="12"/>
      <c r="L18" s="12"/>
    </row>
    <row r="19" spans="1:12" hidden="1" outlineLevel="1">
      <c r="A19" s="454" t="s">
        <v>108</v>
      </c>
      <c r="B19" s="544">
        <f>VLOOKUP($A19,'Anlage 1a_Zuschlagszahlungen_NB'!$A$868:$E$1595,5,0)</f>
        <v>1330.32</v>
      </c>
      <c r="C19" s="95">
        <f>_xlfn.IFNA(VLOOKUP($A19,'Anlage 1b_Abzüge, Pflicht, Boni'!$A$9:$D$94,2,FALSE),0)</f>
        <v>0</v>
      </c>
      <c r="D19" s="95">
        <f>_xlfn.IFNA(VLOOKUP(A19,'Anlage 1b_Abzüge, Pflicht, Boni'!$A$9:$D$94,3,FALSE),0)</f>
        <v>0</v>
      </c>
      <c r="E19" s="95">
        <f>_xlfn.IFNA(VLOOKUP(A19,'Anlage 1b_Abzüge, Pflicht, Boni'!$A$9:$D$94,4,FALSE),0)</f>
        <v>0</v>
      </c>
      <c r="F19" s="95">
        <f t="shared" si="2"/>
        <v>1330.32</v>
      </c>
      <c r="G19" s="95">
        <f>SUMIFS('Anlage 1c_Korrekturen_NB'!$L$11:$L$78,'Anlage 1c_Korrekturen_NB'!$A$11:$A$78,'Anlage 3a_Zusammenfassung_KWKG'!$A19)</f>
        <v>0</v>
      </c>
      <c r="H19" s="144">
        <f>SUMIFS('Anlage 1c_Korrekturen_NB'!$D$610:$D$676,'Anlage 1c_Korrekturen_NB'!$A$610:$A$676,'Anlage 3a_Zusammenfassung_KWKG'!$A19)</f>
        <v>0</v>
      </c>
      <c r="I19" s="1091">
        <f t="shared" si="1"/>
        <v>0</v>
      </c>
      <c r="J19" s="98"/>
      <c r="K19" s="12"/>
      <c r="L19" s="12"/>
    </row>
    <row r="20" spans="1:12" hidden="1" outlineLevel="1">
      <c r="A20" s="454" t="s">
        <v>110</v>
      </c>
      <c r="B20" s="544">
        <f>VLOOKUP($A20,'Anlage 1a_Zuschlagszahlungen_NB'!$A$868:$E$1595,5,0)</f>
        <v>0</v>
      </c>
      <c r="C20" s="95">
        <f>_xlfn.IFNA(VLOOKUP($A20,'Anlage 1b_Abzüge, Pflicht, Boni'!$A$9:$D$94,2,FALSE),0)</f>
        <v>0</v>
      </c>
      <c r="D20" s="95">
        <f>_xlfn.IFNA(VLOOKUP(A20,'Anlage 1b_Abzüge, Pflicht, Boni'!$A$9:$D$94,3,FALSE),0)</f>
        <v>0</v>
      </c>
      <c r="E20" s="95">
        <f>_xlfn.IFNA(VLOOKUP(A20,'Anlage 1b_Abzüge, Pflicht, Boni'!$A$9:$D$94,4,FALSE),0)</f>
        <v>0</v>
      </c>
      <c r="F20" s="95">
        <f t="shared" si="2"/>
        <v>0</v>
      </c>
      <c r="G20" s="95">
        <f>SUMIFS('Anlage 1c_Korrekturen_NB'!$L$11:$L$78,'Anlage 1c_Korrekturen_NB'!$A$11:$A$78,'Anlage 3a_Zusammenfassung_KWKG'!$A20)</f>
        <v>0</v>
      </c>
      <c r="H20" s="144">
        <f>SUMIFS('Anlage 1c_Korrekturen_NB'!$D$610:$D$676,'Anlage 1c_Korrekturen_NB'!$A$610:$A$676,'Anlage 3a_Zusammenfassung_KWKG'!$A20)</f>
        <v>0</v>
      </c>
      <c r="I20" s="1091">
        <f t="shared" si="1"/>
        <v>0</v>
      </c>
      <c r="J20" s="98"/>
      <c r="K20" s="12"/>
      <c r="L20" s="12"/>
    </row>
    <row r="21" spans="1:12" hidden="1" outlineLevel="1">
      <c r="A21" s="454" t="s">
        <v>112</v>
      </c>
      <c r="B21" s="544">
        <f>VLOOKUP($A21,'Anlage 1a_Zuschlagszahlungen_NB'!$A$868:$E$1595,5,0)</f>
        <v>1476082.48</v>
      </c>
      <c r="C21" s="95">
        <f>_xlfn.IFNA(VLOOKUP($A21,'Anlage 1b_Abzüge, Pflicht, Boni'!$A$9:$D$94,2,FALSE),0)</f>
        <v>0</v>
      </c>
      <c r="D21" s="95">
        <f>_xlfn.IFNA(VLOOKUP(A21,'Anlage 1b_Abzüge, Pflicht, Boni'!$A$9:$D$94,3,FALSE),0)</f>
        <v>0</v>
      </c>
      <c r="E21" s="95">
        <f>_xlfn.IFNA(VLOOKUP(A21,'Anlage 1b_Abzüge, Pflicht, Boni'!$A$9:$D$94,4,FALSE),0)</f>
        <v>0</v>
      </c>
      <c r="F21" s="95">
        <f t="shared" si="2"/>
        <v>1476082.48</v>
      </c>
      <c r="G21" s="95">
        <f>SUMIFS('Anlage 1c_Korrekturen_NB'!$L$11:$L$78,'Anlage 1c_Korrekturen_NB'!$A$11:$A$78,'Anlage 3a_Zusammenfassung_KWKG'!$A21)</f>
        <v>0</v>
      </c>
      <c r="H21" s="144">
        <f>SUMIFS('Anlage 1c_Korrekturen_NB'!$D$610:$D$676,'Anlage 1c_Korrekturen_NB'!$A$610:$A$676,'Anlage 3a_Zusammenfassung_KWKG'!$A21)</f>
        <v>0</v>
      </c>
      <c r="I21" s="1091">
        <f t="shared" si="1"/>
        <v>0</v>
      </c>
      <c r="J21" s="98"/>
      <c r="K21" s="12"/>
      <c r="L21" s="12"/>
    </row>
    <row r="22" spans="1:12" hidden="1" outlineLevel="1">
      <c r="A22" s="454" t="s">
        <v>114</v>
      </c>
      <c r="B22" s="544">
        <f>VLOOKUP($A22,'Anlage 1a_Zuschlagszahlungen_NB'!$A$868:$E$1595,5,0)</f>
        <v>42021701.819999985</v>
      </c>
      <c r="C22" s="95">
        <f>_xlfn.IFNA(VLOOKUP($A22,'Anlage 1b_Abzüge, Pflicht, Boni'!$A$9:$D$94,2,FALSE),0)</f>
        <v>-544589.23</v>
      </c>
      <c r="D22" s="95">
        <f>_xlfn.IFNA(VLOOKUP(A22,'Anlage 1b_Abzüge, Pflicht, Boni'!$A$9:$D$94,3,FALSE),0)</f>
        <v>0</v>
      </c>
      <c r="E22" s="95">
        <f>_xlfn.IFNA(VLOOKUP(A22,'Anlage 1b_Abzüge, Pflicht, Boni'!$A$9:$D$94,4,FALSE),0)</f>
        <v>0</v>
      </c>
      <c r="F22" s="95">
        <f t="shared" si="2"/>
        <v>41477112.589999989</v>
      </c>
      <c r="G22" s="95">
        <f>SUMIFS('Anlage 1c_Korrekturen_NB'!$L$11:$L$78,'Anlage 1c_Korrekturen_NB'!$A$11:$A$78,'Anlage 3a_Zusammenfassung_KWKG'!$A22)</f>
        <v>2637639.9500000002</v>
      </c>
      <c r="H22" s="144">
        <f>SUMIFS('Anlage 1c_Korrekturen_NB'!$D$610:$D$676,'Anlage 1c_Korrekturen_NB'!$A$610:$A$676,'Anlage 3a_Zusammenfassung_KWKG'!$A22)</f>
        <v>0</v>
      </c>
      <c r="I22" s="1091">
        <f t="shared" si="1"/>
        <v>2637639.9500000002</v>
      </c>
      <c r="J22" s="98"/>
      <c r="K22" s="12"/>
      <c r="L22" s="12"/>
    </row>
    <row r="23" spans="1:12" hidden="1" outlineLevel="1">
      <c r="A23" s="454" t="s">
        <v>116</v>
      </c>
      <c r="B23" s="544">
        <f>VLOOKUP($A23,'Anlage 1a_Zuschlagszahlungen_NB'!$A$868:$E$1595,5,0)</f>
        <v>21996542.030000001</v>
      </c>
      <c r="C23" s="95">
        <f>_xlfn.IFNA(VLOOKUP($A23,'Anlage 1b_Abzüge, Pflicht, Boni'!$A$9:$D$94,2,FALSE),0)</f>
        <v>0</v>
      </c>
      <c r="D23" s="95">
        <f>_xlfn.IFNA(VLOOKUP(A23,'Anlage 1b_Abzüge, Pflicht, Boni'!$A$9:$D$94,3,FALSE),0)</f>
        <v>0</v>
      </c>
      <c r="E23" s="95">
        <f>_xlfn.IFNA(VLOOKUP(A23,'Anlage 1b_Abzüge, Pflicht, Boni'!$A$9:$D$94,4,FALSE),0)</f>
        <v>0</v>
      </c>
      <c r="F23" s="95">
        <f t="shared" si="2"/>
        <v>21996542.030000001</v>
      </c>
      <c r="G23" s="95">
        <f>SUMIFS('Anlage 1c_Korrekturen_NB'!$L$11:$L$78,'Anlage 1c_Korrekturen_NB'!$A$11:$A$78,'Anlage 3a_Zusammenfassung_KWKG'!$A23)</f>
        <v>0</v>
      </c>
      <c r="H23" s="144">
        <f>SUMIFS('Anlage 1c_Korrekturen_NB'!$D$610:$D$676,'Anlage 1c_Korrekturen_NB'!$A$610:$A$676,'Anlage 3a_Zusammenfassung_KWKG'!$A23)</f>
        <v>0</v>
      </c>
      <c r="I23" s="1091">
        <f t="shared" si="1"/>
        <v>0</v>
      </c>
      <c r="J23" s="98"/>
      <c r="K23" s="12"/>
      <c r="L23" s="12"/>
    </row>
    <row r="24" spans="1:12" hidden="1" outlineLevel="1">
      <c r="A24" s="454" t="s">
        <v>118</v>
      </c>
      <c r="B24" s="544">
        <f>VLOOKUP($A24,'Anlage 1a_Zuschlagszahlungen_NB'!$A$868:$E$1595,5,0)</f>
        <v>27464.93</v>
      </c>
      <c r="C24" s="95">
        <f>_xlfn.IFNA(VLOOKUP($A24,'Anlage 1b_Abzüge, Pflicht, Boni'!$A$9:$D$94,2,FALSE),0)</f>
        <v>0</v>
      </c>
      <c r="D24" s="95">
        <f>_xlfn.IFNA(VLOOKUP(A24,'Anlage 1b_Abzüge, Pflicht, Boni'!$A$9:$D$94,3,FALSE),0)</f>
        <v>0</v>
      </c>
      <c r="E24" s="95">
        <f>_xlfn.IFNA(VLOOKUP(A24,'Anlage 1b_Abzüge, Pflicht, Boni'!$A$9:$D$94,4,FALSE),0)</f>
        <v>0</v>
      </c>
      <c r="F24" s="95">
        <f t="shared" si="2"/>
        <v>27464.93</v>
      </c>
      <c r="G24" s="95">
        <f>SUMIFS('Anlage 1c_Korrekturen_NB'!$L$11:$L$78,'Anlage 1c_Korrekturen_NB'!$A$11:$A$78,'Anlage 3a_Zusammenfassung_KWKG'!$A24)</f>
        <v>0</v>
      </c>
      <c r="H24" s="144">
        <f>SUMIFS('Anlage 1c_Korrekturen_NB'!$D$610:$D$676,'Anlage 1c_Korrekturen_NB'!$A$610:$A$676,'Anlage 3a_Zusammenfassung_KWKG'!$A24)</f>
        <v>0</v>
      </c>
      <c r="I24" s="1091">
        <f t="shared" si="1"/>
        <v>0</v>
      </c>
      <c r="J24" s="98"/>
      <c r="K24" s="12"/>
      <c r="L24" s="12"/>
    </row>
    <row r="25" spans="1:12" hidden="1" outlineLevel="1">
      <c r="A25" s="454" t="s">
        <v>120</v>
      </c>
      <c r="B25" s="544">
        <f>VLOOKUP($A25,'Anlage 1a_Zuschlagszahlungen_NB'!$A$868:$E$1595,5,0)</f>
        <v>57656.640000000007</v>
      </c>
      <c r="C25" s="95">
        <f>_xlfn.IFNA(VLOOKUP($A25,'Anlage 1b_Abzüge, Pflicht, Boni'!$A$9:$D$94,2,FALSE),0)</f>
        <v>0</v>
      </c>
      <c r="D25" s="95">
        <f>_xlfn.IFNA(VLOOKUP(A25,'Anlage 1b_Abzüge, Pflicht, Boni'!$A$9:$D$94,3,FALSE),0)</f>
        <v>0</v>
      </c>
      <c r="E25" s="95">
        <f>_xlfn.IFNA(VLOOKUP(A25,'Anlage 1b_Abzüge, Pflicht, Boni'!$A$9:$D$94,4,FALSE),0)</f>
        <v>0</v>
      </c>
      <c r="F25" s="95">
        <f t="shared" si="2"/>
        <v>57656.640000000007</v>
      </c>
      <c r="G25" s="95">
        <f>SUMIFS('Anlage 1c_Korrekturen_NB'!$L$11:$L$78,'Anlage 1c_Korrekturen_NB'!$A$11:$A$78,'Anlage 3a_Zusammenfassung_KWKG'!$A25)</f>
        <v>0</v>
      </c>
      <c r="H25" s="144">
        <f>SUMIFS('Anlage 1c_Korrekturen_NB'!$D$610:$D$676,'Anlage 1c_Korrekturen_NB'!$A$610:$A$676,'Anlage 3a_Zusammenfassung_KWKG'!$A25)</f>
        <v>0</v>
      </c>
      <c r="I25" s="1091">
        <f t="shared" si="1"/>
        <v>0</v>
      </c>
      <c r="J25" s="98"/>
      <c r="K25" s="12"/>
      <c r="L25" s="12"/>
    </row>
    <row r="26" spans="1:12" hidden="1" outlineLevel="1">
      <c r="A26" s="454" t="s">
        <v>122</v>
      </c>
      <c r="B26" s="544">
        <f>VLOOKUP($A26,'Anlage 1a_Zuschlagszahlungen_NB'!$A$868:$E$1595,5,0)</f>
        <v>17303.070000000003</v>
      </c>
      <c r="C26" s="95">
        <f>_xlfn.IFNA(VLOOKUP($A26,'Anlage 1b_Abzüge, Pflicht, Boni'!$A$9:$D$94,2,FALSE),0)</f>
        <v>0</v>
      </c>
      <c r="D26" s="95">
        <f>_xlfn.IFNA(VLOOKUP(A26,'Anlage 1b_Abzüge, Pflicht, Boni'!$A$9:$D$94,3,FALSE),0)</f>
        <v>0</v>
      </c>
      <c r="E26" s="95">
        <f>_xlfn.IFNA(VLOOKUP(A26,'Anlage 1b_Abzüge, Pflicht, Boni'!$A$9:$D$94,4,FALSE),0)</f>
        <v>0</v>
      </c>
      <c r="F26" s="95">
        <f t="shared" si="2"/>
        <v>17303.070000000003</v>
      </c>
      <c r="G26" s="95">
        <f>SUMIFS('Anlage 1c_Korrekturen_NB'!$L$11:$L$78,'Anlage 1c_Korrekturen_NB'!$A$11:$A$78,'Anlage 3a_Zusammenfassung_KWKG'!$A26)</f>
        <v>0</v>
      </c>
      <c r="H26" s="144">
        <f>SUMIFS('Anlage 1c_Korrekturen_NB'!$D$610:$D$676,'Anlage 1c_Korrekturen_NB'!$A$610:$A$676,'Anlage 3a_Zusammenfassung_KWKG'!$A26)</f>
        <v>0</v>
      </c>
      <c r="I26" s="1091">
        <f t="shared" si="1"/>
        <v>0</v>
      </c>
      <c r="J26" s="98"/>
      <c r="K26" s="12"/>
      <c r="L26" s="12"/>
    </row>
    <row r="27" spans="1:12" hidden="1" outlineLevel="1">
      <c r="A27" s="454" t="s">
        <v>124</v>
      </c>
      <c r="B27" s="544">
        <f>VLOOKUP($A27,'Anlage 1a_Zuschlagszahlungen_NB'!$A$868:$E$1595,5,0)</f>
        <v>5962.01</v>
      </c>
      <c r="C27" s="95">
        <f>_xlfn.IFNA(VLOOKUP($A27,'Anlage 1b_Abzüge, Pflicht, Boni'!$A$9:$D$94,2,FALSE),0)</f>
        <v>0</v>
      </c>
      <c r="D27" s="95">
        <f>_xlfn.IFNA(VLOOKUP(A27,'Anlage 1b_Abzüge, Pflicht, Boni'!$A$9:$D$94,3,FALSE),0)</f>
        <v>0</v>
      </c>
      <c r="E27" s="95">
        <f>_xlfn.IFNA(VLOOKUP(A27,'Anlage 1b_Abzüge, Pflicht, Boni'!$A$9:$D$94,4,FALSE),0)</f>
        <v>0</v>
      </c>
      <c r="F27" s="95">
        <f t="shared" si="2"/>
        <v>5962.01</v>
      </c>
      <c r="G27" s="95">
        <f>SUMIFS('Anlage 1c_Korrekturen_NB'!$L$11:$L$78,'Anlage 1c_Korrekturen_NB'!$A$11:$A$78,'Anlage 3a_Zusammenfassung_KWKG'!$A27)</f>
        <v>0</v>
      </c>
      <c r="H27" s="144">
        <f>SUMIFS('Anlage 1c_Korrekturen_NB'!$D$610:$D$676,'Anlage 1c_Korrekturen_NB'!$A$610:$A$676,'Anlage 3a_Zusammenfassung_KWKG'!$A27)</f>
        <v>0</v>
      </c>
      <c r="I27" s="1091">
        <f t="shared" si="1"/>
        <v>0</v>
      </c>
      <c r="J27" s="98"/>
      <c r="K27" s="12"/>
      <c r="L27" s="12"/>
    </row>
    <row r="28" spans="1:12" hidden="1" outlineLevel="1">
      <c r="A28" s="454" t="s">
        <v>126</v>
      </c>
      <c r="B28" s="544">
        <f>VLOOKUP($A28,'Anlage 1a_Zuschlagszahlungen_NB'!$A$868:$E$1595,5,0)</f>
        <v>318188.09999999998</v>
      </c>
      <c r="C28" s="95">
        <f>_xlfn.IFNA(VLOOKUP($A28,'Anlage 1b_Abzüge, Pflicht, Boni'!$A$9:$D$94,2,FALSE),0)</f>
        <v>0</v>
      </c>
      <c r="D28" s="95">
        <f>_xlfn.IFNA(VLOOKUP(A28,'Anlage 1b_Abzüge, Pflicht, Boni'!$A$9:$D$94,3,FALSE),0)</f>
        <v>0</v>
      </c>
      <c r="E28" s="95">
        <f>_xlfn.IFNA(VLOOKUP(A28,'Anlage 1b_Abzüge, Pflicht, Boni'!$A$9:$D$94,4,FALSE),0)</f>
        <v>0</v>
      </c>
      <c r="F28" s="95">
        <f t="shared" si="2"/>
        <v>318188.09999999998</v>
      </c>
      <c r="G28" s="95">
        <f>SUMIFS('Anlage 1c_Korrekturen_NB'!$L$11:$L$78,'Anlage 1c_Korrekturen_NB'!$A$11:$A$78,'Anlage 3a_Zusammenfassung_KWKG'!$A28)</f>
        <v>29603.420000000006</v>
      </c>
      <c r="H28" s="144">
        <f>SUMIFS('Anlage 1c_Korrekturen_NB'!$D$610:$D$676,'Anlage 1c_Korrekturen_NB'!$A$610:$A$676,'Anlage 3a_Zusammenfassung_KWKG'!$A28)</f>
        <v>0</v>
      </c>
      <c r="I28" s="1091">
        <f t="shared" si="1"/>
        <v>29603.420000000006</v>
      </c>
      <c r="J28" s="98"/>
      <c r="K28" s="12"/>
      <c r="L28" s="12"/>
    </row>
    <row r="29" spans="1:12" hidden="1" outlineLevel="1">
      <c r="A29" s="454" t="s">
        <v>128</v>
      </c>
      <c r="B29" s="544">
        <f>VLOOKUP($A29,'Anlage 1a_Zuschlagszahlungen_NB'!$A$868:$E$1595,5,0)</f>
        <v>12485.65</v>
      </c>
      <c r="C29" s="95">
        <f>_xlfn.IFNA(VLOOKUP($A29,'Anlage 1b_Abzüge, Pflicht, Boni'!$A$9:$D$94,2,FALSE),0)</f>
        <v>0</v>
      </c>
      <c r="D29" s="95">
        <f>_xlfn.IFNA(VLOOKUP(A29,'Anlage 1b_Abzüge, Pflicht, Boni'!$A$9:$D$94,3,FALSE),0)</f>
        <v>0</v>
      </c>
      <c r="E29" s="95">
        <f>_xlfn.IFNA(VLOOKUP(A29,'Anlage 1b_Abzüge, Pflicht, Boni'!$A$9:$D$94,4,FALSE),0)</f>
        <v>0</v>
      </c>
      <c r="F29" s="95">
        <f t="shared" si="2"/>
        <v>12485.65</v>
      </c>
      <c r="G29" s="95">
        <f>SUMIFS('Anlage 1c_Korrekturen_NB'!$L$11:$L$78,'Anlage 1c_Korrekturen_NB'!$A$11:$A$78,'Anlage 3a_Zusammenfassung_KWKG'!$A29)</f>
        <v>0</v>
      </c>
      <c r="H29" s="144">
        <f>SUMIFS('Anlage 1c_Korrekturen_NB'!$D$610:$D$676,'Anlage 1c_Korrekturen_NB'!$A$610:$A$676,'Anlage 3a_Zusammenfassung_KWKG'!$A29)</f>
        <v>0</v>
      </c>
      <c r="I29" s="1091">
        <f t="shared" si="1"/>
        <v>0</v>
      </c>
      <c r="J29" s="98"/>
      <c r="K29" s="12"/>
      <c r="L29" s="12"/>
    </row>
    <row r="30" spans="1:12" hidden="1" outlineLevel="1">
      <c r="A30" s="454" t="s">
        <v>130</v>
      </c>
      <c r="B30" s="544">
        <f>VLOOKUP($A30,'Anlage 1a_Zuschlagszahlungen_NB'!$A$868:$E$1595,5,0)</f>
        <v>19165.519999999997</v>
      </c>
      <c r="C30" s="95">
        <f>_xlfn.IFNA(VLOOKUP($A30,'Anlage 1b_Abzüge, Pflicht, Boni'!$A$9:$D$94,2,FALSE),0)</f>
        <v>0</v>
      </c>
      <c r="D30" s="95">
        <f>_xlfn.IFNA(VLOOKUP(A30,'Anlage 1b_Abzüge, Pflicht, Boni'!$A$9:$D$94,3,FALSE),0)</f>
        <v>0</v>
      </c>
      <c r="E30" s="95">
        <f>_xlfn.IFNA(VLOOKUP(A30,'Anlage 1b_Abzüge, Pflicht, Boni'!$A$9:$D$94,4,FALSE),0)</f>
        <v>0</v>
      </c>
      <c r="F30" s="95">
        <f t="shared" si="2"/>
        <v>19165.519999999997</v>
      </c>
      <c r="G30" s="95">
        <f>SUMIFS('Anlage 1c_Korrekturen_NB'!$L$11:$L$78,'Anlage 1c_Korrekturen_NB'!$A$11:$A$78,'Anlage 3a_Zusammenfassung_KWKG'!$A30)</f>
        <v>0</v>
      </c>
      <c r="H30" s="144">
        <f>SUMIFS('Anlage 1c_Korrekturen_NB'!$D$610:$D$676,'Anlage 1c_Korrekturen_NB'!$A$610:$A$676,'Anlage 3a_Zusammenfassung_KWKG'!$A30)</f>
        <v>0</v>
      </c>
      <c r="I30" s="1091">
        <f t="shared" si="1"/>
        <v>0</v>
      </c>
      <c r="J30" s="98"/>
      <c r="K30" s="12"/>
      <c r="L30" s="12"/>
    </row>
    <row r="31" spans="1:12" hidden="1" outlineLevel="1">
      <c r="A31" s="454" t="s">
        <v>132</v>
      </c>
      <c r="B31" s="544">
        <f>VLOOKUP($A31,'Anlage 1a_Zuschlagszahlungen_NB'!$A$868:$E$1595,5,0)</f>
        <v>344065.43</v>
      </c>
      <c r="C31" s="95">
        <f>_xlfn.IFNA(VLOOKUP($A31,'Anlage 1b_Abzüge, Pflicht, Boni'!$A$9:$D$94,2,FALSE),0)</f>
        <v>0</v>
      </c>
      <c r="D31" s="95">
        <f>_xlfn.IFNA(VLOOKUP(A31,'Anlage 1b_Abzüge, Pflicht, Boni'!$A$9:$D$94,3,FALSE),0)</f>
        <v>0</v>
      </c>
      <c r="E31" s="95">
        <f>_xlfn.IFNA(VLOOKUP(A31,'Anlage 1b_Abzüge, Pflicht, Boni'!$A$9:$D$94,4,FALSE),0)</f>
        <v>0</v>
      </c>
      <c r="F31" s="95">
        <f t="shared" si="2"/>
        <v>344065.43</v>
      </c>
      <c r="G31" s="95">
        <f>SUMIFS('Anlage 1c_Korrekturen_NB'!$L$11:$L$78,'Anlage 1c_Korrekturen_NB'!$A$11:$A$78,'Anlage 3a_Zusammenfassung_KWKG'!$A31)</f>
        <v>0</v>
      </c>
      <c r="H31" s="144">
        <f>SUMIFS('Anlage 1c_Korrekturen_NB'!$D$610:$D$676,'Anlage 1c_Korrekturen_NB'!$A$610:$A$676,'Anlage 3a_Zusammenfassung_KWKG'!$A31)</f>
        <v>0</v>
      </c>
      <c r="I31" s="1091">
        <f t="shared" si="1"/>
        <v>0</v>
      </c>
      <c r="J31" s="98"/>
      <c r="K31" s="12"/>
      <c r="L31" s="12"/>
    </row>
    <row r="32" spans="1:12" hidden="1" outlineLevel="1">
      <c r="A32" s="454" t="s">
        <v>134</v>
      </c>
      <c r="B32" s="544">
        <f>VLOOKUP($A32,'Anlage 1a_Zuschlagszahlungen_NB'!$A$868:$E$1595,5,0)</f>
        <v>144844.57</v>
      </c>
      <c r="C32" s="95">
        <f>_xlfn.IFNA(VLOOKUP($A32,'Anlage 1b_Abzüge, Pflicht, Boni'!$A$9:$D$94,2,FALSE),0)</f>
        <v>0</v>
      </c>
      <c r="D32" s="95">
        <f>_xlfn.IFNA(VLOOKUP(A32,'Anlage 1b_Abzüge, Pflicht, Boni'!$A$9:$D$94,3,FALSE),0)</f>
        <v>0</v>
      </c>
      <c r="E32" s="95">
        <f>_xlfn.IFNA(VLOOKUP(A32,'Anlage 1b_Abzüge, Pflicht, Boni'!$A$9:$D$94,4,FALSE),0)</f>
        <v>0</v>
      </c>
      <c r="F32" s="95">
        <f t="shared" si="2"/>
        <v>144844.57</v>
      </c>
      <c r="G32" s="95">
        <f>SUMIFS('Anlage 1c_Korrekturen_NB'!$L$11:$L$78,'Anlage 1c_Korrekturen_NB'!$A$11:$A$78,'Anlage 3a_Zusammenfassung_KWKG'!$A32)</f>
        <v>0</v>
      </c>
      <c r="H32" s="144">
        <f>SUMIFS('Anlage 1c_Korrekturen_NB'!$D$610:$D$676,'Anlage 1c_Korrekturen_NB'!$A$610:$A$676,'Anlage 3a_Zusammenfassung_KWKG'!$A32)</f>
        <v>0</v>
      </c>
      <c r="I32" s="1091">
        <f t="shared" si="1"/>
        <v>0</v>
      </c>
      <c r="J32" s="98"/>
      <c r="K32" s="12"/>
      <c r="L32" s="12"/>
    </row>
    <row r="33" spans="1:12" hidden="1" outlineLevel="1">
      <c r="A33" s="454" t="s">
        <v>136</v>
      </c>
      <c r="B33" s="544">
        <f>VLOOKUP($A33,'Anlage 1a_Zuschlagszahlungen_NB'!$A$868:$E$1595,5,0)</f>
        <v>613728.81000000006</v>
      </c>
      <c r="C33" s="95">
        <f>_xlfn.IFNA(VLOOKUP($A33,'Anlage 1b_Abzüge, Pflicht, Boni'!$A$9:$D$94,2,FALSE),0)</f>
        <v>0</v>
      </c>
      <c r="D33" s="95">
        <f>_xlfn.IFNA(VLOOKUP(A33,'Anlage 1b_Abzüge, Pflicht, Boni'!$A$9:$D$94,3,FALSE),0)</f>
        <v>0</v>
      </c>
      <c r="E33" s="95">
        <f>_xlfn.IFNA(VLOOKUP(A33,'Anlage 1b_Abzüge, Pflicht, Boni'!$A$9:$D$94,4,FALSE),0)</f>
        <v>0</v>
      </c>
      <c r="F33" s="95">
        <f t="shared" si="2"/>
        <v>613728.81000000006</v>
      </c>
      <c r="G33" s="95">
        <f>SUMIFS('Anlage 1c_Korrekturen_NB'!$L$11:$L$78,'Anlage 1c_Korrekturen_NB'!$A$11:$A$78,'Anlage 3a_Zusammenfassung_KWKG'!$A33)</f>
        <v>2153.4499999999998</v>
      </c>
      <c r="H33" s="144">
        <f>SUMIFS('Anlage 1c_Korrekturen_NB'!$D$610:$D$676,'Anlage 1c_Korrekturen_NB'!$A$610:$A$676,'Anlage 3a_Zusammenfassung_KWKG'!$A33)</f>
        <v>0</v>
      </c>
      <c r="I33" s="1091">
        <f t="shared" si="1"/>
        <v>2153.4499999999998</v>
      </c>
      <c r="J33" s="98"/>
      <c r="K33" s="12"/>
      <c r="L33" s="12"/>
    </row>
    <row r="34" spans="1:12" hidden="1" outlineLevel="1">
      <c r="A34" s="454" t="s">
        <v>138</v>
      </c>
      <c r="B34" s="544">
        <f>VLOOKUP($A34,'Anlage 1a_Zuschlagszahlungen_NB'!$A$868:$E$1595,5,0)</f>
        <v>110458.25</v>
      </c>
      <c r="C34" s="95">
        <f>_xlfn.IFNA(VLOOKUP($A34,'Anlage 1b_Abzüge, Pflicht, Boni'!$A$9:$D$94,2,FALSE),0)</f>
        <v>-2725.4</v>
      </c>
      <c r="D34" s="95">
        <f>_xlfn.IFNA(VLOOKUP(A34,'Anlage 1b_Abzüge, Pflicht, Boni'!$A$9:$D$94,3,FALSE),0)</f>
        <v>0</v>
      </c>
      <c r="E34" s="95">
        <f>_xlfn.IFNA(VLOOKUP(A34,'Anlage 1b_Abzüge, Pflicht, Boni'!$A$9:$D$94,4,FALSE),0)</f>
        <v>0</v>
      </c>
      <c r="F34" s="95">
        <f t="shared" si="2"/>
        <v>107732.85</v>
      </c>
      <c r="G34" s="95">
        <f>SUMIFS('Anlage 1c_Korrekturen_NB'!$L$11:$L$78,'Anlage 1c_Korrekturen_NB'!$A$11:$A$78,'Anlage 3a_Zusammenfassung_KWKG'!$A34)</f>
        <v>0</v>
      </c>
      <c r="H34" s="144">
        <f>SUMIFS('Anlage 1c_Korrekturen_NB'!$D$610:$D$676,'Anlage 1c_Korrekturen_NB'!$A$610:$A$676,'Anlage 3a_Zusammenfassung_KWKG'!$A34)</f>
        <v>0</v>
      </c>
      <c r="I34" s="1091">
        <f t="shared" si="1"/>
        <v>0</v>
      </c>
      <c r="J34" s="98"/>
      <c r="K34" s="12"/>
      <c r="L34" s="12"/>
    </row>
    <row r="35" spans="1:12" hidden="1" outlineLevel="1">
      <c r="A35" s="454" t="s">
        <v>140</v>
      </c>
      <c r="B35" s="544">
        <f>VLOOKUP($A35,'Anlage 1a_Zuschlagszahlungen_NB'!$A$868:$E$1595,5,0)</f>
        <v>31190.199999999997</v>
      </c>
      <c r="C35" s="95">
        <f>_xlfn.IFNA(VLOOKUP($A35,'Anlage 1b_Abzüge, Pflicht, Boni'!$A$9:$D$94,2,FALSE),0)</f>
        <v>0</v>
      </c>
      <c r="D35" s="95">
        <f>_xlfn.IFNA(VLOOKUP(A35,'Anlage 1b_Abzüge, Pflicht, Boni'!$A$9:$D$94,3,FALSE),0)</f>
        <v>0</v>
      </c>
      <c r="E35" s="95">
        <f>_xlfn.IFNA(VLOOKUP(A35,'Anlage 1b_Abzüge, Pflicht, Boni'!$A$9:$D$94,4,FALSE),0)</f>
        <v>0</v>
      </c>
      <c r="F35" s="95">
        <f t="shared" si="2"/>
        <v>31190.199999999997</v>
      </c>
      <c r="G35" s="95">
        <f>SUMIFS('Anlage 1c_Korrekturen_NB'!$L$11:$L$78,'Anlage 1c_Korrekturen_NB'!$A$11:$A$78,'Anlage 3a_Zusammenfassung_KWKG'!$A35)</f>
        <v>0</v>
      </c>
      <c r="H35" s="144">
        <f>SUMIFS('Anlage 1c_Korrekturen_NB'!$D$610:$D$676,'Anlage 1c_Korrekturen_NB'!$A$610:$A$676,'Anlage 3a_Zusammenfassung_KWKG'!$A35)</f>
        <v>0</v>
      </c>
      <c r="I35" s="1091">
        <f t="shared" si="1"/>
        <v>0</v>
      </c>
      <c r="J35" s="98"/>
      <c r="K35" s="12"/>
      <c r="L35" s="12"/>
    </row>
    <row r="36" spans="1:12" hidden="1" outlineLevel="1">
      <c r="A36" s="454" t="s">
        <v>142</v>
      </c>
      <c r="B36" s="544">
        <f>VLOOKUP($A36,'Anlage 1a_Zuschlagszahlungen_NB'!$A$868:$E$1595,5,0)</f>
        <v>36552.15</v>
      </c>
      <c r="C36" s="95">
        <f>_xlfn.IFNA(VLOOKUP($A36,'Anlage 1b_Abzüge, Pflicht, Boni'!$A$9:$D$94,2,FALSE),0)</f>
        <v>0</v>
      </c>
      <c r="D36" s="95">
        <f>_xlfn.IFNA(VLOOKUP(A36,'Anlage 1b_Abzüge, Pflicht, Boni'!$A$9:$D$94,3,FALSE),0)</f>
        <v>0</v>
      </c>
      <c r="E36" s="95">
        <f>_xlfn.IFNA(VLOOKUP(A36,'Anlage 1b_Abzüge, Pflicht, Boni'!$A$9:$D$94,4,FALSE),0)</f>
        <v>0</v>
      </c>
      <c r="F36" s="95">
        <f t="shared" si="2"/>
        <v>36552.15</v>
      </c>
      <c r="G36" s="95">
        <f>SUMIFS('Anlage 1c_Korrekturen_NB'!$L$11:$L$78,'Anlage 1c_Korrekturen_NB'!$A$11:$A$78,'Anlage 3a_Zusammenfassung_KWKG'!$A36)</f>
        <v>0</v>
      </c>
      <c r="H36" s="144">
        <f>SUMIFS('Anlage 1c_Korrekturen_NB'!$D$610:$D$676,'Anlage 1c_Korrekturen_NB'!$A$610:$A$676,'Anlage 3a_Zusammenfassung_KWKG'!$A36)</f>
        <v>0</v>
      </c>
      <c r="I36" s="1091">
        <f t="shared" si="1"/>
        <v>0</v>
      </c>
      <c r="J36" s="98"/>
      <c r="K36" s="12"/>
      <c r="L36" s="12"/>
    </row>
    <row r="37" spans="1:12" hidden="1" outlineLevel="1">
      <c r="A37" s="454" t="s">
        <v>144</v>
      </c>
      <c r="B37" s="544">
        <f>VLOOKUP($A37,'Anlage 1a_Zuschlagszahlungen_NB'!$A$868:$E$1595,5,0)</f>
        <v>387105.64</v>
      </c>
      <c r="C37" s="95">
        <f>_xlfn.IFNA(VLOOKUP($A37,'Anlage 1b_Abzüge, Pflicht, Boni'!$A$9:$D$94,2,FALSE),0)</f>
        <v>-30.53</v>
      </c>
      <c r="D37" s="95">
        <f>_xlfn.IFNA(VLOOKUP(A37,'Anlage 1b_Abzüge, Pflicht, Boni'!$A$9:$D$94,3,FALSE),0)</f>
        <v>0</v>
      </c>
      <c r="E37" s="95">
        <f>_xlfn.IFNA(VLOOKUP(A37,'Anlage 1b_Abzüge, Pflicht, Boni'!$A$9:$D$94,4,FALSE),0)</f>
        <v>0</v>
      </c>
      <c r="F37" s="95">
        <f t="shared" si="2"/>
        <v>387075.11</v>
      </c>
      <c r="G37" s="95">
        <f>SUMIFS('Anlage 1c_Korrekturen_NB'!$L$11:$L$78,'Anlage 1c_Korrekturen_NB'!$A$11:$A$78,'Anlage 3a_Zusammenfassung_KWKG'!$A37)</f>
        <v>0</v>
      </c>
      <c r="H37" s="144">
        <f>SUMIFS('Anlage 1c_Korrekturen_NB'!$D$610:$D$676,'Anlage 1c_Korrekturen_NB'!$A$610:$A$676,'Anlage 3a_Zusammenfassung_KWKG'!$A37)</f>
        <v>0</v>
      </c>
      <c r="I37" s="1091">
        <f t="shared" si="1"/>
        <v>0</v>
      </c>
      <c r="J37" s="98"/>
      <c r="K37" s="12"/>
      <c r="L37" s="12"/>
    </row>
    <row r="38" spans="1:12" hidden="1" outlineLevel="1">
      <c r="A38" s="454" t="s">
        <v>146</v>
      </c>
      <c r="B38" s="544">
        <f>VLOOKUP($A38,'Anlage 1a_Zuschlagszahlungen_NB'!$A$868:$E$1595,5,0)</f>
        <v>359667.13</v>
      </c>
      <c r="C38" s="95">
        <f>_xlfn.IFNA(VLOOKUP($A38,'Anlage 1b_Abzüge, Pflicht, Boni'!$A$9:$D$94,2,FALSE),0)</f>
        <v>-13862.38</v>
      </c>
      <c r="D38" s="95">
        <f>_xlfn.IFNA(VLOOKUP(A38,'Anlage 1b_Abzüge, Pflicht, Boni'!$A$9:$D$94,3,FALSE),0)</f>
        <v>0</v>
      </c>
      <c r="E38" s="95">
        <f>_xlfn.IFNA(VLOOKUP(A38,'Anlage 1b_Abzüge, Pflicht, Boni'!$A$9:$D$94,4,FALSE),0)</f>
        <v>0</v>
      </c>
      <c r="F38" s="95">
        <f t="shared" si="2"/>
        <v>345804.75</v>
      </c>
      <c r="G38" s="95">
        <f>SUMIFS('Anlage 1c_Korrekturen_NB'!$L$11:$L$78,'Anlage 1c_Korrekturen_NB'!$A$11:$A$78,'Anlage 3a_Zusammenfassung_KWKG'!$A38)</f>
        <v>0</v>
      </c>
      <c r="H38" s="144">
        <f>SUMIFS('Anlage 1c_Korrekturen_NB'!$D$610:$D$676,'Anlage 1c_Korrekturen_NB'!$A$610:$A$676,'Anlage 3a_Zusammenfassung_KWKG'!$A38)</f>
        <v>0</v>
      </c>
      <c r="I38" s="1091">
        <f t="shared" si="1"/>
        <v>0</v>
      </c>
      <c r="J38" s="98"/>
      <c r="K38" s="12"/>
      <c r="L38" s="12"/>
    </row>
    <row r="39" spans="1:12" hidden="1" outlineLevel="1">
      <c r="A39" s="454" t="s">
        <v>148</v>
      </c>
      <c r="B39" s="544">
        <f>VLOOKUP($A39,'Anlage 1a_Zuschlagszahlungen_NB'!$A$868:$E$1595,5,0)</f>
        <v>136010.63</v>
      </c>
      <c r="C39" s="95">
        <f>_xlfn.IFNA(VLOOKUP($A39,'Anlage 1b_Abzüge, Pflicht, Boni'!$A$9:$D$94,2,FALSE),0)</f>
        <v>0</v>
      </c>
      <c r="D39" s="95">
        <f>_xlfn.IFNA(VLOOKUP(A39,'Anlage 1b_Abzüge, Pflicht, Boni'!$A$9:$D$94,3,FALSE),0)</f>
        <v>0</v>
      </c>
      <c r="E39" s="95">
        <f>_xlfn.IFNA(VLOOKUP(A39,'Anlage 1b_Abzüge, Pflicht, Boni'!$A$9:$D$94,4,FALSE),0)</f>
        <v>0</v>
      </c>
      <c r="F39" s="95">
        <f t="shared" si="2"/>
        <v>136010.63</v>
      </c>
      <c r="G39" s="95">
        <f>SUMIFS('Anlage 1c_Korrekturen_NB'!$L$11:$L$78,'Anlage 1c_Korrekturen_NB'!$A$11:$A$78,'Anlage 3a_Zusammenfassung_KWKG'!$A39)</f>
        <v>0</v>
      </c>
      <c r="H39" s="144">
        <f>SUMIFS('Anlage 1c_Korrekturen_NB'!$D$610:$D$676,'Anlage 1c_Korrekturen_NB'!$A$610:$A$676,'Anlage 3a_Zusammenfassung_KWKG'!$A39)</f>
        <v>0</v>
      </c>
      <c r="I39" s="1091">
        <f t="shared" ref="I39:I70" si="3">G39+H39</f>
        <v>0</v>
      </c>
      <c r="J39" s="98"/>
      <c r="K39" s="12"/>
      <c r="L39" s="12"/>
    </row>
    <row r="40" spans="1:12" hidden="1" outlineLevel="1">
      <c r="A40" s="454" t="s">
        <v>150</v>
      </c>
      <c r="B40" s="544">
        <f>VLOOKUP($A40,'Anlage 1a_Zuschlagszahlungen_NB'!$A$868:$E$1595,5,0)</f>
        <v>1052016.22</v>
      </c>
      <c r="C40" s="95">
        <f>_xlfn.IFNA(VLOOKUP($A40,'Anlage 1b_Abzüge, Pflicht, Boni'!$A$9:$D$94,2,FALSE),0)</f>
        <v>0</v>
      </c>
      <c r="D40" s="95">
        <f>_xlfn.IFNA(VLOOKUP(A40,'Anlage 1b_Abzüge, Pflicht, Boni'!$A$9:$D$94,3,FALSE),0)</f>
        <v>0</v>
      </c>
      <c r="E40" s="95">
        <f>_xlfn.IFNA(VLOOKUP(A40,'Anlage 1b_Abzüge, Pflicht, Boni'!$A$9:$D$94,4,FALSE),0)</f>
        <v>0</v>
      </c>
      <c r="F40" s="95">
        <f t="shared" si="2"/>
        <v>1052016.22</v>
      </c>
      <c r="G40" s="95">
        <f>SUMIFS('Anlage 1c_Korrekturen_NB'!$L$11:$L$78,'Anlage 1c_Korrekturen_NB'!$A$11:$A$78,'Anlage 3a_Zusammenfassung_KWKG'!$A40)</f>
        <v>0</v>
      </c>
      <c r="H40" s="144">
        <f>SUMIFS('Anlage 1c_Korrekturen_NB'!$D$610:$D$676,'Anlage 1c_Korrekturen_NB'!$A$610:$A$676,'Anlage 3a_Zusammenfassung_KWKG'!$A40)</f>
        <v>0</v>
      </c>
      <c r="I40" s="1091">
        <f t="shared" si="3"/>
        <v>0</v>
      </c>
      <c r="J40" s="98"/>
      <c r="K40" s="12"/>
      <c r="L40" s="12"/>
    </row>
    <row r="41" spans="1:12" hidden="1" outlineLevel="1">
      <c r="A41" s="454" t="s">
        <v>152</v>
      </c>
      <c r="B41" s="544">
        <f>VLOOKUP($A41,'Anlage 1a_Zuschlagszahlungen_NB'!$A$868:$E$1595,5,0)</f>
        <v>3042.4300000000003</v>
      </c>
      <c r="C41" s="95">
        <f>_xlfn.IFNA(VLOOKUP($A41,'Anlage 1b_Abzüge, Pflicht, Boni'!$A$9:$D$94,2,FALSE),0)</f>
        <v>0</v>
      </c>
      <c r="D41" s="95">
        <f>_xlfn.IFNA(VLOOKUP(A41,'Anlage 1b_Abzüge, Pflicht, Boni'!$A$9:$D$94,3,FALSE),0)</f>
        <v>0</v>
      </c>
      <c r="E41" s="95">
        <f>_xlfn.IFNA(VLOOKUP(A41,'Anlage 1b_Abzüge, Pflicht, Boni'!$A$9:$D$94,4,FALSE),0)</f>
        <v>0</v>
      </c>
      <c r="F41" s="95">
        <f t="shared" ref="F41:F72" si="4">SUM(B41:E41)</f>
        <v>3042.4300000000003</v>
      </c>
      <c r="G41" s="95">
        <f>SUMIFS('Anlage 1c_Korrekturen_NB'!$L$11:$L$78,'Anlage 1c_Korrekturen_NB'!$A$11:$A$78,'Anlage 3a_Zusammenfassung_KWKG'!$A41)</f>
        <v>0</v>
      </c>
      <c r="H41" s="144">
        <f>SUMIFS('Anlage 1c_Korrekturen_NB'!$D$610:$D$676,'Anlage 1c_Korrekturen_NB'!$A$610:$A$676,'Anlage 3a_Zusammenfassung_KWKG'!$A41)</f>
        <v>0</v>
      </c>
      <c r="I41" s="1091">
        <f t="shared" si="3"/>
        <v>0</v>
      </c>
      <c r="J41" s="98"/>
      <c r="K41" s="12"/>
      <c r="L41" s="12"/>
    </row>
    <row r="42" spans="1:12" hidden="1" outlineLevel="1">
      <c r="A42" s="454" t="s">
        <v>154</v>
      </c>
      <c r="B42" s="544">
        <f>VLOOKUP($A42,'Anlage 1a_Zuschlagszahlungen_NB'!$A$868:$E$1595,5,0)</f>
        <v>4139167.28</v>
      </c>
      <c r="C42" s="95">
        <f>_xlfn.IFNA(VLOOKUP($A42,'Anlage 1b_Abzüge, Pflicht, Boni'!$A$9:$D$94,2,FALSE),0)</f>
        <v>0</v>
      </c>
      <c r="D42" s="95">
        <f>_xlfn.IFNA(VLOOKUP(A42,'Anlage 1b_Abzüge, Pflicht, Boni'!$A$9:$D$94,3,FALSE),0)</f>
        <v>0</v>
      </c>
      <c r="E42" s="95">
        <f>_xlfn.IFNA(VLOOKUP(A42,'Anlage 1b_Abzüge, Pflicht, Boni'!$A$9:$D$94,4,FALSE),0)</f>
        <v>0</v>
      </c>
      <c r="F42" s="95">
        <f t="shared" si="4"/>
        <v>4139167.28</v>
      </c>
      <c r="G42" s="95">
        <f>SUMIFS('Anlage 1c_Korrekturen_NB'!$L$11:$L$78,'Anlage 1c_Korrekturen_NB'!$A$11:$A$78,'Anlage 3a_Zusammenfassung_KWKG'!$A42)</f>
        <v>0</v>
      </c>
      <c r="H42" s="144">
        <f>SUMIFS('Anlage 1c_Korrekturen_NB'!$D$610:$D$676,'Anlage 1c_Korrekturen_NB'!$A$610:$A$676,'Anlage 3a_Zusammenfassung_KWKG'!$A42)</f>
        <v>0</v>
      </c>
      <c r="I42" s="1091">
        <f t="shared" si="3"/>
        <v>0</v>
      </c>
      <c r="J42" s="98"/>
      <c r="K42" s="12"/>
      <c r="L42" s="12"/>
    </row>
    <row r="43" spans="1:12" hidden="1" outlineLevel="1">
      <c r="A43" s="454" t="s">
        <v>156</v>
      </c>
      <c r="B43" s="544">
        <f>VLOOKUP($A43,'Anlage 1a_Zuschlagszahlungen_NB'!$A$868:$E$1595,5,0)</f>
        <v>192968.50999999998</v>
      </c>
      <c r="C43" s="95">
        <f>_xlfn.IFNA(VLOOKUP($A43,'Anlage 1b_Abzüge, Pflicht, Boni'!$A$9:$D$94,2,FALSE),0)</f>
        <v>0</v>
      </c>
      <c r="D43" s="95">
        <f>_xlfn.IFNA(VLOOKUP(A43,'Anlage 1b_Abzüge, Pflicht, Boni'!$A$9:$D$94,3,FALSE),0)</f>
        <v>0</v>
      </c>
      <c r="E43" s="95">
        <f>_xlfn.IFNA(VLOOKUP(A43,'Anlage 1b_Abzüge, Pflicht, Boni'!$A$9:$D$94,4,FALSE),0)</f>
        <v>0</v>
      </c>
      <c r="F43" s="95">
        <f t="shared" si="4"/>
        <v>192968.50999999998</v>
      </c>
      <c r="G43" s="95">
        <f>SUMIFS('Anlage 1c_Korrekturen_NB'!$L$11:$L$78,'Anlage 1c_Korrekturen_NB'!$A$11:$A$78,'Anlage 3a_Zusammenfassung_KWKG'!$A43)</f>
        <v>0</v>
      </c>
      <c r="H43" s="144">
        <f>SUMIFS('Anlage 1c_Korrekturen_NB'!$D$610:$D$676,'Anlage 1c_Korrekturen_NB'!$A$610:$A$676,'Anlage 3a_Zusammenfassung_KWKG'!$A43)</f>
        <v>0</v>
      </c>
      <c r="I43" s="1091">
        <f t="shared" si="3"/>
        <v>0</v>
      </c>
      <c r="J43" s="98"/>
      <c r="K43" s="12"/>
      <c r="L43" s="12"/>
    </row>
    <row r="44" spans="1:12" hidden="1" outlineLevel="1">
      <c r="A44" s="454" t="s">
        <v>158</v>
      </c>
      <c r="B44" s="544">
        <f>VLOOKUP($A44,'Anlage 1a_Zuschlagszahlungen_NB'!$A$868:$E$1595,5,0)</f>
        <v>761049.47</v>
      </c>
      <c r="C44" s="95">
        <f>_xlfn.IFNA(VLOOKUP($A44,'Anlage 1b_Abzüge, Pflicht, Boni'!$A$9:$D$94,2,FALSE),0)</f>
        <v>0</v>
      </c>
      <c r="D44" s="95">
        <f>_xlfn.IFNA(VLOOKUP(A44,'Anlage 1b_Abzüge, Pflicht, Boni'!$A$9:$D$94,3,FALSE),0)</f>
        <v>0</v>
      </c>
      <c r="E44" s="95">
        <f>_xlfn.IFNA(VLOOKUP(A44,'Anlage 1b_Abzüge, Pflicht, Boni'!$A$9:$D$94,4,FALSE),0)</f>
        <v>0</v>
      </c>
      <c r="F44" s="95">
        <f t="shared" si="4"/>
        <v>761049.47</v>
      </c>
      <c r="G44" s="95">
        <f>SUMIFS('Anlage 1c_Korrekturen_NB'!$L$11:$L$78,'Anlage 1c_Korrekturen_NB'!$A$11:$A$78,'Anlage 3a_Zusammenfassung_KWKG'!$A44)</f>
        <v>0</v>
      </c>
      <c r="H44" s="144">
        <f>SUMIFS('Anlage 1c_Korrekturen_NB'!$D$610:$D$676,'Anlage 1c_Korrekturen_NB'!$A$610:$A$676,'Anlage 3a_Zusammenfassung_KWKG'!$A44)</f>
        <v>0</v>
      </c>
      <c r="I44" s="1091">
        <f t="shared" si="3"/>
        <v>0</v>
      </c>
      <c r="J44" s="98"/>
      <c r="K44" s="12"/>
      <c r="L44" s="12"/>
    </row>
    <row r="45" spans="1:12" hidden="1" outlineLevel="1">
      <c r="A45" s="454" t="s">
        <v>160</v>
      </c>
      <c r="B45" s="544">
        <f>VLOOKUP($A45,'Anlage 1a_Zuschlagszahlungen_NB'!$A$868:$E$1595,5,0)</f>
        <v>94891.85</v>
      </c>
      <c r="C45" s="95">
        <f>_xlfn.IFNA(VLOOKUP($A45,'Anlage 1b_Abzüge, Pflicht, Boni'!$A$9:$D$94,2,FALSE),0)</f>
        <v>0</v>
      </c>
      <c r="D45" s="95">
        <f>_xlfn.IFNA(VLOOKUP(A45,'Anlage 1b_Abzüge, Pflicht, Boni'!$A$9:$D$94,3,FALSE),0)</f>
        <v>0</v>
      </c>
      <c r="E45" s="95">
        <f>_xlfn.IFNA(VLOOKUP(A45,'Anlage 1b_Abzüge, Pflicht, Boni'!$A$9:$D$94,4,FALSE),0)</f>
        <v>0</v>
      </c>
      <c r="F45" s="95">
        <f t="shared" si="4"/>
        <v>94891.85</v>
      </c>
      <c r="G45" s="95">
        <f>SUMIFS('Anlage 1c_Korrekturen_NB'!$L$11:$L$78,'Anlage 1c_Korrekturen_NB'!$A$11:$A$78,'Anlage 3a_Zusammenfassung_KWKG'!$A45)</f>
        <v>0</v>
      </c>
      <c r="H45" s="144">
        <f>SUMIFS('Anlage 1c_Korrekturen_NB'!$D$610:$D$676,'Anlage 1c_Korrekturen_NB'!$A$610:$A$676,'Anlage 3a_Zusammenfassung_KWKG'!$A45)</f>
        <v>0</v>
      </c>
      <c r="I45" s="1091">
        <f t="shared" si="3"/>
        <v>0</v>
      </c>
      <c r="J45" s="98"/>
      <c r="K45" s="12"/>
      <c r="L45" s="12"/>
    </row>
    <row r="46" spans="1:12" hidden="1" outlineLevel="1">
      <c r="A46" s="454" t="s">
        <v>162</v>
      </c>
      <c r="B46" s="544">
        <f>VLOOKUP($A46,'Anlage 1a_Zuschlagszahlungen_NB'!$A$868:$E$1595,5,0)</f>
        <v>2513.61</v>
      </c>
      <c r="C46" s="95">
        <f>_xlfn.IFNA(VLOOKUP($A46,'Anlage 1b_Abzüge, Pflicht, Boni'!$A$9:$D$94,2,FALSE),0)</f>
        <v>0</v>
      </c>
      <c r="D46" s="95">
        <f>_xlfn.IFNA(VLOOKUP(A46,'Anlage 1b_Abzüge, Pflicht, Boni'!$A$9:$D$94,3,FALSE),0)</f>
        <v>0</v>
      </c>
      <c r="E46" s="95">
        <f>_xlfn.IFNA(VLOOKUP(A46,'Anlage 1b_Abzüge, Pflicht, Boni'!$A$9:$D$94,4,FALSE),0)</f>
        <v>0</v>
      </c>
      <c r="F46" s="95">
        <f t="shared" si="4"/>
        <v>2513.61</v>
      </c>
      <c r="G46" s="95">
        <f>SUMIFS('Anlage 1c_Korrekturen_NB'!$L$11:$L$78,'Anlage 1c_Korrekturen_NB'!$A$11:$A$78,'Anlage 3a_Zusammenfassung_KWKG'!$A46)</f>
        <v>0</v>
      </c>
      <c r="H46" s="144">
        <f>SUMIFS('Anlage 1c_Korrekturen_NB'!$D$610:$D$676,'Anlage 1c_Korrekturen_NB'!$A$610:$A$676,'Anlage 3a_Zusammenfassung_KWKG'!$A46)</f>
        <v>0</v>
      </c>
      <c r="I46" s="1091">
        <f t="shared" si="3"/>
        <v>0</v>
      </c>
      <c r="J46" s="98"/>
      <c r="K46" s="12"/>
      <c r="L46" s="12"/>
    </row>
    <row r="47" spans="1:12" hidden="1" outlineLevel="1">
      <c r="A47" s="454" t="s">
        <v>164</v>
      </c>
      <c r="B47" s="544">
        <f>VLOOKUP($A47,'Anlage 1a_Zuschlagszahlungen_NB'!$A$868:$E$1595,5,0)</f>
        <v>87064.21</v>
      </c>
      <c r="C47" s="95">
        <f>_xlfn.IFNA(VLOOKUP($A47,'Anlage 1b_Abzüge, Pflicht, Boni'!$A$9:$D$94,2,FALSE),0)</f>
        <v>0</v>
      </c>
      <c r="D47" s="95">
        <f>_xlfn.IFNA(VLOOKUP(A47,'Anlage 1b_Abzüge, Pflicht, Boni'!$A$9:$D$94,3,FALSE),0)</f>
        <v>0</v>
      </c>
      <c r="E47" s="95">
        <f>_xlfn.IFNA(VLOOKUP(A47,'Anlage 1b_Abzüge, Pflicht, Boni'!$A$9:$D$94,4,FALSE),0)</f>
        <v>0</v>
      </c>
      <c r="F47" s="95">
        <f t="shared" si="4"/>
        <v>87064.21</v>
      </c>
      <c r="G47" s="95">
        <f>SUMIFS('Anlage 1c_Korrekturen_NB'!$L$11:$L$78,'Anlage 1c_Korrekturen_NB'!$A$11:$A$78,'Anlage 3a_Zusammenfassung_KWKG'!$A47)</f>
        <v>0</v>
      </c>
      <c r="H47" s="144">
        <f>SUMIFS('Anlage 1c_Korrekturen_NB'!$D$610:$D$676,'Anlage 1c_Korrekturen_NB'!$A$610:$A$676,'Anlage 3a_Zusammenfassung_KWKG'!$A47)</f>
        <v>0</v>
      </c>
      <c r="I47" s="1091">
        <f t="shared" si="3"/>
        <v>0</v>
      </c>
      <c r="J47" s="98"/>
      <c r="K47" s="12"/>
      <c r="L47" s="12"/>
    </row>
    <row r="48" spans="1:12" hidden="1" outlineLevel="1">
      <c r="A48" s="454" t="s">
        <v>166</v>
      </c>
      <c r="B48" s="544">
        <f>VLOOKUP($A48,'Anlage 1a_Zuschlagszahlungen_NB'!$A$868:$E$1595,5,0)</f>
        <v>601968.29000000015</v>
      </c>
      <c r="C48" s="95">
        <f>_xlfn.IFNA(VLOOKUP($A48,'Anlage 1b_Abzüge, Pflicht, Boni'!$A$9:$D$94,2,FALSE),0)</f>
        <v>0</v>
      </c>
      <c r="D48" s="95">
        <f>_xlfn.IFNA(VLOOKUP(A48,'Anlage 1b_Abzüge, Pflicht, Boni'!$A$9:$D$94,3,FALSE),0)</f>
        <v>0</v>
      </c>
      <c r="E48" s="95">
        <f>_xlfn.IFNA(VLOOKUP(A48,'Anlage 1b_Abzüge, Pflicht, Boni'!$A$9:$D$94,4,FALSE),0)</f>
        <v>0</v>
      </c>
      <c r="F48" s="95">
        <f t="shared" si="4"/>
        <v>601968.29000000015</v>
      </c>
      <c r="G48" s="95">
        <f>SUMIFS('Anlage 1c_Korrekturen_NB'!$L$11:$L$78,'Anlage 1c_Korrekturen_NB'!$A$11:$A$78,'Anlage 3a_Zusammenfassung_KWKG'!$A48)</f>
        <v>3837.3599999999997</v>
      </c>
      <c r="H48" s="144">
        <f>SUMIFS('Anlage 1c_Korrekturen_NB'!$D$610:$D$676,'Anlage 1c_Korrekturen_NB'!$A$610:$A$676,'Anlage 3a_Zusammenfassung_KWKG'!$A48)</f>
        <v>0</v>
      </c>
      <c r="I48" s="1091">
        <f t="shared" si="3"/>
        <v>3837.3599999999997</v>
      </c>
      <c r="J48" s="98"/>
      <c r="K48" s="12"/>
      <c r="L48" s="12"/>
    </row>
    <row r="49" spans="1:12" hidden="1" outlineLevel="1">
      <c r="A49" s="454" t="s">
        <v>168</v>
      </c>
      <c r="B49" s="544">
        <f>VLOOKUP($A49,'Anlage 1a_Zuschlagszahlungen_NB'!$A$868:$E$1595,5,0)</f>
        <v>252193.90999999992</v>
      </c>
      <c r="C49" s="95">
        <f>_xlfn.IFNA(VLOOKUP($A49,'Anlage 1b_Abzüge, Pflicht, Boni'!$A$9:$D$94,2,FALSE),0)</f>
        <v>0</v>
      </c>
      <c r="D49" s="95">
        <f>_xlfn.IFNA(VLOOKUP(A49,'Anlage 1b_Abzüge, Pflicht, Boni'!$A$9:$D$94,3,FALSE),0)</f>
        <v>0</v>
      </c>
      <c r="E49" s="95">
        <f>_xlfn.IFNA(VLOOKUP(A49,'Anlage 1b_Abzüge, Pflicht, Boni'!$A$9:$D$94,4,FALSE),0)</f>
        <v>0</v>
      </c>
      <c r="F49" s="95">
        <f t="shared" si="4"/>
        <v>252193.90999999992</v>
      </c>
      <c r="G49" s="95">
        <f>SUMIFS('Anlage 1c_Korrekturen_NB'!$L$11:$L$78,'Anlage 1c_Korrekturen_NB'!$A$11:$A$78,'Anlage 3a_Zusammenfassung_KWKG'!$A49)</f>
        <v>0</v>
      </c>
      <c r="H49" s="144">
        <f>SUMIFS('Anlage 1c_Korrekturen_NB'!$D$610:$D$676,'Anlage 1c_Korrekturen_NB'!$A$610:$A$676,'Anlage 3a_Zusammenfassung_KWKG'!$A49)</f>
        <v>0</v>
      </c>
      <c r="I49" s="1091">
        <f t="shared" si="3"/>
        <v>0</v>
      </c>
      <c r="J49" s="98"/>
      <c r="K49" s="12"/>
      <c r="L49" s="12"/>
    </row>
    <row r="50" spans="1:12" hidden="1" outlineLevel="1">
      <c r="A50" s="454" t="s">
        <v>170</v>
      </c>
      <c r="B50" s="544">
        <f>VLOOKUP($A50,'Anlage 1a_Zuschlagszahlungen_NB'!$A$868:$E$1595,5,0)</f>
        <v>71431.08</v>
      </c>
      <c r="C50" s="95">
        <f>_xlfn.IFNA(VLOOKUP($A50,'Anlage 1b_Abzüge, Pflicht, Boni'!$A$9:$D$94,2,FALSE),0)</f>
        <v>0</v>
      </c>
      <c r="D50" s="95">
        <f>_xlfn.IFNA(VLOOKUP(A50,'Anlage 1b_Abzüge, Pflicht, Boni'!$A$9:$D$94,3,FALSE),0)</f>
        <v>0</v>
      </c>
      <c r="E50" s="95">
        <f>_xlfn.IFNA(VLOOKUP(A50,'Anlage 1b_Abzüge, Pflicht, Boni'!$A$9:$D$94,4,FALSE),0)</f>
        <v>0</v>
      </c>
      <c r="F50" s="95">
        <f t="shared" si="4"/>
        <v>71431.08</v>
      </c>
      <c r="G50" s="95">
        <f>SUMIFS('Anlage 1c_Korrekturen_NB'!$L$11:$L$78,'Anlage 1c_Korrekturen_NB'!$A$11:$A$78,'Anlage 3a_Zusammenfassung_KWKG'!$A50)</f>
        <v>0</v>
      </c>
      <c r="H50" s="144">
        <f>SUMIFS('Anlage 1c_Korrekturen_NB'!$D$610:$D$676,'Anlage 1c_Korrekturen_NB'!$A$610:$A$676,'Anlage 3a_Zusammenfassung_KWKG'!$A50)</f>
        <v>0</v>
      </c>
      <c r="I50" s="1091">
        <f t="shared" si="3"/>
        <v>0</v>
      </c>
      <c r="J50" s="98"/>
      <c r="K50" s="12"/>
      <c r="L50" s="12"/>
    </row>
    <row r="51" spans="1:12" hidden="1" outlineLevel="1">
      <c r="A51" s="454" t="s">
        <v>172</v>
      </c>
      <c r="B51" s="544">
        <f>VLOOKUP($A51,'Anlage 1a_Zuschlagszahlungen_NB'!$A$868:$E$1595,5,0)</f>
        <v>0</v>
      </c>
      <c r="C51" s="95">
        <f>_xlfn.IFNA(VLOOKUP($A51,'Anlage 1b_Abzüge, Pflicht, Boni'!$A$9:$D$94,2,FALSE),0)</f>
        <v>0</v>
      </c>
      <c r="D51" s="95">
        <f>_xlfn.IFNA(VLOOKUP(A51,'Anlage 1b_Abzüge, Pflicht, Boni'!$A$9:$D$94,3,FALSE),0)</f>
        <v>0</v>
      </c>
      <c r="E51" s="95">
        <f>_xlfn.IFNA(VLOOKUP(A51,'Anlage 1b_Abzüge, Pflicht, Boni'!$A$9:$D$94,4,FALSE),0)</f>
        <v>0</v>
      </c>
      <c r="F51" s="95">
        <f t="shared" si="4"/>
        <v>0</v>
      </c>
      <c r="G51" s="95">
        <f>SUMIFS('Anlage 1c_Korrekturen_NB'!$L$11:$L$78,'Anlage 1c_Korrekturen_NB'!$A$11:$A$78,'Anlage 3a_Zusammenfassung_KWKG'!$A51)</f>
        <v>0</v>
      </c>
      <c r="H51" s="144">
        <f>SUMIFS('Anlage 1c_Korrekturen_NB'!$D$610:$D$676,'Anlage 1c_Korrekturen_NB'!$A$610:$A$676,'Anlage 3a_Zusammenfassung_KWKG'!$A51)</f>
        <v>0</v>
      </c>
      <c r="I51" s="1091">
        <f t="shared" si="3"/>
        <v>0</v>
      </c>
      <c r="J51" s="98"/>
      <c r="K51" s="12"/>
      <c r="L51" s="12"/>
    </row>
    <row r="52" spans="1:12" hidden="1" outlineLevel="1">
      <c r="A52" s="454" t="s">
        <v>174</v>
      </c>
      <c r="B52" s="544">
        <f>VLOOKUP($A52,'Anlage 1a_Zuschlagszahlungen_NB'!$A$868:$E$1595,5,0)</f>
        <v>0</v>
      </c>
      <c r="C52" s="95">
        <f>_xlfn.IFNA(VLOOKUP($A52,'Anlage 1b_Abzüge, Pflicht, Boni'!$A$9:$D$94,2,FALSE),0)</f>
        <v>0</v>
      </c>
      <c r="D52" s="95">
        <f>_xlfn.IFNA(VLOOKUP(A52,'Anlage 1b_Abzüge, Pflicht, Boni'!$A$9:$D$94,3,FALSE),0)</f>
        <v>0</v>
      </c>
      <c r="E52" s="95">
        <f>_xlfn.IFNA(VLOOKUP(A52,'Anlage 1b_Abzüge, Pflicht, Boni'!$A$9:$D$94,4,FALSE),0)</f>
        <v>0</v>
      </c>
      <c r="F52" s="95">
        <f t="shared" si="4"/>
        <v>0</v>
      </c>
      <c r="G52" s="95">
        <f>SUMIFS('Anlage 1c_Korrekturen_NB'!$L$11:$L$78,'Anlage 1c_Korrekturen_NB'!$A$11:$A$78,'Anlage 3a_Zusammenfassung_KWKG'!$A52)</f>
        <v>0</v>
      </c>
      <c r="H52" s="144">
        <f>SUMIFS('Anlage 1c_Korrekturen_NB'!$D$610:$D$676,'Anlage 1c_Korrekturen_NB'!$A$610:$A$676,'Anlage 3a_Zusammenfassung_KWKG'!$A52)</f>
        <v>0</v>
      </c>
      <c r="I52" s="1091">
        <f t="shared" si="3"/>
        <v>0</v>
      </c>
      <c r="J52" s="98"/>
      <c r="K52" s="12"/>
      <c r="L52" s="12"/>
    </row>
    <row r="53" spans="1:12" hidden="1" outlineLevel="1">
      <c r="A53" s="454" t="s">
        <v>176</v>
      </c>
      <c r="B53" s="544">
        <f>VLOOKUP($A53,'Anlage 1a_Zuschlagszahlungen_NB'!$A$868:$E$1595,5,0)</f>
        <v>5879852.2600000007</v>
      </c>
      <c r="C53" s="95">
        <f>_xlfn.IFNA(VLOOKUP($A53,'Anlage 1b_Abzüge, Pflicht, Boni'!$A$9:$D$94,2,FALSE),0)</f>
        <v>0</v>
      </c>
      <c r="D53" s="95">
        <f>_xlfn.IFNA(VLOOKUP(A53,'Anlage 1b_Abzüge, Pflicht, Boni'!$A$9:$D$94,3,FALSE),0)</f>
        <v>0</v>
      </c>
      <c r="E53" s="95">
        <f>_xlfn.IFNA(VLOOKUP(A53,'Anlage 1b_Abzüge, Pflicht, Boni'!$A$9:$D$94,4,FALSE),0)</f>
        <v>0</v>
      </c>
      <c r="F53" s="95">
        <f t="shared" si="4"/>
        <v>5879852.2600000007</v>
      </c>
      <c r="G53" s="95">
        <f>SUMIFS('Anlage 1c_Korrekturen_NB'!$L$11:$L$78,'Anlage 1c_Korrekturen_NB'!$A$11:$A$78,'Anlage 3a_Zusammenfassung_KWKG'!$A53)</f>
        <v>379.52</v>
      </c>
      <c r="H53" s="144">
        <f>SUMIFS('Anlage 1c_Korrekturen_NB'!$D$610:$D$676,'Anlage 1c_Korrekturen_NB'!$A$610:$A$676,'Anlage 3a_Zusammenfassung_KWKG'!$A53)</f>
        <v>0</v>
      </c>
      <c r="I53" s="1091">
        <f t="shared" si="3"/>
        <v>379.52</v>
      </c>
      <c r="J53" s="98"/>
      <c r="K53" s="12"/>
      <c r="L53" s="12"/>
    </row>
    <row r="54" spans="1:12" hidden="1" outlineLevel="1">
      <c r="A54" s="454" t="s">
        <v>178</v>
      </c>
      <c r="B54" s="544">
        <f>VLOOKUP($A54,'Anlage 1a_Zuschlagszahlungen_NB'!$A$868:$E$1595,5,0)</f>
        <v>856825.2</v>
      </c>
      <c r="C54" s="95">
        <f>_xlfn.IFNA(VLOOKUP($A54,'Anlage 1b_Abzüge, Pflicht, Boni'!$A$9:$D$94,2,FALSE),0)</f>
        <v>0</v>
      </c>
      <c r="D54" s="95">
        <f>_xlfn.IFNA(VLOOKUP(A54,'Anlage 1b_Abzüge, Pflicht, Boni'!$A$9:$D$94,3,FALSE),0)</f>
        <v>0</v>
      </c>
      <c r="E54" s="95">
        <f>_xlfn.IFNA(VLOOKUP(A54,'Anlage 1b_Abzüge, Pflicht, Boni'!$A$9:$D$94,4,FALSE),0)</f>
        <v>0</v>
      </c>
      <c r="F54" s="95">
        <f t="shared" si="4"/>
        <v>856825.2</v>
      </c>
      <c r="G54" s="95">
        <f>SUMIFS('Anlage 1c_Korrekturen_NB'!$L$11:$L$78,'Anlage 1c_Korrekturen_NB'!$A$11:$A$78,'Anlage 3a_Zusammenfassung_KWKG'!$A54)</f>
        <v>0</v>
      </c>
      <c r="H54" s="144">
        <f>SUMIFS('Anlage 1c_Korrekturen_NB'!$D$610:$D$676,'Anlage 1c_Korrekturen_NB'!$A$610:$A$676,'Anlage 3a_Zusammenfassung_KWKG'!$A54)</f>
        <v>0</v>
      </c>
      <c r="I54" s="1091">
        <f t="shared" si="3"/>
        <v>0</v>
      </c>
      <c r="J54" s="98"/>
      <c r="K54" s="12"/>
      <c r="L54" s="12"/>
    </row>
    <row r="55" spans="1:12" hidden="1" outlineLevel="1">
      <c r="A55" s="454" t="s">
        <v>180</v>
      </c>
      <c r="B55" s="544">
        <f>VLOOKUP($A55,'Anlage 1a_Zuschlagszahlungen_NB'!$A$868:$E$1595,5,0)</f>
        <v>1283884.81</v>
      </c>
      <c r="C55" s="95">
        <f>_xlfn.IFNA(VLOOKUP($A55,'Anlage 1b_Abzüge, Pflicht, Boni'!$A$9:$D$94,2,FALSE),0)</f>
        <v>0</v>
      </c>
      <c r="D55" s="95">
        <f>_xlfn.IFNA(VLOOKUP(A55,'Anlage 1b_Abzüge, Pflicht, Boni'!$A$9:$D$94,3,FALSE),0)</f>
        <v>0</v>
      </c>
      <c r="E55" s="95">
        <f>_xlfn.IFNA(VLOOKUP(A55,'Anlage 1b_Abzüge, Pflicht, Boni'!$A$9:$D$94,4,FALSE),0)</f>
        <v>0</v>
      </c>
      <c r="F55" s="95">
        <f t="shared" si="4"/>
        <v>1283884.81</v>
      </c>
      <c r="G55" s="95">
        <f>SUMIFS('Anlage 1c_Korrekturen_NB'!$L$11:$L$78,'Anlage 1c_Korrekturen_NB'!$A$11:$A$78,'Anlage 3a_Zusammenfassung_KWKG'!$A55)</f>
        <v>-98729.44</v>
      </c>
      <c r="H55" s="144">
        <f>SUMIFS('Anlage 1c_Korrekturen_NB'!$D$610:$D$676,'Anlage 1c_Korrekturen_NB'!$A$610:$A$676,'Anlage 3a_Zusammenfassung_KWKG'!$A55)</f>
        <v>0</v>
      </c>
      <c r="I55" s="1091">
        <f t="shared" si="3"/>
        <v>-98729.44</v>
      </c>
      <c r="J55" s="98"/>
      <c r="K55" s="12"/>
      <c r="L55" s="12"/>
    </row>
    <row r="56" spans="1:12" hidden="1" outlineLevel="1">
      <c r="A56" s="454" t="s">
        <v>182</v>
      </c>
      <c r="B56" s="544">
        <f>VLOOKUP($A56,'Anlage 1a_Zuschlagszahlungen_NB'!$A$868:$E$1595,5,0)</f>
        <v>944298.48999999987</v>
      </c>
      <c r="C56" s="95">
        <f>_xlfn.IFNA(VLOOKUP($A56,'Anlage 1b_Abzüge, Pflicht, Boni'!$A$9:$D$94,2,FALSE),0)</f>
        <v>0</v>
      </c>
      <c r="D56" s="95">
        <f>_xlfn.IFNA(VLOOKUP(A56,'Anlage 1b_Abzüge, Pflicht, Boni'!$A$9:$D$94,3,FALSE),0)</f>
        <v>0</v>
      </c>
      <c r="E56" s="95">
        <f>_xlfn.IFNA(VLOOKUP(A56,'Anlage 1b_Abzüge, Pflicht, Boni'!$A$9:$D$94,4,FALSE),0)</f>
        <v>0</v>
      </c>
      <c r="F56" s="95">
        <f t="shared" si="4"/>
        <v>944298.48999999987</v>
      </c>
      <c r="G56" s="95">
        <f>SUMIFS('Anlage 1c_Korrekturen_NB'!$L$11:$L$78,'Anlage 1c_Korrekturen_NB'!$A$11:$A$78,'Anlage 3a_Zusammenfassung_KWKG'!$A56)</f>
        <v>0</v>
      </c>
      <c r="H56" s="144">
        <f>SUMIFS('Anlage 1c_Korrekturen_NB'!$D$610:$D$676,'Anlage 1c_Korrekturen_NB'!$A$610:$A$676,'Anlage 3a_Zusammenfassung_KWKG'!$A56)</f>
        <v>0</v>
      </c>
      <c r="I56" s="1091">
        <f t="shared" si="3"/>
        <v>0</v>
      </c>
      <c r="J56" s="98"/>
      <c r="K56" s="12"/>
      <c r="L56" s="12"/>
    </row>
    <row r="57" spans="1:12" hidden="1" outlineLevel="1">
      <c r="A57" s="454" t="s">
        <v>184</v>
      </c>
      <c r="B57" s="544">
        <f>VLOOKUP($A57,'Anlage 1a_Zuschlagszahlungen_NB'!$A$868:$E$1595,5,0)</f>
        <v>14196.79</v>
      </c>
      <c r="C57" s="95">
        <f>_xlfn.IFNA(VLOOKUP($A57,'Anlage 1b_Abzüge, Pflicht, Boni'!$A$9:$D$94,2,FALSE),0)</f>
        <v>0</v>
      </c>
      <c r="D57" s="95">
        <f>_xlfn.IFNA(VLOOKUP(A57,'Anlage 1b_Abzüge, Pflicht, Boni'!$A$9:$D$94,3,FALSE),0)</f>
        <v>0</v>
      </c>
      <c r="E57" s="95">
        <f>_xlfn.IFNA(VLOOKUP(A57,'Anlage 1b_Abzüge, Pflicht, Boni'!$A$9:$D$94,4,FALSE),0)</f>
        <v>0</v>
      </c>
      <c r="F57" s="95">
        <f t="shared" si="4"/>
        <v>14196.79</v>
      </c>
      <c r="G57" s="95">
        <f>SUMIFS('Anlage 1c_Korrekturen_NB'!$L$11:$L$78,'Anlage 1c_Korrekturen_NB'!$A$11:$A$78,'Anlage 3a_Zusammenfassung_KWKG'!$A57)</f>
        <v>0</v>
      </c>
      <c r="H57" s="144">
        <f>SUMIFS('Anlage 1c_Korrekturen_NB'!$D$610:$D$676,'Anlage 1c_Korrekturen_NB'!$A$610:$A$676,'Anlage 3a_Zusammenfassung_KWKG'!$A57)</f>
        <v>0</v>
      </c>
      <c r="I57" s="1091">
        <f t="shared" si="3"/>
        <v>0</v>
      </c>
      <c r="J57" s="98"/>
      <c r="K57" s="12"/>
      <c r="L57" s="12"/>
    </row>
    <row r="58" spans="1:12" hidden="1" outlineLevel="1">
      <c r="A58" s="454" t="s">
        <v>186</v>
      </c>
      <c r="B58" s="544">
        <f>VLOOKUP($A58,'Anlage 1a_Zuschlagszahlungen_NB'!$A$868:$E$1595,5,0)</f>
        <v>344727.20999999996</v>
      </c>
      <c r="C58" s="95">
        <f>_xlfn.IFNA(VLOOKUP($A58,'Anlage 1b_Abzüge, Pflicht, Boni'!$A$9:$D$94,2,FALSE),0)</f>
        <v>0</v>
      </c>
      <c r="D58" s="95">
        <f>_xlfn.IFNA(VLOOKUP(A58,'Anlage 1b_Abzüge, Pflicht, Boni'!$A$9:$D$94,3,FALSE),0)</f>
        <v>0</v>
      </c>
      <c r="E58" s="95">
        <f>_xlfn.IFNA(VLOOKUP(A58,'Anlage 1b_Abzüge, Pflicht, Boni'!$A$9:$D$94,4,FALSE),0)</f>
        <v>0</v>
      </c>
      <c r="F58" s="95">
        <f t="shared" si="4"/>
        <v>344727.20999999996</v>
      </c>
      <c r="G58" s="95">
        <f>SUMIFS('Anlage 1c_Korrekturen_NB'!$L$11:$L$78,'Anlage 1c_Korrekturen_NB'!$A$11:$A$78,'Anlage 3a_Zusammenfassung_KWKG'!$A58)</f>
        <v>0</v>
      </c>
      <c r="H58" s="144">
        <f>SUMIFS('Anlage 1c_Korrekturen_NB'!$D$610:$D$676,'Anlage 1c_Korrekturen_NB'!$A$610:$A$676,'Anlage 3a_Zusammenfassung_KWKG'!$A58)</f>
        <v>0</v>
      </c>
      <c r="I58" s="1091">
        <f t="shared" si="3"/>
        <v>0</v>
      </c>
      <c r="J58" s="98"/>
      <c r="K58" s="12"/>
      <c r="L58" s="12"/>
    </row>
    <row r="59" spans="1:12" hidden="1" outlineLevel="1">
      <c r="A59" s="454" t="s">
        <v>188</v>
      </c>
      <c r="B59" s="544">
        <f>VLOOKUP($A59,'Anlage 1a_Zuschlagszahlungen_NB'!$A$868:$E$1595,5,0)</f>
        <v>42814.39</v>
      </c>
      <c r="C59" s="95">
        <f>_xlfn.IFNA(VLOOKUP($A59,'Anlage 1b_Abzüge, Pflicht, Boni'!$A$9:$D$94,2,FALSE),0)</f>
        <v>0</v>
      </c>
      <c r="D59" s="95">
        <f>_xlfn.IFNA(VLOOKUP(A59,'Anlage 1b_Abzüge, Pflicht, Boni'!$A$9:$D$94,3,FALSE),0)</f>
        <v>0</v>
      </c>
      <c r="E59" s="95">
        <f>_xlfn.IFNA(VLOOKUP(A59,'Anlage 1b_Abzüge, Pflicht, Boni'!$A$9:$D$94,4,FALSE),0)</f>
        <v>0</v>
      </c>
      <c r="F59" s="95">
        <f t="shared" si="4"/>
        <v>42814.39</v>
      </c>
      <c r="G59" s="95">
        <f>SUMIFS('Anlage 1c_Korrekturen_NB'!$L$11:$L$78,'Anlage 1c_Korrekturen_NB'!$A$11:$A$78,'Anlage 3a_Zusammenfassung_KWKG'!$A59)</f>
        <v>0</v>
      </c>
      <c r="H59" s="144">
        <f>SUMIFS('Anlage 1c_Korrekturen_NB'!$D$610:$D$676,'Anlage 1c_Korrekturen_NB'!$A$610:$A$676,'Anlage 3a_Zusammenfassung_KWKG'!$A59)</f>
        <v>0</v>
      </c>
      <c r="I59" s="1091">
        <f t="shared" si="3"/>
        <v>0</v>
      </c>
      <c r="J59" s="98"/>
      <c r="K59" s="12"/>
      <c r="L59" s="12"/>
    </row>
    <row r="60" spans="1:12" hidden="1" outlineLevel="1">
      <c r="A60" s="454" t="s">
        <v>190</v>
      </c>
      <c r="B60" s="544">
        <f>VLOOKUP($A60,'Anlage 1a_Zuschlagszahlungen_NB'!$A$868:$E$1595,5,0)</f>
        <v>336579.7900000001</v>
      </c>
      <c r="C60" s="95">
        <f>_xlfn.IFNA(VLOOKUP($A60,'Anlage 1b_Abzüge, Pflicht, Boni'!$A$9:$D$94,2,FALSE),0)</f>
        <v>0</v>
      </c>
      <c r="D60" s="95">
        <f>_xlfn.IFNA(VLOOKUP(A60,'Anlage 1b_Abzüge, Pflicht, Boni'!$A$9:$D$94,3,FALSE),0)</f>
        <v>0</v>
      </c>
      <c r="E60" s="95">
        <f>_xlfn.IFNA(VLOOKUP(A60,'Anlage 1b_Abzüge, Pflicht, Boni'!$A$9:$D$94,4,FALSE),0)</f>
        <v>0</v>
      </c>
      <c r="F60" s="95">
        <f t="shared" si="4"/>
        <v>336579.7900000001</v>
      </c>
      <c r="G60" s="95">
        <f>SUMIFS('Anlage 1c_Korrekturen_NB'!$L$11:$L$78,'Anlage 1c_Korrekturen_NB'!$A$11:$A$78,'Anlage 3a_Zusammenfassung_KWKG'!$A60)</f>
        <v>0</v>
      </c>
      <c r="H60" s="144">
        <f>SUMIFS('Anlage 1c_Korrekturen_NB'!$D$610:$D$676,'Anlage 1c_Korrekturen_NB'!$A$610:$A$676,'Anlage 3a_Zusammenfassung_KWKG'!$A60)</f>
        <v>0</v>
      </c>
      <c r="I60" s="1091">
        <f t="shared" si="3"/>
        <v>0</v>
      </c>
      <c r="J60" s="98"/>
      <c r="K60" s="12"/>
      <c r="L60" s="12"/>
    </row>
    <row r="61" spans="1:12" hidden="1" outlineLevel="1">
      <c r="A61" s="454" t="s">
        <v>192</v>
      </c>
      <c r="B61" s="544">
        <f>VLOOKUP($A61,'Anlage 1a_Zuschlagszahlungen_NB'!$A$868:$E$1595,5,0)</f>
        <v>0</v>
      </c>
      <c r="C61" s="95">
        <f>_xlfn.IFNA(VLOOKUP($A61,'Anlage 1b_Abzüge, Pflicht, Boni'!$A$9:$D$94,2,FALSE),0)</f>
        <v>0</v>
      </c>
      <c r="D61" s="95">
        <f>_xlfn.IFNA(VLOOKUP(A61,'Anlage 1b_Abzüge, Pflicht, Boni'!$A$9:$D$94,3,FALSE),0)</f>
        <v>0</v>
      </c>
      <c r="E61" s="95">
        <f>_xlfn.IFNA(VLOOKUP(A61,'Anlage 1b_Abzüge, Pflicht, Boni'!$A$9:$D$94,4,FALSE),0)</f>
        <v>0</v>
      </c>
      <c r="F61" s="95">
        <f t="shared" si="4"/>
        <v>0</v>
      </c>
      <c r="G61" s="95">
        <f>SUMIFS('Anlage 1c_Korrekturen_NB'!$L$11:$L$78,'Anlage 1c_Korrekturen_NB'!$A$11:$A$78,'Anlage 3a_Zusammenfassung_KWKG'!$A61)</f>
        <v>0</v>
      </c>
      <c r="H61" s="144">
        <f>SUMIFS('Anlage 1c_Korrekturen_NB'!$D$610:$D$676,'Anlage 1c_Korrekturen_NB'!$A$610:$A$676,'Anlage 3a_Zusammenfassung_KWKG'!$A61)</f>
        <v>0</v>
      </c>
      <c r="I61" s="1091">
        <f t="shared" si="3"/>
        <v>0</v>
      </c>
      <c r="J61" s="98"/>
      <c r="K61" s="12"/>
      <c r="L61" s="12"/>
    </row>
    <row r="62" spans="1:12" hidden="1" outlineLevel="1">
      <c r="A62" s="454" t="s">
        <v>194</v>
      </c>
      <c r="B62" s="544">
        <f>VLOOKUP($A62,'Anlage 1a_Zuschlagszahlungen_NB'!$A$868:$E$1595,5,0)</f>
        <v>0</v>
      </c>
      <c r="C62" s="95">
        <f>_xlfn.IFNA(VLOOKUP($A62,'Anlage 1b_Abzüge, Pflicht, Boni'!$A$9:$D$94,2,FALSE),0)</f>
        <v>0</v>
      </c>
      <c r="D62" s="95">
        <f>_xlfn.IFNA(VLOOKUP(A62,'Anlage 1b_Abzüge, Pflicht, Boni'!$A$9:$D$94,3,FALSE),0)</f>
        <v>0</v>
      </c>
      <c r="E62" s="95">
        <f>_xlfn.IFNA(VLOOKUP(A62,'Anlage 1b_Abzüge, Pflicht, Boni'!$A$9:$D$94,4,FALSE),0)</f>
        <v>0</v>
      </c>
      <c r="F62" s="95">
        <f t="shared" si="4"/>
        <v>0</v>
      </c>
      <c r="G62" s="95">
        <f>SUMIFS('Anlage 1c_Korrekturen_NB'!$L$11:$L$78,'Anlage 1c_Korrekturen_NB'!$A$11:$A$78,'Anlage 3a_Zusammenfassung_KWKG'!$A62)</f>
        <v>0</v>
      </c>
      <c r="H62" s="144">
        <f>SUMIFS('Anlage 1c_Korrekturen_NB'!$D$610:$D$676,'Anlage 1c_Korrekturen_NB'!$A$610:$A$676,'Anlage 3a_Zusammenfassung_KWKG'!$A62)</f>
        <v>0</v>
      </c>
      <c r="I62" s="1091">
        <f t="shared" si="3"/>
        <v>0</v>
      </c>
      <c r="J62" s="98"/>
      <c r="K62" s="12"/>
      <c r="L62" s="12"/>
    </row>
    <row r="63" spans="1:12" hidden="1" outlineLevel="1">
      <c r="A63" s="454" t="s">
        <v>196</v>
      </c>
      <c r="B63" s="544">
        <f>VLOOKUP($A63,'Anlage 1a_Zuschlagszahlungen_NB'!$A$868:$E$1595,5,0)</f>
        <v>0</v>
      </c>
      <c r="C63" s="95">
        <f>_xlfn.IFNA(VLOOKUP($A63,'Anlage 1b_Abzüge, Pflicht, Boni'!$A$9:$D$94,2,FALSE),0)</f>
        <v>-5469.11</v>
      </c>
      <c r="D63" s="95">
        <f>_xlfn.IFNA(VLOOKUP(A63,'Anlage 1b_Abzüge, Pflicht, Boni'!$A$9:$D$94,3,FALSE),0)</f>
        <v>0</v>
      </c>
      <c r="E63" s="95">
        <f>_xlfn.IFNA(VLOOKUP(A63,'Anlage 1b_Abzüge, Pflicht, Boni'!$A$9:$D$94,4,FALSE),0)</f>
        <v>0</v>
      </c>
      <c r="F63" s="95">
        <f t="shared" si="4"/>
        <v>-5469.11</v>
      </c>
      <c r="G63" s="95">
        <f>SUMIFS('Anlage 1c_Korrekturen_NB'!$L$11:$L$78,'Anlage 1c_Korrekturen_NB'!$A$11:$A$78,'Anlage 3a_Zusammenfassung_KWKG'!$A63)</f>
        <v>1625.68</v>
      </c>
      <c r="H63" s="144">
        <f>SUMIFS('Anlage 1c_Korrekturen_NB'!$D$610:$D$676,'Anlage 1c_Korrekturen_NB'!$A$610:$A$676,'Anlage 3a_Zusammenfassung_KWKG'!$A63)</f>
        <v>0</v>
      </c>
      <c r="I63" s="1091">
        <f t="shared" si="3"/>
        <v>1625.68</v>
      </c>
      <c r="J63" s="98"/>
      <c r="K63" s="12"/>
      <c r="L63" s="12"/>
    </row>
    <row r="64" spans="1:12" hidden="1" outlineLevel="1">
      <c r="A64" s="454" t="s">
        <v>198</v>
      </c>
      <c r="B64" s="544">
        <f>VLOOKUP($A64,'Anlage 1a_Zuschlagszahlungen_NB'!$A$868:$E$1595,5,0)</f>
        <v>95780.50999999998</v>
      </c>
      <c r="C64" s="95">
        <f>_xlfn.IFNA(VLOOKUP($A64,'Anlage 1b_Abzüge, Pflicht, Boni'!$A$9:$D$94,2,FALSE),0)</f>
        <v>0</v>
      </c>
      <c r="D64" s="95">
        <f>_xlfn.IFNA(VLOOKUP(A64,'Anlage 1b_Abzüge, Pflicht, Boni'!$A$9:$D$94,3,FALSE),0)</f>
        <v>0</v>
      </c>
      <c r="E64" s="95">
        <f>_xlfn.IFNA(VLOOKUP(A64,'Anlage 1b_Abzüge, Pflicht, Boni'!$A$9:$D$94,4,FALSE),0)</f>
        <v>0</v>
      </c>
      <c r="F64" s="95">
        <f t="shared" si="4"/>
        <v>95780.50999999998</v>
      </c>
      <c r="G64" s="95">
        <f>SUMIFS('Anlage 1c_Korrekturen_NB'!$L$11:$L$78,'Anlage 1c_Korrekturen_NB'!$A$11:$A$78,'Anlage 3a_Zusammenfassung_KWKG'!$A64)</f>
        <v>0</v>
      </c>
      <c r="H64" s="144">
        <f>SUMIFS('Anlage 1c_Korrekturen_NB'!$D$610:$D$676,'Anlage 1c_Korrekturen_NB'!$A$610:$A$676,'Anlage 3a_Zusammenfassung_KWKG'!$A64)</f>
        <v>0</v>
      </c>
      <c r="I64" s="1091">
        <f t="shared" si="3"/>
        <v>0</v>
      </c>
      <c r="J64" s="98"/>
      <c r="K64" s="12"/>
      <c r="L64" s="12"/>
    </row>
    <row r="65" spans="1:12" hidden="1" outlineLevel="1">
      <c r="A65" s="454" t="s">
        <v>200</v>
      </c>
      <c r="B65" s="544">
        <f>VLOOKUP($A65,'Anlage 1a_Zuschlagszahlungen_NB'!$A$868:$E$1595,5,0)</f>
        <v>612333.51</v>
      </c>
      <c r="C65" s="95">
        <f>_xlfn.IFNA(VLOOKUP($A65,'Anlage 1b_Abzüge, Pflicht, Boni'!$A$9:$D$94,2,FALSE),0)</f>
        <v>0</v>
      </c>
      <c r="D65" s="95">
        <f>_xlfn.IFNA(VLOOKUP(A65,'Anlage 1b_Abzüge, Pflicht, Boni'!$A$9:$D$94,3,FALSE),0)</f>
        <v>0</v>
      </c>
      <c r="E65" s="95">
        <f>_xlfn.IFNA(VLOOKUP(A65,'Anlage 1b_Abzüge, Pflicht, Boni'!$A$9:$D$94,4,FALSE),0)</f>
        <v>0</v>
      </c>
      <c r="F65" s="95">
        <f t="shared" si="4"/>
        <v>612333.51</v>
      </c>
      <c r="G65" s="95">
        <f>SUMIFS('Anlage 1c_Korrekturen_NB'!$L$11:$L$78,'Anlage 1c_Korrekturen_NB'!$A$11:$A$78,'Anlage 3a_Zusammenfassung_KWKG'!$A65)</f>
        <v>0</v>
      </c>
      <c r="H65" s="144">
        <f>SUMIFS('Anlage 1c_Korrekturen_NB'!$D$610:$D$676,'Anlage 1c_Korrekturen_NB'!$A$610:$A$676,'Anlage 3a_Zusammenfassung_KWKG'!$A65)</f>
        <v>0</v>
      </c>
      <c r="I65" s="1091">
        <f t="shared" si="3"/>
        <v>0</v>
      </c>
      <c r="J65" s="98"/>
      <c r="K65" s="12"/>
      <c r="L65" s="12"/>
    </row>
    <row r="66" spans="1:12" hidden="1" outlineLevel="1">
      <c r="A66" s="454" t="s">
        <v>202</v>
      </c>
      <c r="B66" s="544">
        <f>VLOOKUP($A66,'Anlage 1a_Zuschlagszahlungen_NB'!$A$868:$E$1595,5,0)</f>
        <v>87056.68</v>
      </c>
      <c r="C66" s="95">
        <f>_xlfn.IFNA(VLOOKUP($A66,'Anlage 1b_Abzüge, Pflicht, Boni'!$A$9:$D$94,2,FALSE),0)</f>
        <v>0</v>
      </c>
      <c r="D66" s="95">
        <f>_xlfn.IFNA(VLOOKUP(A66,'Anlage 1b_Abzüge, Pflicht, Boni'!$A$9:$D$94,3,FALSE),0)</f>
        <v>0</v>
      </c>
      <c r="E66" s="95">
        <f>_xlfn.IFNA(VLOOKUP(A66,'Anlage 1b_Abzüge, Pflicht, Boni'!$A$9:$D$94,4,FALSE),0)</f>
        <v>0</v>
      </c>
      <c r="F66" s="95">
        <f t="shared" si="4"/>
        <v>87056.68</v>
      </c>
      <c r="G66" s="95">
        <f>SUMIFS('Anlage 1c_Korrekturen_NB'!$L$11:$L$78,'Anlage 1c_Korrekturen_NB'!$A$11:$A$78,'Anlage 3a_Zusammenfassung_KWKG'!$A66)</f>
        <v>1182.8800000000001</v>
      </c>
      <c r="H66" s="144">
        <f>SUMIFS('Anlage 1c_Korrekturen_NB'!$D$610:$D$676,'Anlage 1c_Korrekturen_NB'!$A$610:$A$676,'Anlage 3a_Zusammenfassung_KWKG'!$A66)</f>
        <v>0</v>
      </c>
      <c r="I66" s="1091">
        <f t="shared" si="3"/>
        <v>1182.8800000000001</v>
      </c>
      <c r="J66" s="98"/>
      <c r="K66" s="12"/>
      <c r="L66" s="12"/>
    </row>
    <row r="67" spans="1:12" hidden="1" outlineLevel="1">
      <c r="A67" s="454" t="s">
        <v>204</v>
      </c>
      <c r="B67" s="544">
        <f>VLOOKUP($A67,'Anlage 1a_Zuschlagszahlungen_NB'!$A$868:$E$1595,5,0)</f>
        <v>133791.60999999999</v>
      </c>
      <c r="C67" s="95">
        <f>_xlfn.IFNA(VLOOKUP($A67,'Anlage 1b_Abzüge, Pflicht, Boni'!$A$9:$D$94,2,FALSE),0)</f>
        <v>0</v>
      </c>
      <c r="D67" s="95">
        <f>_xlfn.IFNA(VLOOKUP(A67,'Anlage 1b_Abzüge, Pflicht, Boni'!$A$9:$D$94,3,FALSE),0)</f>
        <v>0</v>
      </c>
      <c r="E67" s="95">
        <f>_xlfn.IFNA(VLOOKUP(A67,'Anlage 1b_Abzüge, Pflicht, Boni'!$A$9:$D$94,4,FALSE),0)</f>
        <v>0</v>
      </c>
      <c r="F67" s="95">
        <f t="shared" si="4"/>
        <v>133791.60999999999</v>
      </c>
      <c r="G67" s="95">
        <f>SUMIFS('Anlage 1c_Korrekturen_NB'!$L$11:$L$78,'Anlage 1c_Korrekturen_NB'!$A$11:$A$78,'Anlage 3a_Zusammenfassung_KWKG'!$A67)</f>
        <v>0</v>
      </c>
      <c r="H67" s="144">
        <f>SUMIFS('Anlage 1c_Korrekturen_NB'!$D$610:$D$676,'Anlage 1c_Korrekturen_NB'!$A$610:$A$676,'Anlage 3a_Zusammenfassung_KWKG'!$A67)</f>
        <v>0</v>
      </c>
      <c r="I67" s="1091">
        <f t="shared" si="3"/>
        <v>0</v>
      </c>
      <c r="J67" s="98"/>
      <c r="K67" s="12"/>
      <c r="L67" s="12"/>
    </row>
    <row r="68" spans="1:12" hidden="1" outlineLevel="1">
      <c r="A68" s="454" t="s">
        <v>206</v>
      </c>
      <c r="B68" s="544">
        <f>VLOOKUP($A68,'Anlage 1a_Zuschlagszahlungen_NB'!$A$868:$E$1595,5,0)</f>
        <v>0</v>
      </c>
      <c r="C68" s="95">
        <f>_xlfn.IFNA(VLOOKUP($A68,'Anlage 1b_Abzüge, Pflicht, Boni'!$A$9:$D$94,2,FALSE),0)</f>
        <v>0</v>
      </c>
      <c r="D68" s="95">
        <f>_xlfn.IFNA(VLOOKUP(A68,'Anlage 1b_Abzüge, Pflicht, Boni'!$A$9:$D$94,3,FALSE),0)</f>
        <v>0</v>
      </c>
      <c r="E68" s="95">
        <f>_xlfn.IFNA(VLOOKUP(A68,'Anlage 1b_Abzüge, Pflicht, Boni'!$A$9:$D$94,4,FALSE),0)</f>
        <v>0</v>
      </c>
      <c r="F68" s="95">
        <f t="shared" si="4"/>
        <v>0</v>
      </c>
      <c r="G68" s="95">
        <f>SUMIFS('Anlage 1c_Korrekturen_NB'!$L$11:$L$78,'Anlage 1c_Korrekturen_NB'!$A$11:$A$78,'Anlage 3a_Zusammenfassung_KWKG'!$A68)</f>
        <v>0</v>
      </c>
      <c r="H68" s="144">
        <f>SUMIFS('Anlage 1c_Korrekturen_NB'!$D$610:$D$676,'Anlage 1c_Korrekturen_NB'!$A$610:$A$676,'Anlage 3a_Zusammenfassung_KWKG'!$A68)</f>
        <v>0</v>
      </c>
      <c r="I68" s="1091">
        <f t="shared" si="3"/>
        <v>0</v>
      </c>
      <c r="J68" s="98"/>
      <c r="K68" s="12"/>
      <c r="L68" s="12"/>
    </row>
    <row r="69" spans="1:12" hidden="1" outlineLevel="1">
      <c r="A69" s="454" t="s">
        <v>208</v>
      </c>
      <c r="B69" s="544">
        <f>VLOOKUP($A69,'Anlage 1a_Zuschlagszahlungen_NB'!$A$868:$E$1595,5,0)</f>
        <v>232023.85</v>
      </c>
      <c r="C69" s="95">
        <f>_xlfn.IFNA(VLOOKUP($A69,'Anlage 1b_Abzüge, Pflicht, Boni'!$A$9:$D$94,2,FALSE),0)</f>
        <v>0</v>
      </c>
      <c r="D69" s="95">
        <f>_xlfn.IFNA(VLOOKUP(A69,'Anlage 1b_Abzüge, Pflicht, Boni'!$A$9:$D$94,3,FALSE),0)</f>
        <v>0</v>
      </c>
      <c r="E69" s="95">
        <f>_xlfn.IFNA(VLOOKUP(A69,'Anlage 1b_Abzüge, Pflicht, Boni'!$A$9:$D$94,4,FALSE),0)</f>
        <v>0</v>
      </c>
      <c r="F69" s="95">
        <f t="shared" si="4"/>
        <v>232023.85</v>
      </c>
      <c r="G69" s="95">
        <f>SUMIFS('Anlage 1c_Korrekturen_NB'!$L$11:$L$78,'Anlage 1c_Korrekturen_NB'!$A$11:$A$78,'Anlage 3a_Zusammenfassung_KWKG'!$A69)</f>
        <v>0</v>
      </c>
      <c r="H69" s="144">
        <f>SUMIFS('Anlage 1c_Korrekturen_NB'!$D$610:$D$676,'Anlage 1c_Korrekturen_NB'!$A$610:$A$676,'Anlage 3a_Zusammenfassung_KWKG'!$A69)</f>
        <v>0</v>
      </c>
      <c r="I69" s="1091">
        <f t="shared" si="3"/>
        <v>0</v>
      </c>
      <c r="J69" s="98"/>
      <c r="K69" s="12"/>
      <c r="L69" s="12"/>
    </row>
    <row r="70" spans="1:12" hidden="1" outlineLevel="1">
      <c r="A70" s="454" t="s">
        <v>210</v>
      </c>
      <c r="B70" s="544">
        <f>VLOOKUP($A70,'Anlage 1a_Zuschlagszahlungen_NB'!$A$868:$E$1595,5,0)</f>
        <v>10868.870000000003</v>
      </c>
      <c r="C70" s="95">
        <f>_xlfn.IFNA(VLOOKUP($A70,'Anlage 1b_Abzüge, Pflicht, Boni'!$A$9:$D$94,2,FALSE),0)</f>
        <v>0</v>
      </c>
      <c r="D70" s="95">
        <f>_xlfn.IFNA(VLOOKUP(A70,'Anlage 1b_Abzüge, Pflicht, Boni'!$A$9:$D$94,3,FALSE),0)</f>
        <v>0</v>
      </c>
      <c r="E70" s="95">
        <f>_xlfn.IFNA(VLOOKUP(A70,'Anlage 1b_Abzüge, Pflicht, Boni'!$A$9:$D$94,4,FALSE),0)</f>
        <v>0</v>
      </c>
      <c r="F70" s="95">
        <f t="shared" si="4"/>
        <v>10868.870000000003</v>
      </c>
      <c r="G70" s="95">
        <f>SUMIFS('Anlage 1c_Korrekturen_NB'!$L$11:$L$78,'Anlage 1c_Korrekturen_NB'!$A$11:$A$78,'Anlage 3a_Zusammenfassung_KWKG'!$A70)</f>
        <v>0</v>
      </c>
      <c r="H70" s="144">
        <f>SUMIFS('Anlage 1c_Korrekturen_NB'!$D$610:$D$676,'Anlage 1c_Korrekturen_NB'!$A$610:$A$676,'Anlage 3a_Zusammenfassung_KWKG'!$A70)</f>
        <v>0</v>
      </c>
      <c r="I70" s="1091">
        <f t="shared" si="3"/>
        <v>0</v>
      </c>
      <c r="J70" s="98"/>
      <c r="K70" s="12"/>
      <c r="L70" s="12"/>
    </row>
    <row r="71" spans="1:12" hidden="1" outlineLevel="1">
      <c r="A71" s="454" t="s">
        <v>212</v>
      </c>
      <c r="B71" s="544">
        <f>VLOOKUP($A71,'Anlage 1a_Zuschlagszahlungen_NB'!$A$868:$E$1595,5,0)</f>
        <v>297965.7900000001</v>
      </c>
      <c r="C71" s="95">
        <f>_xlfn.IFNA(VLOOKUP($A71,'Anlage 1b_Abzüge, Pflicht, Boni'!$A$9:$D$94,2,FALSE),0)</f>
        <v>0</v>
      </c>
      <c r="D71" s="95">
        <f>_xlfn.IFNA(VLOOKUP(A71,'Anlage 1b_Abzüge, Pflicht, Boni'!$A$9:$D$94,3,FALSE),0)</f>
        <v>0</v>
      </c>
      <c r="E71" s="95">
        <f>_xlfn.IFNA(VLOOKUP(A71,'Anlage 1b_Abzüge, Pflicht, Boni'!$A$9:$D$94,4,FALSE),0)</f>
        <v>0</v>
      </c>
      <c r="F71" s="95">
        <f t="shared" si="4"/>
        <v>297965.7900000001</v>
      </c>
      <c r="G71" s="95">
        <f>SUMIFS('Anlage 1c_Korrekturen_NB'!$L$11:$L$78,'Anlage 1c_Korrekturen_NB'!$A$11:$A$78,'Anlage 3a_Zusammenfassung_KWKG'!$A71)</f>
        <v>0</v>
      </c>
      <c r="H71" s="144">
        <f>SUMIFS('Anlage 1c_Korrekturen_NB'!$D$610:$D$676,'Anlage 1c_Korrekturen_NB'!$A$610:$A$676,'Anlage 3a_Zusammenfassung_KWKG'!$A71)</f>
        <v>0</v>
      </c>
      <c r="I71" s="1091">
        <f t="shared" ref="I71:I102" si="5">G71+H71</f>
        <v>0</v>
      </c>
      <c r="J71" s="98"/>
      <c r="K71" s="12"/>
      <c r="L71" s="12"/>
    </row>
    <row r="72" spans="1:12" hidden="1" outlineLevel="1">
      <c r="A72" s="454" t="s">
        <v>214</v>
      </c>
      <c r="B72" s="544">
        <f>VLOOKUP($A72,'Anlage 1a_Zuschlagszahlungen_NB'!$A$868:$E$1595,5,0)</f>
        <v>1423710.91</v>
      </c>
      <c r="C72" s="95">
        <f>_xlfn.IFNA(VLOOKUP($A72,'Anlage 1b_Abzüge, Pflicht, Boni'!$A$9:$D$94,2,FALSE),0)</f>
        <v>0</v>
      </c>
      <c r="D72" s="95">
        <f>_xlfn.IFNA(VLOOKUP(A72,'Anlage 1b_Abzüge, Pflicht, Boni'!$A$9:$D$94,3,FALSE),0)</f>
        <v>0</v>
      </c>
      <c r="E72" s="95">
        <f>_xlfn.IFNA(VLOOKUP(A72,'Anlage 1b_Abzüge, Pflicht, Boni'!$A$9:$D$94,4,FALSE),0)</f>
        <v>0</v>
      </c>
      <c r="F72" s="95">
        <f t="shared" si="4"/>
        <v>1423710.91</v>
      </c>
      <c r="G72" s="95">
        <f>SUMIFS('Anlage 1c_Korrekturen_NB'!$L$11:$L$78,'Anlage 1c_Korrekturen_NB'!$A$11:$A$78,'Anlage 3a_Zusammenfassung_KWKG'!$A72)</f>
        <v>0</v>
      </c>
      <c r="H72" s="144">
        <f>SUMIFS('Anlage 1c_Korrekturen_NB'!$D$610:$D$676,'Anlage 1c_Korrekturen_NB'!$A$610:$A$676,'Anlage 3a_Zusammenfassung_KWKG'!$A72)</f>
        <v>0</v>
      </c>
      <c r="I72" s="1091">
        <f t="shared" si="5"/>
        <v>0</v>
      </c>
      <c r="J72" s="98"/>
      <c r="K72" s="12"/>
      <c r="L72" s="12"/>
    </row>
    <row r="73" spans="1:12" hidden="1" outlineLevel="1">
      <c r="A73" s="454" t="s">
        <v>216</v>
      </c>
      <c r="B73" s="544">
        <f>VLOOKUP($A73,'Anlage 1a_Zuschlagszahlungen_NB'!$A$868:$E$1595,5,0)</f>
        <v>366722.16000000003</v>
      </c>
      <c r="C73" s="95">
        <f>_xlfn.IFNA(VLOOKUP($A73,'Anlage 1b_Abzüge, Pflicht, Boni'!$A$9:$D$94,2,FALSE),0)</f>
        <v>0</v>
      </c>
      <c r="D73" s="95">
        <f>_xlfn.IFNA(VLOOKUP(A73,'Anlage 1b_Abzüge, Pflicht, Boni'!$A$9:$D$94,3,FALSE),0)</f>
        <v>0</v>
      </c>
      <c r="E73" s="95">
        <f>_xlfn.IFNA(VLOOKUP(A73,'Anlage 1b_Abzüge, Pflicht, Boni'!$A$9:$D$94,4,FALSE),0)</f>
        <v>0</v>
      </c>
      <c r="F73" s="95">
        <f t="shared" ref="F73:F104" si="6">SUM(B73:E73)</f>
        <v>366722.16000000003</v>
      </c>
      <c r="G73" s="95">
        <f>SUMIFS('Anlage 1c_Korrekturen_NB'!$L$11:$L$78,'Anlage 1c_Korrekturen_NB'!$A$11:$A$78,'Anlage 3a_Zusammenfassung_KWKG'!$A73)</f>
        <v>0</v>
      </c>
      <c r="H73" s="144">
        <f>SUMIFS('Anlage 1c_Korrekturen_NB'!$D$610:$D$676,'Anlage 1c_Korrekturen_NB'!$A$610:$A$676,'Anlage 3a_Zusammenfassung_KWKG'!$A73)</f>
        <v>0</v>
      </c>
      <c r="I73" s="1091">
        <f t="shared" si="5"/>
        <v>0</v>
      </c>
      <c r="J73" s="98"/>
      <c r="K73" s="12"/>
      <c r="L73" s="12"/>
    </row>
    <row r="74" spans="1:12" hidden="1" outlineLevel="1">
      <c r="A74" s="454" t="s">
        <v>218</v>
      </c>
      <c r="B74" s="544">
        <f>VLOOKUP($A74,'Anlage 1a_Zuschlagszahlungen_NB'!$A$868:$E$1595,5,0)</f>
        <v>17309.740000000002</v>
      </c>
      <c r="C74" s="95">
        <f>_xlfn.IFNA(VLOOKUP($A74,'Anlage 1b_Abzüge, Pflicht, Boni'!$A$9:$D$94,2,FALSE),0)</f>
        <v>0</v>
      </c>
      <c r="D74" s="95">
        <f>_xlfn.IFNA(VLOOKUP(A74,'Anlage 1b_Abzüge, Pflicht, Boni'!$A$9:$D$94,3,FALSE),0)</f>
        <v>0</v>
      </c>
      <c r="E74" s="95">
        <f>_xlfn.IFNA(VLOOKUP(A74,'Anlage 1b_Abzüge, Pflicht, Boni'!$A$9:$D$94,4,FALSE),0)</f>
        <v>0</v>
      </c>
      <c r="F74" s="95">
        <f t="shared" si="6"/>
        <v>17309.740000000002</v>
      </c>
      <c r="G74" s="95">
        <f>SUMIFS('Anlage 1c_Korrekturen_NB'!$L$11:$L$78,'Anlage 1c_Korrekturen_NB'!$A$11:$A$78,'Anlage 3a_Zusammenfassung_KWKG'!$A74)</f>
        <v>0</v>
      </c>
      <c r="H74" s="144">
        <f>SUMIFS('Anlage 1c_Korrekturen_NB'!$D$610:$D$676,'Anlage 1c_Korrekturen_NB'!$A$610:$A$676,'Anlage 3a_Zusammenfassung_KWKG'!$A74)</f>
        <v>0</v>
      </c>
      <c r="I74" s="1091">
        <f t="shared" si="5"/>
        <v>0</v>
      </c>
      <c r="J74" s="98"/>
      <c r="K74" s="12"/>
      <c r="L74" s="12"/>
    </row>
    <row r="75" spans="1:12" hidden="1" outlineLevel="1">
      <c r="A75" s="454" t="s">
        <v>220</v>
      </c>
      <c r="B75" s="544">
        <f>VLOOKUP($A75,'Anlage 1a_Zuschlagszahlungen_NB'!$A$868:$E$1595,5,0)</f>
        <v>44499.91</v>
      </c>
      <c r="C75" s="95">
        <f>_xlfn.IFNA(VLOOKUP($A75,'Anlage 1b_Abzüge, Pflicht, Boni'!$A$9:$D$94,2,FALSE),0)</f>
        <v>0</v>
      </c>
      <c r="D75" s="95">
        <f>_xlfn.IFNA(VLOOKUP(A75,'Anlage 1b_Abzüge, Pflicht, Boni'!$A$9:$D$94,3,FALSE),0)</f>
        <v>0</v>
      </c>
      <c r="E75" s="95">
        <f>_xlfn.IFNA(VLOOKUP(A75,'Anlage 1b_Abzüge, Pflicht, Boni'!$A$9:$D$94,4,FALSE),0)</f>
        <v>0</v>
      </c>
      <c r="F75" s="95">
        <f t="shared" si="6"/>
        <v>44499.91</v>
      </c>
      <c r="G75" s="95">
        <f>SUMIFS('Anlage 1c_Korrekturen_NB'!$L$11:$L$78,'Anlage 1c_Korrekturen_NB'!$A$11:$A$78,'Anlage 3a_Zusammenfassung_KWKG'!$A75)</f>
        <v>0</v>
      </c>
      <c r="H75" s="144">
        <f>SUMIFS('Anlage 1c_Korrekturen_NB'!$D$610:$D$676,'Anlage 1c_Korrekturen_NB'!$A$610:$A$676,'Anlage 3a_Zusammenfassung_KWKG'!$A75)</f>
        <v>0</v>
      </c>
      <c r="I75" s="1091">
        <f t="shared" si="5"/>
        <v>0</v>
      </c>
      <c r="J75" s="98"/>
      <c r="K75" s="12"/>
      <c r="L75" s="12"/>
    </row>
    <row r="76" spans="1:12" hidden="1" outlineLevel="1">
      <c r="A76" s="454" t="s">
        <v>222</v>
      </c>
      <c r="B76" s="544">
        <f>VLOOKUP($A76,'Anlage 1a_Zuschlagszahlungen_NB'!$A$868:$E$1595,5,0)</f>
        <v>425198.17999999988</v>
      </c>
      <c r="C76" s="95">
        <f>_xlfn.IFNA(VLOOKUP($A76,'Anlage 1b_Abzüge, Pflicht, Boni'!$A$9:$D$94,2,FALSE),0)</f>
        <v>0</v>
      </c>
      <c r="D76" s="95">
        <f>_xlfn.IFNA(VLOOKUP(A76,'Anlage 1b_Abzüge, Pflicht, Boni'!$A$9:$D$94,3,FALSE),0)</f>
        <v>0</v>
      </c>
      <c r="E76" s="95">
        <f>_xlfn.IFNA(VLOOKUP(A76,'Anlage 1b_Abzüge, Pflicht, Boni'!$A$9:$D$94,4,FALSE),0)</f>
        <v>0</v>
      </c>
      <c r="F76" s="95">
        <f t="shared" si="6"/>
        <v>425198.17999999988</v>
      </c>
      <c r="G76" s="95">
        <f>SUMIFS('Anlage 1c_Korrekturen_NB'!$L$11:$L$78,'Anlage 1c_Korrekturen_NB'!$A$11:$A$78,'Anlage 3a_Zusammenfassung_KWKG'!$A76)</f>
        <v>0</v>
      </c>
      <c r="H76" s="144">
        <f>SUMIFS('Anlage 1c_Korrekturen_NB'!$D$610:$D$676,'Anlage 1c_Korrekturen_NB'!$A$610:$A$676,'Anlage 3a_Zusammenfassung_KWKG'!$A76)</f>
        <v>0</v>
      </c>
      <c r="I76" s="1091">
        <f t="shared" si="5"/>
        <v>0</v>
      </c>
      <c r="J76" s="98"/>
      <c r="K76" s="12"/>
      <c r="L76" s="12"/>
    </row>
    <row r="77" spans="1:12" hidden="1" outlineLevel="1">
      <c r="A77" s="454" t="s">
        <v>224</v>
      </c>
      <c r="B77" s="544">
        <f>VLOOKUP($A77,'Anlage 1a_Zuschlagszahlungen_NB'!$A$868:$E$1595,5,0)</f>
        <v>164192.84000000003</v>
      </c>
      <c r="C77" s="95">
        <f>_xlfn.IFNA(VLOOKUP($A77,'Anlage 1b_Abzüge, Pflicht, Boni'!$A$9:$D$94,2,FALSE),0)</f>
        <v>0</v>
      </c>
      <c r="D77" s="95">
        <f>_xlfn.IFNA(VLOOKUP(A77,'Anlage 1b_Abzüge, Pflicht, Boni'!$A$9:$D$94,3,FALSE),0)</f>
        <v>0</v>
      </c>
      <c r="E77" s="95">
        <f>_xlfn.IFNA(VLOOKUP(A77,'Anlage 1b_Abzüge, Pflicht, Boni'!$A$9:$D$94,4,FALSE),0)</f>
        <v>0</v>
      </c>
      <c r="F77" s="95">
        <f t="shared" si="6"/>
        <v>164192.84000000003</v>
      </c>
      <c r="G77" s="95">
        <f>SUMIFS('Anlage 1c_Korrekturen_NB'!$L$11:$L$78,'Anlage 1c_Korrekturen_NB'!$A$11:$A$78,'Anlage 3a_Zusammenfassung_KWKG'!$A77)</f>
        <v>0</v>
      </c>
      <c r="H77" s="144">
        <f>SUMIFS('Anlage 1c_Korrekturen_NB'!$D$610:$D$676,'Anlage 1c_Korrekturen_NB'!$A$610:$A$676,'Anlage 3a_Zusammenfassung_KWKG'!$A77)</f>
        <v>0</v>
      </c>
      <c r="I77" s="1091">
        <f t="shared" si="5"/>
        <v>0</v>
      </c>
      <c r="J77" s="98"/>
      <c r="K77" s="12"/>
      <c r="L77" s="12"/>
    </row>
    <row r="78" spans="1:12" hidden="1" outlineLevel="1">
      <c r="A78" s="454" t="s">
        <v>226</v>
      </c>
      <c r="B78" s="544">
        <f>VLOOKUP($A78,'Anlage 1a_Zuschlagszahlungen_NB'!$A$868:$E$1595,5,0)</f>
        <v>69068.88</v>
      </c>
      <c r="C78" s="95">
        <f>_xlfn.IFNA(VLOOKUP($A78,'Anlage 1b_Abzüge, Pflicht, Boni'!$A$9:$D$94,2,FALSE),0)</f>
        <v>0</v>
      </c>
      <c r="D78" s="95">
        <f>_xlfn.IFNA(VLOOKUP(A78,'Anlage 1b_Abzüge, Pflicht, Boni'!$A$9:$D$94,3,FALSE),0)</f>
        <v>0</v>
      </c>
      <c r="E78" s="95">
        <f>_xlfn.IFNA(VLOOKUP(A78,'Anlage 1b_Abzüge, Pflicht, Boni'!$A$9:$D$94,4,FALSE),0)</f>
        <v>0</v>
      </c>
      <c r="F78" s="95">
        <f t="shared" si="6"/>
        <v>69068.88</v>
      </c>
      <c r="G78" s="95">
        <f>SUMIFS('Anlage 1c_Korrekturen_NB'!$L$11:$L$78,'Anlage 1c_Korrekturen_NB'!$A$11:$A$78,'Anlage 3a_Zusammenfassung_KWKG'!$A78)</f>
        <v>0</v>
      </c>
      <c r="H78" s="144">
        <f>SUMIFS('Anlage 1c_Korrekturen_NB'!$D$610:$D$676,'Anlage 1c_Korrekturen_NB'!$A$610:$A$676,'Anlage 3a_Zusammenfassung_KWKG'!$A78)</f>
        <v>0</v>
      </c>
      <c r="I78" s="1091">
        <f t="shared" si="5"/>
        <v>0</v>
      </c>
      <c r="J78" s="98"/>
      <c r="K78" s="12"/>
      <c r="L78" s="12"/>
    </row>
    <row r="79" spans="1:12" hidden="1" outlineLevel="1">
      <c r="A79" s="454" t="s">
        <v>228</v>
      </c>
      <c r="B79" s="544">
        <f>VLOOKUP($A79,'Anlage 1a_Zuschlagszahlungen_NB'!$A$868:$E$1595,5,0)</f>
        <v>5499148.79</v>
      </c>
      <c r="C79" s="95">
        <f>_xlfn.IFNA(VLOOKUP($A79,'Anlage 1b_Abzüge, Pflicht, Boni'!$A$9:$D$94,2,FALSE),0)</f>
        <v>-61383.93</v>
      </c>
      <c r="D79" s="95">
        <f>_xlfn.IFNA(VLOOKUP(A79,'Anlage 1b_Abzüge, Pflicht, Boni'!$A$9:$D$94,3,FALSE),0)</f>
        <v>-6000</v>
      </c>
      <c r="E79" s="95">
        <f>_xlfn.IFNA(VLOOKUP(A79,'Anlage 1b_Abzüge, Pflicht, Boni'!$A$9:$D$94,4,FALSE),0)</f>
        <v>0</v>
      </c>
      <c r="F79" s="95">
        <f t="shared" si="6"/>
        <v>5431764.8600000003</v>
      </c>
      <c r="G79" s="95">
        <f>SUMIFS('Anlage 1c_Korrekturen_NB'!$L$11:$L$78,'Anlage 1c_Korrekturen_NB'!$A$11:$A$78,'Anlage 3a_Zusammenfassung_KWKG'!$A79)</f>
        <v>0</v>
      </c>
      <c r="H79" s="144">
        <f>SUMIFS('Anlage 1c_Korrekturen_NB'!$D$610:$D$676,'Anlage 1c_Korrekturen_NB'!$A$610:$A$676,'Anlage 3a_Zusammenfassung_KWKG'!$A79)</f>
        <v>0</v>
      </c>
      <c r="I79" s="1091">
        <f t="shared" si="5"/>
        <v>0</v>
      </c>
      <c r="J79" s="98"/>
      <c r="K79" s="12"/>
      <c r="L79" s="12"/>
    </row>
    <row r="80" spans="1:12" hidden="1" outlineLevel="1">
      <c r="A80" s="454" t="s">
        <v>230</v>
      </c>
      <c r="B80" s="544">
        <f>VLOOKUP($A80,'Anlage 1a_Zuschlagszahlungen_NB'!$A$868:$E$1595,5,0)</f>
        <v>253561.07000000004</v>
      </c>
      <c r="C80" s="95">
        <f>_xlfn.IFNA(VLOOKUP($A80,'Anlage 1b_Abzüge, Pflicht, Boni'!$A$9:$D$94,2,FALSE),0)</f>
        <v>0</v>
      </c>
      <c r="D80" s="95">
        <f>_xlfn.IFNA(VLOOKUP(A80,'Anlage 1b_Abzüge, Pflicht, Boni'!$A$9:$D$94,3,FALSE),0)</f>
        <v>0</v>
      </c>
      <c r="E80" s="95">
        <f>_xlfn.IFNA(VLOOKUP(A80,'Anlage 1b_Abzüge, Pflicht, Boni'!$A$9:$D$94,4,FALSE),0)</f>
        <v>0</v>
      </c>
      <c r="F80" s="95">
        <f t="shared" si="6"/>
        <v>253561.07000000004</v>
      </c>
      <c r="G80" s="95">
        <f>SUMIFS('Anlage 1c_Korrekturen_NB'!$L$11:$L$78,'Anlage 1c_Korrekturen_NB'!$A$11:$A$78,'Anlage 3a_Zusammenfassung_KWKG'!$A80)</f>
        <v>1022.0799999999999</v>
      </c>
      <c r="H80" s="144">
        <f>SUMIFS('Anlage 1c_Korrekturen_NB'!$D$610:$D$676,'Anlage 1c_Korrekturen_NB'!$A$610:$A$676,'Anlage 3a_Zusammenfassung_KWKG'!$A80)</f>
        <v>0</v>
      </c>
      <c r="I80" s="1091">
        <f t="shared" si="5"/>
        <v>1022.0799999999999</v>
      </c>
      <c r="J80" s="98"/>
      <c r="K80" s="12"/>
      <c r="L80" s="12"/>
    </row>
    <row r="81" spans="1:12" hidden="1" outlineLevel="1">
      <c r="A81" s="454" t="s">
        <v>232</v>
      </c>
      <c r="B81" s="544">
        <f>VLOOKUP($A81,'Anlage 1a_Zuschlagszahlungen_NB'!$A$868:$E$1595,5,0)</f>
        <v>4362.72</v>
      </c>
      <c r="C81" s="95">
        <f>_xlfn.IFNA(VLOOKUP($A81,'Anlage 1b_Abzüge, Pflicht, Boni'!$A$9:$D$94,2,FALSE),0)</f>
        <v>0</v>
      </c>
      <c r="D81" s="95">
        <f>_xlfn.IFNA(VLOOKUP(A81,'Anlage 1b_Abzüge, Pflicht, Boni'!$A$9:$D$94,3,FALSE),0)</f>
        <v>0</v>
      </c>
      <c r="E81" s="95">
        <f>_xlfn.IFNA(VLOOKUP(A81,'Anlage 1b_Abzüge, Pflicht, Boni'!$A$9:$D$94,4,FALSE),0)</f>
        <v>0</v>
      </c>
      <c r="F81" s="95">
        <f t="shared" si="6"/>
        <v>4362.72</v>
      </c>
      <c r="G81" s="95">
        <f>SUMIFS('Anlage 1c_Korrekturen_NB'!$L$11:$L$78,'Anlage 1c_Korrekturen_NB'!$A$11:$A$78,'Anlage 3a_Zusammenfassung_KWKG'!$A81)</f>
        <v>0</v>
      </c>
      <c r="H81" s="144">
        <f>SUMIFS('Anlage 1c_Korrekturen_NB'!$D$610:$D$676,'Anlage 1c_Korrekturen_NB'!$A$610:$A$676,'Anlage 3a_Zusammenfassung_KWKG'!$A81)</f>
        <v>0</v>
      </c>
      <c r="I81" s="1091">
        <f t="shared" si="5"/>
        <v>0</v>
      </c>
      <c r="J81" s="98"/>
      <c r="K81" s="12"/>
      <c r="L81" s="12"/>
    </row>
    <row r="82" spans="1:12" hidden="1" outlineLevel="1">
      <c r="A82" s="454" t="s">
        <v>234</v>
      </c>
      <c r="B82" s="544">
        <f>VLOOKUP($A82,'Anlage 1a_Zuschlagszahlungen_NB'!$A$868:$E$1595,5,0)</f>
        <v>102670.02</v>
      </c>
      <c r="C82" s="95">
        <f>_xlfn.IFNA(VLOOKUP($A82,'Anlage 1b_Abzüge, Pflicht, Boni'!$A$9:$D$94,2,FALSE),0)</f>
        <v>0</v>
      </c>
      <c r="D82" s="95">
        <f>_xlfn.IFNA(VLOOKUP(A82,'Anlage 1b_Abzüge, Pflicht, Boni'!$A$9:$D$94,3,FALSE),0)</f>
        <v>0</v>
      </c>
      <c r="E82" s="95">
        <f>_xlfn.IFNA(VLOOKUP(A82,'Anlage 1b_Abzüge, Pflicht, Boni'!$A$9:$D$94,4,FALSE),0)</f>
        <v>0</v>
      </c>
      <c r="F82" s="95">
        <f t="shared" si="6"/>
        <v>102670.02</v>
      </c>
      <c r="G82" s="95">
        <f>SUMIFS('Anlage 1c_Korrekturen_NB'!$L$11:$L$78,'Anlage 1c_Korrekturen_NB'!$A$11:$A$78,'Anlage 3a_Zusammenfassung_KWKG'!$A82)</f>
        <v>0</v>
      </c>
      <c r="H82" s="144">
        <f>SUMIFS('Anlage 1c_Korrekturen_NB'!$D$610:$D$676,'Anlage 1c_Korrekturen_NB'!$A$610:$A$676,'Anlage 3a_Zusammenfassung_KWKG'!$A82)</f>
        <v>0</v>
      </c>
      <c r="I82" s="1091">
        <f t="shared" si="5"/>
        <v>0</v>
      </c>
      <c r="J82" s="98"/>
      <c r="K82" s="12"/>
      <c r="L82" s="12"/>
    </row>
    <row r="83" spans="1:12" hidden="1" outlineLevel="1">
      <c r="A83" s="454" t="s">
        <v>236</v>
      </c>
      <c r="B83" s="544">
        <f>VLOOKUP($A83,'Anlage 1a_Zuschlagszahlungen_NB'!$A$868:$E$1595,5,0)</f>
        <v>26628.959999999999</v>
      </c>
      <c r="C83" s="95">
        <f>_xlfn.IFNA(VLOOKUP($A83,'Anlage 1b_Abzüge, Pflicht, Boni'!$A$9:$D$94,2,FALSE),0)</f>
        <v>0</v>
      </c>
      <c r="D83" s="95">
        <f>_xlfn.IFNA(VLOOKUP(A83,'Anlage 1b_Abzüge, Pflicht, Boni'!$A$9:$D$94,3,FALSE),0)</f>
        <v>0</v>
      </c>
      <c r="E83" s="95">
        <f>_xlfn.IFNA(VLOOKUP(A83,'Anlage 1b_Abzüge, Pflicht, Boni'!$A$9:$D$94,4,FALSE),0)</f>
        <v>0</v>
      </c>
      <c r="F83" s="95">
        <f t="shared" si="6"/>
        <v>26628.959999999999</v>
      </c>
      <c r="G83" s="95">
        <f>SUMIFS('Anlage 1c_Korrekturen_NB'!$L$11:$L$78,'Anlage 1c_Korrekturen_NB'!$A$11:$A$78,'Anlage 3a_Zusammenfassung_KWKG'!$A83)</f>
        <v>0</v>
      </c>
      <c r="H83" s="144">
        <f>SUMIFS('Anlage 1c_Korrekturen_NB'!$D$610:$D$676,'Anlage 1c_Korrekturen_NB'!$A$610:$A$676,'Anlage 3a_Zusammenfassung_KWKG'!$A83)</f>
        <v>0</v>
      </c>
      <c r="I83" s="1091">
        <f t="shared" si="5"/>
        <v>0</v>
      </c>
      <c r="J83" s="98"/>
      <c r="K83" s="12"/>
      <c r="L83" s="12"/>
    </row>
    <row r="84" spans="1:12" hidden="1" outlineLevel="1">
      <c r="A84" s="454" t="s">
        <v>238</v>
      </c>
      <c r="B84" s="544">
        <f>VLOOKUP($A84,'Anlage 1a_Zuschlagszahlungen_NB'!$A$868:$E$1595,5,0)</f>
        <v>899232.19000000006</v>
      </c>
      <c r="C84" s="95">
        <f>_xlfn.IFNA(VLOOKUP($A84,'Anlage 1b_Abzüge, Pflicht, Boni'!$A$9:$D$94,2,FALSE),0)</f>
        <v>0</v>
      </c>
      <c r="D84" s="95">
        <f>_xlfn.IFNA(VLOOKUP(A84,'Anlage 1b_Abzüge, Pflicht, Boni'!$A$9:$D$94,3,FALSE),0)</f>
        <v>0</v>
      </c>
      <c r="E84" s="95">
        <f>_xlfn.IFNA(VLOOKUP(A84,'Anlage 1b_Abzüge, Pflicht, Boni'!$A$9:$D$94,4,FALSE),0)</f>
        <v>0</v>
      </c>
      <c r="F84" s="95">
        <f t="shared" si="6"/>
        <v>899232.19000000006</v>
      </c>
      <c r="G84" s="95">
        <f>SUMIFS('Anlage 1c_Korrekturen_NB'!$L$11:$L$78,'Anlage 1c_Korrekturen_NB'!$A$11:$A$78,'Anlage 3a_Zusammenfassung_KWKG'!$A84)</f>
        <v>380955.82</v>
      </c>
      <c r="H84" s="144">
        <f>SUMIFS('Anlage 1c_Korrekturen_NB'!$D$610:$D$676,'Anlage 1c_Korrekturen_NB'!$A$610:$A$676,'Anlage 3a_Zusammenfassung_KWKG'!$A84)</f>
        <v>0</v>
      </c>
      <c r="I84" s="1091">
        <f t="shared" si="5"/>
        <v>380955.82</v>
      </c>
      <c r="J84" s="98"/>
      <c r="K84" s="12"/>
      <c r="L84" s="12"/>
    </row>
    <row r="85" spans="1:12" hidden="1" outlineLevel="1">
      <c r="A85" s="454" t="s">
        <v>240</v>
      </c>
      <c r="B85" s="544">
        <f>VLOOKUP($A85,'Anlage 1a_Zuschlagszahlungen_NB'!$A$868:$E$1595,5,0)</f>
        <v>245239.82</v>
      </c>
      <c r="C85" s="95">
        <f>_xlfn.IFNA(VLOOKUP($A85,'Anlage 1b_Abzüge, Pflicht, Boni'!$A$9:$D$94,2,FALSE),0)</f>
        <v>0</v>
      </c>
      <c r="D85" s="95">
        <f>_xlfn.IFNA(VLOOKUP(A85,'Anlage 1b_Abzüge, Pflicht, Boni'!$A$9:$D$94,3,FALSE),0)</f>
        <v>0</v>
      </c>
      <c r="E85" s="95">
        <f>_xlfn.IFNA(VLOOKUP(A85,'Anlage 1b_Abzüge, Pflicht, Boni'!$A$9:$D$94,4,FALSE),0)</f>
        <v>0</v>
      </c>
      <c r="F85" s="95">
        <f t="shared" si="6"/>
        <v>245239.82</v>
      </c>
      <c r="G85" s="95">
        <f>SUMIFS('Anlage 1c_Korrekturen_NB'!$L$11:$L$78,'Anlage 1c_Korrekturen_NB'!$A$11:$A$78,'Anlage 3a_Zusammenfassung_KWKG'!$A85)</f>
        <v>0</v>
      </c>
      <c r="H85" s="144">
        <f>SUMIFS('Anlage 1c_Korrekturen_NB'!$D$610:$D$676,'Anlage 1c_Korrekturen_NB'!$A$610:$A$676,'Anlage 3a_Zusammenfassung_KWKG'!$A85)</f>
        <v>0</v>
      </c>
      <c r="I85" s="1091">
        <f t="shared" si="5"/>
        <v>0</v>
      </c>
      <c r="J85" s="98"/>
      <c r="K85" s="12"/>
      <c r="L85" s="12"/>
    </row>
    <row r="86" spans="1:12" hidden="1" outlineLevel="1">
      <c r="A86" s="454" t="s">
        <v>242</v>
      </c>
      <c r="B86" s="544">
        <f>VLOOKUP($A86,'Anlage 1a_Zuschlagszahlungen_NB'!$A$868:$E$1595,5,0)</f>
        <v>233073.52999999997</v>
      </c>
      <c r="C86" s="95">
        <f>_xlfn.IFNA(VLOOKUP($A86,'Anlage 1b_Abzüge, Pflicht, Boni'!$A$9:$D$94,2,FALSE),0)</f>
        <v>-150.41</v>
      </c>
      <c r="D86" s="95">
        <f>_xlfn.IFNA(VLOOKUP(A86,'Anlage 1b_Abzüge, Pflicht, Boni'!$A$9:$D$94,3,FALSE),0)</f>
        <v>0</v>
      </c>
      <c r="E86" s="95">
        <f>_xlfn.IFNA(VLOOKUP(A86,'Anlage 1b_Abzüge, Pflicht, Boni'!$A$9:$D$94,4,FALSE),0)</f>
        <v>0</v>
      </c>
      <c r="F86" s="95">
        <f t="shared" si="6"/>
        <v>232923.11999999997</v>
      </c>
      <c r="G86" s="95">
        <f>SUMIFS('Anlage 1c_Korrekturen_NB'!$L$11:$L$78,'Anlage 1c_Korrekturen_NB'!$A$11:$A$78,'Anlage 3a_Zusammenfassung_KWKG'!$A86)</f>
        <v>0</v>
      </c>
      <c r="H86" s="144">
        <f>SUMIFS('Anlage 1c_Korrekturen_NB'!$D$610:$D$676,'Anlage 1c_Korrekturen_NB'!$A$610:$A$676,'Anlage 3a_Zusammenfassung_KWKG'!$A86)</f>
        <v>0</v>
      </c>
      <c r="I86" s="1091">
        <f t="shared" si="5"/>
        <v>0</v>
      </c>
      <c r="J86" s="98"/>
      <c r="K86" s="12"/>
      <c r="L86" s="12"/>
    </row>
    <row r="87" spans="1:12" hidden="1" outlineLevel="1">
      <c r="A87" s="454" t="s">
        <v>244</v>
      </c>
      <c r="B87" s="544">
        <f>VLOOKUP($A87,'Anlage 1a_Zuschlagszahlungen_NB'!$A$868:$E$1595,5,0)</f>
        <v>58466.29</v>
      </c>
      <c r="C87" s="95">
        <f>_xlfn.IFNA(VLOOKUP($A87,'Anlage 1b_Abzüge, Pflicht, Boni'!$A$9:$D$94,2,FALSE),0)</f>
        <v>0</v>
      </c>
      <c r="D87" s="95">
        <f>_xlfn.IFNA(VLOOKUP(A87,'Anlage 1b_Abzüge, Pflicht, Boni'!$A$9:$D$94,3,FALSE),0)</f>
        <v>0</v>
      </c>
      <c r="E87" s="95">
        <f>_xlfn.IFNA(VLOOKUP(A87,'Anlage 1b_Abzüge, Pflicht, Boni'!$A$9:$D$94,4,FALSE),0)</f>
        <v>0</v>
      </c>
      <c r="F87" s="95">
        <f t="shared" si="6"/>
        <v>58466.29</v>
      </c>
      <c r="G87" s="95">
        <f>SUMIFS('Anlage 1c_Korrekturen_NB'!$L$11:$L$78,'Anlage 1c_Korrekturen_NB'!$A$11:$A$78,'Anlage 3a_Zusammenfassung_KWKG'!$A87)</f>
        <v>0</v>
      </c>
      <c r="H87" s="144">
        <f>SUMIFS('Anlage 1c_Korrekturen_NB'!$D$610:$D$676,'Anlage 1c_Korrekturen_NB'!$A$610:$A$676,'Anlage 3a_Zusammenfassung_KWKG'!$A87)</f>
        <v>0</v>
      </c>
      <c r="I87" s="1091">
        <f t="shared" si="5"/>
        <v>0</v>
      </c>
      <c r="J87" s="98"/>
      <c r="K87" s="12"/>
      <c r="L87" s="12"/>
    </row>
    <row r="88" spans="1:12" hidden="1" outlineLevel="1">
      <c r="A88" s="454" t="s">
        <v>246</v>
      </c>
      <c r="B88" s="544">
        <f>VLOOKUP($A88,'Anlage 1a_Zuschlagszahlungen_NB'!$A$868:$E$1595,5,0)</f>
        <v>12706.720000000001</v>
      </c>
      <c r="C88" s="95">
        <f>_xlfn.IFNA(VLOOKUP($A88,'Anlage 1b_Abzüge, Pflicht, Boni'!$A$9:$D$94,2,FALSE),0)</f>
        <v>0</v>
      </c>
      <c r="D88" s="95">
        <f>_xlfn.IFNA(VLOOKUP(A88,'Anlage 1b_Abzüge, Pflicht, Boni'!$A$9:$D$94,3,FALSE),0)</f>
        <v>0</v>
      </c>
      <c r="E88" s="95">
        <f>_xlfn.IFNA(VLOOKUP(A88,'Anlage 1b_Abzüge, Pflicht, Boni'!$A$9:$D$94,4,FALSE),0)</f>
        <v>0</v>
      </c>
      <c r="F88" s="95">
        <f t="shared" si="6"/>
        <v>12706.720000000001</v>
      </c>
      <c r="G88" s="95">
        <f>SUMIFS('Anlage 1c_Korrekturen_NB'!$L$11:$L$78,'Anlage 1c_Korrekturen_NB'!$A$11:$A$78,'Anlage 3a_Zusammenfassung_KWKG'!$A88)</f>
        <v>0</v>
      </c>
      <c r="H88" s="144">
        <f>SUMIFS('Anlage 1c_Korrekturen_NB'!$D$610:$D$676,'Anlage 1c_Korrekturen_NB'!$A$610:$A$676,'Anlage 3a_Zusammenfassung_KWKG'!$A88)</f>
        <v>0</v>
      </c>
      <c r="I88" s="1091">
        <f t="shared" si="5"/>
        <v>0</v>
      </c>
      <c r="J88" s="98"/>
      <c r="K88" s="12"/>
      <c r="L88" s="12"/>
    </row>
    <row r="89" spans="1:12" hidden="1" outlineLevel="1">
      <c r="A89" s="454" t="s">
        <v>248</v>
      </c>
      <c r="B89" s="544">
        <f>VLOOKUP($A89,'Anlage 1a_Zuschlagszahlungen_NB'!$A$868:$E$1595,5,0)</f>
        <v>6707189.1599999992</v>
      </c>
      <c r="C89" s="95">
        <f>_xlfn.IFNA(VLOOKUP($A89,'Anlage 1b_Abzüge, Pflicht, Boni'!$A$9:$D$94,2,FALSE),0)</f>
        <v>0</v>
      </c>
      <c r="D89" s="95">
        <f>_xlfn.IFNA(VLOOKUP(A89,'Anlage 1b_Abzüge, Pflicht, Boni'!$A$9:$D$94,3,FALSE),0)</f>
        <v>0</v>
      </c>
      <c r="E89" s="95">
        <f>_xlfn.IFNA(VLOOKUP(A89,'Anlage 1b_Abzüge, Pflicht, Boni'!$A$9:$D$94,4,FALSE),0)</f>
        <v>0</v>
      </c>
      <c r="F89" s="95">
        <f t="shared" si="6"/>
        <v>6707189.1599999992</v>
      </c>
      <c r="G89" s="95">
        <f>SUMIFS('Anlage 1c_Korrekturen_NB'!$L$11:$L$78,'Anlage 1c_Korrekturen_NB'!$A$11:$A$78,'Anlage 3a_Zusammenfassung_KWKG'!$A89)</f>
        <v>0</v>
      </c>
      <c r="H89" s="144">
        <f>SUMIFS('Anlage 1c_Korrekturen_NB'!$D$610:$D$676,'Anlage 1c_Korrekturen_NB'!$A$610:$A$676,'Anlage 3a_Zusammenfassung_KWKG'!$A89)</f>
        <v>0</v>
      </c>
      <c r="I89" s="1091">
        <f t="shared" si="5"/>
        <v>0</v>
      </c>
      <c r="J89" s="98"/>
      <c r="K89" s="12"/>
      <c r="L89" s="12"/>
    </row>
    <row r="90" spans="1:12" hidden="1" outlineLevel="1">
      <c r="A90" s="454" t="s">
        <v>250</v>
      </c>
      <c r="B90" s="544">
        <f>VLOOKUP($A90,'Anlage 1a_Zuschlagszahlungen_NB'!$A$868:$E$1595,5,0)</f>
        <v>3534831.1199999992</v>
      </c>
      <c r="C90" s="95">
        <f>_xlfn.IFNA(VLOOKUP($A90,'Anlage 1b_Abzüge, Pflicht, Boni'!$A$9:$D$94,2,FALSE),0)</f>
        <v>0</v>
      </c>
      <c r="D90" s="95">
        <f>_xlfn.IFNA(VLOOKUP(A90,'Anlage 1b_Abzüge, Pflicht, Boni'!$A$9:$D$94,3,FALSE),0)</f>
        <v>0</v>
      </c>
      <c r="E90" s="95">
        <f>_xlfn.IFNA(VLOOKUP(A90,'Anlage 1b_Abzüge, Pflicht, Boni'!$A$9:$D$94,4,FALSE),0)</f>
        <v>0</v>
      </c>
      <c r="F90" s="95">
        <f t="shared" si="6"/>
        <v>3534831.1199999992</v>
      </c>
      <c r="G90" s="95">
        <f>SUMIFS('Anlage 1c_Korrekturen_NB'!$L$11:$L$78,'Anlage 1c_Korrekturen_NB'!$A$11:$A$78,'Anlage 3a_Zusammenfassung_KWKG'!$A90)</f>
        <v>512083.37999999995</v>
      </c>
      <c r="H90" s="144">
        <f>SUMIFS('Anlage 1c_Korrekturen_NB'!$D$610:$D$676,'Anlage 1c_Korrekturen_NB'!$A$610:$A$676,'Anlage 3a_Zusammenfassung_KWKG'!$A90)</f>
        <v>0</v>
      </c>
      <c r="I90" s="1091">
        <f t="shared" si="5"/>
        <v>512083.37999999995</v>
      </c>
      <c r="J90" s="98"/>
      <c r="K90" s="12"/>
      <c r="L90" s="12"/>
    </row>
    <row r="91" spans="1:12" hidden="1" outlineLevel="1">
      <c r="A91" s="454" t="s">
        <v>252</v>
      </c>
      <c r="B91" s="544">
        <f>VLOOKUP($A91,'Anlage 1a_Zuschlagszahlungen_NB'!$A$868:$E$1595,5,0)</f>
        <v>14840261.819999997</v>
      </c>
      <c r="C91" s="95">
        <f>_xlfn.IFNA(VLOOKUP($A91,'Anlage 1b_Abzüge, Pflicht, Boni'!$A$9:$D$94,2,FALSE),0)</f>
        <v>0</v>
      </c>
      <c r="D91" s="95">
        <f>_xlfn.IFNA(VLOOKUP(A91,'Anlage 1b_Abzüge, Pflicht, Boni'!$A$9:$D$94,3,FALSE),0)</f>
        <v>0</v>
      </c>
      <c r="E91" s="95">
        <f>_xlfn.IFNA(VLOOKUP(A91,'Anlage 1b_Abzüge, Pflicht, Boni'!$A$9:$D$94,4,FALSE),0)</f>
        <v>0</v>
      </c>
      <c r="F91" s="95">
        <f t="shared" si="6"/>
        <v>14840261.819999997</v>
      </c>
      <c r="G91" s="95">
        <f>SUMIFS('Anlage 1c_Korrekturen_NB'!$L$11:$L$78,'Anlage 1c_Korrekturen_NB'!$A$11:$A$78,'Anlage 3a_Zusammenfassung_KWKG'!$A91)</f>
        <v>83284.549999999988</v>
      </c>
      <c r="H91" s="144">
        <f>SUMIFS('Anlage 1c_Korrekturen_NB'!$D$610:$D$676,'Anlage 1c_Korrekturen_NB'!$A$610:$A$676,'Anlage 3a_Zusammenfassung_KWKG'!$A91)</f>
        <v>0</v>
      </c>
      <c r="I91" s="1091">
        <f t="shared" si="5"/>
        <v>83284.549999999988</v>
      </c>
      <c r="J91" s="98"/>
      <c r="K91" s="12"/>
      <c r="L91" s="12"/>
    </row>
    <row r="92" spans="1:12" hidden="1" outlineLevel="1">
      <c r="A92" s="454" t="s">
        <v>254</v>
      </c>
      <c r="B92" s="544">
        <f>VLOOKUP($A92,'Anlage 1a_Zuschlagszahlungen_NB'!$A$868:$E$1595,5,0)</f>
        <v>845890.03999999992</v>
      </c>
      <c r="C92" s="95">
        <f>_xlfn.IFNA(VLOOKUP($A92,'Anlage 1b_Abzüge, Pflicht, Boni'!$A$9:$D$94,2,FALSE),0)</f>
        <v>0</v>
      </c>
      <c r="D92" s="95">
        <f>_xlfn.IFNA(VLOOKUP(A92,'Anlage 1b_Abzüge, Pflicht, Boni'!$A$9:$D$94,3,FALSE),0)</f>
        <v>0</v>
      </c>
      <c r="E92" s="95">
        <f>_xlfn.IFNA(VLOOKUP(A92,'Anlage 1b_Abzüge, Pflicht, Boni'!$A$9:$D$94,4,FALSE),0)</f>
        <v>0</v>
      </c>
      <c r="F92" s="95">
        <f t="shared" si="6"/>
        <v>845890.03999999992</v>
      </c>
      <c r="G92" s="95">
        <f>SUMIFS('Anlage 1c_Korrekturen_NB'!$L$11:$L$78,'Anlage 1c_Korrekturen_NB'!$A$11:$A$78,'Anlage 3a_Zusammenfassung_KWKG'!$A92)</f>
        <v>0</v>
      </c>
      <c r="H92" s="144">
        <f>SUMIFS('Anlage 1c_Korrekturen_NB'!$D$610:$D$676,'Anlage 1c_Korrekturen_NB'!$A$610:$A$676,'Anlage 3a_Zusammenfassung_KWKG'!$A92)</f>
        <v>0</v>
      </c>
      <c r="I92" s="1091">
        <f t="shared" si="5"/>
        <v>0</v>
      </c>
      <c r="J92" s="98"/>
      <c r="K92" s="12"/>
      <c r="L92" s="12"/>
    </row>
    <row r="93" spans="1:12" hidden="1" outlineLevel="1">
      <c r="A93" s="454" t="s">
        <v>256</v>
      </c>
      <c r="B93" s="544">
        <f>VLOOKUP($A93,'Anlage 1a_Zuschlagszahlungen_NB'!$A$868:$E$1595,5,0)</f>
        <v>900772.91999999981</v>
      </c>
      <c r="C93" s="95">
        <f>_xlfn.IFNA(VLOOKUP($A93,'Anlage 1b_Abzüge, Pflicht, Boni'!$A$9:$D$94,2,FALSE),0)</f>
        <v>0</v>
      </c>
      <c r="D93" s="95">
        <f>_xlfn.IFNA(VLOOKUP(A93,'Anlage 1b_Abzüge, Pflicht, Boni'!$A$9:$D$94,3,FALSE),0)</f>
        <v>0</v>
      </c>
      <c r="E93" s="95">
        <f>_xlfn.IFNA(VLOOKUP(A93,'Anlage 1b_Abzüge, Pflicht, Boni'!$A$9:$D$94,4,FALSE),0)</f>
        <v>0</v>
      </c>
      <c r="F93" s="95">
        <f t="shared" si="6"/>
        <v>900772.91999999981</v>
      </c>
      <c r="G93" s="95">
        <f>SUMIFS('Anlage 1c_Korrekturen_NB'!$L$11:$L$78,'Anlage 1c_Korrekturen_NB'!$A$11:$A$78,'Anlage 3a_Zusammenfassung_KWKG'!$A93)</f>
        <v>0</v>
      </c>
      <c r="H93" s="144">
        <f>SUMIFS('Anlage 1c_Korrekturen_NB'!$D$610:$D$676,'Anlage 1c_Korrekturen_NB'!$A$610:$A$676,'Anlage 3a_Zusammenfassung_KWKG'!$A93)</f>
        <v>0</v>
      </c>
      <c r="I93" s="1091">
        <f t="shared" si="5"/>
        <v>0</v>
      </c>
      <c r="J93" s="98"/>
      <c r="K93" s="12"/>
      <c r="L93" s="12"/>
    </row>
    <row r="94" spans="1:12" hidden="1" outlineLevel="1">
      <c r="A94" s="454" t="s">
        <v>258</v>
      </c>
      <c r="B94" s="544">
        <f>VLOOKUP($A94,'Anlage 1a_Zuschlagszahlungen_NB'!$A$868:$E$1595,5,0)</f>
        <v>57436.25</v>
      </c>
      <c r="C94" s="95">
        <f>_xlfn.IFNA(VLOOKUP($A94,'Anlage 1b_Abzüge, Pflicht, Boni'!$A$9:$D$94,2,FALSE),0)</f>
        <v>0</v>
      </c>
      <c r="D94" s="95">
        <f>_xlfn.IFNA(VLOOKUP(A94,'Anlage 1b_Abzüge, Pflicht, Boni'!$A$9:$D$94,3,FALSE),0)</f>
        <v>0</v>
      </c>
      <c r="E94" s="95">
        <f>_xlfn.IFNA(VLOOKUP(A94,'Anlage 1b_Abzüge, Pflicht, Boni'!$A$9:$D$94,4,FALSE),0)</f>
        <v>0</v>
      </c>
      <c r="F94" s="95">
        <f t="shared" si="6"/>
        <v>57436.25</v>
      </c>
      <c r="G94" s="95">
        <f>SUMIFS('Anlage 1c_Korrekturen_NB'!$L$11:$L$78,'Anlage 1c_Korrekturen_NB'!$A$11:$A$78,'Anlage 3a_Zusammenfassung_KWKG'!$A94)</f>
        <v>0</v>
      </c>
      <c r="H94" s="144">
        <f>SUMIFS('Anlage 1c_Korrekturen_NB'!$D$610:$D$676,'Anlage 1c_Korrekturen_NB'!$A$610:$A$676,'Anlage 3a_Zusammenfassung_KWKG'!$A94)</f>
        <v>0</v>
      </c>
      <c r="I94" s="1091">
        <f t="shared" si="5"/>
        <v>0</v>
      </c>
      <c r="J94" s="98"/>
      <c r="K94" s="12"/>
      <c r="L94" s="12"/>
    </row>
    <row r="95" spans="1:12" hidden="1" outlineLevel="1">
      <c r="A95" s="454" t="s">
        <v>260</v>
      </c>
      <c r="B95" s="544">
        <f>VLOOKUP($A95,'Anlage 1a_Zuschlagszahlungen_NB'!$A$868:$E$1595,5,0)</f>
        <v>23227.65</v>
      </c>
      <c r="C95" s="95">
        <f>_xlfn.IFNA(VLOOKUP($A95,'Anlage 1b_Abzüge, Pflicht, Boni'!$A$9:$D$94,2,FALSE),0)</f>
        <v>0</v>
      </c>
      <c r="D95" s="95">
        <f>_xlfn.IFNA(VLOOKUP(A95,'Anlage 1b_Abzüge, Pflicht, Boni'!$A$9:$D$94,3,FALSE),0)</f>
        <v>0</v>
      </c>
      <c r="E95" s="95">
        <f>_xlfn.IFNA(VLOOKUP(A95,'Anlage 1b_Abzüge, Pflicht, Boni'!$A$9:$D$94,4,FALSE),0)</f>
        <v>0</v>
      </c>
      <c r="F95" s="95">
        <f t="shared" si="6"/>
        <v>23227.65</v>
      </c>
      <c r="G95" s="95">
        <f>SUMIFS('Anlage 1c_Korrekturen_NB'!$L$11:$L$78,'Anlage 1c_Korrekturen_NB'!$A$11:$A$78,'Anlage 3a_Zusammenfassung_KWKG'!$A95)</f>
        <v>0</v>
      </c>
      <c r="H95" s="144">
        <f>SUMIFS('Anlage 1c_Korrekturen_NB'!$D$610:$D$676,'Anlage 1c_Korrekturen_NB'!$A$610:$A$676,'Anlage 3a_Zusammenfassung_KWKG'!$A95)</f>
        <v>0</v>
      </c>
      <c r="I95" s="1091">
        <f t="shared" si="5"/>
        <v>0</v>
      </c>
      <c r="J95" s="98"/>
      <c r="K95" s="12"/>
      <c r="L95" s="12"/>
    </row>
    <row r="96" spans="1:12" hidden="1" outlineLevel="1">
      <c r="A96" s="454" t="s">
        <v>262</v>
      </c>
      <c r="B96" s="544">
        <f>VLOOKUP($A96,'Anlage 1a_Zuschlagszahlungen_NB'!$A$868:$E$1595,5,0)</f>
        <v>599318.67000000004</v>
      </c>
      <c r="C96" s="95">
        <f>_xlfn.IFNA(VLOOKUP($A96,'Anlage 1b_Abzüge, Pflicht, Boni'!$A$9:$D$94,2,FALSE),0)</f>
        <v>0</v>
      </c>
      <c r="D96" s="95">
        <f>_xlfn.IFNA(VLOOKUP(A96,'Anlage 1b_Abzüge, Pflicht, Boni'!$A$9:$D$94,3,FALSE),0)</f>
        <v>0</v>
      </c>
      <c r="E96" s="95">
        <f>_xlfn.IFNA(VLOOKUP(A96,'Anlage 1b_Abzüge, Pflicht, Boni'!$A$9:$D$94,4,FALSE),0)</f>
        <v>0</v>
      </c>
      <c r="F96" s="95">
        <f t="shared" si="6"/>
        <v>599318.67000000004</v>
      </c>
      <c r="G96" s="95">
        <f>SUMIFS('Anlage 1c_Korrekturen_NB'!$L$11:$L$78,'Anlage 1c_Korrekturen_NB'!$A$11:$A$78,'Anlage 3a_Zusammenfassung_KWKG'!$A96)</f>
        <v>0</v>
      </c>
      <c r="H96" s="144">
        <f>SUMIFS('Anlage 1c_Korrekturen_NB'!$D$610:$D$676,'Anlage 1c_Korrekturen_NB'!$A$610:$A$676,'Anlage 3a_Zusammenfassung_KWKG'!$A96)</f>
        <v>0</v>
      </c>
      <c r="I96" s="1091">
        <f t="shared" si="5"/>
        <v>0</v>
      </c>
      <c r="J96" s="98"/>
      <c r="K96" s="12"/>
      <c r="L96" s="12"/>
    </row>
    <row r="97" spans="1:12" hidden="1" outlineLevel="1">
      <c r="A97" s="454" t="s">
        <v>264</v>
      </c>
      <c r="B97" s="544">
        <f>VLOOKUP($A97,'Anlage 1a_Zuschlagszahlungen_NB'!$A$868:$E$1595,5,0)</f>
        <v>49251.47</v>
      </c>
      <c r="C97" s="95">
        <f>_xlfn.IFNA(VLOOKUP($A97,'Anlage 1b_Abzüge, Pflicht, Boni'!$A$9:$D$94,2,FALSE),0)</f>
        <v>0</v>
      </c>
      <c r="D97" s="95">
        <f>_xlfn.IFNA(VLOOKUP(A97,'Anlage 1b_Abzüge, Pflicht, Boni'!$A$9:$D$94,3,FALSE),0)</f>
        <v>0</v>
      </c>
      <c r="E97" s="95">
        <f>_xlfn.IFNA(VLOOKUP(A97,'Anlage 1b_Abzüge, Pflicht, Boni'!$A$9:$D$94,4,FALSE),0)</f>
        <v>0</v>
      </c>
      <c r="F97" s="95">
        <f t="shared" si="6"/>
        <v>49251.47</v>
      </c>
      <c r="G97" s="95">
        <f>SUMIFS('Anlage 1c_Korrekturen_NB'!$L$11:$L$78,'Anlage 1c_Korrekturen_NB'!$A$11:$A$78,'Anlage 3a_Zusammenfassung_KWKG'!$A97)</f>
        <v>96.08</v>
      </c>
      <c r="H97" s="144">
        <f>SUMIFS('Anlage 1c_Korrekturen_NB'!$D$610:$D$676,'Anlage 1c_Korrekturen_NB'!$A$610:$A$676,'Anlage 3a_Zusammenfassung_KWKG'!$A97)</f>
        <v>0</v>
      </c>
      <c r="I97" s="1091">
        <f t="shared" si="5"/>
        <v>96.08</v>
      </c>
      <c r="J97" s="98"/>
      <c r="K97" s="12"/>
      <c r="L97" s="12"/>
    </row>
    <row r="98" spans="1:12" hidden="1" outlineLevel="1">
      <c r="A98" s="454" t="s">
        <v>266</v>
      </c>
      <c r="B98" s="544">
        <f>VLOOKUP($A98,'Anlage 1a_Zuschlagszahlungen_NB'!$A$868:$E$1595,5,0)</f>
        <v>6295335.8300000001</v>
      </c>
      <c r="C98" s="95">
        <f>_xlfn.IFNA(VLOOKUP($A98,'Anlage 1b_Abzüge, Pflicht, Boni'!$A$9:$D$94,2,FALSE),0)</f>
        <v>0</v>
      </c>
      <c r="D98" s="95">
        <f>_xlfn.IFNA(VLOOKUP(A98,'Anlage 1b_Abzüge, Pflicht, Boni'!$A$9:$D$94,3,FALSE),0)</f>
        <v>0</v>
      </c>
      <c r="E98" s="95">
        <f>_xlfn.IFNA(VLOOKUP(A98,'Anlage 1b_Abzüge, Pflicht, Boni'!$A$9:$D$94,4,FALSE),0)</f>
        <v>0</v>
      </c>
      <c r="F98" s="95">
        <f t="shared" si="6"/>
        <v>6295335.8300000001</v>
      </c>
      <c r="G98" s="95">
        <f>SUMIFS('Anlage 1c_Korrekturen_NB'!$L$11:$L$78,'Anlage 1c_Korrekturen_NB'!$A$11:$A$78,'Anlage 3a_Zusammenfassung_KWKG'!$A98)</f>
        <v>0</v>
      </c>
      <c r="H98" s="144">
        <f>SUMIFS('Anlage 1c_Korrekturen_NB'!$D$610:$D$676,'Anlage 1c_Korrekturen_NB'!$A$610:$A$676,'Anlage 3a_Zusammenfassung_KWKG'!$A98)</f>
        <v>0</v>
      </c>
      <c r="I98" s="1091">
        <f t="shared" si="5"/>
        <v>0</v>
      </c>
      <c r="J98" s="98"/>
      <c r="K98" s="12"/>
      <c r="L98" s="12"/>
    </row>
    <row r="99" spans="1:12" hidden="1" outlineLevel="1">
      <c r="A99" s="454" t="s">
        <v>268</v>
      </c>
      <c r="B99" s="544">
        <f>VLOOKUP($A99,'Anlage 1a_Zuschlagszahlungen_NB'!$A$868:$E$1595,5,0)</f>
        <v>1749109.1599999995</v>
      </c>
      <c r="C99" s="95">
        <f>_xlfn.IFNA(VLOOKUP($A99,'Anlage 1b_Abzüge, Pflicht, Boni'!$A$9:$D$94,2,FALSE),0)</f>
        <v>-257.72000000000003</v>
      </c>
      <c r="D99" s="95">
        <f>_xlfn.IFNA(VLOOKUP(A99,'Anlage 1b_Abzüge, Pflicht, Boni'!$A$9:$D$94,3,FALSE),0)</f>
        <v>0</v>
      </c>
      <c r="E99" s="95">
        <f>_xlfn.IFNA(VLOOKUP(A99,'Anlage 1b_Abzüge, Pflicht, Boni'!$A$9:$D$94,4,FALSE),0)</f>
        <v>0</v>
      </c>
      <c r="F99" s="95">
        <f t="shared" si="6"/>
        <v>1748851.4399999995</v>
      </c>
      <c r="G99" s="95">
        <f>SUMIFS('Anlage 1c_Korrekturen_NB'!$L$11:$L$78,'Anlage 1c_Korrekturen_NB'!$A$11:$A$78,'Anlage 3a_Zusammenfassung_KWKG'!$A99)</f>
        <v>-544.87999999999988</v>
      </c>
      <c r="H99" s="144">
        <f>SUMIFS('Anlage 1c_Korrekturen_NB'!$D$610:$D$676,'Anlage 1c_Korrekturen_NB'!$A$610:$A$676,'Anlage 3a_Zusammenfassung_KWKG'!$A99)</f>
        <v>0</v>
      </c>
      <c r="I99" s="1091">
        <f t="shared" si="5"/>
        <v>-544.87999999999988</v>
      </c>
      <c r="J99" s="98"/>
      <c r="K99" s="12"/>
      <c r="L99" s="12"/>
    </row>
    <row r="100" spans="1:12" hidden="1" outlineLevel="1">
      <c r="A100" s="454" t="s">
        <v>270</v>
      </c>
      <c r="B100" s="544">
        <f>VLOOKUP($A100,'Anlage 1a_Zuschlagszahlungen_NB'!$A$868:$E$1595,5,0)</f>
        <v>35158.800000000003</v>
      </c>
      <c r="C100" s="95">
        <f>_xlfn.IFNA(VLOOKUP($A100,'Anlage 1b_Abzüge, Pflicht, Boni'!$A$9:$D$94,2,FALSE),0)</f>
        <v>0</v>
      </c>
      <c r="D100" s="95">
        <f>_xlfn.IFNA(VLOOKUP(A100,'Anlage 1b_Abzüge, Pflicht, Boni'!$A$9:$D$94,3,FALSE),0)</f>
        <v>0</v>
      </c>
      <c r="E100" s="95">
        <f>_xlfn.IFNA(VLOOKUP(A100,'Anlage 1b_Abzüge, Pflicht, Boni'!$A$9:$D$94,4,FALSE),0)</f>
        <v>0</v>
      </c>
      <c r="F100" s="95">
        <f t="shared" si="6"/>
        <v>35158.800000000003</v>
      </c>
      <c r="G100" s="95">
        <f>SUMIFS('Anlage 1c_Korrekturen_NB'!$L$11:$L$78,'Anlage 1c_Korrekturen_NB'!$A$11:$A$78,'Anlage 3a_Zusammenfassung_KWKG'!$A100)</f>
        <v>0</v>
      </c>
      <c r="H100" s="144">
        <f>SUMIFS('Anlage 1c_Korrekturen_NB'!$D$610:$D$676,'Anlage 1c_Korrekturen_NB'!$A$610:$A$676,'Anlage 3a_Zusammenfassung_KWKG'!$A100)</f>
        <v>0</v>
      </c>
      <c r="I100" s="1091">
        <f t="shared" si="5"/>
        <v>0</v>
      </c>
      <c r="J100" s="98"/>
      <c r="K100" s="12"/>
      <c r="L100" s="12"/>
    </row>
    <row r="101" spans="1:12" hidden="1" outlineLevel="1">
      <c r="A101" s="454" t="s">
        <v>272</v>
      </c>
      <c r="B101" s="544">
        <f>VLOOKUP($A101,'Anlage 1a_Zuschlagszahlungen_NB'!$A$868:$E$1595,5,0)</f>
        <v>27120</v>
      </c>
      <c r="C101" s="95">
        <f>_xlfn.IFNA(VLOOKUP($A101,'Anlage 1b_Abzüge, Pflicht, Boni'!$A$9:$D$94,2,FALSE),0)</f>
        <v>0</v>
      </c>
      <c r="D101" s="95">
        <f>_xlfn.IFNA(VLOOKUP(A101,'Anlage 1b_Abzüge, Pflicht, Boni'!$A$9:$D$94,3,FALSE),0)</f>
        <v>0</v>
      </c>
      <c r="E101" s="95">
        <f>_xlfn.IFNA(VLOOKUP(A101,'Anlage 1b_Abzüge, Pflicht, Boni'!$A$9:$D$94,4,FALSE),0)</f>
        <v>0</v>
      </c>
      <c r="F101" s="95">
        <f t="shared" si="6"/>
        <v>27120</v>
      </c>
      <c r="G101" s="95">
        <f>SUMIFS('Anlage 1c_Korrekturen_NB'!$L$11:$L$78,'Anlage 1c_Korrekturen_NB'!$A$11:$A$78,'Anlage 3a_Zusammenfassung_KWKG'!$A101)</f>
        <v>0</v>
      </c>
      <c r="H101" s="144">
        <f>SUMIFS('Anlage 1c_Korrekturen_NB'!$D$610:$D$676,'Anlage 1c_Korrekturen_NB'!$A$610:$A$676,'Anlage 3a_Zusammenfassung_KWKG'!$A101)</f>
        <v>0</v>
      </c>
      <c r="I101" s="1091">
        <f t="shared" si="5"/>
        <v>0</v>
      </c>
      <c r="J101" s="98"/>
      <c r="K101" s="12"/>
      <c r="L101" s="12"/>
    </row>
    <row r="102" spans="1:12" hidden="1" outlineLevel="1">
      <c r="A102" s="454" t="s">
        <v>274</v>
      </c>
      <c r="B102" s="544">
        <f>VLOOKUP($A102,'Anlage 1a_Zuschlagszahlungen_NB'!$A$868:$E$1595,5,0)</f>
        <v>405901.47000000009</v>
      </c>
      <c r="C102" s="95">
        <f>_xlfn.IFNA(VLOOKUP($A102,'Anlage 1b_Abzüge, Pflicht, Boni'!$A$9:$D$94,2,FALSE),0)</f>
        <v>0</v>
      </c>
      <c r="D102" s="95">
        <f>_xlfn.IFNA(VLOOKUP(A102,'Anlage 1b_Abzüge, Pflicht, Boni'!$A$9:$D$94,3,FALSE),0)</f>
        <v>0</v>
      </c>
      <c r="E102" s="95">
        <f>_xlfn.IFNA(VLOOKUP(A102,'Anlage 1b_Abzüge, Pflicht, Boni'!$A$9:$D$94,4,FALSE),0)</f>
        <v>0</v>
      </c>
      <c r="F102" s="95">
        <f t="shared" si="6"/>
        <v>405901.47000000009</v>
      </c>
      <c r="G102" s="95">
        <f>SUMIFS('Anlage 1c_Korrekturen_NB'!$L$11:$L$78,'Anlage 1c_Korrekturen_NB'!$A$11:$A$78,'Anlage 3a_Zusammenfassung_KWKG'!$A102)</f>
        <v>0</v>
      </c>
      <c r="H102" s="144">
        <f>SUMIFS('Anlage 1c_Korrekturen_NB'!$D$610:$D$676,'Anlage 1c_Korrekturen_NB'!$A$610:$A$676,'Anlage 3a_Zusammenfassung_KWKG'!$A102)</f>
        <v>0</v>
      </c>
      <c r="I102" s="1091">
        <f t="shared" si="5"/>
        <v>0</v>
      </c>
      <c r="J102" s="98"/>
      <c r="K102" s="12"/>
      <c r="L102" s="12"/>
    </row>
    <row r="103" spans="1:12" hidden="1" outlineLevel="1">
      <c r="A103" s="454" t="s">
        <v>276</v>
      </c>
      <c r="B103" s="544">
        <f>VLOOKUP($A103,'Anlage 1a_Zuschlagszahlungen_NB'!$A$868:$E$1595,5,0)</f>
        <v>260241.55000000005</v>
      </c>
      <c r="C103" s="95">
        <f>_xlfn.IFNA(VLOOKUP($A103,'Anlage 1b_Abzüge, Pflicht, Boni'!$A$9:$D$94,2,FALSE),0)</f>
        <v>0</v>
      </c>
      <c r="D103" s="95">
        <f>_xlfn.IFNA(VLOOKUP(A103,'Anlage 1b_Abzüge, Pflicht, Boni'!$A$9:$D$94,3,FALSE),0)</f>
        <v>0</v>
      </c>
      <c r="E103" s="95">
        <f>_xlfn.IFNA(VLOOKUP(A103,'Anlage 1b_Abzüge, Pflicht, Boni'!$A$9:$D$94,4,FALSE),0)</f>
        <v>0</v>
      </c>
      <c r="F103" s="95">
        <f t="shared" si="6"/>
        <v>260241.55000000005</v>
      </c>
      <c r="G103" s="95">
        <f>SUMIFS('Anlage 1c_Korrekturen_NB'!$L$11:$L$78,'Anlage 1c_Korrekturen_NB'!$A$11:$A$78,'Anlage 3a_Zusammenfassung_KWKG'!$A103)</f>
        <v>0</v>
      </c>
      <c r="H103" s="144">
        <f>SUMIFS('Anlage 1c_Korrekturen_NB'!$D$610:$D$676,'Anlage 1c_Korrekturen_NB'!$A$610:$A$676,'Anlage 3a_Zusammenfassung_KWKG'!$A103)</f>
        <v>0</v>
      </c>
      <c r="I103" s="1091">
        <f t="shared" ref="I103:I134" si="7">G103+H103</f>
        <v>0</v>
      </c>
      <c r="J103" s="98"/>
      <c r="K103" s="12"/>
      <c r="L103" s="12"/>
    </row>
    <row r="104" spans="1:12" hidden="1" outlineLevel="1">
      <c r="A104" s="454" t="s">
        <v>278</v>
      </c>
      <c r="B104" s="544">
        <f>VLOOKUP($A104,'Anlage 1a_Zuschlagszahlungen_NB'!$A$868:$E$1595,5,0)</f>
        <v>227758.37999999998</v>
      </c>
      <c r="C104" s="95">
        <f>_xlfn.IFNA(VLOOKUP($A104,'Anlage 1b_Abzüge, Pflicht, Boni'!$A$9:$D$94,2,FALSE),0)</f>
        <v>0</v>
      </c>
      <c r="D104" s="95">
        <f>_xlfn.IFNA(VLOOKUP(A104,'Anlage 1b_Abzüge, Pflicht, Boni'!$A$9:$D$94,3,FALSE),0)</f>
        <v>0</v>
      </c>
      <c r="E104" s="95">
        <f>_xlfn.IFNA(VLOOKUP(A104,'Anlage 1b_Abzüge, Pflicht, Boni'!$A$9:$D$94,4,FALSE),0)</f>
        <v>0</v>
      </c>
      <c r="F104" s="95">
        <f t="shared" si="6"/>
        <v>227758.37999999998</v>
      </c>
      <c r="G104" s="95">
        <f>SUMIFS('Anlage 1c_Korrekturen_NB'!$L$11:$L$78,'Anlage 1c_Korrekturen_NB'!$A$11:$A$78,'Anlage 3a_Zusammenfassung_KWKG'!$A104)</f>
        <v>0</v>
      </c>
      <c r="H104" s="144">
        <f>SUMIFS('Anlage 1c_Korrekturen_NB'!$D$610:$D$676,'Anlage 1c_Korrekturen_NB'!$A$610:$A$676,'Anlage 3a_Zusammenfassung_KWKG'!$A104)</f>
        <v>0</v>
      </c>
      <c r="I104" s="1091">
        <f t="shared" si="7"/>
        <v>0</v>
      </c>
      <c r="J104" s="98"/>
      <c r="K104" s="12"/>
      <c r="L104" s="12"/>
    </row>
    <row r="105" spans="1:12" hidden="1" outlineLevel="1">
      <c r="A105" s="454" t="s">
        <v>280</v>
      </c>
      <c r="B105" s="544">
        <f>VLOOKUP($A105,'Anlage 1a_Zuschlagszahlungen_NB'!$A$868:$E$1595,5,0)</f>
        <v>111575.78</v>
      </c>
      <c r="C105" s="95">
        <f>_xlfn.IFNA(VLOOKUP($A105,'Anlage 1b_Abzüge, Pflicht, Boni'!$A$9:$D$94,2,FALSE),0)</f>
        <v>0</v>
      </c>
      <c r="D105" s="95">
        <f>_xlfn.IFNA(VLOOKUP(A105,'Anlage 1b_Abzüge, Pflicht, Boni'!$A$9:$D$94,3,FALSE),0)</f>
        <v>0</v>
      </c>
      <c r="E105" s="95">
        <f>_xlfn.IFNA(VLOOKUP(A105,'Anlage 1b_Abzüge, Pflicht, Boni'!$A$9:$D$94,4,FALSE),0)</f>
        <v>0</v>
      </c>
      <c r="F105" s="95">
        <f t="shared" ref="F105:F136" si="8">SUM(B105:E105)</f>
        <v>111575.78</v>
      </c>
      <c r="G105" s="95">
        <f>SUMIFS('Anlage 1c_Korrekturen_NB'!$L$11:$L$78,'Anlage 1c_Korrekturen_NB'!$A$11:$A$78,'Anlage 3a_Zusammenfassung_KWKG'!$A105)</f>
        <v>2030.9599999999998</v>
      </c>
      <c r="H105" s="144">
        <f>SUMIFS('Anlage 1c_Korrekturen_NB'!$D$610:$D$676,'Anlage 1c_Korrekturen_NB'!$A$610:$A$676,'Anlage 3a_Zusammenfassung_KWKG'!$A105)</f>
        <v>0</v>
      </c>
      <c r="I105" s="1091">
        <f t="shared" si="7"/>
        <v>2030.9599999999998</v>
      </c>
      <c r="J105" s="98"/>
      <c r="K105" s="12"/>
      <c r="L105" s="12"/>
    </row>
    <row r="106" spans="1:12" hidden="1" outlineLevel="1">
      <c r="A106" s="454" t="s">
        <v>282</v>
      </c>
      <c r="B106" s="544">
        <f>VLOOKUP($A106,'Anlage 1a_Zuschlagszahlungen_NB'!$A$868:$E$1595,5,0)</f>
        <v>103288.92</v>
      </c>
      <c r="C106" s="95">
        <f>_xlfn.IFNA(VLOOKUP($A106,'Anlage 1b_Abzüge, Pflicht, Boni'!$A$9:$D$94,2,FALSE),0)</f>
        <v>0</v>
      </c>
      <c r="D106" s="95">
        <f>_xlfn.IFNA(VLOOKUP(A106,'Anlage 1b_Abzüge, Pflicht, Boni'!$A$9:$D$94,3,FALSE),0)</f>
        <v>0</v>
      </c>
      <c r="E106" s="95">
        <f>_xlfn.IFNA(VLOOKUP(A106,'Anlage 1b_Abzüge, Pflicht, Boni'!$A$9:$D$94,4,FALSE),0)</f>
        <v>0</v>
      </c>
      <c r="F106" s="95">
        <f t="shared" si="8"/>
        <v>103288.92</v>
      </c>
      <c r="G106" s="95">
        <f>SUMIFS('Anlage 1c_Korrekturen_NB'!$L$11:$L$78,'Anlage 1c_Korrekturen_NB'!$A$11:$A$78,'Anlage 3a_Zusammenfassung_KWKG'!$A106)</f>
        <v>0</v>
      </c>
      <c r="H106" s="144">
        <f>SUMIFS('Anlage 1c_Korrekturen_NB'!$D$610:$D$676,'Anlage 1c_Korrekturen_NB'!$A$610:$A$676,'Anlage 3a_Zusammenfassung_KWKG'!$A106)</f>
        <v>0</v>
      </c>
      <c r="I106" s="1091">
        <f t="shared" si="7"/>
        <v>0</v>
      </c>
      <c r="J106" s="98"/>
      <c r="K106" s="12"/>
      <c r="L106" s="12"/>
    </row>
    <row r="107" spans="1:12" hidden="1" outlineLevel="1">
      <c r="A107" s="454" t="s">
        <v>284</v>
      </c>
      <c r="B107" s="544">
        <f>VLOOKUP($A107,'Anlage 1a_Zuschlagszahlungen_NB'!$A$868:$E$1595,5,0)</f>
        <v>410763.43999999994</v>
      </c>
      <c r="C107" s="95">
        <f>_xlfn.IFNA(VLOOKUP($A107,'Anlage 1b_Abzüge, Pflicht, Boni'!$A$9:$D$94,2,FALSE),0)</f>
        <v>0</v>
      </c>
      <c r="D107" s="95">
        <f>_xlfn.IFNA(VLOOKUP(A107,'Anlage 1b_Abzüge, Pflicht, Boni'!$A$9:$D$94,3,FALSE),0)</f>
        <v>0</v>
      </c>
      <c r="E107" s="95">
        <f>_xlfn.IFNA(VLOOKUP(A107,'Anlage 1b_Abzüge, Pflicht, Boni'!$A$9:$D$94,4,FALSE),0)</f>
        <v>0</v>
      </c>
      <c r="F107" s="95">
        <f t="shared" si="8"/>
        <v>410763.43999999994</v>
      </c>
      <c r="G107" s="95">
        <f>SUMIFS('Anlage 1c_Korrekturen_NB'!$L$11:$L$78,'Anlage 1c_Korrekturen_NB'!$A$11:$A$78,'Anlage 3a_Zusammenfassung_KWKG'!$A107)</f>
        <v>0</v>
      </c>
      <c r="H107" s="144">
        <f>SUMIFS('Anlage 1c_Korrekturen_NB'!$D$610:$D$676,'Anlage 1c_Korrekturen_NB'!$A$610:$A$676,'Anlage 3a_Zusammenfassung_KWKG'!$A107)</f>
        <v>0</v>
      </c>
      <c r="I107" s="1091">
        <f t="shared" si="7"/>
        <v>0</v>
      </c>
      <c r="J107" s="98"/>
      <c r="K107" s="12"/>
      <c r="L107" s="12"/>
    </row>
    <row r="108" spans="1:12" hidden="1" outlineLevel="1">
      <c r="A108" s="454" t="s">
        <v>286</v>
      </c>
      <c r="B108" s="544">
        <f>VLOOKUP($A108,'Anlage 1a_Zuschlagszahlungen_NB'!$A$868:$E$1595,5,0)</f>
        <v>0</v>
      </c>
      <c r="C108" s="95">
        <f>_xlfn.IFNA(VLOOKUP($A108,'Anlage 1b_Abzüge, Pflicht, Boni'!$A$9:$D$94,2,FALSE),0)</f>
        <v>0</v>
      </c>
      <c r="D108" s="95">
        <f>_xlfn.IFNA(VLOOKUP(A108,'Anlage 1b_Abzüge, Pflicht, Boni'!$A$9:$D$94,3,FALSE),0)</f>
        <v>0</v>
      </c>
      <c r="E108" s="95">
        <f>_xlfn.IFNA(VLOOKUP(A108,'Anlage 1b_Abzüge, Pflicht, Boni'!$A$9:$D$94,4,FALSE),0)</f>
        <v>0</v>
      </c>
      <c r="F108" s="95">
        <f t="shared" si="8"/>
        <v>0</v>
      </c>
      <c r="G108" s="95">
        <f>SUMIFS('Anlage 1c_Korrekturen_NB'!$L$11:$L$78,'Anlage 1c_Korrekturen_NB'!$A$11:$A$78,'Anlage 3a_Zusammenfassung_KWKG'!$A108)</f>
        <v>0</v>
      </c>
      <c r="H108" s="144">
        <f>SUMIFS('Anlage 1c_Korrekturen_NB'!$D$610:$D$676,'Anlage 1c_Korrekturen_NB'!$A$610:$A$676,'Anlage 3a_Zusammenfassung_KWKG'!$A108)</f>
        <v>0</v>
      </c>
      <c r="I108" s="1091">
        <f t="shared" si="7"/>
        <v>0</v>
      </c>
      <c r="J108" s="98"/>
      <c r="K108" s="12"/>
      <c r="L108" s="12"/>
    </row>
    <row r="109" spans="1:12" hidden="1" outlineLevel="1">
      <c r="A109" s="454" t="s">
        <v>288</v>
      </c>
      <c r="B109" s="544">
        <f>VLOOKUP($A109,'Anlage 1a_Zuschlagszahlungen_NB'!$A$868:$E$1595,5,0)</f>
        <v>667728.4</v>
      </c>
      <c r="C109" s="95">
        <f>_xlfn.IFNA(VLOOKUP($A109,'Anlage 1b_Abzüge, Pflicht, Boni'!$A$9:$D$94,2,FALSE),0)</f>
        <v>0</v>
      </c>
      <c r="D109" s="95">
        <f>_xlfn.IFNA(VLOOKUP(A109,'Anlage 1b_Abzüge, Pflicht, Boni'!$A$9:$D$94,3,FALSE),0)</f>
        <v>0</v>
      </c>
      <c r="E109" s="95">
        <f>_xlfn.IFNA(VLOOKUP(A109,'Anlage 1b_Abzüge, Pflicht, Boni'!$A$9:$D$94,4,FALSE),0)</f>
        <v>0</v>
      </c>
      <c r="F109" s="95">
        <f t="shared" si="8"/>
        <v>667728.4</v>
      </c>
      <c r="G109" s="95">
        <f>SUMIFS('Anlage 1c_Korrekturen_NB'!$L$11:$L$78,'Anlage 1c_Korrekturen_NB'!$A$11:$A$78,'Anlage 3a_Zusammenfassung_KWKG'!$A109)</f>
        <v>0</v>
      </c>
      <c r="H109" s="144">
        <f>SUMIFS('Anlage 1c_Korrekturen_NB'!$D$610:$D$676,'Anlage 1c_Korrekturen_NB'!$A$610:$A$676,'Anlage 3a_Zusammenfassung_KWKG'!$A109)</f>
        <v>0</v>
      </c>
      <c r="I109" s="1091">
        <f t="shared" si="7"/>
        <v>0</v>
      </c>
      <c r="J109" s="98"/>
      <c r="K109" s="12"/>
      <c r="L109" s="12"/>
    </row>
    <row r="110" spans="1:12" hidden="1" outlineLevel="1">
      <c r="A110" s="454" t="s">
        <v>290</v>
      </c>
      <c r="B110" s="544">
        <f>VLOOKUP($A110,'Anlage 1a_Zuschlagszahlungen_NB'!$A$868:$E$1595,5,0)</f>
        <v>22420.080000000002</v>
      </c>
      <c r="C110" s="95">
        <f>_xlfn.IFNA(VLOOKUP($A110,'Anlage 1b_Abzüge, Pflicht, Boni'!$A$9:$D$94,2,FALSE),0)</f>
        <v>0</v>
      </c>
      <c r="D110" s="95">
        <f>_xlfn.IFNA(VLOOKUP(A110,'Anlage 1b_Abzüge, Pflicht, Boni'!$A$9:$D$94,3,FALSE),0)</f>
        <v>0</v>
      </c>
      <c r="E110" s="95">
        <f>_xlfn.IFNA(VLOOKUP(A110,'Anlage 1b_Abzüge, Pflicht, Boni'!$A$9:$D$94,4,FALSE),0)</f>
        <v>0</v>
      </c>
      <c r="F110" s="95">
        <f t="shared" si="8"/>
        <v>22420.080000000002</v>
      </c>
      <c r="G110" s="95">
        <f>SUMIFS('Anlage 1c_Korrekturen_NB'!$L$11:$L$78,'Anlage 1c_Korrekturen_NB'!$A$11:$A$78,'Anlage 3a_Zusammenfassung_KWKG'!$A110)</f>
        <v>0</v>
      </c>
      <c r="H110" s="144">
        <f>SUMIFS('Anlage 1c_Korrekturen_NB'!$D$610:$D$676,'Anlage 1c_Korrekturen_NB'!$A$610:$A$676,'Anlage 3a_Zusammenfassung_KWKG'!$A110)</f>
        <v>0</v>
      </c>
      <c r="I110" s="1091">
        <f t="shared" si="7"/>
        <v>0</v>
      </c>
      <c r="J110" s="98"/>
      <c r="K110" s="12"/>
      <c r="L110" s="12"/>
    </row>
    <row r="111" spans="1:12" hidden="1" outlineLevel="1">
      <c r="A111" s="454" t="s">
        <v>292</v>
      </c>
      <c r="B111" s="544">
        <f>VLOOKUP($A111,'Anlage 1a_Zuschlagszahlungen_NB'!$A$868:$E$1595,5,0)</f>
        <v>9888.44</v>
      </c>
      <c r="C111" s="95">
        <f>_xlfn.IFNA(VLOOKUP($A111,'Anlage 1b_Abzüge, Pflicht, Boni'!$A$9:$D$94,2,FALSE),0)</f>
        <v>0</v>
      </c>
      <c r="D111" s="95">
        <f>_xlfn.IFNA(VLOOKUP(A111,'Anlage 1b_Abzüge, Pflicht, Boni'!$A$9:$D$94,3,FALSE),0)</f>
        <v>0</v>
      </c>
      <c r="E111" s="95">
        <f>_xlfn.IFNA(VLOOKUP(A111,'Anlage 1b_Abzüge, Pflicht, Boni'!$A$9:$D$94,4,FALSE),0)</f>
        <v>0</v>
      </c>
      <c r="F111" s="95">
        <f t="shared" si="8"/>
        <v>9888.44</v>
      </c>
      <c r="G111" s="95">
        <f>SUMIFS('Anlage 1c_Korrekturen_NB'!$L$11:$L$78,'Anlage 1c_Korrekturen_NB'!$A$11:$A$78,'Anlage 3a_Zusammenfassung_KWKG'!$A111)</f>
        <v>0</v>
      </c>
      <c r="H111" s="144">
        <f>SUMIFS('Anlage 1c_Korrekturen_NB'!$D$610:$D$676,'Anlage 1c_Korrekturen_NB'!$A$610:$A$676,'Anlage 3a_Zusammenfassung_KWKG'!$A111)</f>
        <v>0</v>
      </c>
      <c r="I111" s="1091">
        <f t="shared" si="7"/>
        <v>0</v>
      </c>
      <c r="J111" s="98"/>
      <c r="K111" s="12"/>
      <c r="L111" s="12"/>
    </row>
    <row r="112" spans="1:12" hidden="1" outlineLevel="1">
      <c r="A112" s="454" t="s">
        <v>294</v>
      </c>
      <c r="B112" s="544">
        <f>VLOOKUP($A112,'Anlage 1a_Zuschlagszahlungen_NB'!$A$868:$E$1595,5,0)</f>
        <v>15919.150000000001</v>
      </c>
      <c r="C112" s="95">
        <f>_xlfn.IFNA(VLOOKUP($A112,'Anlage 1b_Abzüge, Pflicht, Boni'!$A$9:$D$94,2,FALSE),0)</f>
        <v>0</v>
      </c>
      <c r="D112" s="95">
        <f>_xlfn.IFNA(VLOOKUP(A112,'Anlage 1b_Abzüge, Pflicht, Boni'!$A$9:$D$94,3,FALSE),0)</f>
        <v>0</v>
      </c>
      <c r="E112" s="95">
        <f>_xlfn.IFNA(VLOOKUP(A112,'Anlage 1b_Abzüge, Pflicht, Boni'!$A$9:$D$94,4,FALSE),0)</f>
        <v>0</v>
      </c>
      <c r="F112" s="95">
        <f t="shared" si="8"/>
        <v>15919.150000000001</v>
      </c>
      <c r="G112" s="95">
        <f>SUMIFS('Anlage 1c_Korrekturen_NB'!$L$11:$L$78,'Anlage 1c_Korrekturen_NB'!$A$11:$A$78,'Anlage 3a_Zusammenfassung_KWKG'!$A112)</f>
        <v>0</v>
      </c>
      <c r="H112" s="144">
        <f>SUMIFS('Anlage 1c_Korrekturen_NB'!$D$610:$D$676,'Anlage 1c_Korrekturen_NB'!$A$610:$A$676,'Anlage 3a_Zusammenfassung_KWKG'!$A112)</f>
        <v>0</v>
      </c>
      <c r="I112" s="1091">
        <f t="shared" si="7"/>
        <v>0</v>
      </c>
      <c r="J112" s="98"/>
      <c r="K112" s="12"/>
      <c r="L112" s="12"/>
    </row>
    <row r="113" spans="1:12" hidden="1" outlineLevel="1">
      <c r="A113" s="454" t="s">
        <v>296</v>
      </c>
      <c r="B113" s="544">
        <f>VLOOKUP($A113,'Anlage 1a_Zuschlagszahlungen_NB'!$A$868:$E$1595,5,0)</f>
        <v>366896.85</v>
      </c>
      <c r="C113" s="95">
        <f>_xlfn.IFNA(VLOOKUP($A113,'Anlage 1b_Abzüge, Pflicht, Boni'!$A$9:$D$94,2,FALSE),0)</f>
        <v>0</v>
      </c>
      <c r="D113" s="95">
        <f>_xlfn.IFNA(VLOOKUP(A113,'Anlage 1b_Abzüge, Pflicht, Boni'!$A$9:$D$94,3,FALSE),0)</f>
        <v>0</v>
      </c>
      <c r="E113" s="95">
        <f>_xlfn.IFNA(VLOOKUP(A113,'Anlage 1b_Abzüge, Pflicht, Boni'!$A$9:$D$94,4,FALSE),0)</f>
        <v>0</v>
      </c>
      <c r="F113" s="95">
        <f t="shared" si="8"/>
        <v>366896.85</v>
      </c>
      <c r="G113" s="95">
        <f>SUMIFS('Anlage 1c_Korrekturen_NB'!$L$11:$L$78,'Anlage 1c_Korrekturen_NB'!$A$11:$A$78,'Anlage 3a_Zusammenfassung_KWKG'!$A113)</f>
        <v>0</v>
      </c>
      <c r="H113" s="144">
        <f>SUMIFS('Anlage 1c_Korrekturen_NB'!$D$610:$D$676,'Anlage 1c_Korrekturen_NB'!$A$610:$A$676,'Anlage 3a_Zusammenfassung_KWKG'!$A113)</f>
        <v>0</v>
      </c>
      <c r="I113" s="1091">
        <f t="shared" si="7"/>
        <v>0</v>
      </c>
      <c r="J113" s="98"/>
      <c r="K113" s="12"/>
      <c r="L113" s="12"/>
    </row>
    <row r="114" spans="1:12" hidden="1" outlineLevel="1">
      <c r="A114" s="454" t="s">
        <v>298</v>
      </c>
      <c r="B114" s="544">
        <f>VLOOKUP($A114,'Anlage 1a_Zuschlagszahlungen_NB'!$A$868:$E$1595,5,0)</f>
        <v>18016.509999999998</v>
      </c>
      <c r="C114" s="95">
        <f>_xlfn.IFNA(VLOOKUP($A114,'Anlage 1b_Abzüge, Pflicht, Boni'!$A$9:$D$94,2,FALSE),0)</f>
        <v>0</v>
      </c>
      <c r="D114" s="95">
        <f>_xlfn.IFNA(VLOOKUP(A114,'Anlage 1b_Abzüge, Pflicht, Boni'!$A$9:$D$94,3,FALSE),0)</f>
        <v>0</v>
      </c>
      <c r="E114" s="95">
        <f>_xlfn.IFNA(VLOOKUP(A114,'Anlage 1b_Abzüge, Pflicht, Boni'!$A$9:$D$94,4,FALSE),0)</f>
        <v>0</v>
      </c>
      <c r="F114" s="95">
        <f t="shared" si="8"/>
        <v>18016.509999999998</v>
      </c>
      <c r="G114" s="95">
        <f>SUMIFS('Anlage 1c_Korrekturen_NB'!$L$11:$L$78,'Anlage 1c_Korrekturen_NB'!$A$11:$A$78,'Anlage 3a_Zusammenfassung_KWKG'!$A114)</f>
        <v>404.16000000000008</v>
      </c>
      <c r="H114" s="144">
        <f>SUMIFS('Anlage 1c_Korrekturen_NB'!$D$610:$D$676,'Anlage 1c_Korrekturen_NB'!$A$610:$A$676,'Anlage 3a_Zusammenfassung_KWKG'!$A114)</f>
        <v>0</v>
      </c>
      <c r="I114" s="1091">
        <f t="shared" si="7"/>
        <v>404.16000000000008</v>
      </c>
      <c r="J114" s="98"/>
      <c r="K114" s="12"/>
      <c r="L114" s="12"/>
    </row>
    <row r="115" spans="1:12" hidden="1" outlineLevel="1">
      <c r="A115" s="454" t="s">
        <v>300</v>
      </c>
      <c r="B115" s="544">
        <f>VLOOKUP($A115,'Anlage 1a_Zuschlagszahlungen_NB'!$A$868:$E$1595,5,0)</f>
        <v>383227.47999999992</v>
      </c>
      <c r="C115" s="95">
        <f>_xlfn.IFNA(VLOOKUP($A115,'Anlage 1b_Abzüge, Pflicht, Boni'!$A$9:$D$94,2,FALSE),0)</f>
        <v>0</v>
      </c>
      <c r="D115" s="95">
        <f>_xlfn.IFNA(VLOOKUP(A115,'Anlage 1b_Abzüge, Pflicht, Boni'!$A$9:$D$94,3,FALSE),0)</f>
        <v>0</v>
      </c>
      <c r="E115" s="95">
        <f>_xlfn.IFNA(VLOOKUP(A115,'Anlage 1b_Abzüge, Pflicht, Boni'!$A$9:$D$94,4,FALSE),0)</f>
        <v>0</v>
      </c>
      <c r="F115" s="95">
        <f t="shared" si="8"/>
        <v>383227.47999999992</v>
      </c>
      <c r="G115" s="95">
        <f>SUMIFS('Anlage 1c_Korrekturen_NB'!$L$11:$L$78,'Anlage 1c_Korrekturen_NB'!$A$11:$A$78,'Anlage 3a_Zusammenfassung_KWKG'!$A115)</f>
        <v>8052.5800000000008</v>
      </c>
      <c r="H115" s="144">
        <f>SUMIFS('Anlage 1c_Korrekturen_NB'!$D$610:$D$676,'Anlage 1c_Korrekturen_NB'!$A$610:$A$676,'Anlage 3a_Zusammenfassung_KWKG'!$A115)</f>
        <v>0</v>
      </c>
      <c r="I115" s="1091">
        <f t="shared" si="7"/>
        <v>8052.5800000000008</v>
      </c>
      <c r="J115" s="98"/>
      <c r="K115" s="12"/>
      <c r="L115" s="12"/>
    </row>
    <row r="116" spans="1:12" hidden="1" outlineLevel="1">
      <c r="A116" s="454" t="s">
        <v>302</v>
      </c>
      <c r="B116" s="544">
        <f>VLOOKUP($A116,'Anlage 1a_Zuschlagszahlungen_NB'!$A$868:$E$1595,5,0)</f>
        <v>101208.00000000001</v>
      </c>
      <c r="C116" s="95">
        <f>_xlfn.IFNA(VLOOKUP($A116,'Anlage 1b_Abzüge, Pflicht, Boni'!$A$9:$D$94,2,FALSE),0)</f>
        <v>0</v>
      </c>
      <c r="D116" s="95">
        <f>_xlfn.IFNA(VLOOKUP(A116,'Anlage 1b_Abzüge, Pflicht, Boni'!$A$9:$D$94,3,FALSE),0)</f>
        <v>0</v>
      </c>
      <c r="E116" s="95">
        <f>_xlfn.IFNA(VLOOKUP(A116,'Anlage 1b_Abzüge, Pflicht, Boni'!$A$9:$D$94,4,FALSE),0)</f>
        <v>0</v>
      </c>
      <c r="F116" s="95">
        <f t="shared" si="8"/>
        <v>101208.00000000001</v>
      </c>
      <c r="G116" s="95">
        <f>SUMIFS('Anlage 1c_Korrekturen_NB'!$L$11:$L$78,'Anlage 1c_Korrekturen_NB'!$A$11:$A$78,'Anlage 3a_Zusammenfassung_KWKG'!$A116)</f>
        <v>0</v>
      </c>
      <c r="H116" s="144">
        <f>SUMIFS('Anlage 1c_Korrekturen_NB'!$D$610:$D$676,'Anlage 1c_Korrekturen_NB'!$A$610:$A$676,'Anlage 3a_Zusammenfassung_KWKG'!$A116)</f>
        <v>0</v>
      </c>
      <c r="I116" s="1091">
        <f t="shared" si="7"/>
        <v>0</v>
      </c>
      <c r="J116" s="98"/>
      <c r="K116" s="12"/>
      <c r="L116" s="12"/>
    </row>
    <row r="117" spans="1:12" hidden="1" outlineLevel="1">
      <c r="A117" s="454" t="s">
        <v>304</v>
      </c>
      <c r="B117" s="544">
        <f>VLOOKUP($A117,'Anlage 1a_Zuschlagszahlungen_NB'!$A$868:$E$1595,5,0)</f>
        <v>624755.49</v>
      </c>
      <c r="C117" s="95">
        <f>_xlfn.IFNA(VLOOKUP($A117,'Anlage 1b_Abzüge, Pflicht, Boni'!$A$9:$D$94,2,FALSE),0)</f>
        <v>0</v>
      </c>
      <c r="D117" s="95">
        <f>_xlfn.IFNA(VLOOKUP(A117,'Anlage 1b_Abzüge, Pflicht, Boni'!$A$9:$D$94,3,FALSE),0)</f>
        <v>0</v>
      </c>
      <c r="E117" s="95">
        <f>_xlfn.IFNA(VLOOKUP(A117,'Anlage 1b_Abzüge, Pflicht, Boni'!$A$9:$D$94,4,FALSE),0)</f>
        <v>0</v>
      </c>
      <c r="F117" s="95">
        <f t="shared" si="8"/>
        <v>624755.49</v>
      </c>
      <c r="G117" s="95">
        <f>SUMIFS('Anlage 1c_Korrekturen_NB'!$L$11:$L$78,'Anlage 1c_Korrekturen_NB'!$A$11:$A$78,'Anlage 3a_Zusammenfassung_KWKG'!$A117)</f>
        <v>502.88</v>
      </c>
      <c r="H117" s="144">
        <f>SUMIFS('Anlage 1c_Korrekturen_NB'!$D$610:$D$676,'Anlage 1c_Korrekturen_NB'!$A$610:$A$676,'Anlage 3a_Zusammenfassung_KWKG'!$A117)</f>
        <v>0</v>
      </c>
      <c r="I117" s="1091">
        <f t="shared" si="7"/>
        <v>502.88</v>
      </c>
      <c r="J117" s="98"/>
      <c r="K117" s="12"/>
      <c r="L117" s="12"/>
    </row>
    <row r="118" spans="1:12" hidden="1" outlineLevel="1">
      <c r="A118" s="454" t="s">
        <v>306</v>
      </c>
      <c r="B118" s="544">
        <f>VLOOKUP($A118,'Anlage 1a_Zuschlagszahlungen_NB'!$A$868:$E$1595,5,0)</f>
        <v>0</v>
      </c>
      <c r="C118" s="95">
        <f>_xlfn.IFNA(VLOOKUP($A118,'Anlage 1b_Abzüge, Pflicht, Boni'!$A$9:$D$94,2,FALSE),0)</f>
        <v>0</v>
      </c>
      <c r="D118" s="95">
        <f>_xlfn.IFNA(VLOOKUP(A118,'Anlage 1b_Abzüge, Pflicht, Boni'!$A$9:$D$94,3,FALSE),0)</f>
        <v>0</v>
      </c>
      <c r="E118" s="95">
        <f>_xlfn.IFNA(VLOOKUP(A118,'Anlage 1b_Abzüge, Pflicht, Boni'!$A$9:$D$94,4,FALSE),0)</f>
        <v>0</v>
      </c>
      <c r="F118" s="95">
        <f t="shared" si="8"/>
        <v>0</v>
      </c>
      <c r="G118" s="95">
        <f>SUMIFS('Anlage 1c_Korrekturen_NB'!$L$11:$L$78,'Anlage 1c_Korrekturen_NB'!$A$11:$A$78,'Anlage 3a_Zusammenfassung_KWKG'!$A118)</f>
        <v>0</v>
      </c>
      <c r="H118" s="144">
        <f>SUMIFS('Anlage 1c_Korrekturen_NB'!$D$610:$D$676,'Anlage 1c_Korrekturen_NB'!$A$610:$A$676,'Anlage 3a_Zusammenfassung_KWKG'!$A118)</f>
        <v>0</v>
      </c>
      <c r="I118" s="1091">
        <f t="shared" si="7"/>
        <v>0</v>
      </c>
      <c r="J118" s="98"/>
      <c r="K118" s="12"/>
      <c r="L118" s="12"/>
    </row>
    <row r="119" spans="1:12" hidden="1" outlineLevel="1">
      <c r="A119" s="454" t="s">
        <v>308</v>
      </c>
      <c r="B119" s="544">
        <f>VLOOKUP($A119,'Anlage 1a_Zuschlagszahlungen_NB'!$A$868:$E$1595,5,0)</f>
        <v>12573.05</v>
      </c>
      <c r="C119" s="95">
        <f>_xlfn.IFNA(VLOOKUP($A119,'Anlage 1b_Abzüge, Pflicht, Boni'!$A$9:$D$94,2,FALSE),0)</f>
        <v>-981.71</v>
      </c>
      <c r="D119" s="95">
        <f>_xlfn.IFNA(VLOOKUP(A119,'Anlage 1b_Abzüge, Pflicht, Boni'!$A$9:$D$94,3,FALSE),0)</f>
        <v>0</v>
      </c>
      <c r="E119" s="95">
        <f>_xlfn.IFNA(VLOOKUP(A119,'Anlage 1b_Abzüge, Pflicht, Boni'!$A$9:$D$94,4,FALSE),0)</f>
        <v>0</v>
      </c>
      <c r="F119" s="95">
        <f t="shared" si="8"/>
        <v>11591.34</v>
      </c>
      <c r="G119" s="95">
        <f>SUMIFS('Anlage 1c_Korrekturen_NB'!$L$11:$L$78,'Anlage 1c_Korrekturen_NB'!$A$11:$A$78,'Anlage 3a_Zusammenfassung_KWKG'!$A119)</f>
        <v>0</v>
      </c>
      <c r="H119" s="144">
        <f>SUMIFS('Anlage 1c_Korrekturen_NB'!$D$610:$D$676,'Anlage 1c_Korrekturen_NB'!$A$610:$A$676,'Anlage 3a_Zusammenfassung_KWKG'!$A119)</f>
        <v>0</v>
      </c>
      <c r="I119" s="1091">
        <f t="shared" si="7"/>
        <v>0</v>
      </c>
      <c r="J119" s="98"/>
      <c r="K119" s="12"/>
      <c r="L119" s="12"/>
    </row>
    <row r="120" spans="1:12" hidden="1" outlineLevel="1">
      <c r="A120" s="454" t="s">
        <v>310</v>
      </c>
      <c r="B120" s="544">
        <f>VLOOKUP($A120,'Anlage 1a_Zuschlagszahlungen_NB'!$A$868:$E$1595,5,0)</f>
        <v>4522505.5900000008</v>
      </c>
      <c r="C120" s="95">
        <f>_xlfn.IFNA(VLOOKUP($A120,'Anlage 1b_Abzüge, Pflicht, Boni'!$A$9:$D$94,2,FALSE),0)</f>
        <v>-244.48000000000002</v>
      </c>
      <c r="D120" s="95">
        <f>_xlfn.IFNA(VLOOKUP(A120,'Anlage 1b_Abzüge, Pflicht, Boni'!$A$9:$D$94,3,FALSE),0)</f>
        <v>-1476</v>
      </c>
      <c r="E120" s="95">
        <f>_xlfn.IFNA(VLOOKUP(A120,'Anlage 1b_Abzüge, Pflicht, Boni'!$A$9:$D$94,4,FALSE),0)</f>
        <v>0</v>
      </c>
      <c r="F120" s="95">
        <f t="shared" si="8"/>
        <v>4520785.1100000003</v>
      </c>
      <c r="G120" s="95">
        <f>SUMIFS('Anlage 1c_Korrekturen_NB'!$L$11:$L$78,'Anlage 1c_Korrekturen_NB'!$A$11:$A$78,'Anlage 3a_Zusammenfassung_KWKG'!$A120)</f>
        <v>2790080.5799999996</v>
      </c>
      <c r="H120" s="144">
        <f>SUMIFS('Anlage 1c_Korrekturen_NB'!$D$610:$D$676,'Anlage 1c_Korrekturen_NB'!$A$610:$A$676,'Anlage 3a_Zusammenfassung_KWKG'!$A120)</f>
        <v>-1592</v>
      </c>
      <c r="I120" s="1091">
        <f t="shared" si="7"/>
        <v>2788488.5799999996</v>
      </c>
      <c r="J120" s="98"/>
      <c r="K120" s="12"/>
      <c r="L120" s="12"/>
    </row>
    <row r="121" spans="1:12" hidden="1" outlineLevel="1">
      <c r="A121" s="454" t="s">
        <v>312</v>
      </c>
      <c r="B121" s="544">
        <f>VLOOKUP($A121,'Anlage 1a_Zuschlagszahlungen_NB'!$A$868:$E$1595,5,0)</f>
        <v>2155719.4699999997</v>
      </c>
      <c r="C121" s="95">
        <f>_xlfn.IFNA(VLOOKUP($A121,'Anlage 1b_Abzüge, Pflicht, Boni'!$A$9:$D$94,2,FALSE),0)</f>
        <v>-77.47</v>
      </c>
      <c r="D121" s="95">
        <f>_xlfn.IFNA(VLOOKUP(A121,'Anlage 1b_Abzüge, Pflicht, Boni'!$A$9:$D$94,3,FALSE),0)</f>
        <v>0</v>
      </c>
      <c r="E121" s="95">
        <f>_xlfn.IFNA(VLOOKUP(A121,'Anlage 1b_Abzüge, Pflicht, Boni'!$A$9:$D$94,4,FALSE),0)</f>
        <v>0</v>
      </c>
      <c r="F121" s="95">
        <f t="shared" si="8"/>
        <v>2155641.9999999995</v>
      </c>
      <c r="G121" s="95">
        <f>SUMIFS('Anlage 1c_Korrekturen_NB'!$L$11:$L$78,'Anlage 1c_Korrekturen_NB'!$A$11:$A$78,'Anlage 3a_Zusammenfassung_KWKG'!$A121)</f>
        <v>91113.02</v>
      </c>
      <c r="H121" s="144">
        <f>SUMIFS('Anlage 1c_Korrekturen_NB'!$D$610:$D$676,'Anlage 1c_Korrekturen_NB'!$A$610:$A$676,'Anlage 3a_Zusammenfassung_KWKG'!$A121)</f>
        <v>0</v>
      </c>
      <c r="I121" s="1091">
        <f t="shared" si="7"/>
        <v>91113.02</v>
      </c>
      <c r="J121" s="98"/>
      <c r="K121" s="12"/>
      <c r="L121" s="12"/>
    </row>
    <row r="122" spans="1:12" hidden="1" outlineLevel="1">
      <c r="A122" s="454" t="s">
        <v>314</v>
      </c>
      <c r="B122" s="544">
        <f>VLOOKUP($A122,'Anlage 1a_Zuschlagszahlungen_NB'!$A$868:$E$1595,5,0)</f>
        <v>74376.800000000003</v>
      </c>
      <c r="C122" s="95">
        <f>_xlfn.IFNA(VLOOKUP($A122,'Anlage 1b_Abzüge, Pflicht, Boni'!$A$9:$D$94,2,FALSE),0)</f>
        <v>0</v>
      </c>
      <c r="D122" s="95">
        <f>_xlfn.IFNA(VLOOKUP(A122,'Anlage 1b_Abzüge, Pflicht, Boni'!$A$9:$D$94,3,FALSE),0)</f>
        <v>0</v>
      </c>
      <c r="E122" s="95">
        <f>_xlfn.IFNA(VLOOKUP(A122,'Anlage 1b_Abzüge, Pflicht, Boni'!$A$9:$D$94,4,FALSE),0)</f>
        <v>0</v>
      </c>
      <c r="F122" s="95">
        <f t="shared" si="8"/>
        <v>74376.800000000003</v>
      </c>
      <c r="G122" s="95">
        <f>SUMIFS('Anlage 1c_Korrekturen_NB'!$L$11:$L$78,'Anlage 1c_Korrekturen_NB'!$A$11:$A$78,'Anlage 3a_Zusammenfassung_KWKG'!$A122)</f>
        <v>0</v>
      </c>
      <c r="H122" s="144">
        <f>SUMIFS('Anlage 1c_Korrekturen_NB'!$D$610:$D$676,'Anlage 1c_Korrekturen_NB'!$A$610:$A$676,'Anlage 3a_Zusammenfassung_KWKG'!$A122)</f>
        <v>0</v>
      </c>
      <c r="I122" s="1091">
        <f t="shared" si="7"/>
        <v>0</v>
      </c>
      <c r="J122" s="98"/>
      <c r="K122" s="12"/>
      <c r="L122" s="12"/>
    </row>
    <row r="123" spans="1:12" hidden="1" outlineLevel="1">
      <c r="A123" s="454" t="s">
        <v>316</v>
      </c>
      <c r="B123" s="544">
        <f>VLOOKUP($A123,'Anlage 1a_Zuschlagszahlungen_NB'!$A$868:$E$1595,5,0)</f>
        <v>2323761.7299999991</v>
      </c>
      <c r="C123" s="95">
        <f>_xlfn.IFNA(VLOOKUP($A123,'Anlage 1b_Abzüge, Pflicht, Boni'!$A$9:$D$94,2,FALSE),0)</f>
        <v>0</v>
      </c>
      <c r="D123" s="95">
        <f>_xlfn.IFNA(VLOOKUP(A123,'Anlage 1b_Abzüge, Pflicht, Boni'!$A$9:$D$94,3,FALSE),0)</f>
        <v>0</v>
      </c>
      <c r="E123" s="95">
        <f>_xlfn.IFNA(VLOOKUP(A123,'Anlage 1b_Abzüge, Pflicht, Boni'!$A$9:$D$94,4,FALSE),0)</f>
        <v>0</v>
      </c>
      <c r="F123" s="95">
        <f t="shared" si="8"/>
        <v>2323761.7299999991</v>
      </c>
      <c r="G123" s="95">
        <f>SUMIFS('Anlage 1c_Korrekturen_NB'!$L$11:$L$78,'Anlage 1c_Korrekturen_NB'!$A$11:$A$78,'Anlage 3a_Zusammenfassung_KWKG'!$A123)</f>
        <v>112099.47000000003</v>
      </c>
      <c r="H123" s="144">
        <f>SUMIFS('Anlage 1c_Korrekturen_NB'!$D$610:$D$676,'Anlage 1c_Korrekturen_NB'!$A$610:$A$676,'Anlage 3a_Zusammenfassung_KWKG'!$A123)</f>
        <v>0</v>
      </c>
      <c r="I123" s="1091">
        <f t="shared" si="7"/>
        <v>112099.47000000003</v>
      </c>
      <c r="J123" s="98"/>
      <c r="K123" s="12"/>
      <c r="L123" s="12"/>
    </row>
    <row r="124" spans="1:12" hidden="1" outlineLevel="1">
      <c r="A124" s="454" t="s">
        <v>318</v>
      </c>
      <c r="B124" s="544">
        <f>VLOOKUP($A124,'Anlage 1a_Zuschlagszahlungen_NB'!$A$868:$E$1595,5,0)</f>
        <v>103593.61</v>
      </c>
      <c r="C124" s="95">
        <f>_xlfn.IFNA(VLOOKUP($A124,'Anlage 1b_Abzüge, Pflicht, Boni'!$A$9:$D$94,2,FALSE),0)</f>
        <v>0</v>
      </c>
      <c r="D124" s="95">
        <f>_xlfn.IFNA(VLOOKUP(A124,'Anlage 1b_Abzüge, Pflicht, Boni'!$A$9:$D$94,3,FALSE),0)</f>
        <v>0</v>
      </c>
      <c r="E124" s="95">
        <f>_xlfn.IFNA(VLOOKUP(A124,'Anlage 1b_Abzüge, Pflicht, Boni'!$A$9:$D$94,4,FALSE),0)</f>
        <v>0</v>
      </c>
      <c r="F124" s="95">
        <f t="shared" si="8"/>
        <v>103593.61</v>
      </c>
      <c r="G124" s="95">
        <f>SUMIFS('Anlage 1c_Korrekturen_NB'!$L$11:$L$78,'Anlage 1c_Korrekturen_NB'!$A$11:$A$78,'Anlage 3a_Zusammenfassung_KWKG'!$A124)</f>
        <v>101190.67000000001</v>
      </c>
      <c r="H124" s="144">
        <f>SUMIFS('Anlage 1c_Korrekturen_NB'!$D$610:$D$676,'Anlage 1c_Korrekturen_NB'!$A$610:$A$676,'Anlage 3a_Zusammenfassung_KWKG'!$A124)</f>
        <v>0</v>
      </c>
      <c r="I124" s="1091">
        <f t="shared" si="7"/>
        <v>101190.67000000001</v>
      </c>
      <c r="J124" s="98"/>
      <c r="K124" s="12"/>
      <c r="L124" s="12"/>
    </row>
    <row r="125" spans="1:12" hidden="1" outlineLevel="1">
      <c r="A125" s="454" t="s">
        <v>320</v>
      </c>
      <c r="B125" s="544">
        <f>VLOOKUP($A125,'Anlage 1a_Zuschlagszahlungen_NB'!$A$868:$E$1595,5,0)</f>
        <v>454188.89</v>
      </c>
      <c r="C125" s="95">
        <f>_xlfn.IFNA(VLOOKUP($A125,'Anlage 1b_Abzüge, Pflicht, Boni'!$A$9:$D$94,2,FALSE),0)</f>
        <v>0</v>
      </c>
      <c r="D125" s="95">
        <f>_xlfn.IFNA(VLOOKUP(A125,'Anlage 1b_Abzüge, Pflicht, Boni'!$A$9:$D$94,3,FALSE),0)</f>
        <v>0</v>
      </c>
      <c r="E125" s="95">
        <f>_xlfn.IFNA(VLOOKUP(A125,'Anlage 1b_Abzüge, Pflicht, Boni'!$A$9:$D$94,4,FALSE),0)</f>
        <v>0</v>
      </c>
      <c r="F125" s="95">
        <f t="shared" si="8"/>
        <v>454188.89</v>
      </c>
      <c r="G125" s="95">
        <f>SUMIFS('Anlage 1c_Korrekturen_NB'!$L$11:$L$78,'Anlage 1c_Korrekturen_NB'!$A$11:$A$78,'Anlage 3a_Zusammenfassung_KWKG'!$A125)</f>
        <v>0</v>
      </c>
      <c r="H125" s="144">
        <f>SUMIFS('Anlage 1c_Korrekturen_NB'!$D$610:$D$676,'Anlage 1c_Korrekturen_NB'!$A$610:$A$676,'Anlage 3a_Zusammenfassung_KWKG'!$A125)</f>
        <v>0</v>
      </c>
      <c r="I125" s="1091">
        <f t="shared" si="7"/>
        <v>0</v>
      </c>
      <c r="J125" s="98"/>
      <c r="K125" s="12"/>
      <c r="L125" s="12"/>
    </row>
    <row r="126" spans="1:12" hidden="1" outlineLevel="1">
      <c r="A126" s="454" t="s">
        <v>322</v>
      </c>
      <c r="B126" s="544">
        <f>VLOOKUP($A126,'Anlage 1a_Zuschlagszahlungen_NB'!$A$868:$E$1595,5,0)</f>
        <v>13962.230000000001</v>
      </c>
      <c r="C126" s="95">
        <f>_xlfn.IFNA(VLOOKUP($A126,'Anlage 1b_Abzüge, Pflicht, Boni'!$A$9:$D$94,2,FALSE),0)</f>
        <v>0</v>
      </c>
      <c r="D126" s="95">
        <f>_xlfn.IFNA(VLOOKUP(A126,'Anlage 1b_Abzüge, Pflicht, Boni'!$A$9:$D$94,3,FALSE),0)</f>
        <v>0</v>
      </c>
      <c r="E126" s="95">
        <f>_xlfn.IFNA(VLOOKUP(A126,'Anlage 1b_Abzüge, Pflicht, Boni'!$A$9:$D$94,4,FALSE),0)</f>
        <v>0</v>
      </c>
      <c r="F126" s="95">
        <f t="shared" si="8"/>
        <v>13962.230000000001</v>
      </c>
      <c r="G126" s="95">
        <f>SUMIFS('Anlage 1c_Korrekturen_NB'!$L$11:$L$78,'Anlage 1c_Korrekturen_NB'!$A$11:$A$78,'Anlage 3a_Zusammenfassung_KWKG'!$A126)</f>
        <v>234.07999999999998</v>
      </c>
      <c r="H126" s="144">
        <f>SUMIFS('Anlage 1c_Korrekturen_NB'!$D$610:$D$676,'Anlage 1c_Korrekturen_NB'!$A$610:$A$676,'Anlage 3a_Zusammenfassung_KWKG'!$A126)</f>
        <v>0</v>
      </c>
      <c r="I126" s="1091">
        <f t="shared" si="7"/>
        <v>234.07999999999998</v>
      </c>
      <c r="J126" s="98"/>
      <c r="K126" s="12"/>
      <c r="L126" s="12"/>
    </row>
    <row r="127" spans="1:12" hidden="1" outlineLevel="1">
      <c r="A127" s="454" t="s">
        <v>324</v>
      </c>
      <c r="B127" s="544">
        <f>VLOOKUP($A127,'Anlage 1a_Zuschlagszahlungen_NB'!$A$868:$E$1595,5,0)</f>
        <v>0</v>
      </c>
      <c r="C127" s="95">
        <f>_xlfn.IFNA(VLOOKUP($A127,'Anlage 1b_Abzüge, Pflicht, Boni'!$A$9:$D$94,2,FALSE),0)</f>
        <v>0</v>
      </c>
      <c r="D127" s="95">
        <f>_xlfn.IFNA(VLOOKUP(A127,'Anlage 1b_Abzüge, Pflicht, Boni'!$A$9:$D$94,3,FALSE),0)</f>
        <v>0</v>
      </c>
      <c r="E127" s="95">
        <f>_xlfn.IFNA(VLOOKUP(A127,'Anlage 1b_Abzüge, Pflicht, Boni'!$A$9:$D$94,4,FALSE),0)</f>
        <v>0</v>
      </c>
      <c r="F127" s="95">
        <f t="shared" si="8"/>
        <v>0</v>
      </c>
      <c r="G127" s="95">
        <f>SUMIFS('Anlage 1c_Korrekturen_NB'!$L$11:$L$78,'Anlage 1c_Korrekturen_NB'!$A$11:$A$78,'Anlage 3a_Zusammenfassung_KWKG'!$A127)</f>
        <v>0</v>
      </c>
      <c r="H127" s="144">
        <f>SUMIFS('Anlage 1c_Korrekturen_NB'!$D$610:$D$676,'Anlage 1c_Korrekturen_NB'!$A$610:$A$676,'Anlage 3a_Zusammenfassung_KWKG'!$A127)</f>
        <v>0</v>
      </c>
      <c r="I127" s="1091">
        <f t="shared" si="7"/>
        <v>0</v>
      </c>
      <c r="J127" s="98"/>
      <c r="K127" s="12"/>
      <c r="L127" s="12"/>
    </row>
    <row r="128" spans="1:12" hidden="1" outlineLevel="1">
      <c r="A128" s="454" t="s">
        <v>326</v>
      </c>
      <c r="B128" s="544">
        <f>VLOOKUP($A128,'Anlage 1a_Zuschlagszahlungen_NB'!$A$868:$E$1595,5,0)</f>
        <v>53103.289999999994</v>
      </c>
      <c r="C128" s="95">
        <f>_xlfn.IFNA(VLOOKUP($A128,'Anlage 1b_Abzüge, Pflicht, Boni'!$A$9:$D$94,2,FALSE),0)</f>
        <v>-35833.53</v>
      </c>
      <c r="D128" s="95">
        <f>_xlfn.IFNA(VLOOKUP(A128,'Anlage 1b_Abzüge, Pflicht, Boni'!$A$9:$D$94,3,FALSE),0)</f>
        <v>0</v>
      </c>
      <c r="E128" s="95">
        <f>_xlfn.IFNA(VLOOKUP(A128,'Anlage 1b_Abzüge, Pflicht, Boni'!$A$9:$D$94,4,FALSE),0)</f>
        <v>0</v>
      </c>
      <c r="F128" s="95">
        <f t="shared" si="8"/>
        <v>17269.759999999995</v>
      </c>
      <c r="G128" s="95">
        <f>SUMIFS('Anlage 1c_Korrekturen_NB'!$L$11:$L$78,'Anlage 1c_Korrekturen_NB'!$A$11:$A$78,'Anlage 3a_Zusammenfassung_KWKG'!$A128)</f>
        <v>0</v>
      </c>
      <c r="H128" s="144">
        <f>SUMIFS('Anlage 1c_Korrekturen_NB'!$D$610:$D$676,'Anlage 1c_Korrekturen_NB'!$A$610:$A$676,'Anlage 3a_Zusammenfassung_KWKG'!$A128)</f>
        <v>0</v>
      </c>
      <c r="I128" s="1091">
        <f t="shared" si="7"/>
        <v>0</v>
      </c>
      <c r="J128" s="98"/>
      <c r="K128" s="12"/>
      <c r="L128" s="12"/>
    </row>
    <row r="129" spans="1:12" hidden="1" outlineLevel="1">
      <c r="A129" s="454" t="s">
        <v>328</v>
      </c>
      <c r="B129" s="544">
        <f>VLOOKUP($A129,'Anlage 1a_Zuschlagszahlungen_NB'!$A$868:$E$1595,5,0)</f>
        <v>51569.77</v>
      </c>
      <c r="C129" s="95">
        <f>_xlfn.IFNA(VLOOKUP($A129,'Anlage 1b_Abzüge, Pflicht, Boni'!$A$9:$D$94,2,FALSE),0)</f>
        <v>0</v>
      </c>
      <c r="D129" s="95">
        <f>_xlfn.IFNA(VLOOKUP(A129,'Anlage 1b_Abzüge, Pflicht, Boni'!$A$9:$D$94,3,FALSE),0)</f>
        <v>0</v>
      </c>
      <c r="E129" s="95">
        <f>_xlfn.IFNA(VLOOKUP(A129,'Anlage 1b_Abzüge, Pflicht, Boni'!$A$9:$D$94,4,FALSE),0)</f>
        <v>0</v>
      </c>
      <c r="F129" s="95">
        <f t="shared" si="8"/>
        <v>51569.77</v>
      </c>
      <c r="G129" s="95">
        <f>SUMIFS('Anlage 1c_Korrekturen_NB'!$L$11:$L$78,'Anlage 1c_Korrekturen_NB'!$A$11:$A$78,'Anlage 3a_Zusammenfassung_KWKG'!$A129)</f>
        <v>0</v>
      </c>
      <c r="H129" s="144">
        <f>SUMIFS('Anlage 1c_Korrekturen_NB'!$D$610:$D$676,'Anlage 1c_Korrekturen_NB'!$A$610:$A$676,'Anlage 3a_Zusammenfassung_KWKG'!$A129)</f>
        <v>0</v>
      </c>
      <c r="I129" s="1091">
        <f t="shared" si="7"/>
        <v>0</v>
      </c>
      <c r="J129" s="98"/>
      <c r="K129" s="12"/>
      <c r="L129" s="12"/>
    </row>
    <row r="130" spans="1:12" hidden="1" outlineLevel="1">
      <c r="A130" s="454" t="s">
        <v>330</v>
      </c>
      <c r="B130" s="544">
        <f>VLOOKUP($A130,'Anlage 1a_Zuschlagszahlungen_NB'!$A$868:$E$1595,5,0)</f>
        <v>48880.88</v>
      </c>
      <c r="C130" s="95">
        <f>_xlfn.IFNA(VLOOKUP($A130,'Anlage 1b_Abzüge, Pflicht, Boni'!$A$9:$D$94,2,FALSE),0)</f>
        <v>0</v>
      </c>
      <c r="D130" s="95">
        <f>_xlfn.IFNA(VLOOKUP(A130,'Anlage 1b_Abzüge, Pflicht, Boni'!$A$9:$D$94,3,FALSE),0)</f>
        <v>0</v>
      </c>
      <c r="E130" s="95">
        <f>_xlfn.IFNA(VLOOKUP(A130,'Anlage 1b_Abzüge, Pflicht, Boni'!$A$9:$D$94,4,FALSE),0)</f>
        <v>0</v>
      </c>
      <c r="F130" s="95">
        <f t="shared" si="8"/>
        <v>48880.88</v>
      </c>
      <c r="G130" s="95">
        <f>SUMIFS('Anlage 1c_Korrekturen_NB'!$L$11:$L$78,'Anlage 1c_Korrekturen_NB'!$A$11:$A$78,'Anlage 3a_Zusammenfassung_KWKG'!$A130)</f>
        <v>0</v>
      </c>
      <c r="H130" s="144">
        <f>SUMIFS('Anlage 1c_Korrekturen_NB'!$D$610:$D$676,'Anlage 1c_Korrekturen_NB'!$A$610:$A$676,'Anlage 3a_Zusammenfassung_KWKG'!$A130)</f>
        <v>0</v>
      </c>
      <c r="I130" s="1091">
        <f t="shared" si="7"/>
        <v>0</v>
      </c>
      <c r="J130" s="98"/>
      <c r="K130" s="12"/>
      <c r="L130" s="12"/>
    </row>
    <row r="131" spans="1:12" hidden="1" outlineLevel="1">
      <c r="A131" s="454" t="s">
        <v>332</v>
      </c>
      <c r="B131" s="544">
        <f>VLOOKUP($A131,'Anlage 1a_Zuschlagszahlungen_NB'!$A$868:$E$1595,5,0)</f>
        <v>62304</v>
      </c>
      <c r="C131" s="95">
        <f>_xlfn.IFNA(VLOOKUP($A131,'Anlage 1b_Abzüge, Pflicht, Boni'!$A$9:$D$94,2,FALSE),0)</f>
        <v>0</v>
      </c>
      <c r="D131" s="95">
        <f>_xlfn.IFNA(VLOOKUP(A131,'Anlage 1b_Abzüge, Pflicht, Boni'!$A$9:$D$94,3,FALSE),0)</f>
        <v>0</v>
      </c>
      <c r="E131" s="95">
        <f>_xlfn.IFNA(VLOOKUP(A131,'Anlage 1b_Abzüge, Pflicht, Boni'!$A$9:$D$94,4,FALSE),0)</f>
        <v>0</v>
      </c>
      <c r="F131" s="95">
        <f t="shared" si="8"/>
        <v>62304</v>
      </c>
      <c r="G131" s="95">
        <f>SUMIFS('Anlage 1c_Korrekturen_NB'!$L$11:$L$78,'Anlage 1c_Korrekturen_NB'!$A$11:$A$78,'Anlage 3a_Zusammenfassung_KWKG'!$A131)</f>
        <v>0</v>
      </c>
      <c r="H131" s="144">
        <f>SUMIFS('Anlage 1c_Korrekturen_NB'!$D$610:$D$676,'Anlage 1c_Korrekturen_NB'!$A$610:$A$676,'Anlage 3a_Zusammenfassung_KWKG'!$A131)</f>
        <v>0</v>
      </c>
      <c r="I131" s="1091">
        <f t="shared" si="7"/>
        <v>0</v>
      </c>
      <c r="J131" s="98"/>
      <c r="K131" s="12"/>
      <c r="L131" s="12"/>
    </row>
    <row r="132" spans="1:12" hidden="1" outlineLevel="1">
      <c r="A132" s="454" t="s">
        <v>334</v>
      </c>
      <c r="B132" s="544">
        <f>VLOOKUP($A132,'Anlage 1a_Zuschlagszahlungen_NB'!$A$868:$E$1595,5,0)</f>
        <v>0</v>
      </c>
      <c r="C132" s="95">
        <f>_xlfn.IFNA(VLOOKUP($A132,'Anlage 1b_Abzüge, Pflicht, Boni'!$A$9:$D$94,2,FALSE),0)</f>
        <v>0</v>
      </c>
      <c r="D132" s="95">
        <f>_xlfn.IFNA(VLOOKUP(A132,'Anlage 1b_Abzüge, Pflicht, Boni'!$A$9:$D$94,3,FALSE),0)</f>
        <v>0</v>
      </c>
      <c r="E132" s="95">
        <f>_xlfn.IFNA(VLOOKUP(A132,'Anlage 1b_Abzüge, Pflicht, Boni'!$A$9:$D$94,4,FALSE),0)</f>
        <v>0</v>
      </c>
      <c r="F132" s="95">
        <f t="shared" si="8"/>
        <v>0</v>
      </c>
      <c r="G132" s="95">
        <f>SUMIFS('Anlage 1c_Korrekturen_NB'!$L$11:$L$78,'Anlage 1c_Korrekturen_NB'!$A$11:$A$78,'Anlage 3a_Zusammenfassung_KWKG'!$A132)</f>
        <v>0</v>
      </c>
      <c r="H132" s="144">
        <f>SUMIFS('Anlage 1c_Korrekturen_NB'!$D$610:$D$676,'Anlage 1c_Korrekturen_NB'!$A$610:$A$676,'Anlage 3a_Zusammenfassung_KWKG'!$A132)</f>
        <v>0</v>
      </c>
      <c r="I132" s="1091">
        <f t="shared" si="7"/>
        <v>0</v>
      </c>
      <c r="J132" s="98"/>
      <c r="K132" s="12"/>
      <c r="L132" s="12"/>
    </row>
    <row r="133" spans="1:12" hidden="1" outlineLevel="1">
      <c r="A133" s="454" t="s">
        <v>336</v>
      </c>
      <c r="B133" s="544">
        <f>VLOOKUP($A133,'Anlage 1a_Zuschlagszahlungen_NB'!$A$868:$E$1595,5,0)</f>
        <v>913527.28999999992</v>
      </c>
      <c r="C133" s="95">
        <f>_xlfn.IFNA(VLOOKUP($A133,'Anlage 1b_Abzüge, Pflicht, Boni'!$A$9:$D$94,2,FALSE),0)</f>
        <v>0</v>
      </c>
      <c r="D133" s="95">
        <f>_xlfn.IFNA(VLOOKUP(A133,'Anlage 1b_Abzüge, Pflicht, Boni'!$A$9:$D$94,3,FALSE),0)</f>
        <v>0</v>
      </c>
      <c r="E133" s="95">
        <f>_xlfn.IFNA(VLOOKUP(A133,'Anlage 1b_Abzüge, Pflicht, Boni'!$A$9:$D$94,4,FALSE),0)</f>
        <v>0</v>
      </c>
      <c r="F133" s="95">
        <f t="shared" si="8"/>
        <v>913527.28999999992</v>
      </c>
      <c r="G133" s="95">
        <f>SUMIFS('Anlage 1c_Korrekturen_NB'!$L$11:$L$78,'Anlage 1c_Korrekturen_NB'!$A$11:$A$78,'Anlage 3a_Zusammenfassung_KWKG'!$A133)</f>
        <v>0</v>
      </c>
      <c r="H133" s="144">
        <f>SUMIFS('Anlage 1c_Korrekturen_NB'!$D$610:$D$676,'Anlage 1c_Korrekturen_NB'!$A$610:$A$676,'Anlage 3a_Zusammenfassung_KWKG'!$A133)</f>
        <v>0</v>
      </c>
      <c r="I133" s="1091">
        <f t="shared" si="7"/>
        <v>0</v>
      </c>
      <c r="J133" s="98"/>
      <c r="K133" s="12"/>
      <c r="L133" s="12"/>
    </row>
    <row r="134" spans="1:12" hidden="1" outlineLevel="1">
      <c r="A134" s="454" t="s">
        <v>338</v>
      </c>
      <c r="B134" s="544">
        <f>VLOOKUP($A134,'Anlage 1a_Zuschlagszahlungen_NB'!$A$868:$E$1595,5,0)</f>
        <v>12800</v>
      </c>
      <c r="C134" s="95">
        <f>_xlfn.IFNA(VLOOKUP($A134,'Anlage 1b_Abzüge, Pflicht, Boni'!$A$9:$D$94,2,FALSE),0)</f>
        <v>0</v>
      </c>
      <c r="D134" s="95">
        <f>_xlfn.IFNA(VLOOKUP(A134,'Anlage 1b_Abzüge, Pflicht, Boni'!$A$9:$D$94,3,FALSE),0)</f>
        <v>0</v>
      </c>
      <c r="E134" s="95">
        <f>_xlfn.IFNA(VLOOKUP(A134,'Anlage 1b_Abzüge, Pflicht, Boni'!$A$9:$D$94,4,FALSE),0)</f>
        <v>0</v>
      </c>
      <c r="F134" s="95">
        <f t="shared" si="8"/>
        <v>12800</v>
      </c>
      <c r="G134" s="95">
        <f>SUMIFS('Anlage 1c_Korrekturen_NB'!$L$11:$L$78,'Anlage 1c_Korrekturen_NB'!$A$11:$A$78,'Anlage 3a_Zusammenfassung_KWKG'!$A134)</f>
        <v>0</v>
      </c>
      <c r="H134" s="144">
        <f>SUMIFS('Anlage 1c_Korrekturen_NB'!$D$610:$D$676,'Anlage 1c_Korrekturen_NB'!$A$610:$A$676,'Anlage 3a_Zusammenfassung_KWKG'!$A134)</f>
        <v>0</v>
      </c>
      <c r="I134" s="1091">
        <f t="shared" si="7"/>
        <v>0</v>
      </c>
      <c r="J134" s="98"/>
      <c r="K134" s="12"/>
      <c r="L134" s="12"/>
    </row>
    <row r="135" spans="1:12" hidden="1" outlineLevel="1">
      <c r="A135" s="454" t="s">
        <v>340</v>
      </c>
      <c r="B135" s="544">
        <f>VLOOKUP($A135,'Anlage 1a_Zuschlagszahlungen_NB'!$A$868:$E$1595,5,0)</f>
        <v>64588.98</v>
      </c>
      <c r="C135" s="95">
        <f>_xlfn.IFNA(VLOOKUP($A135,'Anlage 1b_Abzüge, Pflicht, Boni'!$A$9:$D$94,2,FALSE),0)</f>
        <v>0</v>
      </c>
      <c r="D135" s="95">
        <f>_xlfn.IFNA(VLOOKUP(A135,'Anlage 1b_Abzüge, Pflicht, Boni'!$A$9:$D$94,3,FALSE),0)</f>
        <v>0</v>
      </c>
      <c r="E135" s="95">
        <f>_xlfn.IFNA(VLOOKUP(A135,'Anlage 1b_Abzüge, Pflicht, Boni'!$A$9:$D$94,4,FALSE),0)</f>
        <v>0</v>
      </c>
      <c r="F135" s="95">
        <f t="shared" si="8"/>
        <v>64588.98</v>
      </c>
      <c r="G135" s="95">
        <f>SUMIFS('Anlage 1c_Korrekturen_NB'!$L$11:$L$78,'Anlage 1c_Korrekturen_NB'!$A$11:$A$78,'Anlage 3a_Zusammenfassung_KWKG'!$A135)</f>
        <v>0</v>
      </c>
      <c r="H135" s="144">
        <f>SUMIFS('Anlage 1c_Korrekturen_NB'!$D$610:$D$676,'Anlage 1c_Korrekturen_NB'!$A$610:$A$676,'Anlage 3a_Zusammenfassung_KWKG'!$A135)</f>
        <v>0</v>
      </c>
      <c r="I135" s="1091">
        <f t="shared" ref="I135:I166" si="9">G135+H135</f>
        <v>0</v>
      </c>
      <c r="J135" s="98"/>
      <c r="K135" s="12"/>
      <c r="L135" s="12"/>
    </row>
    <row r="136" spans="1:12" hidden="1" outlineLevel="1">
      <c r="A136" s="454" t="s">
        <v>342</v>
      </c>
      <c r="B136" s="544">
        <f>VLOOKUP($A136,'Anlage 1a_Zuschlagszahlungen_NB'!$A$868:$E$1595,5,0)</f>
        <v>27163</v>
      </c>
      <c r="C136" s="95">
        <f>_xlfn.IFNA(VLOOKUP($A136,'Anlage 1b_Abzüge, Pflicht, Boni'!$A$9:$D$94,2,FALSE),0)</f>
        <v>0</v>
      </c>
      <c r="D136" s="95">
        <f>_xlfn.IFNA(VLOOKUP(A136,'Anlage 1b_Abzüge, Pflicht, Boni'!$A$9:$D$94,3,FALSE),0)</f>
        <v>0</v>
      </c>
      <c r="E136" s="95">
        <f>_xlfn.IFNA(VLOOKUP(A136,'Anlage 1b_Abzüge, Pflicht, Boni'!$A$9:$D$94,4,FALSE),0)</f>
        <v>0</v>
      </c>
      <c r="F136" s="95">
        <f t="shared" si="8"/>
        <v>27163</v>
      </c>
      <c r="G136" s="95">
        <f>SUMIFS('Anlage 1c_Korrekturen_NB'!$L$11:$L$78,'Anlage 1c_Korrekturen_NB'!$A$11:$A$78,'Anlage 3a_Zusammenfassung_KWKG'!$A136)</f>
        <v>0</v>
      </c>
      <c r="H136" s="144">
        <f>SUMIFS('Anlage 1c_Korrekturen_NB'!$D$610:$D$676,'Anlage 1c_Korrekturen_NB'!$A$610:$A$676,'Anlage 3a_Zusammenfassung_KWKG'!$A136)</f>
        <v>0</v>
      </c>
      <c r="I136" s="1091">
        <f t="shared" si="9"/>
        <v>0</v>
      </c>
      <c r="J136" s="98"/>
      <c r="K136" s="12"/>
      <c r="L136" s="12"/>
    </row>
    <row r="137" spans="1:12" hidden="1" outlineLevel="1">
      <c r="A137" s="454" t="s">
        <v>344</v>
      </c>
      <c r="B137" s="544">
        <f>VLOOKUP($A137,'Anlage 1a_Zuschlagszahlungen_NB'!$A$868:$E$1595,5,0)</f>
        <v>476782.33999999997</v>
      </c>
      <c r="C137" s="95">
        <f>_xlfn.IFNA(VLOOKUP($A137,'Anlage 1b_Abzüge, Pflicht, Boni'!$A$9:$D$94,2,FALSE),0)</f>
        <v>-935.15</v>
      </c>
      <c r="D137" s="95">
        <f>_xlfn.IFNA(VLOOKUP(A137,'Anlage 1b_Abzüge, Pflicht, Boni'!$A$9:$D$94,3,FALSE),0)</f>
        <v>0</v>
      </c>
      <c r="E137" s="95">
        <f>_xlfn.IFNA(VLOOKUP(A137,'Anlage 1b_Abzüge, Pflicht, Boni'!$A$9:$D$94,4,FALSE),0)</f>
        <v>0</v>
      </c>
      <c r="F137" s="95">
        <f t="shared" ref="F137:F155" si="10">SUM(B137:E137)</f>
        <v>475847.18999999994</v>
      </c>
      <c r="G137" s="95">
        <f>SUMIFS('Anlage 1c_Korrekturen_NB'!$L$11:$L$78,'Anlage 1c_Korrekturen_NB'!$A$11:$A$78,'Anlage 3a_Zusammenfassung_KWKG'!$A137)</f>
        <v>0</v>
      </c>
      <c r="H137" s="144">
        <f>SUMIFS('Anlage 1c_Korrekturen_NB'!$D$610:$D$676,'Anlage 1c_Korrekturen_NB'!$A$610:$A$676,'Anlage 3a_Zusammenfassung_KWKG'!$A137)</f>
        <v>0</v>
      </c>
      <c r="I137" s="1091">
        <f t="shared" si="9"/>
        <v>0</v>
      </c>
      <c r="J137" s="98"/>
      <c r="K137" s="12"/>
      <c r="L137" s="12"/>
    </row>
    <row r="138" spans="1:12" hidden="1" outlineLevel="1">
      <c r="A138" s="454" t="s">
        <v>346</v>
      </c>
      <c r="B138" s="544">
        <f>VLOOKUP($A138,'Anlage 1a_Zuschlagszahlungen_NB'!$A$868:$E$1595,5,0)</f>
        <v>45135.729999999996</v>
      </c>
      <c r="C138" s="95">
        <f>_xlfn.IFNA(VLOOKUP($A138,'Anlage 1b_Abzüge, Pflicht, Boni'!$A$9:$D$94,2,FALSE),0)</f>
        <v>-5077.2700000000004</v>
      </c>
      <c r="D138" s="95">
        <f>_xlfn.IFNA(VLOOKUP(A138,'Anlage 1b_Abzüge, Pflicht, Boni'!$A$9:$D$94,3,FALSE),0)</f>
        <v>0</v>
      </c>
      <c r="E138" s="95">
        <f>_xlfn.IFNA(VLOOKUP(A138,'Anlage 1b_Abzüge, Pflicht, Boni'!$A$9:$D$94,4,FALSE),0)</f>
        <v>0</v>
      </c>
      <c r="F138" s="95">
        <f t="shared" si="10"/>
        <v>40058.459999999992</v>
      </c>
      <c r="G138" s="95">
        <f>SUMIFS('Anlage 1c_Korrekturen_NB'!$L$11:$L$78,'Anlage 1c_Korrekturen_NB'!$A$11:$A$78,'Anlage 3a_Zusammenfassung_KWKG'!$A138)</f>
        <v>0</v>
      </c>
      <c r="H138" s="144">
        <f>SUMIFS('Anlage 1c_Korrekturen_NB'!$D$610:$D$676,'Anlage 1c_Korrekturen_NB'!$A$610:$A$676,'Anlage 3a_Zusammenfassung_KWKG'!$A138)</f>
        <v>0</v>
      </c>
      <c r="I138" s="1091">
        <f t="shared" si="9"/>
        <v>0</v>
      </c>
      <c r="J138" s="98"/>
      <c r="K138" s="12"/>
      <c r="L138" s="12"/>
    </row>
    <row r="139" spans="1:12" hidden="1" outlineLevel="1">
      <c r="A139" s="454" t="s">
        <v>348</v>
      </c>
      <c r="B139" s="544">
        <f>VLOOKUP($A139,'Anlage 1a_Zuschlagszahlungen_NB'!$A$868:$E$1595,5,0)</f>
        <v>297929.61</v>
      </c>
      <c r="C139" s="95">
        <f>_xlfn.IFNA(VLOOKUP($A139,'Anlage 1b_Abzüge, Pflicht, Boni'!$A$9:$D$94,2,FALSE),0)</f>
        <v>0</v>
      </c>
      <c r="D139" s="95">
        <f>_xlfn.IFNA(VLOOKUP(A139,'Anlage 1b_Abzüge, Pflicht, Boni'!$A$9:$D$94,3,FALSE),0)</f>
        <v>0</v>
      </c>
      <c r="E139" s="95">
        <f>_xlfn.IFNA(VLOOKUP(A139,'Anlage 1b_Abzüge, Pflicht, Boni'!$A$9:$D$94,4,FALSE),0)</f>
        <v>0</v>
      </c>
      <c r="F139" s="95">
        <f t="shared" si="10"/>
        <v>297929.61</v>
      </c>
      <c r="G139" s="95">
        <f>SUMIFS('Anlage 1c_Korrekturen_NB'!$L$11:$L$78,'Anlage 1c_Korrekturen_NB'!$A$11:$A$78,'Anlage 3a_Zusammenfassung_KWKG'!$A139)</f>
        <v>13425.579999999998</v>
      </c>
      <c r="H139" s="144">
        <f>SUMIFS('Anlage 1c_Korrekturen_NB'!$D$610:$D$676,'Anlage 1c_Korrekturen_NB'!$A$610:$A$676,'Anlage 3a_Zusammenfassung_KWKG'!$A139)</f>
        <v>0</v>
      </c>
      <c r="I139" s="1091">
        <f t="shared" si="9"/>
        <v>13425.579999999998</v>
      </c>
      <c r="J139" s="98"/>
      <c r="K139" s="12"/>
      <c r="L139" s="12"/>
    </row>
    <row r="140" spans="1:12" hidden="1" outlineLevel="1">
      <c r="A140" s="454" t="s">
        <v>350</v>
      </c>
      <c r="B140" s="544">
        <f>VLOOKUP($A140,'Anlage 1a_Zuschlagszahlungen_NB'!$A$868:$E$1595,5,0)</f>
        <v>34014.350000000006</v>
      </c>
      <c r="C140" s="95">
        <f>_xlfn.IFNA(VLOOKUP($A140,'Anlage 1b_Abzüge, Pflicht, Boni'!$A$9:$D$94,2,FALSE),0)</f>
        <v>0</v>
      </c>
      <c r="D140" s="95">
        <f>_xlfn.IFNA(VLOOKUP(A140,'Anlage 1b_Abzüge, Pflicht, Boni'!$A$9:$D$94,3,FALSE),0)</f>
        <v>0</v>
      </c>
      <c r="E140" s="95">
        <f>_xlfn.IFNA(VLOOKUP(A140,'Anlage 1b_Abzüge, Pflicht, Boni'!$A$9:$D$94,4,FALSE),0)</f>
        <v>0</v>
      </c>
      <c r="F140" s="95">
        <f t="shared" si="10"/>
        <v>34014.350000000006</v>
      </c>
      <c r="G140" s="95">
        <f>SUMIFS('Anlage 1c_Korrekturen_NB'!$L$11:$L$78,'Anlage 1c_Korrekturen_NB'!$A$11:$A$78,'Anlage 3a_Zusammenfassung_KWKG'!$A140)</f>
        <v>1633.48</v>
      </c>
      <c r="H140" s="144">
        <f>SUMIFS('Anlage 1c_Korrekturen_NB'!$D$610:$D$676,'Anlage 1c_Korrekturen_NB'!$A$610:$A$676,'Anlage 3a_Zusammenfassung_KWKG'!$A140)</f>
        <v>0</v>
      </c>
      <c r="I140" s="1091">
        <f t="shared" si="9"/>
        <v>1633.48</v>
      </c>
      <c r="J140" s="98"/>
      <c r="K140" s="12"/>
      <c r="L140" s="12"/>
    </row>
    <row r="141" spans="1:12" hidden="1" outlineLevel="1">
      <c r="A141" s="454" t="s">
        <v>352</v>
      </c>
      <c r="B141" s="544">
        <f>VLOOKUP($A141,'Anlage 1a_Zuschlagszahlungen_NB'!$A$868:$E$1595,5,0)</f>
        <v>63629805.569999993</v>
      </c>
      <c r="C141" s="95">
        <f>_xlfn.IFNA(VLOOKUP($A141,'Anlage 1b_Abzüge, Pflicht, Boni'!$A$9:$D$94,2,FALSE),0)</f>
        <v>-2214.31</v>
      </c>
      <c r="D141" s="95">
        <f>_xlfn.IFNA(VLOOKUP(A141,'Anlage 1b_Abzüge, Pflicht, Boni'!$A$9:$D$94,3,FALSE),0)</f>
        <v>0</v>
      </c>
      <c r="E141" s="95">
        <f>_xlfn.IFNA(VLOOKUP(A141,'Anlage 1b_Abzüge, Pflicht, Boni'!$A$9:$D$94,4,FALSE),0)</f>
        <v>0</v>
      </c>
      <c r="F141" s="95">
        <f t="shared" si="10"/>
        <v>63627591.25999999</v>
      </c>
      <c r="G141" s="95">
        <f>SUMIFS('Anlage 1c_Korrekturen_NB'!$L$11:$L$78,'Anlage 1c_Korrekturen_NB'!$A$11:$A$78,'Anlage 3a_Zusammenfassung_KWKG'!$A141)</f>
        <v>2064894.8200000003</v>
      </c>
      <c r="H141" s="144">
        <f>SUMIFS('Anlage 1c_Korrekturen_NB'!$D$610:$D$676,'Anlage 1c_Korrekturen_NB'!$A$610:$A$676,'Anlage 3a_Zusammenfassung_KWKG'!$A141)</f>
        <v>0</v>
      </c>
      <c r="I141" s="1091">
        <f t="shared" si="9"/>
        <v>2064894.8200000003</v>
      </c>
      <c r="J141" s="98"/>
      <c r="K141" s="12"/>
      <c r="L141" s="12"/>
    </row>
    <row r="142" spans="1:12" hidden="1" outlineLevel="1">
      <c r="A142" s="454" t="s">
        <v>354</v>
      </c>
      <c r="B142" s="544">
        <f>VLOOKUP($A142,'Anlage 1a_Zuschlagszahlungen_NB'!$A$868:$E$1595,5,0)</f>
        <v>145850.71000000002</v>
      </c>
      <c r="C142" s="95">
        <f>_xlfn.IFNA(VLOOKUP($A142,'Anlage 1b_Abzüge, Pflicht, Boni'!$A$9:$D$94,2,FALSE),0)</f>
        <v>0</v>
      </c>
      <c r="D142" s="95">
        <f>_xlfn.IFNA(VLOOKUP(A142,'Anlage 1b_Abzüge, Pflicht, Boni'!$A$9:$D$94,3,FALSE),0)</f>
        <v>0</v>
      </c>
      <c r="E142" s="95">
        <f>_xlfn.IFNA(VLOOKUP(A142,'Anlage 1b_Abzüge, Pflicht, Boni'!$A$9:$D$94,4,FALSE),0)</f>
        <v>0</v>
      </c>
      <c r="F142" s="95">
        <f t="shared" si="10"/>
        <v>145850.71000000002</v>
      </c>
      <c r="G142" s="95">
        <f>SUMIFS('Anlage 1c_Korrekturen_NB'!$L$11:$L$78,'Anlage 1c_Korrekturen_NB'!$A$11:$A$78,'Anlage 3a_Zusammenfassung_KWKG'!$A142)</f>
        <v>-1076.4000000000001</v>
      </c>
      <c r="H142" s="144">
        <f>SUMIFS('Anlage 1c_Korrekturen_NB'!$D$610:$D$676,'Anlage 1c_Korrekturen_NB'!$A$610:$A$676,'Anlage 3a_Zusammenfassung_KWKG'!$A142)</f>
        <v>0</v>
      </c>
      <c r="I142" s="1091">
        <f t="shared" si="9"/>
        <v>-1076.4000000000001</v>
      </c>
      <c r="J142" s="98"/>
      <c r="K142" s="12"/>
      <c r="L142" s="12"/>
    </row>
    <row r="143" spans="1:12" hidden="1" outlineLevel="1">
      <c r="A143" s="454" t="s">
        <v>356</v>
      </c>
      <c r="B143" s="544">
        <f>VLOOKUP($A143,'Anlage 1a_Zuschlagszahlungen_NB'!$A$868:$E$1595,5,0)</f>
        <v>0</v>
      </c>
      <c r="C143" s="95">
        <f>_xlfn.IFNA(VLOOKUP($A143,'Anlage 1b_Abzüge, Pflicht, Boni'!$A$9:$D$94,2,FALSE),0)</f>
        <v>0</v>
      </c>
      <c r="D143" s="95">
        <f>_xlfn.IFNA(VLOOKUP(A143,'Anlage 1b_Abzüge, Pflicht, Boni'!$A$9:$D$94,3,FALSE),0)</f>
        <v>0</v>
      </c>
      <c r="E143" s="95">
        <f>_xlfn.IFNA(VLOOKUP(A143,'Anlage 1b_Abzüge, Pflicht, Boni'!$A$9:$D$94,4,FALSE),0)</f>
        <v>0</v>
      </c>
      <c r="F143" s="95">
        <f t="shared" si="10"/>
        <v>0</v>
      </c>
      <c r="G143" s="95">
        <f>SUMIFS('Anlage 1c_Korrekturen_NB'!$L$11:$L$78,'Anlage 1c_Korrekturen_NB'!$A$11:$A$78,'Anlage 3a_Zusammenfassung_KWKG'!$A143)</f>
        <v>0</v>
      </c>
      <c r="H143" s="144">
        <f>SUMIFS('Anlage 1c_Korrekturen_NB'!$D$610:$D$676,'Anlage 1c_Korrekturen_NB'!$A$610:$A$676,'Anlage 3a_Zusammenfassung_KWKG'!$A143)</f>
        <v>0</v>
      </c>
      <c r="I143" s="1091">
        <f t="shared" si="9"/>
        <v>0</v>
      </c>
      <c r="J143" s="98"/>
      <c r="K143" s="12"/>
      <c r="L143" s="12"/>
    </row>
    <row r="144" spans="1:12" hidden="1" outlineLevel="1">
      <c r="A144" s="454" t="s">
        <v>358</v>
      </c>
      <c r="B144" s="544">
        <f>VLOOKUP($A144,'Anlage 1a_Zuschlagszahlungen_NB'!$A$868:$E$1595,5,0)</f>
        <v>13377228.519999998</v>
      </c>
      <c r="C144" s="95">
        <f>_xlfn.IFNA(VLOOKUP($A144,'Anlage 1b_Abzüge, Pflicht, Boni'!$A$9:$D$94,2,FALSE),0)</f>
        <v>0</v>
      </c>
      <c r="D144" s="95">
        <f>_xlfn.IFNA(VLOOKUP(A144,'Anlage 1b_Abzüge, Pflicht, Boni'!$A$9:$D$94,3,FALSE),0)</f>
        <v>0</v>
      </c>
      <c r="E144" s="95">
        <f>_xlfn.IFNA(VLOOKUP(A144,'Anlage 1b_Abzüge, Pflicht, Boni'!$A$9:$D$94,4,FALSE),0)</f>
        <v>0</v>
      </c>
      <c r="F144" s="95">
        <f t="shared" si="10"/>
        <v>13377228.519999998</v>
      </c>
      <c r="G144" s="95">
        <f>SUMIFS('Anlage 1c_Korrekturen_NB'!$L$11:$L$78,'Anlage 1c_Korrekturen_NB'!$A$11:$A$78,'Anlage 3a_Zusammenfassung_KWKG'!$A144)</f>
        <v>39522.19000000001</v>
      </c>
      <c r="H144" s="144">
        <f>SUMIFS('Anlage 1c_Korrekturen_NB'!$D$610:$D$676,'Anlage 1c_Korrekturen_NB'!$A$610:$A$676,'Anlage 3a_Zusammenfassung_KWKG'!$A144)</f>
        <v>0</v>
      </c>
      <c r="I144" s="1091">
        <f t="shared" si="9"/>
        <v>39522.19000000001</v>
      </c>
      <c r="J144" s="98"/>
      <c r="K144" s="12"/>
      <c r="L144" s="12"/>
    </row>
    <row r="145" spans="1:12" hidden="1" outlineLevel="1">
      <c r="A145" s="454" t="s">
        <v>360</v>
      </c>
      <c r="B145" s="544">
        <f>VLOOKUP($A145,'Anlage 1a_Zuschlagszahlungen_NB'!$A$868:$E$1595,5,0)</f>
        <v>30676.05</v>
      </c>
      <c r="C145" s="95">
        <f>_xlfn.IFNA(VLOOKUP($A145,'Anlage 1b_Abzüge, Pflicht, Boni'!$A$9:$D$94,2,FALSE),0)</f>
        <v>0</v>
      </c>
      <c r="D145" s="95">
        <f>_xlfn.IFNA(VLOOKUP(A145,'Anlage 1b_Abzüge, Pflicht, Boni'!$A$9:$D$94,3,FALSE),0)</f>
        <v>0</v>
      </c>
      <c r="E145" s="95">
        <f>_xlfn.IFNA(VLOOKUP(A145,'Anlage 1b_Abzüge, Pflicht, Boni'!$A$9:$D$94,4,FALSE),0)</f>
        <v>0</v>
      </c>
      <c r="F145" s="95">
        <f t="shared" si="10"/>
        <v>30676.05</v>
      </c>
      <c r="G145" s="95">
        <f>SUMIFS('Anlage 1c_Korrekturen_NB'!$L$11:$L$78,'Anlage 1c_Korrekturen_NB'!$A$11:$A$78,'Anlage 3a_Zusammenfassung_KWKG'!$A145)</f>
        <v>0</v>
      </c>
      <c r="H145" s="144">
        <f>SUMIFS('Anlage 1c_Korrekturen_NB'!$D$610:$D$676,'Anlage 1c_Korrekturen_NB'!$A$610:$A$676,'Anlage 3a_Zusammenfassung_KWKG'!$A145)</f>
        <v>0</v>
      </c>
      <c r="I145" s="1091">
        <f t="shared" si="9"/>
        <v>0</v>
      </c>
      <c r="J145" s="98"/>
      <c r="K145" s="12"/>
      <c r="L145" s="12"/>
    </row>
    <row r="146" spans="1:12" hidden="1" outlineLevel="1">
      <c r="A146" s="454" t="s">
        <v>362</v>
      </c>
      <c r="B146" s="544">
        <f>VLOOKUP($A146,'Anlage 1a_Zuschlagszahlungen_NB'!$A$868:$E$1595,5,0)</f>
        <v>34187.440000000002</v>
      </c>
      <c r="C146" s="95">
        <f>_xlfn.IFNA(VLOOKUP($A146,'Anlage 1b_Abzüge, Pflicht, Boni'!$A$9:$D$94,2,FALSE),0)</f>
        <v>-11994.86</v>
      </c>
      <c r="D146" s="95">
        <f>_xlfn.IFNA(VLOOKUP(A146,'Anlage 1b_Abzüge, Pflicht, Boni'!$A$9:$D$94,3,FALSE),0)</f>
        <v>0</v>
      </c>
      <c r="E146" s="95">
        <f>_xlfn.IFNA(VLOOKUP(A146,'Anlage 1b_Abzüge, Pflicht, Boni'!$A$9:$D$94,4,FALSE),0)</f>
        <v>0</v>
      </c>
      <c r="F146" s="95">
        <f t="shared" si="10"/>
        <v>22192.58</v>
      </c>
      <c r="G146" s="95">
        <f>SUMIFS('Anlage 1c_Korrekturen_NB'!$L$11:$L$78,'Anlage 1c_Korrekturen_NB'!$A$11:$A$78,'Anlage 3a_Zusammenfassung_KWKG'!$A146)</f>
        <v>0</v>
      </c>
      <c r="H146" s="144">
        <f>SUMIFS('Anlage 1c_Korrekturen_NB'!$D$610:$D$676,'Anlage 1c_Korrekturen_NB'!$A$610:$A$676,'Anlage 3a_Zusammenfassung_KWKG'!$A146)</f>
        <v>0</v>
      </c>
      <c r="I146" s="1091">
        <f t="shared" si="9"/>
        <v>0</v>
      </c>
      <c r="J146" s="98"/>
      <c r="K146" s="12"/>
      <c r="L146" s="12"/>
    </row>
    <row r="147" spans="1:12" hidden="1" outlineLevel="1">
      <c r="A147" s="454" t="s">
        <v>364</v>
      </c>
      <c r="B147" s="544">
        <f>VLOOKUP($A147,'Anlage 1a_Zuschlagszahlungen_NB'!$A$868:$E$1595,5,0)</f>
        <v>0</v>
      </c>
      <c r="C147" s="95">
        <f>_xlfn.IFNA(VLOOKUP($A147,'Anlage 1b_Abzüge, Pflicht, Boni'!$A$9:$D$94,2,FALSE),0)</f>
        <v>0</v>
      </c>
      <c r="D147" s="95">
        <f>_xlfn.IFNA(VLOOKUP(A147,'Anlage 1b_Abzüge, Pflicht, Boni'!$A$9:$D$94,3,FALSE),0)</f>
        <v>0</v>
      </c>
      <c r="E147" s="95">
        <f>_xlfn.IFNA(VLOOKUP(A147,'Anlage 1b_Abzüge, Pflicht, Boni'!$A$9:$D$94,4,FALSE),0)</f>
        <v>0</v>
      </c>
      <c r="F147" s="95">
        <f t="shared" si="10"/>
        <v>0</v>
      </c>
      <c r="G147" s="95">
        <f>SUMIFS('Anlage 1c_Korrekturen_NB'!$L$11:$L$78,'Anlage 1c_Korrekturen_NB'!$A$11:$A$78,'Anlage 3a_Zusammenfassung_KWKG'!$A147)</f>
        <v>0</v>
      </c>
      <c r="H147" s="144">
        <f>SUMIFS('Anlage 1c_Korrekturen_NB'!$D$610:$D$676,'Anlage 1c_Korrekturen_NB'!$A$610:$A$676,'Anlage 3a_Zusammenfassung_KWKG'!$A147)</f>
        <v>0</v>
      </c>
      <c r="I147" s="1091">
        <f t="shared" si="9"/>
        <v>0</v>
      </c>
      <c r="J147" s="98"/>
      <c r="K147" s="12"/>
      <c r="L147" s="12"/>
    </row>
    <row r="148" spans="1:12" hidden="1" outlineLevel="1">
      <c r="A148" s="454" t="s">
        <v>366</v>
      </c>
      <c r="B148" s="544">
        <f>VLOOKUP($A148,'Anlage 1a_Zuschlagszahlungen_NB'!$A$868:$E$1595,5,0)</f>
        <v>479593.1100000001</v>
      </c>
      <c r="C148" s="95">
        <f>_xlfn.IFNA(VLOOKUP($A148,'Anlage 1b_Abzüge, Pflicht, Boni'!$A$9:$D$94,2,FALSE),0)</f>
        <v>0</v>
      </c>
      <c r="D148" s="95">
        <f>_xlfn.IFNA(VLOOKUP(A148,'Anlage 1b_Abzüge, Pflicht, Boni'!$A$9:$D$94,3,FALSE),0)</f>
        <v>0</v>
      </c>
      <c r="E148" s="95">
        <f>_xlfn.IFNA(VLOOKUP(A148,'Anlage 1b_Abzüge, Pflicht, Boni'!$A$9:$D$94,4,FALSE),0)</f>
        <v>0</v>
      </c>
      <c r="F148" s="95">
        <f t="shared" si="10"/>
        <v>479593.1100000001</v>
      </c>
      <c r="G148" s="95">
        <f>SUMIFS('Anlage 1c_Korrekturen_NB'!$L$11:$L$78,'Anlage 1c_Korrekturen_NB'!$A$11:$A$78,'Anlage 3a_Zusammenfassung_KWKG'!$A148)</f>
        <v>0</v>
      </c>
      <c r="H148" s="144">
        <f>SUMIFS('Anlage 1c_Korrekturen_NB'!$D$610:$D$676,'Anlage 1c_Korrekturen_NB'!$A$610:$A$676,'Anlage 3a_Zusammenfassung_KWKG'!$A148)</f>
        <v>0</v>
      </c>
      <c r="I148" s="1091">
        <f t="shared" si="9"/>
        <v>0</v>
      </c>
      <c r="J148" s="98"/>
      <c r="K148" s="12"/>
      <c r="L148" s="12"/>
    </row>
    <row r="149" spans="1:12" hidden="1" outlineLevel="1">
      <c r="A149" s="454" t="s">
        <v>368</v>
      </c>
      <c r="B149" s="544">
        <f>VLOOKUP($A149,'Anlage 1a_Zuschlagszahlungen_NB'!$A$868:$E$1595,5,0)</f>
        <v>4518419.08</v>
      </c>
      <c r="C149" s="95">
        <f>_xlfn.IFNA(VLOOKUP($A149,'Anlage 1b_Abzüge, Pflicht, Boni'!$A$9:$D$94,2,FALSE),0)</f>
        <v>0</v>
      </c>
      <c r="D149" s="95">
        <f>_xlfn.IFNA(VLOOKUP(A149,'Anlage 1b_Abzüge, Pflicht, Boni'!$A$9:$D$94,3,FALSE),0)</f>
        <v>0</v>
      </c>
      <c r="E149" s="95">
        <f>_xlfn.IFNA(VLOOKUP(A149,'Anlage 1b_Abzüge, Pflicht, Boni'!$A$9:$D$94,4,FALSE),0)</f>
        <v>0</v>
      </c>
      <c r="F149" s="95">
        <f t="shared" si="10"/>
        <v>4518419.08</v>
      </c>
      <c r="G149" s="95">
        <f>SUMIFS('Anlage 1c_Korrekturen_NB'!$L$11:$L$78,'Anlage 1c_Korrekturen_NB'!$A$11:$A$78,'Anlage 3a_Zusammenfassung_KWKG'!$A149)</f>
        <v>0</v>
      </c>
      <c r="H149" s="144">
        <f>SUMIFS('Anlage 1c_Korrekturen_NB'!$D$610:$D$676,'Anlage 1c_Korrekturen_NB'!$A$610:$A$676,'Anlage 3a_Zusammenfassung_KWKG'!$A149)</f>
        <v>0</v>
      </c>
      <c r="I149" s="1091">
        <f t="shared" si="9"/>
        <v>0</v>
      </c>
      <c r="J149" s="98"/>
      <c r="K149" s="12"/>
      <c r="L149" s="12"/>
    </row>
    <row r="150" spans="1:12" hidden="1" outlineLevel="1">
      <c r="A150" s="454" t="s">
        <v>370</v>
      </c>
      <c r="B150" s="544">
        <f>VLOOKUP($A150,'Anlage 1a_Zuschlagszahlungen_NB'!$A$868:$E$1595,5,0)</f>
        <v>12792582.880000003</v>
      </c>
      <c r="C150" s="95">
        <f>_xlfn.IFNA(VLOOKUP($A150,'Anlage 1b_Abzüge, Pflicht, Boni'!$A$9:$D$94,2,FALSE),0)</f>
        <v>0</v>
      </c>
      <c r="D150" s="95">
        <f>_xlfn.IFNA(VLOOKUP(A150,'Anlage 1b_Abzüge, Pflicht, Boni'!$A$9:$D$94,3,FALSE),0)</f>
        <v>0</v>
      </c>
      <c r="E150" s="95">
        <f>_xlfn.IFNA(VLOOKUP(A150,'Anlage 1b_Abzüge, Pflicht, Boni'!$A$9:$D$94,4,FALSE),0)</f>
        <v>0</v>
      </c>
      <c r="F150" s="95">
        <f t="shared" si="10"/>
        <v>12792582.880000003</v>
      </c>
      <c r="G150" s="95">
        <f>SUMIFS('Anlage 1c_Korrekturen_NB'!$L$11:$L$78,'Anlage 1c_Korrekturen_NB'!$A$11:$A$78,'Anlage 3a_Zusammenfassung_KWKG'!$A150)</f>
        <v>0</v>
      </c>
      <c r="H150" s="144">
        <f>SUMIFS('Anlage 1c_Korrekturen_NB'!$D$610:$D$676,'Anlage 1c_Korrekturen_NB'!$A$610:$A$676,'Anlage 3a_Zusammenfassung_KWKG'!$A150)</f>
        <v>0</v>
      </c>
      <c r="I150" s="1091">
        <f t="shared" si="9"/>
        <v>0</v>
      </c>
      <c r="J150" s="98"/>
      <c r="K150" s="12"/>
      <c r="L150" s="12"/>
    </row>
    <row r="151" spans="1:12" hidden="1" outlineLevel="1">
      <c r="A151" s="454" t="s">
        <v>372</v>
      </c>
      <c r="B151" s="544">
        <f>VLOOKUP($A151,'Anlage 1a_Zuschlagszahlungen_NB'!$A$868:$E$1595,5,0)</f>
        <v>5909.8899999999994</v>
      </c>
      <c r="C151" s="95">
        <f>_xlfn.IFNA(VLOOKUP($A151,'Anlage 1b_Abzüge, Pflicht, Boni'!$A$9:$D$94,2,FALSE),0)</f>
        <v>0</v>
      </c>
      <c r="D151" s="95">
        <f>_xlfn.IFNA(VLOOKUP(A151,'Anlage 1b_Abzüge, Pflicht, Boni'!$A$9:$D$94,3,FALSE),0)</f>
        <v>0</v>
      </c>
      <c r="E151" s="95">
        <f>_xlfn.IFNA(VLOOKUP(A151,'Anlage 1b_Abzüge, Pflicht, Boni'!$A$9:$D$94,4,FALSE),0)</f>
        <v>0</v>
      </c>
      <c r="F151" s="95">
        <f t="shared" si="10"/>
        <v>5909.8899999999994</v>
      </c>
      <c r="G151" s="95">
        <f>SUMIFS('Anlage 1c_Korrekturen_NB'!$L$11:$L$78,'Anlage 1c_Korrekturen_NB'!$A$11:$A$78,'Anlage 3a_Zusammenfassung_KWKG'!$A151)</f>
        <v>0</v>
      </c>
      <c r="H151" s="144">
        <f>SUMIFS('Anlage 1c_Korrekturen_NB'!$D$610:$D$676,'Anlage 1c_Korrekturen_NB'!$A$610:$A$676,'Anlage 3a_Zusammenfassung_KWKG'!$A151)</f>
        <v>0</v>
      </c>
      <c r="I151" s="1091">
        <f t="shared" si="9"/>
        <v>0</v>
      </c>
      <c r="J151" s="98"/>
      <c r="K151" s="12"/>
      <c r="L151" s="12"/>
    </row>
    <row r="152" spans="1:12" hidden="1" outlineLevel="1">
      <c r="A152" s="454" t="s">
        <v>374</v>
      </c>
      <c r="B152" s="544">
        <f>VLOOKUP($A152,'Anlage 1a_Zuschlagszahlungen_NB'!$A$868:$E$1595,5,0)</f>
        <v>90036.66</v>
      </c>
      <c r="C152" s="95">
        <f>_xlfn.IFNA(VLOOKUP($A152,'Anlage 1b_Abzüge, Pflicht, Boni'!$A$9:$D$94,2,FALSE),0)</f>
        <v>0</v>
      </c>
      <c r="D152" s="95">
        <f>_xlfn.IFNA(VLOOKUP(A152,'Anlage 1b_Abzüge, Pflicht, Boni'!$A$9:$D$94,3,FALSE),0)</f>
        <v>0</v>
      </c>
      <c r="E152" s="95">
        <f>_xlfn.IFNA(VLOOKUP(A152,'Anlage 1b_Abzüge, Pflicht, Boni'!$A$9:$D$94,4,FALSE),0)</f>
        <v>0</v>
      </c>
      <c r="F152" s="95">
        <f t="shared" si="10"/>
        <v>90036.66</v>
      </c>
      <c r="G152" s="95">
        <f>SUMIFS('Anlage 1c_Korrekturen_NB'!$L$11:$L$78,'Anlage 1c_Korrekturen_NB'!$A$11:$A$78,'Anlage 3a_Zusammenfassung_KWKG'!$A152)</f>
        <v>0</v>
      </c>
      <c r="H152" s="144">
        <f>SUMIFS('Anlage 1c_Korrekturen_NB'!$D$610:$D$676,'Anlage 1c_Korrekturen_NB'!$A$610:$A$676,'Anlage 3a_Zusammenfassung_KWKG'!$A152)</f>
        <v>0</v>
      </c>
      <c r="I152" s="1091">
        <f t="shared" si="9"/>
        <v>0</v>
      </c>
      <c r="J152" s="98"/>
      <c r="K152" s="12"/>
      <c r="L152" s="12"/>
    </row>
    <row r="153" spans="1:12" hidden="1" outlineLevel="1">
      <c r="A153" s="454" t="s">
        <v>376</v>
      </c>
      <c r="B153" s="544">
        <f>VLOOKUP($A153,'Anlage 1a_Zuschlagszahlungen_NB'!$A$868:$E$1595,5,0)</f>
        <v>47657.69</v>
      </c>
      <c r="C153" s="95">
        <f>_xlfn.IFNA(VLOOKUP($A153,'Anlage 1b_Abzüge, Pflicht, Boni'!$A$9:$D$94,2,FALSE),0)</f>
        <v>0</v>
      </c>
      <c r="D153" s="95">
        <f>_xlfn.IFNA(VLOOKUP(A153,'Anlage 1b_Abzüge, Pflicht, Boni'!$A$9:$D$94,3,FALSE),0)</f>
        <v>0</v>
      </c>
      <c r="E153" s="95">
        <f>_xlfn.IFNA(VLOOKUP(A153,'Anlage 1b_Abzüge, Pflicht, Boni'!$A$9:$D$94,4,FALSE),0)</f>
        <v>0</v>
      </c>
      <c r="F153" s="95">
        <f t="shared" si="10"/>
        <v>47657.69</v>
      </c>
      <c r="G153" s="95">
        <f>SUMIFS('Anlage 1c_Korrekturen_NB'!$L$11:$L$78,'Anlage 1c_Korrekturen_NB'!$A$11:$A$78,'Anlage 3a_Zusammenfassung_KWKG'!$A153)</f>
        <v>0</v>
      </c>
      <c r="H153" s="144">
        <f>SUMIFS('Anlage 1c_Korrekturen_NB'!$D$610:$D$676,'Anlage 1c_Korrekturen_NB'!$A$610:$A$676,'Anlage 3a_Zusammenfassung_KWKG'!$A153)</f>
        <v>0</v>
      </c>
      <c r="I153" s="1091">
        <f t="shared" si="9"/>
        <v>0</v>
      </c>
      <c r="J153" s="98"/>
      <c r="K153" s="12"/>
      <c r="L153" s="12"/>
    </row>
    <row r="154" spans="1:12" hidden="1" outlineLevel="1">
      <c r="A154" s="454" t="s">
        <v>378</v>
      </c>
      <c r="B154" s="544">
        <f>VLOOKUP($A154,'Anlage 1a_Zuschlagszahlungen_NB'!$A$868:$E$1595,5,0)</f>
        <v>369579.05</v>
      </c>
      <c r="C154" s="95">
        <f>_xlfn.IFNA(VLOOKUP($A154,'Anlage 1b_Abzüge, Pflicht, Boni'!$A$9:$D$94,2,FALSE),0)</f>
        <v>0</v>
      </c>
      <c r="D154" s="95">
        <f>_xlfn.IFNA(VLOOKUP(A154,'Anlage 1b_Abzüge, Pflicht, Boni'!$A$9:$D$94,3,FALSE),0)</f>
        <v>0</v>
      </c>
      <c r="E154" s="95">
        <f>_xlfn.IFNA(VLOOKUP(A154,'Anlage 1b_Abzüge, Pflicht, Boni'!$A$9:$D$94,4,FALSE),0)</f>
        <v>0</v>
      </c>
      <c r="F154" s="95">
        <f t="shared" si="10"/>
        <v>369579.05</v>
      </c>
      <c r="G154" s="95">
        <f>SUMIFS('Anlage 1c_Korrekturen_NB'!$L$11:$L$78,'Anlage 1c_Korrekturen_NB'!$A$11:$A$78,'Anlage 3a_Zusammenfassung_KWKG'!$A154)</f>
        <v>0</v>
      </c>
      <c r="H154" s="144">
        <f>SUMIFS('Anlage 1c_Korrekturen_NB'!$D$610:$D$676,'Anlage 1c_Korrekturen_NB'!$A$610:$A$676,'Anlage 3a_Zusammenfassung_KWKG'!$A154)</f>
        <v>0</v>
      </c>
      <c r="I154" s="1091">
        <f t="shared" si="9"/>
        <v>0</v>
      </c>
      <c r="J154" s="98"/>
      <c r="K154" s="12"/>
      <c r="L154" s="12"/>
    </row>
    <row r="155" spans="1:12" hidden="1" outlineLevel="1">
      <c r="A155" s="454" t="s">
        <v>380</v>
      </c>
      <c r="B155" s="544">
        <f>VLOOKUP($A155,'Anlage 1a_Zuschlagszahlungen_NB'!$A$868:$E$1595,5,0)</f>
        <v>14728.64</v>
      </c>
      <c r="C155" s="95">
        <f>_xlfn.IFNA(VLOOKUP($A155,'Anlage 1b_Abzüge, Pflicht, Boni'!$A$9:$D$94,2,FALSE),0)</f>
        <v>0</v>
      </c>
      <c r="D155" s="95">
        <f>_xlfn.IFNA(VLOOKUP(A155,'Anlage 1b_Abzüge, Pflicht, Boni'!$A$9:$D$94,3,FALSE),0)</f>
        <v>55.5</v>
      </c>
      <c r="E155" s="95">
        <f>_xlfn.IFNA(VLOOKUP(A155,'Anlage 1b_Abzüge, Pflicht, Boni'!$A$9:$D$94,4,FALSE),0)</f>
        <v>0</v>
      </c>
      <c r="F155" s="95">
        <f t="shared" si="10"/>
        <v>14784.14</v>
      </c>
      <c r="G155" s="95">
        <f>SUMIFS('Anlage 1c_Korrekturen_NB'!$L$11:$L$78,'Anlage 1c_Korrekturen_NB'!$A$11:$A$78,'Anlage 3a_Zusammenfassung_KWKG'!$A155)</f>
        <v>0</v>
      </c>
      <c r="H155" s="144">
        <f>SUMIFS('Anlage 1c_Korrekturen_NB'!$D$610:$D$676,'Anlage 1c_Korrekturen_NB'!$A$610:$A$676,'Anlage 3a_Zusammenfassung_KWKG'!$A155)</f>
        <v>0</v>
      </c>
      <c r="I155" s="1091">
        <f t="shared" si="9"/>
        <v>0</v>
      </c>
      <c r="J155" s="98"/>
      <c r="K155" s="12"/>
      <c r="L155" s="12"/>
    </row>
    <row r="156" spans="1:12" hidden="1" outlineLevel="1">
      <c r="A156" s="418" t="s">
        <v>382</v>
      </c>
      <c r="B156" s="544">
        <f>VLOOKUP($A156,'Anlage 1a_Zuschlagszahlungen_NB'!$A$868:$E$1595,5,0)</f>
        <v>555021.69999999995</v>
      </c>
      <c r="C156" s="95">
        <f>_xlfn.IFNA(VLOOKUP($A156,'Anlage 1b_Abzüge, Pflicht, Boni'!$A$9:$D$94,2,FALSE),0)</f>
        <v>0</v>
      </c>
      <c r="D156" s="95">
        <f>_xlfn.IFNA(VLOOKUP(A156,'Anlage 1b_Abzüge, Pflicht, Boni'!$A$9:$D$94,3,FALSE),0)</f>
        <v>0</v>
      </c>
      <c r="E156" s="95">
        <f>_xlfn.IFNA(VLOOKUP(A156,'Anlage 1b_Abzüge, Pflicht, Boni'!$A$9:$D$94,4,FALSE),0)</f>
        <v>0</v>
      </c>
      <c r="F156" s="94">
        <f t="shared" si="0"/>
        <v>555021.69999999995</v>
      </c>
      <c r="G156" s="95">
        <f>SUMIFS('Anlage 1c_Korrekturen_NB'!$L$11:$L$78,'Anlage 1c_Korrekturen_NB'!$A$11:$A$78,'Anlage 3a_Zusammenfassung_KWKG'!$A156)</f>
        <v>0</v>
      </c>
      <c r="H156" s="144">
        <f>SUMIFS('Anlage 1c_Korrekturen_NB'!$D$610:$D$676,'Anlage 1c_Korrekturen_NB'!$A$610:$A$676,'Anlage 3a_Zusammenfassung_KWKG'!$A156)</f>
        <v>0</v>
      </c>
      <c r="I156" s="1091">
        <f t="shared" si="9"/>
        <v>0</v>
      </c>
      <c r="J156" s="20"/>
      <c r="K156" s="27"/>
      <c r="L156" s="27"/>
    </row>
    <row r="157" spans="1:12" hidden="1" outlineLevel="1">
      <c r="A157" s="454" t="s">
        <v>384</v>
      </c>
      <c r="B157" s="544">
        <f>VLOOKUP($A157,'Anlage 1a_Zuschlagszahlungen_NB'!$A$868:$E$1595,5,0)</f>
        <v>10011.549999999999</v>
      </c>
      <c r="C157" s="95">
        <f>_xlfn.IFNA(VLOOKUP($A157,'Anlage 1b_Abzüge, Pflicht, Boni'!$A$9:$D$94,2,FALSE),0)</f>
        <v>0</v>
      </c>
      <c r="D157" s="95">
        <f>_xlfn.IFNA(VLOOKUP(A157,'Anlage 1b_Abzüge, Pflicht, Boni'!$A$9:$D$94,3,FALSE),0)</f>
        <v>0</v>
      </c>
      <c r="E157" s="95">
        <f>_xlfn.IFNA(VLOOKUP(A157,'Anlage 1b_Abzüge, Pflicht, Boni'!$A$9:$D$94,4,FALSE),0)</f>
        <v>0</v>
      </c>
      <c r="F157" s="95">
        <f t="shared" ref="F157:F166" si="11">SUM(B157:E157)</f>
        <v>10011.549999999999</v>
      </c>
      <c r="G157" s="95">
        <f>SUMIFS('Anlage 1c_Korrekturen_NB'!$L$11:$L$78,'Anlage 1c_Korrekturen_NB'!$A$11:$A$78,'Anlage 3a_Zusammenfassung_KWKG'!$A157)</f>
        <v>0</v>
      </c>
      <c r="H157" s="144">
        <f>SUMIFS('Anlage 1c_Korrekturen_NB'!$D$610:$D$676,'Anlage 1c_Korrekturen_NB'!$A$610:$A$676,'Anlage 3a_Zusammenfassung_KWKG'!$A157)</f>
        <v>0</v>
      </c>
      <c r="I157" s="1091">
        <f t="shared" si="9"/>
        <v>0</v>
      </c>
      <c r="J157" s="98"/>
      <c r="K157" s="12"/>
      <c r="L157" s="12"/>
    </row>
    <row r="158" spans="1:12" hidden="1" outlineLevel="1">
      <c r="A158" s="454" t="s">
        <v>386</v>
      </c>
      <c r="B158" s="544">
        <f>VLOOKUP($A158,'Anlage 1a_Zuschlagszahlungen_NB'!$A$868:$E$1595,5,0)</f>
        <v>61947.789999999994</v>
      </c>
      <c r="C158" s="95">
        <f>_xlfn.IFNA(VLOOKUP($A158,'Anlage 1b_Abzüge, Pflicht, Boni'!$A$9:$D$94,2,FALSE),0)</f>
        <v>0</v>
      </c>
      <c r="D158" s="95">
        <f>_xlfn.IFNA(VLOOKUP(A158,'Anlage 1b_Abzüge, Pflicht, Boni'!$A$9:$D$94,3,FALSE),0)</f>
        <v>0</v>
      </c>
      <c r="E158" s="95">
        <f>_xlfn.IFNA(VLOOKUP(A158,'Anlage 1b_Abzüge, Pflicht, Boni'!$A$9:$D$94,4,FALSE),0)</f>
        <v>0</v>
      </c>
      <c r="F158" s="95">
        <f t="shared" si="11"/>
        <v>61947.789999999994</v>
      </c>
      <c r="G158" s="95">
        <f>SUMIFS('Anlage 1c_Korrekturen_NB'!$L$11:$L$78,'Anlage 1c_Korrekturen_NB'!$A$11:$A$78,'Anlage 3a_Zusammenfassung_KWKG'!$A158)</f>
        <v>91.1</v>
      </c>
      <c r="H158" s="144">
        <f>SUMIFS('Anlage 1c_Korrekturen_NB'!$D$610:$D$676,'Anlage 1c_Korrekturen_NB'!$A$610:$A$676,'Anlage 3a_Zusammenfassung_KWKG'!$A158)</f>
        <v>0</v>
      </c>
      <c r="I158" s="1091">
        <f t="shared" si="9"/>
        <v>91.1</v>
      </c>
      <c r="J158" s="98"/>
      <c r="K158" s="12"/>
      <c r="L158" s="12"/>
    </row>
    <row r="159" spans="1:12" hidden="1" outlineLevel="1">
      <c r="A159" s="454" t="s">
        <v>388</v>
      </c>
      <c r="B159" s="544">
        <f>VLOOKUP($A159,'Anlage 1a_Zuschlagszahlungen_NB'!$A$868:$E$1595,5,0)</f>
        <v>946989.7799999998</v>
      </c>
      <c r="C159" s="95">
        <f>_xlfn.IFNA(VLOOKUP($A159,'Anlage 1b_Abzüge, Pflicht, Boni'!$A$9:$D$94,2,FALSE),0)</f>
        <v>-15663.24</v>
      </c>
      <c r="D159" s="95">
        <f>_xlfn.IFNA(VLOOKUP(A159,'Anlage 1b_Abzüge, Pflicht, Boni'!$A$9:$D$94,3,FALSE),0)</f>
        <v>-6000</v>
      </c>
      <c r="E159" s="95">
        <f>_xlfn.IFNA(VLOOKUP(A159,'Anlage 1b_Abzüge, Pflicht, Boni'!$A$9:$D$94,4,FALSE),0)</f>
        <v>0</v>
      </c>
      <c r="F159" s="95">
        <f t="shared" si="11"/>
        <v>925326.5399999998</v>
      </c>
      <c r="G159" s="95">
        <f>SUMIFS('Anlage 1c_Korrekturen_NB'!$L$11:$L$78,'Anlage 1c_Korrekturen_NB'!$A$11:$A$78,'Anlage 3a_Zusammenfassung_KWKG'!$A159)</f>
        <v>268107.63999999996</v>
      </c>
      <c r="H159" s="144">
        <f>SUMIFS('Anlage 1c_Korrekturen_NB'!$D$610:$D$676,'Anlage 1c_Korrekturen_NB'!$A$610:$A$676,'Anlage 3a_Zusammenfassung_KWKG'!$A159)</f>
        <v>0</v>
      </c>
      <c r="I159" s="1091">
        <f t="shared" si="9"/>
        <v>268107.63999999996</v>
      </c>
      <c r="J159" s="98"/>
      <c r="K159" s="12"/>
      <c r="L159" s="12"/>
    </row>
    <row r="160" spans="1:12" hidden="1" outlineLevel="1">
      <c r="A160" s="454" t="s">
        <v>390</v>
      </c>
      <c r="B160" s="544">
        <f>VLOOKUP($A160,'Anlage 1a_Zuschlagszahlungen_NB'!$A$868:$E$1595,5,0)</f>
        <v>107095.37999999998</v>
      </c>
      <c r="C160" s="95">
        <f>_xlfn.IFNA(VLOOKUP($A160,'Anlage 1b_Abzüge, Pflicht, Boni'!$A$9:$D$94,2,FALSE),0)</f>
        <v>0</v>
      </c>
      <c r="D160" s="95">
        <f>_xlfn.IFNA(VLOOKUP(A160,'Anlage 1b_Abzüge, Pflicht, Boni'!$A$9:$D$94,3,FALSE),0)</f>
        <v>0</v>
      </c>
      <c r="E160" s="95">
        <f>_xlfn.IFNA(VLOOKUP(A160,'Anlage 1b_Abzüge, Pflicht, Boni'!$A$9:$D$94,4,FALSE),0)</f>
        <v>0</v>
      </c>
      <c r="F160" s="95">
        <f t="shared" si="11"/>
        <v>107095.37999999998</v>
      </c>
      <c r="G160" s="95">
        <f>SUMIFS('Anlage 1c_Korrekturen_NB'!$L$11:$L$78,'Anlage 1c_Korrekturen_NB'!$A$11:$A$78,'Anlage 3a_Zusammenfassung_KWKG'!$A160)</f>
        <v>987.92</v>
      </c>
      <c r="H160" s="144">
        <f>SUMIFS('Anlage 1c_Korrekturen_NB'!$D$610:$D$676,'Anlage 1c_Korrekturen_NB'!$A$610:$A$676,'Anlage 3a_Zusammenfassung_KWKG'!$A160)</f>
        <v>0</v>
      </c>
      <c r="I160" s="1091">
        <f t="shared" si="9"/>
        <v>987.92</v>
      </c>
      <c r="J160" s="98"/>
      <c r="K160" s="12"/>
      <c r="L160" s="12"/>
    </row>
    <row r="161" spans="1:12" hidden="1" outlineLevel="1">
      <c r="A161" s="454" t="s">
        <v>392</v>
      </c>
      <c r="B161" s="544">
        <f>VLOOKUP($A161,'Anlage 1a_Zuschlagszahlungen_NB'!$A$868:$E$1595,5,0)</f>
        <v>22041.190000000002</v>
      </c>
      <c r="C161" s="95">
        <f>_xlfn.IFNA(VLOOKUP($A161,'Anlage 1b_Abzüge, Pflicht, Boni'!$A$9:$D$94,2,FALSE),0)</f>
        <v>0</v>
      </c>
      <c r="D161" s="95">
        <f>_xlfn.IFNA(VLOOKUP(A161,'Anlage 1b_Abzüge, Pflicht, Boni'!$A$9:$D$94,3,FALSE),0)</f>
        <v>0</v>
      </c>
      <c r="E161" s="95">
        <f>_xlfn.IFNA(VLOOKUP(A161,'Anlage 1b_Abzüge, Pflicht, Boni'!$A$9:$D$94,4,FALSE),0)</f>
        <v>0</v>
      </c>
      <c r="F161" s="95">
        <f t="shared" si="11"/>
        <v>22041.190000000002</v>
      </c>
      <c r="G161" s="95">
        <f>SUMIFS('Anlage 1c_Korrekturen_NB'!$L$11:$L$78,'Anlage 1c_Korrekturen_NB'!$A$11:$A$78,'Anlage 3a_Zusammenfassung_KWKG'!$A161)</f>
        <v>0</v>
      </c>
      <c r="H161" s="144">
        <f>SUMIFS('Anlage 1c_Korrekturen_NB'!$D$610:$D$676,'Anlage 1c_Korrekturen_NB'!$A$610:$A$676,'Anlage 3a_Zusammenfassung_KWKG'!$A161)</f>
        <v>0</v>
      </c>
      <c r="I161" s="1091">
        <f t="shared" si="9"/>
        <v>0</v>
      </c>
      <c r="J161" s="98"/>
      <c r="K161" s="12"/>
      <c r="L161" s="12"/>
    </row>
    <row r="162" spans="1:12" hidden="1" outlineLevel="1">
      <c r="A162" s="454" t="s">
        <v>394</v>
      </c>
      <c r="B162" s="544">
        <f>VLOOKUP($A162,'Anlage 1a_Zuschlagszahlungen_NB'!$A$868:$E$1595,5,0)</f>
        <v>52623.100000000006</v>
      </c>
      <c r="C162" s="95">
        <f>_xlfn.IFNA(VLOOKUP($A162,'Anlage 1b_Abzüge, Pflicht, Boni'!$A$9:$D$94,2,FALSE),0)</f>
        <v>0</v>
      </c>
      <c r="D162" s="95">
        <f>_xlfn.IFNA(VLOOKUP(A162,'Anlage 1b_Abzüge, Pflicht, Boni'!$A$9:$D$94,3,FALSE),0)</f>
        <v>0</v>
      </c>
      <c r="E162" s="95">
        <f>_xlfn.IFNA(VLOOKUP(A162,'Anlage 1b_Abzüge, Pflicht, Boni'!$A$9:$D$94,4,FALSE),0)</f>
        <v>0</v>
      </c>
      <c r="F162" s="95">
        <f t="shared" si="11"/>
        <v>52623.100000000006</v>
      </c>
      <c r="G162" s="95">
        <f>SUMIFS('Anlage 1c_Korrekturen_NB'!$L$11:$L$78,'Anlage 1c_Korrekturen_NB'!$A$11:$A$78,'Anlage 3a_Zusammenfassung_KWKG'!$A162)</f>
        <v>0</v>
      </c>
      <c r="H162" s="144">
        <f>SUMIFS('Anlage 1c_Korrekturen_NB'!$D$610:$D$676,'Anlage 1c_Korrekturen_NB'!$A$610:$A$676,'Anlage 3a_Zusammenfassung_KWKG'!$A162)</f>
        <v>0</v>
      </c>
      <c r="I162" s="1091">
        <f t="shared" si="9"/>
        <v>0</v>
      </c>
      <c r="J162" s="98"/>
      <c r="K162" s="12"/>
      <c r="L162" s="12"/>
    </row>
    <row r="163" spans="1:12" hidden="1" outlineLevel="1">
      <c r="A163" s="454" t="s">
        <v>396</v>
      </c>
      <c r="B163" s="544">
        <f>VLOOKUP($A163,'Anlage 1a_Zuschlagszahlungen_NB'!$A$868:$E$1595,5,0)</f>
        <v>28379.399999999994</v>
      </c>
      <c r="C163" s="95">
        <f>_xlfn.IFNA(VLOOKUP($A163,'Anlage 1b_Abzüge, Pflicht, Boni'!$A$9:$D$94,2,FALSE),0)</f>
        <v>0</v>
      </c>
      <c r="D163" s="95">
        <f>_xlfn.IFNA(VLOOKUP(A163,'Anlage 1b_Abzüge, Pflicht, Boni'!$A$9:$D$94,3,FALSE),0)</f>
        <v>0</v>
      </c>
      <c r="E163" s="95">
        <f>_xlfn.IFNA(VLOOKUP(A163,'Anlage 1b_Abzüge, Pflicht, Boni'!$A$9:$D$94,4,FALSE),0)</f>
        <v>0</v>
      </c>
      <c r="F163" s="95">
        <f t="shared" si="11"/>
        <v>28379.399999999994</v>
      </c>
      <c r="G163" s="95">
        <f>SUMIFS('Anlage 1c_Korrekturen_NB'!$L$11:$L$78,'Anlage 1c_Korrekturen_NB'!$A$11:$A$78,'Anlage 3a_Zusammenfassung_KWKG'!$A163)</f>
        <v>0</v>
      </c>
      <c r="H163" s="144">
        <f>SUMIFS('Anlage 1c_Korrekturen_NB'!$D$610:$D$676,'Anlage 1c_Korrekturen_NB'!$A$610:$A$676,'Anlage 3a_Zusammenfassung_KWKG'!$A163)</f>
        <v>0</v>
      </c>
      <c r="I163" s="1091">
        <f t="shared" si="9"/>
        <v>0</v>
      </c>
      <c r="J163" s="98"/>
      <c r="K163" s="12"/>
      <c r="L163" s="12"/>
    </row>
    <row r="164" spans="1:12" hidden="1" outlineLevel="1">
      <c r="A164" s="454" t="s">
        <v>398</v>
      </c>
      <c r="B164" s="544">
        <f>VLOOKUP($A164,'Anlage 1a_Zuschlagszahlungen_NB'!$A$868:$E$1595,5,0)</f>
        <v>62958.06</v>
      </c>
      <c r="C164" s="95">
        <f>_xlfn.IFNA(VLOOKUP($A164,'Anlage 1b_Abzüge, Pflicht, Boni'!$A$9:$D$94,2,FALSE),0)</f>
        <v>-7621</v>
      </c>
      <c r="D164" s="95">
        <f>_xlfn.IFNA(VLOOKUP(A164,'Anlage 1b_Abzüge, Pflicht, Boni'!$A$9:$D$94,3,FALSE),0)</f>
        <v>0</v>
      </c>
      <c r="E164" s="95">
        <f>_xlfn.IFNA(VLOOKUP(A164,'Anlage 1b_Abzüge, Pflicht, Boni'!$A$9:$D$94,4,FALSE),0)</f>
        <v>0</v>
      </c>
      <c r="F164" s="95">
        <f t="shared" si="11"/>
        <v>55337.06</v>
      </c>
      <c r="G164" s="95">
        <f>SUMIFS('Anlage 1c_Korrekturen_NB'!$L$11:$L$78,'Anlage 1c_Korrekturen_NB'!$A$11:$A$78,'Anlage 3a_Zusammenfassung_KWKG'!$A164)</f>
        <v>0</v>
      </c>
      <c r="H164" s="144">
        <f>SUMIFS('Anlage 1c_Korrekturen_NB'!$D$610:$D$676,'Anlage 1c_Korrekturen_NB'!$A$610:$A$676,'Anlage 3a_Zusammenfassung_KWKG'!$A164)</f>
        <v>0</v>
      </c>
      <c r="I164" s="1091">
        <f t="shared" si="9"/>
        <v>0</v>
      </c>
      <c r="J164" s="98"/>
      <c r="K164" s="12"/>
      <c r="L164" s="12"/>
    </row>
    <row r="165" spans="1:12" hidden="1" outlineLevel="1">
      <c r="A165" s="454" t="s">
        <v>400</v>
      </c>
      <c r="B165" s="544">
        <f>VLOOKUP($A165,'Anlage 1a_Zuschlagszahlungen_NB'!$A$868:$E$1595,5,0)</f>
        <v>89850.28</v>
      </c>
      <c r="C165" s="95">
        <f>_xlfn.IFNA(VLOOKUP($A165,'Anlage 1b_Abzüge, Pflicht, Boni'!$A$9:$D$94,2,FALSE),0)</f>
        <v>0</v>
      </c>
      <c r="D165" s="95">
        <f>_xlfn.IFNA(VLOOKUP(A165,'Anlage 1b_Abzüge, Pflicht, Boni'!$A$9:$D$94,3,FALSE),0)</f>
        <v>0</v>
      </c>
      <c r="E165" s="95">
        <f>_xlfn.IFNA(VLOOKUP(A165,'Anlage 1b_Abzüge, Pflicht, Boni'!$A$9:$D$94,4,FALSE),0)</f>
        <v>0</v>
      </c>
      <c r="F165" s="95">
        <f t="shared" si="11"/>
        <v>89850.28</v>
      </c>
      <c r="G165" s="95">
        <f>SUMIFS('Anlage 1c_Korrekturen_NB'!$L$11:$L$78,'Anlage 1c_Korrekturen_NB'!$A$11:$A$78,'Anlage 3a_Zusammenfassung_KWKG'!$A165)</f>
        <v>0</v>
      </c>
      <c r="H165" s="144">
        <f>SUMIFS('Anlage 1c_Korrekturen_NB'!$D$610:$D$676,'Anlage 1c_Korrekturen_NB'!$A$610:$A$676,'Anlage 3a_Zusammenfassung_KWKG'!$A165)</f>
        <v>0</v>
      </c>
      <c r="I165" s="1091">
        <f t="shared" si="9"/>
        <v>0</v>
      </c>
      <c r="J165" s="98"/>
      <c r="K165" s="12"/>
      <c r="L165" s="12"/>
    </row>
    <row r="166" spans="1:12" hidden="1" outlineLevel="1">
      <c r="A166" s="454" t="s">
        <v>402</v>
      </c>
      <c r="B166" s="544">
        <f>VLOOKUP($A166,'Anlage 1a_Zuschlagszahlungen_NB'!$A$868:$E$1595,5,0)</f>
        <v>0</v>
      </c>
      <c r="C166" s="95">
        <f>_xlfn.IFNA(VLOOKUP($A166,'Anlage 1b_Abzüge, Pflicht, Boni'!$A$9:$D$94,2,FALSE),0)</f>
        <v>0</v>
      </c>
      <c r="D166" s="95">
        <f>_xlfn.IFNA(VLOOKUP(A166,'Anlage 1b_Abzüge, Pflicht, Boni'!$A$9:$D$94,3,FALSE),0)</f>
        <v>0</v>
      </c>
      <c r="E166" s="95">
        <f>_xlfn.IFNA(VLOOKUP(A166,'Anlage 1b_Abzüge, Pflicht, Boni'!$A$9:$D$94,4,FALSE),0)</f>
        <v>0</v>
      </c>
      <c r="F166" s="95">
        <f t="shared" si="11"/>
        <v>0</v>
      </c>
      <c r="G166" s="95">
        <f>SUMIFS('Anlage 1c_Korrekturen_NB'!$L$11:$L$78,'Anlage 1c_Korrekturen_NB'!$A$11:$A$78,'Anlage 3a_Zusammenfassung_KWKG'!$A166)</f>
        <v>0</v>
      </c>
      <c r="H166" s="144">
        <f>SUMIFS('Anlage 1c_Korrekturen_NB'!$D$610:$D$676,'Anlage 1c_Korrekturen_NB'!$A$610:$A$676,'Anlage 3a_Zusammenfassung_KWKG'!$A166)</f>
        <v>0</v>
      </c>
      <c r="I166" s="1091">
        <f t="shared" si="9"/>
        <v>0</v>
      </c>
      <c r="J166" s="98"/>
      <c r="K166" s="12"/>
      <c r="L166" s="12"/>
    </row>
    <row r="167" spans="1:12" collapsed="1">
      <c r="A167" s="418" t="s">
        <v>404</v>
      </c>
      <c r="B167" s="793">
        <f t="shared" ref="B167:H167" si="12">SUM(B168:B404)</f>
        <v>253127861.23000011</v>
      </c>
      <c r="C167" s="94">
        <f t="shared" si="12"/>
        <v>-1208139.6100000001</v>
      </c>
      <c r="D167" s="94">
        <f t="shared" si="12"/>
        <v>3860.5</v>
      </c>
      <c r="E167" s="94">
        <f t="shared" si="12"/>
        <v>0</v>
      </c>
      <c r="F167" s="94">
        <f t="shared" si="12"/>
        <v>251923582.12000009</v>
      </c>
      <c r="G167" s="94">
        <f t="shared" si="12"/>
        <v>16196662.950000007</v>
      </c>
      <c r="H167" s="144">
        <f t="shared" si="12"/>
        <v>-1706.12</v>
      </c>
      <c r="I167" s="748">
        <f>F167+G167+H167</f>
        <v>268118538.95000011</v>
      </c>
      <c r="J167" s="20"/>
    </row>
    <row r="168" spans="1:12" hidden="1" outlineLevel="1">
      <c r="A168" s="418" t="s">
        <v>405</v>
      </c>
      <c r="B168" s="544">
        <v>50583.34</v>
      </c>
      <c r="C168" s="95">
        <f>_xlfn.IFNA(VLOOKUP($A168,'Anlage 1b_Abzüge, Pflicht, Boni'!$A$30:$D$60,2,FALSE),0)</f>
        <v>0</v>
      </c>
      <c r="D168" s="95">
        <f>_xlfn.IFNA(VLOOKUP(A168,'Anlage 1b_Abzüge, Pflicht, Boni'!$A$9:$D$94,3,FALSE),0)</f>
        <v>0</v>
      </c>
      <c r="E168" s="95">
        <f>_xlfn.IFNA(VLOOKUP(A168,'Anlage 1b_Abzüge, Pflicht, Boni'!$A$30:$D$58,4,FALSE),0)</f>
        <v>0</v>
      </c>
      <c r="F168" s="95">
        <f t="shared" ref="F168" si="13">SUM(B168:E168)</f>
        <v>50583.34</v>
      </c>
      <c r="G168" s="95">
        <f>SUMIFS('Anlage 1c_Korrekturen_NB'!$L$80:$L$314,'Anlage 1c_Korrekturen_NB'!$A$80:$A$314,'Anlage 3a_Zusammenfassung_KWKG'!$A168)</f>
        <v>25666.48</v>
      </c>
      <c r="H168" s="747">
        <f>_xlfn.IFNA(VLOOKUP(A168,'Anlage 1c_Korrekturen_NB'!$A$678:$D$680,4,FALSE),0)</f>
        <v>-1200</v>
      </c>
      <c r="I168" s="748">
        <f t="shared" ref="I168:I231" si="14">G168+H168</f>
        <v>24466.48</v>
      </c>
      <c r="J168" s="20"/>
    </row>
    <row r="169" spans="1:12" hidden="1" outlineLevel="1">
      <c r="A169" s="418" t="s">
        <v>86</v>
      </c>
      <c r="B169" s="544">
        <v>152863.07</v>
      </c>
      <c r="C169" s="95">
        <f>_xlfn.IFNA(VLOOKUP($A169,'Anlage 1b_Abzüge, Pflicht, Boni'!$A$30:$D$60,2,FALSE),0)</f>
        <v>0</v>
      </c>
      <c r="D169" s="95">
        <f>_xlfn.IFNA(VLOOKUP(A169,'Anlage 1b_Abzüge, Pflicht, Boni'!$A$9:$D$94,3,FALSE),0)</f>
        <v>0</v>
      </c>
      <c r="E169" s="95">
        <f>_xlfn.IFNA(VLOOKUP(A169,'Anlage 1b_Abzüge, Pflicht, Boni'!$A$30:$D$58,4,FALSE),0)</f>
        <v>0</v>
      </c>
      <c r="F169" s="95">
        <f t="shared" ref="F169:F232" si="15">SUM(B169:E169)</f>
        <v>152863.07</v>
      </c>
      <c r="G169" s="95">
        <f>SUMIFS('Anlage 1c_Korrekturen_NB'!$L$80:$L$314,'Anlage 1c_Korrekturen_NB'!$A$80:$A$314,'Anlage 3a_Zusammenfassung_KWKG'!$A169)</f>
        <v>0</v>
      </c>
      <c r="H169" s="747">
        <f>_xlfn.IFNA(VLOOKUP(A169,'Anlage 1c_Korrekturen_NB'!$A$678:$D$680,4,FALSE),0)</f>
        <v>0</v>
      </c>
      <c r="I169" s="748">
        <f t="shared" si="14"/>
        <v>0</v>
      </c>
      <c r="J169" s="20"/>
    </row>
    <row r="170" spans="1:12" hidden="1" outlineLevel="1">
      <c r="A170" s="418" t="s">
        <v>407</v>
      </c>
      <c r="B170" s="544">
        <v>141818.6</v>
      </c>
      <c r="C170" s="95">
        <f>_xlfn.IFNA(VLOOKUP($A170,'Anlage 1b_Abzüge, Pflicht, Boni'!$A$30:$D$60,2,FALSE),0)</f>
        <v>0</v>
      </c>
      <c r="D170" s="95">
        <f>_xlfn.IFNA(VLOOKUP(A170,'Anlage 1b_Abzüge, Pflicht, Boni'!$A$9:$D$94,3,FALSE),0)</f>
        <v>0</v>
      </c>
      <c r="E170" s="95">
        <f>_xlfn.IFNA(VLOOKUP(A170,'Anlage 1b_Abzüge, Pflicht, Boni'!$A$30:$D$58,4,FALSE),0)</f>
        <v>0</v>
      </c>
      <c r="F170" s="95">
        <f t="shared" si="15"/>
        <v>141818.6</v>
      </c>
      <c r="G170" s="95">
        <f>SUMIFS('Anlage 1c_Korrekturen_NB'!$L$80:$L$314,'Anlage 1c_Korrekturen_NB'!$A$80:$A$314,'Anlage 3a_Zusammenfassung_KWKG'!$A170)</f>
        <v>-5307.75</v>
      </c>
      <c r="H170" s="747">
        <f>_xlfn.IFNA(VLOOKUP(A170,'Anlage 1c_Korrekturen_NB'!$A$678:$D$680,4,FALSE),0)</f>
        <v>0</v>
      </c>
      <c r="I170" s="748">
        <f t="shared" si="14"/>
        <v>-5307.75</v>
      </c>
      <c r="J170" s="20"/>
    </row>
    <row r="171" spans="1:12" hidden="1" outlineLevel="1">
      <c r="A171" s="418" t="s">
        <v>409</v>
      </c>
      <c r="B171" s="544">
        <v>245943.05</v>
      </c>
      <c r="C171" s="95">
        <f>_xlfn.IFNA(VLOOKUP($A171,'Anlage 1b_Abzüge, Pflicht, Boni'!$A$30:$D$60,2,FALSE),0)</f>
        <v>-1052.83</v>
      </c>
      <c r="D171" s="95">
        <f>_xlfn.IFNA(VLOOKUP(A171,'Anlage 1b_Abzüge, Pflicht, Boni'!$A$9:$D$94,3,FALSE),0)</f>
        <v>0</v>
      </c>
      <c r="E171" s="95">
        <f>_xlfn.IFNA(VLOOKUP(A171,'Anlage 1b_Abzüge, Pflicht, Boni'!$A$30:$D$58,4,FALSE),0)</f>
        <v>0</v>
      </c>
      <c r="F171" s="95">
        <f t="shared" si="15"/>
        <v>244890.22</v>
      </c>
      <c r="G171" s="95">
        <f>SUMIFS('Anlage 1c_Korrekturen_NB'!$L$80:$L$314,'Anlage 1c_Korrekturen_NB'!$A$80:$A$314,'Anlage 3a_Zusammenfassung_KWKG'!$A171)</f>
        <v>0</v>
      </c>
      <c r="H171" s="747">
        <f>_xlfn.IFNA(VLOOKUP(A171,'Anlage 1c_Korrekturen_NB'!$A$678:$D$680,4,FALSE),0)</f>
        <v>0</v>
      </c>
      <c r="I171" s="748">
        <f t="shared" si="14"/>
        <v>0</v>
      </c>
      <c r="J171" s="20"/>
    </row>
    <row r="172" spans="1:12" hidden="1" outlineLevel="1">
      <c r="A172" s="418" t="s">
        <v>411</v>
      </c>
      <c r="B172" s="544">
        <v>873131.26</v>
      </c>
      <c r="C172" s="95">
        <f>_xlfn.IFNA(VLOOKUP($A172,'Anlage 1b_Abzüge, Pflicht, Boni'!$A$30:$D$60,2,FALSE),0)</f>
        <v>-1107.77</v>
      </c>
      <c r="D172" s="95">
        <f>_xlfn.IFNA(VLOOKUP(A172,'Anlage 1b_Abzüge, Pflicht, Boni'!$A$9:$D$94,3,FALSE),0)</f>
        <v>0</v>
      </c>
      <c r="E172" s="95">
        <f>_xlfn.IFNA(VLOOKUP(A172,'Anlage 1b_Abzüge, Pflicht, Boni'!$A$30:$D$58,4,FALSE),0)</f>
        <v>0</v>
      </c>
      <c r="F172" s="95">
        <f t="shared" si="15"/>
        <v>872023.49</v>
      </c>
      <c r="G172" s="95">
        <f>SUMIFS('Anlage 1c_Korrekturen_NB'!$L$80:$L$314,'Anlage 1c_Korrekturen_NB'!$A$80:$A$314,'Anlage 3a_Zusammenfassung_KWKG'!$A172)</f>
        <v>94223.64</v>
      </c>
      <c r="H172" s="747">
        <f>_xlfn.IFNA(VLOOKUP(A172,'Anlage 1c_Korrekturen_NB'!$A$678:$D$680,4,FALSE),0)</f>
        <v>0</v>
      </c>
      <c r="I172" s="748">
        <f t="shared" si="14"/>
        <v>94223.64</v>
      </c>
      <c r="J172" s="20"/>
    </row>
    <row r="173" spans="1:12" hidden="1" outlineLevel="1">
      <c r="A173" s="418" t="s">
        <v>413</v>
      </c>
      <c r="B173" s="544">
        <v>525231.26</v>
      </c>
      <c r="C173" s="95">
        <f>_xlfn.IFNA(VLOOKUP($A173,'Anlage 1b_Abzüge, Pflicht, Boni'!$A$30:$D$60,2,FALSE),0)</f>
        <v>-139.97</v>
      </c>
      <c r="D173" s="95">
        <f>_xlfn.IFNA(VLOOKUP(A173,'Anlage 1b_Abzüge, Pflicht, Boni'!$A$9:$D$94,3,FALSE),0)</f>
        <v>0</v>
      </c>
      <c r="E173" s="95">
        <f>_xlfn.IFNA(VLOOKUP(A173,'Anlage 1b_Abzüge, Pflicht, Boni'!$A$30:$D$58,4,FALSE),0)</f>
        <v>0</v>
      </c>
      <c r="F173" s="95">
        <f t="shared" si="15"/>
        <v>525091.29</v>
      </c>
      <c r="G173" s="95">
        <f>SUMIFS('Anlage 1c_Korrekturen_NB'!$L$80:$L$314,'Anlage 1c_Korrekturen_NB'!$A$80:$A$314,'Anlage 3a_Zusammenfassung_KWKG'!$A173)</f>
        <v>-2720.1099999999997</v>
      </c>
      <c r="H173" s="747">
        <f>_xlfn.IFNA(VLOOKUP(A173,'Anlage 1c_Korrekturen_NB'!$A$678:$D$680,4,FALSE),0)</f>
        <v>0</v>
      </c>
      <c r="I173" s="748">
        <f t="shared" si="14"/>
        <v>-2720.1099999999997</v>
      </c>
      <c r="J173" s="20"/>
    </row>
    <row r="174" spans="1:12" hidden="1" outlineLevel="1">
      <c r="A174" s="418" t="s">
        <v>415</v>
      </c>
      <c r="B174" s="544">
        <v>191016.65</v>
      </c>
      <c r="C174" s="95">
        <f>_xlfn.IFNA(VLOOKUP($A174,'Anlage 1b_Abzüge, Pflicht, Boni'!$A$30:$D$60,2,FALSE),0)</f>
        <v>0</v>
      </c>
      <c r="D174" s="95">
        <f>_xlfn.IFNA(VLOOKUP(A174,'Anlage 1b_Abzüge, Pflicht, Boni'!$A$9:$D$94,3,FALSE),0)</f>
        <v>0</v>
      </c>
      <c r="E174" s="95">
        <f>_xlfn.IFNA(VLOOKUP(A174,'Anlage 1b_Abzüge, Pflicht, Boni'!$A$30:$D$58,4,FALSE),0)</f>
        <v>0</v>
      </c>
      <c r="F174" s="95">
        <f t="shared" si="15"/>
        <v>191016.65</v>
      </c>
      <c r="G174" s="95">
        <f>SUMIFS('Anlage 1c_Korrekturen_NB'!$L$80:$L$314,'Anlage 1c_Korrekturen_NB'!$A$80:$A$314,'Anlage 3a_Zusammenfassung_KWKG'!$A174)</f>
        <v>30216.49</v>
      </c>
      <c r="H174" s="747">
        <f>_xlfn.IFNA(VLOOKUP(A174,'Anlage 1c_Korrekturen_NB'!$A$678:$D$680,4,FALSE),0)</f>
        <v>0</v>
      </c>
      <c r="I174" s="748">
        <f t="shared" si="14"/>
        <v>30216.49</v>
      </c>
      <c r="J174" s="20"/>
    </row>
    <row r="175" spans="1:12" hidden="1" outlineLevel="1">
      <c r="A175" s="418" t="s">
        <v>417</v>
      </c>
      <c r="B175" s="544">
        <v>4324852.16</v>
      </c>
      <c r="C175" s="95">
        <f>_xlfn.IFNA(VLOOKUP($A175,'Anlage 1b_Abzüge, Pflicht, Boni'!$A$30:$D$60,2,FALSE),0)</f>
        <v>-11507.46</v>
      </c>
      <c r="D175" s="95">
        <f>_xlfn.IFNA(VLOOKUP(A175,'Anlage 1b_Abzüge, Pflicht, Boni'!$A$9:$D$94,3,FALSE),0)</f>
        <v>0</v>
      </c>
      <c r="E175" s="95">
        <f>_xlfn.IFNA(VLOOKUP(A175,'Anlage 1b_Abzüge, Pflicht, Boni'!$A$30:$D$58,4,FALSE),0)</f>
        <v>0</v>
      </c>
      <c r="F175" s="95">
        <f t="shared" si="15"/>
        <v>4313344.7</v>
      </c>
      <c r="G175" s="95">
        <f>SUMIFS('Anlage 1c_Korrekturen_NB'!$L$80:$L$314,'Anlage 1c_Korrekturen_NB'!$A$80:$A$314,'Anlage 3a_Zusammenfassung_KWKG'!$A175)</f>
        <v>768211.32</v>
      </c>
      <c r="H175" s="747">
        <f>_xlfn.IFNA(VLOOKUP(A175,'Anlage 1c_Korrekturen_NB'!$A$678:$D$680,4,FALSE),0)</f>
        <v>0</v>
      </c>
      <c r="I175" s="748">
        <f t="shared" si="14"/>
        <v>768211.32</v>
      </c>
      <c r="J175" s="20"/>
    </row>
    <row r="176" spans="1:12" hidden="1" outlineLevel="1">
      <c r="A176" s="418" t="s">
        <v>419</v>
      </c>
      <c r="B176" s="544">
        <v>4158370.99</v>
      </c>
      <c r="C176" s="95">
        <f>_xlfn.IFNA(VLOOKUP($A176,'Anlage 1b_Abzüge, Pflicht, Boni'!$A$30:$D$60,2,FALSE),0)</f>
        <v>-879246.98</v>
      </c>
      <c r="D176" s="95">
        <f>_xlfn.IFNA(VLOOKUP(A176,'Anlage 1b_Abzüge, Pflicht, Boni'!$A$9:$D$94,3,FALSE),0)</f>
        <v>0</v>
      </c>
      <c r="E176" s="95">
        <f>_xlfn.IFNA(VLOOKUP(A176,'Anlage 1b_Abzüge, Pflicht, Boni'!$A$30:$D$58,4,FALSE),0)</f>
        <v>0</v>
      </c>
      <c r="F176" s="95">
        <f t="shared" si="15"/>
        <v>3279124.0100000002</v>
      </c>
      <c r="G176" s="95">
        <f>SUMIFS('Anlage 1c_Korrekturen_NB'!$L$80:$L$314,'Anlage 1c_Korrekturen_NB'!$A$80:$A$314,'Anlage 3a_Zusammenfassung_KWKG'!$A176)</f>
        <v>42501.75</v>
      </c>
      <c r="H176" s="747">
        <f>_xlfn.IFNA(VLOOKUP(A176,'Anlage 1c_Korrekturen_NB'!$A$678:$D$680,4,FALSE),0)</f>
        <v>0</v>
      </c>
      <c r="I176" s="748">
        <f t="shared" si="14"/>
        <v>42501.75</v>
      </c>
      <c r="J176" s="20"/>
    </row>
    <row r="177" spans="1:10" hidden="1" outlineLevel="1">
      <c r="A177" s="418" t="s">
        <v>421</v>
      </c>
      <c r="B177" s="544">
        <v>44081.49</v>
      </c>
      <c r="C177" s="95">
        <f>_xlfn.IFNA(VLOOKUP($A177,'Anlage 1b_Abzüge, Pflicht, Boni'!$A$30:$D$60,2,FALSE),0)</f>
        <v>0</v>
      </c>
      <c r="D177" s="95">
        <f>_xlfn.IFNA(VLOOKUP(A177,'Anlage 1b_Abzüge, Pflicht, Boni'!$A$9:$D$94,3,FALSE),0)</f>
        <v>0</v>
      </c>
      <c r="E177" s="95">
        <f>_xlfn.IFNA(VLOOKUP(A177,'Anlage 1b_Abzüge, Pflicht, Boni'!$A$30:$D$58,4,FALSE),0)</f>
        <v>0</v>
      </c>
      <c r="F177" s="95">
        <f t="shared" si="15"/>
        <v>44081.49</v>
      </c>
      <c r="G177" s="95">
        <f>SUMIFS('Anlage 1c_Korrekturen_NB'!$L$80:$L$314,'Anlage 1c_Korrekturen_NB'!$A$80:$A$314,'Anlage 3a_Zusammenfassung_KWKG'!$A177)</f>
        <v>0</v>
      </c>
      <c r="H177" s="747">
        <f>_xlfn.IFNA(VLOOKUP(A177,'Anlage 1c_Korrekturen_NB'!$A$678:$D$680,4,FALSE),0)</f>
        <v>0</v>
      </c>
      <c r="I177" s="748">
        <f t="shared" si="14"/>
        <v>0</v>
      </c>
      <c r="J177" s="20"/>
    </row>
    <row r="178" spans="1:10" hidden="1" outlineLevel="1">
      <c r="A178" s="418" t="s">
        <v>423</v>
      </c>
      <c r="B178" s="544">
        <v>318166.24000000005</v>
      </c>
      <c r="C178" s="95">
        <f>_xlfn.IFNA(VLOOKUP($A178,'Anlage 1b_Abzüge, Pflicht, Boni'!$A$30:$D$60,2,FALSE),0)</f>
        <v>0</v>
      </c>
      <c r="D178" s="95">
        <f>_xlfn.IFNA(VLOOKUP(A178,'Anlage 1b_Abzüge, Pflicht, Boni'!$A$9:$D$94,3,FALSE),0)</f>
        <v>0</v>
      </c>
      <c r="E178" s="95">
        <f>_xlfn.IFNA(VLOOKUP(A178,'Anlage 1b_Abzüge, Pflicht, Boni'!$A$30:$D$58,4,FALSE),0)</f>
        <v>0</v>
      </c>
      <c r="F178" s="95">
        <f t="shared" si="15"/>
        <v>318166.24000000005</v>
      </c>
      <c r="G178" s="95">
        <f>SUMIFS('Anlage 1c_Korrekturen_NB'!$L$80:$L$314,'Anlage 1c_Korrekturen_NB'!$A$80:$A$314,'Anlage 3a_Zusammenfassung_KWKG'!$A178)</f>
        <v>3870.67</v>
      </c>
      <c r="H178" s="747">
        <f>_xlfn.IFNA(VLOOKUP(A178,'Anlage 1c_Korrekturen_NB'!$A$678:$D$680,4,FALSE),0)</f>
        <v>0</v>
      </c>
      <c r="I178" s="748">
        <f t="shared" si="14"/>
        <v>3870.67</v>
      </c>
      <c r="J178" s="20"/>
    </row>
    <row r="179" spans="1:10" hidden="1" outlineLevel="1">
      <c r="A179" s="418" t="s">
        <v>425</v>
      </c>
      <c r="B179" s="544">
        <v>559787.39</v>
      </c>
      <c r="C179" s="95">
        <f>_xlfn.IFNA(VLOOKUP($A179,'Anlage 1b_Abzüge, Pflicht, Boni'!$A$30:$D$60,2,FALSE),0)</f>
        <v>0</v>
      </c>
      <c r="D179" s="95">
        <f>_xlfn.IFNA(VLOOKUP(A179,'Anlage 1b_Abzüge, Pflicht, Boni'!$A$9:$D$94,3,FALSE),0)</f>
        <v>0</v>
      </c>
      <c r="E179" s="95">
        <f>_xlfn.IFNA(VLOOKUP(A179,'Anlage 1b_Abzüge, Pflicht, Boni'!$A$30:$D$58,4,FALSE),0)</f>
        <v>0</v>
      </c>
      <c r="F179" s="95">
        <f t="shared" si="15"/>
        <v>559787.39</v>
      </c>
      <c r="G179" s="95">
        <f>SUMIFS('Anlage 1c_Korrekturen_NB'!$L$80:$L$314,'Anlage 1c_Korrekturen_NB'!$A$80:$A$314,'Anlage 3a_Zusammenfassung_KWKG'!$A179)</f>
        <v>986.88</v>
      </c>
      <c r="H179" s="747">
        <f>_xlfn.IFNA(VLOOKUP(A179,'Anlage 1c_Korrekturen_NB'!$A$678:$D$680,4,FALSE),0)</f>
        <v>0</v>
      </c>
      <c r="I179" s="748">
        <f t="shared" si="14"/>
        <v>986.88</v>
      </c>
      <c r="J179" s="20"/>
    </row>
    <row r="180" spans="1:10" hidden="1" outlineLevel="1">
      <c r="A180" s="418" t="s">
        <v>427</v>
      </c>
      <c r="B180" s="544">
        <v>93188.650000000009</v>
      </c>
      <c r="C180" s="95">
        <f>_xlfn.IFNA(VLOOKUP($A180,'Anlage 1b_Abzüge, Pflicht, Boni'!$A$30:$D$60,2,FALSE),0)</f>
        <v>0</v>
      </c>
      <c r="D180" s="95">
        <f>_xlfn.IFNA(VLOOKUP(A180,'Anlage 1b_Abzüge, Pflicht, Boni'!$A$9:$D$94,3,FALSE),0)</f>
        <v>0</v>
      </c>
      <c r="E180" s="95">
        <f>_xlfn.IFNA(VLOOKUP(A180,'Anlage 1b_Abzüge, Pflicht, Boni'!$A$30:$D$58,4,FALSE),0)</f>
        <v>0</v>
      </c>
      <c r="F180" s="95">
        <f t="shared" si="15"/>
        <v>93188.650000000009</v>
      </c>
      <c r="G180" s="95">
        <f>SUMIFS('Anlage 1c_Korrekturen_NB'!$L$80:$L$314,'Anlage 1c_Korrekturen_NB'!$A$80:$A$314,'Anlage 3a_Zusammenfassung_KWKG'!$A180)</f>
        <v>0</v>
      </c>
      <c r="H180" s="747">
        <f>_xlfn.IFNA(VLOOKUP(A180,'Anlage 1c_Korrekturen_NB'!$A$678:$D$680,4,FALSE),0)</f>
        <v>0</v>
      </c>
      <c r="I180" s="748">
        <f t="shared" si="14"/>
        <v>0</v>
      </c>
      <c r="J180" s="20"/>
    </row>
    <row r="181" spans="1:10" hidden="1" outlineLevel="1">
      <c r="A181" s="418" t="s">
        <v>429</v>
      </c>
      <c r="B181" s="544">
        <v>48800.49</v>
      </c>
      <c r="C181" s="95">
        <f>_xlfn.IFNA(VLOOKUP($A181,'Anlage 1b_Abzüge, Pflicht, Boni'!$A$30:$D$60,2,FALSE),0)</f>
        <v>0</v>
      </c>
      <c r="D181" s="95">
        <f>_xlfn.IFNA(VLOOKUP(A181,'Anlage 1b_Abzüge, Pflicht, Boni'!$A$9:$D$94,3,FALSE),0)</f>
        <v>0</v>
      </c>
      <c r="E181" s="95">
        <f>_xlfn.IFNA(VLOOKUP(A181,'Anlage 1b_Abzüge, Pflicht, Boni'!$A$30:$D$58,4,FALSE),0)</f>
        <v>0</v>
      </c>
      <c r="F181" s="95">
        <f t="shared" si="15"/>
        <v>48800.49</v>
      </c>
      <c r="G181" s="95">
        <f>SUMIFS('Anlage 1c_Korrekturen_NB'!$L$80:$L$314,'Anlage 1c_Korrekturen_NB'!$A$80:$A$314,'Anlage 3a_Zusammenfassung_KWKG'!$A181)</f>
        <v>0</v>
      </c>
      <c r="H181" s="747">
        <f>_xlfn.IFNA(VLOOKUP(A181,'Anlage 1c_Korrekturen_NB'!$A$678:$D$680,4,FALSE),0)</f>
        <v>0</v>
      </c>
      <c r="I181" s="748">
        <f t="shared" si="14"/>
        <v>0</v>
      </c>
      <c r="J181" s="20"/>
    </row>
    <row r="182" spans="1:10" hidden="1" outlineLevel="1">
      <c r="A182" s="418" t="s">
        <v>431</v>
      </c>
      <c r="B182" s="544">
        <v>1861.18</v>
      </c>
      <c r="C182" s="95">
        <f>_xlfn.IFNA(VLOOKUP($A182,'Anlage 1b_Abzüge, Pflicht, Boni'!$A$30:$D$60,2,FALSE),0)</f>
        <v>0</v>
      </c>
      <c r="D182" s="95">
        <f>_xlfn.IFNA(VLOOKUP(A182,'Anlage 1b_Abzüge, Pflicht, Boni'!$A$9:$D$94,3,FALSE),0)</f>
        <v>0</v>
      </c>
      <c r="E182" s="95">
        <f>_xlfn.IFNA(VLOOKUP(A182,'Anlage 1b_Abzüge, Pflicht, Boni'!$A$30:$D$58,4,FALSE),0)</f>
        <v>0</v>
      </c>
      <c r="F182" s="95">
        <f t="shared" si="15"/>
        <v>1861.18</v>
      </c>
      <c r="G182" s="95">
        <f>SUMIFS('Anlage 1c_Korrekturen_NB'!$L$80:$L$314,'Anlage 1c_Korrekturen_NB'!$A$80:$A$314,'Anlage 3a_Zusammenfassung_KWKG'!$A182)</f>
        <v>0</v>
      </c>
      <c r="H182" s="747">
        <f>_xlfn.IFNA(VLOOKUP(A182,'Anlage 1c_Korrekturen_NB'!$A$678:$D$680,4,FALSE),0)</f>
        <v>0</v>
      </c>
      <c r="I182" s="748">
        <f t="shared" si="14"/>
        <v>0</v>
      </c>
      <c r="J182" s="20"/>
    </row>
    <row r="183" spans="1:10" hidden="1" outlineLevel="1">
      <c r="A183" s="418" t="s">
        <v>433</v>
      </c>
      <c r="B183" s="544">
        <v>934884.57</v>
      </c>
      <c r="C183" s="95">
        <f>_xlfn.IFNA(VLOOKUP($A183,'Anlage 1b_Abzüge, Pflicht, Boni'!$A$30:$D$60,2,FALSE),0)</f>
        <v>0</v>
      </c>
      <c r="D183" s="95">
        <f>_xlfn.IFNA(VLOOKUP(A183,'Anlage 1b_Abzüge, Pflicht, Boni'!$A$9:$D$94,3,FALSE),0)</f>
        <v>0</v>
      </c>
      <c r="E183" s="95">
        <f>_xlfn.IFNA(VLOOKUP(A183,'Anlage 1b_Abzüge, Pflicht, Boni'!$A$30:$D$58,4,FALSE),0)</f>
        <v>0</v>
      </c>
      <c r="F183" s="95">
        <f t="shared" si="15"/>
        <v>934884.57</v>
      </c>
      <c r="G183" s="95">
        <f>SUMIFS('Anlage 1c_Korrekturen_NB'!$L$80:$L$314,'Anlage 1c_Korrekturen_NB'!$A$80:$A$314,'Anlage 3a_Zusammenfassung_KWKG'!$A183)</f>
        <v>28857</v>
      </c>
      <c r="H183" s="747">
        <f>_xlfn.IFNA(VLOOKUP(A183,'Anlage 1c_Korrekturen_NB'!$A$678:$D$680,4,FALSE),0)</f>
        <v>0</v>
      </c>
      <c r="I183" s="748">
        <f t="shared" si="14"/>
        <v>28857</v>
      </c>
      <c r="J183" s="20"/>
    </row>
    <row r="184" spans="1:10" hidden="1" outlineLevel="1">
      <c r="A184" s="418" t="s">
        <v>435</v>
      </c>
      <c r="B184" s="544">
        <v>140051.55000000002</v>
      </c>
      <c r="C184" s="95">
        <f>_xlfn.IFNA(VLOOKUP($A184,'Anlage 1b_Abzüge, Pflicht, Boni'!$A$30:$D$60,2,FALSE),0)</f>
        <v>0</v>
      </c>
      <c r="D184" s="95">
        <f>_xlfn.IFNA(VLOOKUP(A184,'Anlage 1b_Abzüge, Pflicht, Boni'!$A$9:$D$94,3,FALSE),0)</f>
        <v>0</v>
      </c>
      <c r="E184" s="95">
        <f>_xlfn.IFNA(VLOOKUP(A184,'Anlage 1b_Abzüge, Pflicht, Boni'!$A$30:$D$58,4,FALSE),0)</f>
        <v>0</v>
      </c>
      <c r="F184" s="95">
        <f t="shared" si="15"/>
        <v>140051.55000000002</v>
      </c>
      <c r="G184" s="95">
        <f>SUMIFS('Anlage 1c_Korrekturen_NB'!$L$80:$L$314,'Anlage 1c_Korrekturen_NB'!$A$80:$A$314,'Anlage 3a_Zusammenfassung_KWKG'!$A184)</f>
        <v>953.25</v>
      </c>
      <c r="H184" s="747">
        <f>_xlfn.IFNA(VLOOKUP(A184,'Anlage 1c_Korrekturen_NB'!$A$678:$D$680,4,FALSE),0)</f>
        <v>0</v>
      </c>
      <c r="I184" s="748">
        <f t="shared" si="14"/>
        <v>953.25</v>
      </c>
      <c r="J184" s="20"/>
    </row>
    <row r="185" spans="1:10" hidden="1" outlineLevel="1">
      <c r="A185" s="418" t="s">
        <v>437</v>
      </c>
      <c r="B185" s="544">
        <v>240461.86</v>
      </c>
      <c r="C185" s="95">
        <f>_xlfn.IFNA(VLOOKUP($A185,'Anlage 1b_Abzüge, Pflicht, Boni'!$A$30:$D$60,2,FALSE),0)</f>
        <v>0</v>
      </c>
      <c r="D185" s="95">
        <f>_xlfn.IFNA(VLOOKUP(A185,'Anlage 1b_Abzüge, Pflicht, Boni'!$A$9:$D$94,3,FALSE),0)</f>
        <v>0</v>
      </c>
      <c r="E185" s="95">
        <f>_xlfn.IFNA(VLOOKUP(A185,'Anlage 1b_Abzüge, Pflicht, Boni'!$A$30:$D$58,4,FALSE),0)</f>
        <v>0</v>
      </c>
      <c r="F185" s="95">
        <f t="shared" si="15"/>
        <v>240461.86</v>
      </c>
      <c r="G185" s="95">
        <f>SUMIFS('Anlage 1c_Korrekturen_NB'!$L$80:$L$314,'Anlage 1c_Korrekturen_NB'!$A$80:$A$314,'Anlage 3a_Zusammenfassung_KWKG'!$A185)</f>
        <v>324.76</v>
      </c>
      <c r="H185" s="747">
        <f>_xlfn.IFNA(VLOOKUP(A185,'Anlage 1c_Korrekturen_NB'!$A$678:$D$680,4,FALSE),0)</f>
        <v>0</v>
      </c>
      <c r="I185" s="748">
        <f t="shared" si="14"/>
        <v>324.76</v>
      </c>
      <c r="J185" s="20"/>
    </row>
    <row r="186" spans="1:10" hidden="1" outlineLevel="1">
      <c r="A186" s="418" t="s">
        <v>439</v>
      </c>
      <c r="B186" s="544">
        <v>1800</v>
      </c>
      <c r="C186" s="95">
        <f>_xlfn.IFNA(VLOOKUP($A186,'Anlage 1b_Abzüge, Pflicht, Boni'!$A$30:$D$60,2,FALSE),0)</f>
        <v>0</v>
      </c>
      <c r="D186" s="95">
        <f>_xlfn.IFNA(VLOOKUP(A186,'Anlage 1b_Abzüge, Pflicht, Boni'!$A$9:$D$94,3,FALSE),0)</f>
        <v>0</v>
      </c>
      <c r="E186" s="95">
        <f>_xlfn.IFNA(VLOOKUP(A186,'Anlage 1b_Abzüge, Pflicht, Boni'!$A$30:$D$58,4,FALSE),0)</f>
        <v>0</v>
      </c>
      <c r="F186" s="95">
        <f t="shared" si="15"/>
        <v>1800</v>
      </c>
      <c r="G186" s="95">
        <f>SUMIFS('Anlage 1c_Korrekturen_NB'!$L$80:$L$314,'Anlage 1c_Korrekturen_NB'!$A$80:$A$314,'Anlage 3a_Zusammenfassung_KWKG'!$A186)</f>
        <v>0</v>
      </c>
      <c r="H186" s="747">
        <f>_xlfn.IFNA(VLOOKUP(A186,'Anlage 1c_Korrekturen_NB'!$A$678:$D$680,4,FALSE),0)</f>
        <v>0</v>
      </c>
      <c r="I186" s="748">
        <f t="shared" si="14"/>
        <v>0</v>
      </c>
      <c r="J186" s="20"/>
    </row>
    <row r="187" spans="1:10" hidden="1" outlineLevel="1">
      <c r="A187" s="418" t="s">
        <v>441</v>
      </c>
      <c r="B187" s="544">
        <v>5125078.1100000003</v>
      </c>
      <c r="C187" s="95">
        <f>_xlfn.IFNA(VLOOKUP($A187,'Anlage 1b_Abzüge, Pflicht, Boni'!$A$30:$D$60,2,FALSE),0)</f>
        <v>0</v>
      </c>
      <c r="D187" s="95">
        <f>_xlfn.IFNA(VLOOKUP(A187,'Anlage 1b_Abzüge, Pflicht, Boni'!$A$9:$D$94,3,FALSE),0)</f>
        <v>0</v>
      </c>
      <c r="E187" s="95">
        <f>_xlfn.IFNA(VLOOKUP(A187,'Anlage 1b_Abzüge, Pflicht, Boni'!$A$30:$D$58,4,FALSE),0)</f>
        <v>0</v>
      </c>
      <c r="F187" s="95">
        <f t="shared" si="15"/>
        <v>5125078.1100000003</v>
      </c>
      <c r="G187" s="95">
        <f>SUMIFS('Anlage 1c_Korrekturen_NB'!$L$80:$L$314,'Anlage 1c_Korrekturen_NB'!$A$80:$A$314,'Anlage 3a_Zusammenfassung_KWKG'!$A187)</f>
        <v>1758220.33</v>
      </c>
      <c r="H187" s="747">
        <f>_xlfn.IFNA(VLOOKUP(A187,'Anlage 1c_Korrekturen_NB'!$A$678:$D$680,4,FALSE),0)</f>
        <v>0</v>
      </c>
      <c r="I187" s="748">
        <f t="shared" si="14"/>
        <v>1758220.33</v>
      </c>
      <c r="J187" s="20"/>
    </row>
    <row r="188" spans="1:10" hidden="1" outlineLevel="1">
      <c r="A188" s="418" t="s">
        <v>443</v>
      </c>
      <c r="B188" s="544">
        <v>20148.05</v>
      </c>
      <c r="C188" s="95">
        <f>_xlfn.IFNA(VLOOKUP($A188,'Anlage 1b_Abzüge, Pflicht, Boni'!$A$30:$D$60,2,FALSE),0)</f>
        <v>0</v>
      </c>
      <c r="D188" s="95">
        <f>_xlfn.IFNA(VLOOKUP(A188,'Anlage 1b_Abzüge, Pflicht, Boni'!$A$9:$D$94,3,FALSE),0)</f>
        <v>0</v>
      </c>
      <c r="E188" s="95">
        <f>_xlfn.IFNA(VLOOKUP(A188,'Anlage 1b_Abzüge, Pflicht, Boni'!$A$30:$D$58,4,FALSE),0)</f>
        <v>0</v>
      </c>
      <c r="F188" s="95">
        <f t="shared" si="15"/>
        <v>20148.05</v>
      </c>
      <c r="G188" s="95">
        <f>SUMIFS('Anlage 1c_Korrekturen_NB'!$L$80:$L$314,'Anlage 1c_Korrekturen_NB'!$A$80:$A$314,'Anlage 3a_Zusammenfassung_KWKG'!$A188)</f>
        <v>0</v>
      </c>
      <c r="H188" s="747">
        <f>_xlfn.IFNA(VLOOKUP(A188,'Anlage 1c_Korrekturen_NB'!$A$678:$D$680,4,FALSE),0)</f>
        <v>0</v>
      </c>
      <c r="I188" s="748">
        <f t="shared" si="14"/>
        <v>0</v>
      </c>
      <c r="J188" s="20"/>
    </row>
    <row r="189" spans="1:10" hidden="1" outlineLevel="1">
      <c r="A189" s="418" t="s">
        <v>445</v>
      </c>
      <c r="B189" s="544">
        <v>118653.97</v>
      </c>
      <c r="C189" s="95">
        <f>_xlfn.IFNA(VLOOKUP($A189,'Anlage 1b_Abzüge, Pflicht, Boni'!$A$30:$D$60,2,FALSE),0)</f>
        <v>0</v>
      </c>
      <c r="D189" s="95">
        <f>_xlfn.IFNA(VLOOKUP(A189,'Anlage 1b_Abzüge, Pflicht, Boni'!$A$9:$D$94,3,FALSE),0)</f>
        <v>0</v>
      </c>
      <c r="E189" s="95">
        <f>_xlfn.IFNA(VLOOKUP(A189,'Anlage 1b_Abzüge, Pflicht, Boni'!$A$30:$D$58,4,FALSE),0)</f>
        <v>0</v>
      </c>
      <c r="F189" s="95">
        <f t="shared" si="15"/>
        <v>118653.97</v>
      </c>
      <c r="G189" s="95">
        <f>SUMIFS('Anlage 1c_Korrekturen_NB'!$L$80:$L$314,'Anlage 1c_Korrekturen_NB'!$A$80:$A$314,'Anlage 3a_Zusammenfassung_KWKG'!$A189)</f>
        <v>0</v>
      </c>
      <c r="H189" s="747">
        <f>_xlfn.IFNA(VLOOKUP(A189,'Anlage 1c_Korrekturen_NB'!$A$678:$D$680,4,FALSE),0)</f>
        <v>0</v>
      </c>
      <c r="I189" s="748">
        <f t="shared" si="14"/>
        <v>0</v>
      </c>
      <c r="J189" s="20"/>
    </row>
    <row r="190" spans="1:10" hidden="1" outlineLevel="1">
      <c r="A190" s="418" t="s">
        <v>447</v>
      </c>
      <c r="B190" s="544">
        <v>32930.090000000004</v>
      </c>
      <c r="C190" s="95">
        <f>_xlfn.IFNA(VLOOKUP($A190,'Anlage 1b_Abzüge, Pflicht, Boni'!$A$30:$D$60,2,FALSE),0)</f>
        <v>0</v>
      </c>
      <c r="D190" s="95">
        <f>_xlfn.IFNA(VLOOKUP(A190,'Anlage 1b_Abzüge, Pflicht, Boni'!$A$9:$D$94,3,FALSE),0)</f>
        <v>0</v>
      </c>
      <c r="E190" s="95">
        <f>_xlfn.IFNA(VLOOKUP(A190,'Anlage 1b_Abzüge, Pflicht, Boni'!$A$30:$D$58,4,FALSE),0)</f>
        <v>0</v>
      </c>
      <c r="F190" s="95">
        <f t="shared" si="15"/>
        <v>32930.090000000004</v>
      </c>
      <c r="G190" s="95">
        <f>SUMIFS('Anlage 1c_Korrekturen_NB'!$L$80:$L$314,'Anlage 1c_Korrekturen_NB'!$A$80:$A$314,'Anlage 3a_Zusammenfassung_KWKG'!$A190)</f>
        <v>0</v>
      </c>
      <c r="H190" s="747">
        <f>_xlfn.IFNA(VLOOKUP(A190,'Anlage 1c_Korrekturen_NB'!$A$678:$D$680,4,FALSE),0)</f>
        <v>0</v>
      </c>
      <c r="I190" s="748">
        <f t="shared" si="14"/>
        <v>0</v>
      </c>
      <c r="J190" s="20"/>
    </row>
    <row r="191" spans="1:10" hidden="1" outlineLevel="1">
      <c r="A191" s="418" t="s">
        <v>449</v>
      </c>
      <c r="B191" s="544">
        <v>33677722.359999999</v>
      </c>
      <c r="C191" s="95">
        <f>_xlfn.IFNA(VLOOKUP($A191,'Anlage 1b_Abzüge, Pflicht, Boni'!$A$30:$D$60,2,FALSE),0)</f>
        <v>-6189.79</v>
      </c>
      <c r="D191" s="95">
        <f>_xlfn.IFNA(VLOOKUP(A191,'Anlage 1b_Abzüge, Pflicht, Boni'!$A$9:$D$94,3,FALSE),0)</f>
        <v>-4800</v>
      </c>
      <c r="E191" s="95">
        <f>_xlfn.IFNA(VLOOKUP(A191,'Anlage 1b_Abzüge, Pflicht, Boni'!$A$30:$D$58,4,FALSE),0)</f>
        <v>0</v>
      </c>
      <c r="F191" s="95">
        <f t="shared" si="15"/>
        <v>33666732.57</v>
      </c>
      <c r="G191" s="95">
        <f>SUMIFS('Anlage 1c_Korrekturen_NB'!$L$80:$L$314,'Anlage 1c_Korrekturen_NB'!$A$80:$A$314,'Anlage 3a_Zusammenfassung_KWKG'!$A191)</f>
        <v>6678279.9500000002</v>
      </c>
      <c r="H191" s="747">
        <f>_xlfn.IFNA(VLOOKUP(A191,'Anlage 1c_Korrekturen_NB'!$A$678:$D$680,4,FALSE),0)</f>
        <v>0</v>
      </c>
      <c r="I191" s="748">
        <f t="shared" si="14"/>
        <v>6678279.9500000002</v>
      </c>
      <c r="J191" s="20"/>
    </row>
    <row r="192" spans="1:10" hidden="1" outlineLevel="1">
      <c r="A192" s="418" t="s">
        <v>451</v>
      </c>
      <c r="B192" s="544">
        <v>77523.25</v>
      </c>
      <c r="C192" s="95">
        <f>_xlfn.IFNA(VLOOKUP($A192,'Anlage 1b_Abzüge, Pflicht, Boni'!$A$30:$D$60,2,FALSE),0)</f>
        <v>0</v>
      </c>
      <c r="D192" s="95">
        <f>_xlfn.IFNA(VLOOKUP(A192,'Anlage 1b_Abzüge, Pflicht, Boni'!$A$9:$D$94,3,FALSE),0)</f>
        <v>0</v>
      </c>
      <c r="E192" s="95">
        <f>_xlfn.IFNA(VLOOKUP(A192,'Anlage 1b_Abzüge, Pflicht, Boni'!$A$30:$D$58,4,FALSE),0)</f>
        <v>0</v>
      </c>
      <c r="F192" s="95">
        <f t="shared" si="15"/>
        <v>77523.25</v>
      </c>
      <c r="G192" s="95">
        <f>SUMIFS('Anlage 1c_Korrekturen_NB'!$L$80:$L$314,'Anlage 1c_Korrekturen_NB'!$A$80:$A$314,'Anlage 3a_Zusammenfassung_KWKG'!$A192)</f>
        <v>0</v>
      </c>
      <c r="H192" s="747">
        <f>_xlfn.IFNA(VLOOKUP(A192,'Anlage 1c_Korrekturen_NB'!$A$678:$D$680,4,FALSE),0)</f>
        <v>0</v>
      </c>
      <c r="I192" s="748">
        <f t="shared" si="14"/>
        <v>0</v>
      </c>
      <c r="J192" s="20"/>
    </row>
    <row r="193" spans="1:10" hidden="1" outlineLevel="1">
      <c r="A193" s="418" t="s">
        <v>453</v>
      </c>
      <c r="B193" s="544">
        <v>165279.99</v>
      </c>
      <c r="C193" s="95">
        <f>_xlfn.IFNA(VLOOKUP($A193,'Anlage 1b_Abzüge, Pflicht, Boni'!$A$30:$D$60,2,FALSE),0)</f>
        <v>0</v>
      </c>
      <c r="D193" s="95">
        <f>_xlfn.IFNA(VLOOKUP(A193,'Anlage 1b_Abzüge, Pflicht, Boni'!$A$9:$D$94,3,FALSE),0)</f>
        <v>0</v>
      </c>
      <c r="E193" s="95">
        <f>_xlfn.IFNA(VLOOKUP(A193,'Anlage 1b_Abzüge, Pflicht, Boni'!$A$30:$D$58,4,FALSE),0)</f>
        <v>0</v>
      </c>
      <c r="F193" s="95">
        <f t="shared" si="15"/>
        <v>165279.99</v>
      </c>
      <c r="G193" s="95">
        <f>SUMIFS('Anlage 1c_Korrekturen_NB'!$L$80:$L$314,'Anlage 1c_Korrekturen_NB'!$A$80:$A$314,'Anlage 3a_Zusammenfassung_KWKG'!$A193)</f>
        <v>703.76</v>
      </c>
      <c r="H193" s="747">
        <f>_xlfn.IFNA(VLOOKUP(A193,'Anlage 1c_Korrekturen_NB'!$A$678:$D$680,4,FALSE),0)</f>
        <v>0</v>
      </c>
      <c r="I193" s="748">
        <f t="shared" si="14"/>
        <v>703.76</v>
      </c>
      <c r="J193" s="20"/>
    </row>
    <row r="194" spans="1:10" hidden="1" outlineLevel="1">
      <c r="A194" s="418" t="s">
        <v>455</v>
      </c>
      <c r="B194" s="544">
        <v>160109.24000000002</v>
      </c>
      <c r="C194" s="95">
        <f>_xlfn.IFNA(VLOOKUP($A194,'Anlage 1b_Abzüge, Pflicht, Boni'!$A$30:$D$60,2,FALSE),0)</f>
        <v>0</v>
      </c>
      <c r="D194" s="95">
        <f>_xlfn.IFNA(VLOOKUP(A194,'Anlage 1b_Abzüge, Pflicht, Boni'!$A$9:$D$94,3,FALSE),0)</f>
        <v>0</v>
      </c>
      <c r="E194" s="95">
        <f>_xlfn.IFNA(VLOOKUP(A194,'Anlage 1b_Abzüge, Pflicht, Boni'!$A$30:$D$58,4,FALSE),0)</f>
        <v>0</v>
      </c>
      <c r="F194" s="95">
        <f t="shared" si="15"/>
        <v>160109.24000000002</v>
      </c>
      <c r="G194" s="95">
        <f>SUMIFS('Anlage 1c_Korrekturen_NB'!$L$80:$L$314,'Anlage 1c_Korrekturen_NB'!$A$80:$A$314,'Anlage 3a_Zusammenfassung_KWKG'!$A194)</f>
        <v>1524</v>
      </c>
      <c r="H194" s="747">
        <f>_xlfn.IFNA(VLOOKUP(A194,'Anlage 1c_Korrekturen_NB'!$A$678:$D$680,4,FALSE),0)</f>
        <v>0</v>
      </c>
      <c r="I194" s="748">
        <f t="shared" si="14"/>
        <v>1524</v>
      </c>
      <c r="J194" s="20"/>
    </row>
    <row r="195" spans="1:10" hidden="1" outlineLevel="1">
      <c r="A195" s="418" t="s">
        <v>457</v>
      </c>
      <c r="B195" s="544">
        <v>0</v>
      </c>
      <c r="C195" s="95">
        <f>_xlfn.IFNA(VLOOKUP($A195,'Anlage 1b_Abzüge, Pflicht, Boni'!$A$30:$D$60,2,FALSE),0)</f>
        <v>0</v>
      </c>
      <c r="D195" s="95">
        <f>_xlfn.IFNA(VLOOKUP(A195,'Anlage 1b_Abzüge, Pflicht, Boni'!$A$9:$D$94,3,FALSE),0)</f>
        <v>0</v>
      </c>
      <c r="E195" s="95">
        <f>_xlfn.IFNA(VLOOKUP(A195,'Anlage 1b_Abzüge, Pflicht, Boni'!$A$30:$D$58,4,FALSE),0)</f>
        <v>0</v>
      </c>
      <c r="F195" s="95">
        <f t="shared" si="15"/>
        <v>0</v>
      </c>
      <c r="G195" s="95">
        <f>SUMIFS('Anlage 1c_Korrekturen_NB'!$L$80:$L$314,'Anlage 1c_Korrekturen_NB'!$A$80:$A$314,'Anlage 3a_Zusammenfassung_KWKG'!$A195)</f>
        <v>0</v>
      </c>
      <c r="H195" s="747">
        <f>_xlfn.IFNA(VLOOKUP(A195,'Anlage 1c_Korrekturen_NB'!$A$678:$D$680,4,FALSE),0)</f>
        <v>0</v>
      </c>
      <c r="I195" s="748">
        <f t="shared" si="14"/>
        <v>0</v>
      </c>
      <c r="J195" s="20"/>
    </row>
    <row r="196" spans="1:10" hidden="1" outlineLevel="1">
      <c r="A196" s="418" t="s">
        <v>459</v>
      </c>
      <c r="B196" s="544">
        <v>137621.41999999998</v>
      </c>
      <c r="C196" s="95">
        <f>_xlfn.IFNA(VLOOKUP($A196,'Anlage 1b_Abzüge, Pflicht, Boni'!$A$30:$D$60,2,FALSE),0)</f>
        <v>-910.55</v>
      </c>
      <c r="D196" s="95">
        <f>_xlfn.IFNA(VLOOKUP(A196,'Anlage 1b_Abzüge, Pflicht, Boni'!$A$9:$D$94,3,FALSE),0)</f>
        <v>0</v>
      </c>
      <c r="E196" s="95">
        <f>_xlfn.IFNA(VLOOKUP(A196,'Anlage 1b_Abzüge, Pflicht, Boni'!$A$30:$D$58,4,FALSE),0)</f>
        <v>0</v>
      </c>
      <c r="F196" s="95">
        <f t="shared" si="15"/>
        <v>136710.87</v>
      </c>
      <c r="G196" s="95">
        <f>SUMIFS('Anlage 1c_Korrekturen_NB'!$L$80:$L$314,'Anlage 1c_Korrekturen_NB'!$A$80:$A$314,'Anlage 3a_Zusammenfassung_KWKG'!$A196)</f>
        <v>51487.479999999996</v>
      </c>
      <c r="H196" s="747">
        <f>_xlfn.IFNA(VLOOKUP(A196,'Anlage 1c_Korrekturen_NB'!$A$678:$D$680,4,FALSE),0)</f>
        <v>0</v>
      </c>
      <c r="I196" s="748">
        <f t="shared" si="14"/>
        <v>51487.479999999996</v>
      </c>
      <c r="J196" s="20"/>
    </row>
    <row r="197" spans="1:10" hidden="1" outlineLevel="1">
      <c r="A197" s="418" t="s">
        <v>461</v>
      </c>
      <c r="B197" s="544">
        <v>36348.9</v>
      </c>
      <c r="C197" s="95">
        <f>_xlfn.IFNA(VLOOKUP($A197,'Anlage 1b_Abzüge, Pflicht, Boni'!$A$30:$D$60,2,FALSE),0)</f>
        <v>0</v>
      </c>
      <c r="D197" s="95">
        <f>_xlfn.IFNA(VLOOKUP(A197,'Anlage 1b_Abzüge, Pflicht, Boni'!$A$9:$D$94,3,FALSE),0)</f>
        <v>0</v>
      </c>
      <c r="E197" s="95">
        <f>_xlfn.IFNA(VLOOKUP(A197,'Anlage 1b_Abzüge, Pflicht, Boni'!$A$30:$D$58,4,FALSE),0)</f>
        <v>0</v>
      </c>
      <c r="F197" s="95">
        <f t="shared" si="15"/>
        <v>36348.9</v>
      </c>
      <c r="G197" s="95">
        <f>SUMIFS('Anlage 1c_Korrekturen_NB'!$L$80:$L$314,'Anlage 1c_Korrekturen_NB'!$A$80:$A$314,'Anlage 3a_Zusammenfassung_KWKG'!$A197)</f>
        <v>0</v>
      </c>
      <c r="H197" s="747">
        <f>_xlfn.IFNA(VLOOKUP(A197,'Anlage 1c_Korrekturen_NB'!$A$678:$D$680,4,FALSE),0)</f>
        <v>0</v>
      </c>
      <c r="I197" s="748">
        <f t="shared" si="14"/>
        <v>0</v>
      </c>
      <c r="J197" s="20"/>
    </row>
    <row r="198" spans="1:10" hidden="1" outlineLevel="1">
      <c r="A198" s="418" t="s">
        <v>463</v>
      </c>
      <c r="B198" s="544">
        <v>428834.42</v>
      </c>
      <c r="C198" s="95">
        <f>_xlfn.IFNA(VLOOKUP($A198,'Anlage 1b_Abzüge, Pflicht, Boni'!$A$30:$D$60,2,FALSE),0)</f>
        <v>-185255.92</v>
      </c>
      <c r="D198" s="95">
        <f>_xlfn.IFNA(VLOOKUP(A198,'Anlage 1b_Abzüge, Pflicht, Boni'!$A$9:$D$94,3,FALSE),0)</f>
        <v>0</v>
      </c>
      <c r="E198" s="95">
        <f>_xlfn.IFNA(VLOOKUP(A198,'Anlage 1b_Abzüge, Pflicht, Boni'!$A$30:$D$58,4,FALSE),0)</f>
        <v>0</v>
      </c>
      <c r="F198" s="95">
        <f t="shared" si="15"/>
        <v>243578.49999999997</v>
      </c>
      <c r="G198" s="95">
        <f>SUMIFS('Anlage 1c_Korrekturen_NB'!$L$80:$L$314,'Anlage 1c_Korrekturen_NB'!$A$80:$A$314,'Anlage 3a_Zusammenfassung_KWKG'!$A198)</f>
        <v>99381.900000000009</v>
      </c>
      <c r="H198" s="747">
        <f>_xlfn.IFNA(VLOOKUP(A198,'Anlage 1c_Korrekturen_NB'!$A$678:$D$680,4,FALSE),0)</f>
        <v>0</v>
      </c>
      <c r="I198" s="748">
        <f t="shared" si="14"/>
        <v>99381.900000000009</v>
      </c>
      <c r="J198" s="20"/>
    </row>
    <row r="199" spans="1:10" hidden="1" outlineLevel="1">
      <c r="A199" s="418" t="s">
        <v>465</v>
      </c>
      <c r="B199" s="544">
        <v>458.32</v>
      </c>
      <c r="C199" s="95">
        <f>_xlfn.IFNA(VLOOKUP($A199,'Anlage 1b_Abzüge, Pflicht, Boni'!$A$30:$D$60,2,FALSE),0)</f>
        <v>0</v>
      </c>
      <c r="D199" s="95">
        <f>_xlfn.IFNA(VLOOKUP(A199,'Anlage 1b_Abzüge, Pflicht, Boni'!$A$9:$D$94,3,FALSE),0)</f>
        <v>0</v>
      </c>
      <c r="E199" s="95">
        <f>_xlfn.IFNA(VLOOKUP(A199,'Anlage 1b_Abzüge, Pflicht, Boni'!$A$30:$D$58,4,FALSE),0)</f>
        <v>0</v>
      </c>
      <c r="F199" s="95">
        <f t="shared" si="15"/>
        <v>458.32</v>
      </c>
      <c r="G199" s="95">
        <f>SUMIFS('Anlage 1c_Korrekturen_NB'!$L$80:$L$314,'Anlage 1c_Korrekturen_NB'!$A$80:$A$314,'Anlage 3a_Zusammenfassung_KWKG'!$A199)</f>
        <v>0</v>
      </c>
      <c r="H199" s="747">
        <f>_xlfn.IFNA(VLOOKUP(A199,'Anlage 1c_Korrekturen_NB'!$A$678:$D$680,4,FALSE),0)</f>
        <v>0</v>
      </c>
      <c r="I199" s="748">
        <f t="shared" si="14"/>
        <v>0</v>
      </c>
      <c r="J199" s="20"/>
    </row>
    <row r="200" spans="1:10" hidden="1" outlineLevel="1">
      <c r="A200" s="418" t="s">
        <v>467</v>
      </c>
      <c r="B200" s="544">
        <v>54359.119999999995</v>
      </c>
      <c r="C200" s="95">
        <f>_xlfn.IFNA(VLOOKUP($A200,'Anlage 1b_Abzüge, Pflicht, Boni'!$A$30:$D$60,2,FALSE),0)</f>
        <v>0</v>
      </c>
      <c r="D200" s="95">
        <f>_xlfn.IFNA(VLOOKUP(A200,'Anlage 1b_Abzüge, Pflicht, Boni'!$A$9:$D$94,3,FALSE),0)</f>
        <v>0</v>
      </c>
      <c r="E200" s="95">
        <f>_xlfn.IFNA(VLOOKUP(A200,'Anlage 1b_Abzüge, Pflicht, Boni'!$A$30:$D$58,4,FALSE),0)</f>
        <v>0</v>
      </c>
      <c r="F200" s="95">
        <f t="shared" si="15"/>
        <v>54359.119999999995</v>
      </c>
      <c r="G200" s="95">
        <f>SUMIFS('Anlage 1c_Korrekturen_NB'!$L$80:$L$314,'Anlage 1c_Korrekturen_NB'!$A$80:$A$314,'Anlage 3a_Zusammenfassung_KWKG'!$A200)</f>
        <v>0</v>
      </c>
      <c r="H200" s="747">
        <f>_xlfn.IFNA(VLOOKUP(A200,'Anlage 1c_Korrekturen_NB'!$A$678:$D$680,4,FALSE),0)</f>
        <v>0</v>
      </c>
      <c r="I200" s="748">
        <f t="shared" si="14"/>
        <v>0</v>
      </c>
      <c r="J200" s="20"/>
    </row>
    <row r="201" spans="1:10" hidden="1" outlineLevel="1">
      <c r="A201" s="418" t="s">
        <v>469</v>
      </c>
      <c r="B201" s="544">
        <v>9868750.3699999992</v>
      </c>
      <c r="C201" s="95">
        <f>_xlfn.IFNA(VLOOKUP($A201,'Anlage 1b_Abzüge, Pflicht, Boni'!$A$30:$D$60,2,FALSE),0)</f>
        <v>-1885.5</v>
      </c>
      <c r="D201" s="95">
        <f>_xlfn.IFNA(VLOOKUP(A201,'Anlage 1b_Abzüge, Pflicht, Boni'!$A$9:$D$94,3,FALSE),0)</f>
        <v>5660.5</v>
      </c>
      <c r="E201" s="95">
        <f>_xlfn.IFNA(VLOOKUP(A201,'Anlage 1b_Abzüge, Pflicht, Boni'!$A$30:$D$58,4,FALSE),0)</f>
        <v>0</v>
      </c>
      <c r="F201" s="95">
        <f t="shared" si="15"/>
        <v>9872525.3699999992</v>
      </c>
      <c r="G201" s="95">
        <f>SUMIFS('Anlage 1c_Korrekturen_NB'!$L$80:$L$314,'Anlage 1c_Korrekturen_NB'!$A$80:$A$314,'Anlage 3a_Zusammenfassung_KWKG'!$A201)</f>
        <v>-684913.04999999958</v>
      </c>
      <c r="H201" s="747">
        <f>_xlfn.IFNA(VLOOKUP(A201,'Anlage 1c_Korrekturen_NB'!$A$678:$D$680,4,FALSE),0)</f>
        <v>3493.88</v>
      </c>
      <c r="I201" s="748">
        <f t="shared" si="14"/>
        <v>-681419.16999999958</v>
      </c>
      <c r="J201" s="20"/>
    </row>
    <row r="202" spans="1:10" hidden="1" outlineLevel="1">
      <c r="A202" s="418" t="s">
        <v>471</v>
      </c>
      <c r="B202" s="544">
        <v>140020.08000000002</v>
      </c>
      <c r="C202" s="95">
        <f>_xlfn.IFNA(VLOOKUP($A202,'Anlage 1b_Abzüge, Pflicht, Boni'!$A$30:$D$60,2,FALSE),0)</f>
        <v>0</v>
      </c>
      <c r="D202" s="95">
        <f>_xlfn.IFNA(VLOOKUP(A202,'Anlage 1b_Abzüge, Pflicht, Boni'!$A$9:$D$94,3,FALSE),0)</f>
        <v>0</v>
      </c>
      <c r="E202" s="95">
        <f>_xlfn.IFNA(VLOOKUP(A202,'Anlage 1b_Abzüge, Pflicht, Boni'!$A$30:$D$58,4,FALSE),0)</f>
        <v>0</v>
      </c>
      <c r="F202" s="95">
        <f t="shared" si="15"/>
        <v>140020.08000000002</v>
      </c>
      <c r="G202" s="95">
        <f>SUMIFS('Anlage 1c_Korrekturen_NB'!$L$80:$L$314,'Anlage 1c_Korrekturen_NB'!$A$80:$A$314,'Anlage 3a_Zusammenfassung_KWKG'!$A202)</f>
        <v>0</v>
      </c>
      <c r="H202" s="747">
        <f>_xlfn.IFNA(VLOOKUP(A202,'Anlage 1c_Korrekturen_NB'!$A$678:$D$680,4,FALSE),0)</f>
        <v>0</v>
      </c>
      <c r="I202" s="748">
        <f t="shared" si="14"/>
        <v>0</v>
      </c>
      <c r="J202" s="20"/>
    </row>
    <row r="203" spans="1:10" hidden="1" outlineLevel="1">
      <c r="A203" s="418" t="s">
        <v>473</v>
      </c>
      <c r="B203" s="544">
        <v>84219.199999999997</v>
      </c>
      <c r="C203" s="95">
        <f>_xlfn.IFNA(VLOOKUP($A203,'Anlage 1b_Abzüge, Pflicht, Boni'!$A$30:$D$60,2,FALSE),0)</f>
        <v>0</v>
      </c>
      <c r="D203" s="95">
        <f>_xlfn.IFNA(VLOOKUP(A203,'Anlage 1b_Abzüge, Pflicht, Boni'!$A$9:$D$94,3,FALSE),0)</f>
        <v>0</v>
      </c>
      <c r="E203" s="95">
        <f>_xlfn.IFNA(VLOOKUP(A203,'Anlage 1b_Abzüge, Pflicht, Boni'!$A$30:$D$58,4,FALSE),0)</f>
        <v>0</v>
      </c>
      <c r="F203" s="95">
        <f t="shared" si="15"/>
        <v>84219.199999999997</v>
      </c>
      <c r="G203" s="95">
        <f>SUMIFS('Anlage 1c_Korrekturen_NB'!$L$80:$L$314,'Anlage 1c_Korrekturen_NB'!$A$80:$A$314,'Anlage 3a_Zusammenfassung_KWKG'!$A203)</f>
        <v>0</v>
      </c>
      <c r="H203" s="747">
        <f>_xlfn.IFNA(VLOOKUP(A203,'Anlage 1c_Korrekturen_NB'!$A$678:$D$680,4,FALSE),0)</f>
        <v>0</v>
      </c>
      <c r="I203" s="748">
        <f t="shared" si="14"/>
        <v>0</v>
      </c>
      <c r="J203" s="20"/>
    </row>
    <row r="204" spans="1:10" hidden="1" outlineLevel="1">
      <c r="A204" s="418" t="s">
        <v>475</v>
      </c>
      <c r="B204" s="544">
        <v>16351.390000000001</v>
      </c>
      <c r="C204" s="95">
        <f>_xlfn.IFNA(VLOOKUP($A204,'Anlage 1b_Abzüge, Pflicht, Boni'!$A$30:$D$60,2,FALSE),0)</f>
        <v>0</v>
      </c>
      <c r="D204" s="95">
        <f>_xlfn.IFNA(VLOOKUP(A204,'Anlage 1b_Abzüge, Pflicht, Boni'!$A$9:$D$94,3,FALSE),0)</f>
        <v>0</v>
      </c>
      <c r="E204" s="95">
        <f>_xlfn.IFNA(VLOOKUP(A204,'Anlage 1b_Abzüge, Pflicht, Boni'!$A$30:$D$58,4,FALSE),0)</f>
        <v>0</v>
      </c>
      <c r="F204" s="95">
        <f t="shared" si="15"/>
        <v>16351.390000000001</v>
      </c>
      <c r="G204" s="95">
        <f>SUMIFS('Anlage 1c_Korrekturen_NB'!$L$80:$L$314,'Anlage 1c_Korrekturen_NB'!$A$80:$A$314,'Anlage 3a_Zusammenfassung_KWKG'!$A204)</f>
        <v>0</v>
      </c>
      <c r="H204" s="747">
        <f>_xlfn.IFNA(VLOOKUP(A204,'Anlage 1c_Korrekturen_NB'!$A$678:$D$680,4,FALSE),0)</f>
        <v>0</v>
      </c>
      <c r="I204" s="748">
        <f t="shared" si="14"/>
        <v>0</v>
      </c>
      <c r="J204" s="20"/>
    </row>
    <row r="205" spans="1:10" hidden="1" outlineLevel="1">
      <c r="A205" s="418" t="s">
        <v>477</v>
      </c>
      <c r="B205" s="544">
        <v>4001387.05</v>
      </c>
      <c r="C205" s="95">
        <f>_xlfn.IFNA(VLOOKUP($A205,'Anlage 1b_Abzüge, Pflicht, Boni'!$A$30:$D$60,2,FALSE),0)</f>
        <v>0</v>
      </c>
      <c r="D205" s="95">
        <f>_xlfn.IFNA(VLOOKUP(A205,'Anlage 1b_Abzüge, Pflicht, Boni'!$A$9:$D$94,3,FALSE),0)</f>
        <v>0</v>
      </c>
      <c r="E205" s="95">
        <f>_xlfn.IFNA(VLOOKUP(A205,'Anlage 1b_Abzüge, Pflicht, Boni'!$A$30:$D$58,4,FALSE),0)</f>
        <v>0</v>
      </c>
      <c r="F205" s="95">
        <f t="shared" si="15"/>
        <v>4001387.05</v>
      </c>
      <c r="G205" s="95">
        <f>SUMIFS('Anlage 1c_Korrekturen_NB'!$L$80:$L$314,'Anlage 1c_Korrekturen_NB'!$A$80:$A$314,'Anlage 3a_Zusammenfassung_KWKG'!$A205)</f>
        <v>139884.53999999998</v>
      </c>
      <c r="H205" s="747">
        <f>_xlfn.IFNA(VLOOKUP(A205,'Anlage 1c_Korrekturen_NB'!$A$678:$D$680,4,FALSE),0)</f>
        <v>0</v>
      </c>
      <c r="I205" s="748">
        <f t="shared" si="14"/>
        <v>139884.53999999998</v>
      </c>
      <c r="J205" s="20"/>
    </row>
    <row r="206" spans="1:10" hidden="1" outlineLevel="1">
      <c r="A206" s="418" t="s">
        <v>479</v>
      </c>
      <c r="B206" s="544">
        <v>80106.06</v>
      </c>
      <c r="C206" s="95">
        <f>_xlfn.IFNA(VLOOKUP($A206,'Anlage 1b_Abzüge, Pflicht, Boni'!$A$30:$D$60,2,FALSE),0)</f>
        <v>0</v>
      </c>
      <c r="D206" s="95">
        <f>_xlfn.IFNA(VLOOKUP(A206,'Anlage 1b_Abzüge, Pflicht, Boni'!$A$9:$D$94,3,FALSE),0)</f>
        <v>0</v>
      </c>
      <c r="E206" s="95">
        <f>_xlfn.IFNA(VLOOKUP(A206,'Anlage 1b_Abzüge, Pflicht, Boni'!$A$30:$D$58,4,FALSE),0)</f>
        <v>0</v>
      </c>
      <c r="F206" s="95">
        <f t="shared" si="15"/>
        <v>80106.06</v>
      </c>
      <c r="G206" s="95">
        <f>SUMIFS('Anlage 1c_Korrekturen_NB'!$L$80:$L$314,'Anlage 1c_Korrekturen_NB'!$A$80:$A$314,'Anlage 3a_Zusammenfassung_KWKG'!$A206)</f>
        <v>0</v>
      </c>
      <c r="H206" s="747">
        <f>_xlfn.IFNA(VLOOKUP(A206,'Anlage 1c_Korrekturen_NB'!$A$678:$D$680,4,FALSE),0)</f>
        <v>0</v>
      </c>
      <c r="I206" s="748">
        <f t="shared" si="14"/>
        <v>0</v>
      </c>
      <c r="J206" s="20"/>
    </row>
    <row r="207" spans="1:10" hidden="1" outlineLevel="1">
      <c r="A207" s="418" t="s">
        <v>481</v>
      </c>
      <c r="B207" s="544">
        <v>387104.56</v>
      </c>
      <c r="C207" s="95">
        <f>_xlfn.IFNA(VLOOKUP($A207,'Anlage 1b_Abzüge, Pflicht, Boni'!$A$30:$D$60,2,FALSE),0)</f>
        <v>0</v>
      </c>
      <c r="D207" s="95">
        <f>_xlfn.IFNA(VLOOKUP(A207,'Anlage 1b_Abzüge, Pflicht, Boni'!$A$9:$D$94,3,FALSE),0)</f>
        <v>0</v>
      </c>
      <c r="E207" s="95">
        <f>_xlfn.IFNA(VLOOKUP(A207,'Anlage 1b_Abzüge, Pflicht, Boni'!$A$30:$D$58,4,FALSE),0)</f>
        <v>0</v>
      </c>
      <c r="F207" s="95">
        <f t="shared" si="15"/>
        <v>387104.56</v>
      </c>
      <c r="G207" s="95">
        <f>SUMIFS('Anlage 1c_Korrekturen_NB'!$L$80:$L$314,'Anlage 1c_Korrekturen_NB'!$A$80:$A$314,'Anlage 3a_Zusammenfassung_KWKG'!$A207)</f>
        <v>0</v>
      </c>
      <c r="H207" s="747">
        <f>_xlfn.IFNA(VLOOKUP(A207,'Anlage 1c_Korrekturen_NB'!$A$678:$D$680,4,FALSE),0)</f>
        <v>0</v>
      </c>
      <c r="I207" s="748">
        <f t="shared" si="14"/>
        <v>0</v>
      </c>
      <c r="J207" s="20"/>
    </row>
    <row r="208" spans="1:10" hidden="1" outlineLevel="1">
      <c r="A208" s="418" t="s">
        <v>483</v>
      </c>
      <c r="B208" s="544">
        <v>40151578.899999999</v>
      </c>
      <c r="C208" s="95">
        <f>_xlfn.IFNA(VLOOKUP($A208,'Anlage 1b_Abzüge, Pflicht, Boni'!$A$30:$D$60,2,FALSE),0)</f>
        <v>-1204.32</v>
      </c>
      <c r="D208" s="95">
        <f>_xlfn.IFNA(VLOOKUP(A208,'Anlage 1b_Abzüge, Pflicht, Boni'!$A$9:$D$94,3,FALSE),0)</f>
        <v>0</v>
      </c>
      <c r="E208" s="95">
        <f>_xlfn.IFNA(VLOOKUP(A208,'Anlage 1b_Abzüge, Pflicht, Boni'!$A$30:$D$58,4,FALSE),0)</f>
        <v>0</v>
      </c>
      <c r="F208" s="95">
        <f t="shared" si="15"/>
        <v>40150374.579999998</v>
      </c>
      <c r="G208" s="95">
        <f>SUMIFS('Anlage 1c_Korrekturen_NB'!$L$80:$L$314,'Anlage 1c_Korrekturen_NB'!$A$80:$A$314,'Anlage 3a_Zusammenfassung_KWKG'!$A208)</f>
        <v>1288839.3599999999</v>
      </c>
      <c r="H208" s="747">
        <f>_xlfn.IFNA(VLOOKUP(A208,'Anlage 1c_Korrekturen_NB'!$A$678:$D$680,4,FALSE),0)</f>
        <v>0</v>
      </c>
      <c r="I208" s="748">
        <f t="shared" si="14"/>
        <v>1288839.3599999999</v>
      </c>
      <c r="J208" s="20"/>
    </row>
    <row r="209" spans="1:10" hidden="1" outlineLevel="1">
      <c r="A209" s="418" t="s">
        <v>485</v>
      </c>
      <c r="B209" s="544">
        <v>147472.89000000001</v>
      </c>
      <c r="C209" s="95">
        <f>_xlfn.IFNA(VLOOKUP($A209,'Anlage 1b_Abzüge, Pflicht, Boni'!$A$30:$D$60,2,FALSE),0)</f>
        <v>0</v>
      </c>
      <c r="D209" s="95">
        <f>_xlfn.IFNA(VLOOKUP(A209,'Anlage 1b_Abzüge, Pflicht, Boni'!$A$9:$D$94,3,FALSE),0)</f>
        <v>0</v>
      </c>
      <c r="E209" s="95">
        <f>_xlfn.IFNA(VLOOKUP(A209,'Anlage 1b_Abzüge, Pflicht, Boni'!$A$30:$D$58,4,FALSE),0)</f>
        <v>0</v>
      </c>
      <c r="F209" s="95">
        <f t="shared" si="15"/>
        <v>147472.89000000001</v>
      </c>
      <c r="G209" s="95">
        <f>SUMIFS('Anlage 1c_Korrekturen_NB'!$L$80:$L$314,'Anlage 1c_Korrekturen_NB'!$A$80:$A$314,'Anlage 3a_Zusammenfassung_KWKG'!$A209)</f>
        <v>4699.5600000000004</v>
      </c>
      <c r="H209" s="747">
        <f>_xlfn.IFNA(VLOOKUP(A209,'Anlage 1c_Korrekturen_NB'!$A$678:$D$680,4,FALSE),0)</f>
        <v>0</v>
      </c>
      <c r="I209" s="748">
        <f t="shared" si="14"/>
        <v>4699.5600000000004</v>
      </c>
      <c r="J209" s="20"/>
    </row>
    <row r="210" spans="1:10" hidden="1" outlineLevel="1">
      <c r="A210" s="418" t="s">
        <v>487</v>
      </c>
      <c r="B210" s="544">
        <v>4134.3999999999996</v>
      </c>
      <c r="C210" s="95">
        <f>_xlfn.IFNA(VLOOKUP($A210,'Anlage 1b_Abzüge, Pflicht, Boni'!$A$30:$D$60,2,FALSE),0)</f>
        <v>0</v>
      </c>
      <c r="D210" s="95">
        <f>_xlfn.IFNA(VLOOKUP(A210,'Anlage 1b_Abzüge, Pflicht, Boni'!$A$9:$D$94,3,FALSE),0)</f>
        <v>0</v>
      </c>
      <c r="E210" s="95">
        <f>_xlfn.IFNA(VLOOKUP(A210,'Anlage 1b_Abzüge, Pflicht, Boni'!$A$30:$D$58,4,FALSE),0)</f>
        <v>0</v>
      </c>
      <c r="F210" s="95">
        <f t="shared" si="15"/>
        <v>4134.3999999999996</v>
      </c>
      <c r="G210" s="95">
        <f>SUMIFS('Anlage 1c_Korrekturen_NB'!$L$80:$L$314,'Anlage 1c_Korrekturen_NB'!$A$80:$A$314,'Anlage 3a_Zusammenfassung_KWKG'!$A210)</f>
        <v>0</v>
      </c>
      <c r="H210" s="747">
        <f>_xlfn.IFNA(VLOOKUP(A210,'Anlage 1c_Korrekturen_NB'!$A$678:$D$680,4,FALSE),0)</f>
        <v>0</v>
      </c>
      <c r="I210" s="748">
        <f t="shared" si="14"/>
        <v>0</v>
      </c>
      <c r="J210" s="20"/>
    </row>
    <row r="211" spans="1:10" hidden="1" outlineLevel="1">
      <c r="A211" s="418" t="s">
        <v>489</v>
      </c>
      <c r="B211" s="544">
        <v>386789.19</v>
      </c>
      <c r="C211" s="95">
        <f>_xlfn.IFNA(VLOOKUP($A211,'Anlage 1b_Abzüge, Pflicht, Boni'!$A$30:$D$60,2,FALSE),0)</f>
        <v>0</v>
      </c>
      <c r="D211" s="95">
        <f>_xlfn.IFNA(VLOOKUP(A211,'Anlage 1b_Abzüge, Pflicht, Boni'!$A$9:$D$94,3,FALSE),0)</f>
        <v>0</v>
      </c>
      <c r="E211" s="95">
        <f>_xlfn.IFNA(VLOOKUP(A211,'Anlage 1b_Abzüge, Pflicht, Boni'!$A$30:$D$58,4,FALSE),0)</f>
        <v>0</v>
      </c>
      <c r="F211" s="95">
        <f t="shared" si="15"/>
        <v>386789.19</v>
      </c>
      <c r="G211" s="95">
        <f>SUMIFS('Anlage 1c_Korrekturen_NB'!$L$80:$L$314,'Anlage 1c_Korrekturen_NB'!$A$80:$A$314,'Anlage 3a_Zusammenfassung_KWKG'!$A211)</f>
        <v>-9519.94</v>
      </c>
      <c r="H211" s="747">
        <f>_xlfn.IFNA(VLOOKUP(A211,'Anlage 1c_Korrekturen_NB'!$A$678:$D$680,4,FALSE),0)</f>
        <v>0</v>
      </c>
      <c r="I211" s="748">
        <f t="shared" si="14"/>
        <v>-9519.94</v>
      </c>
      <c r="J211" s="20"/>
    </row>
    <row r="212" spans="1:10" hidden="1" outlineLevel="1">
      <c r="A212" s="418" t="s">
        <v>491</v>
      </c>
      <c r="B212" s="544">
        <v>59345.72</v>
      </c>
      <c r="C212" s="95">
        <f>_xlfn.IFNA(VLOOKUP($A212,'Anlage 1b_Abzüge, Pflicht, Boni'!$A$30:$D$60,2,FALSE),0)</f>
        <v>0</v>
      </c>
      <c r="D212" s="95">
        <f>_xlfn.IFNA(VLOOKUP(A212,'Anlage 1b_Abzüge, Pflicht, Boni'!$A$9:$D$94,3,FALSE),0)</f>
        <v>0</v>
      </c>
      <c r="E212" s="95">
        <f>_xlfn.IFNA(VLOOKUP(A212,'Anlage 1b_Abzüge, Pflicht, Boni'!$A$30:$D$58,4,FALSE),0)</f>
        <v>0</v>
      </c>
      <c r="F212" s="95">
        <f t="shared" si="15"/>
        <v>59345.72</v>
      </c>
      <c r="G212" s="95">
        <f>SUMIFS('Anlage 1c_Korrekturen_NB'!$L$80:$L$314,'Anlage 1c_Korrekturen_NB'!$A$80:$A$314,'Anlage 3a_Zusammenfassung_KWKG'!$A212)</f>
        <v>0</v>
      </c>
      <c r="H212" s="747">
        <f>_xlfn.IFNA(VLOOKUP(A212,'Anlage 1c_Korrekturen_NB'!$A$678:$D$680,4,FALSE),0)</f>
        <v>0</v>
      </c>
      <c r="I212" s="748">
        <f t="shared" si="14"/>
        <v>0</v>
      </c>
      <c r="J212" s="20"/>
    </row>
    <row r="213" spans="1:10" hidden="1" outlineLevel="1">
      <c r="A213" s="418" t="s">
        <v>493</v>
      </c>
      <c r="B213" s="544">
        <v>500591.75</v>
      </c>
      <c r="C213" s="95">
        <f>_xlfn.IFNA(VLOOKUP($A213,'Anlage 1b_Abzüge, Pflicht, Boni'!$A$30:$D$60,2,FALSE),0)</f>
        <v>0</v>
      </c>
      <c r="D213" s="95">
        <f>_xlfn.IFNA(VLOOKUP(A213,'Anlage 1b_Abzüge, Pflicht, Boni'!$A$9:$D$94,3,FALSE),0)</f>
        <v>0</v>
      </c>
      <c r="E213" s="95">
        <f>_xlfn.IFNA(VLOOKUP(A213,'Anlage 1b_Abzüge, Pflicht, Boni'!$A$30:$D$58,4,FALSE),0)</f>
        <v>0</v>
      </c>
      <c r="F213" s="95">
        <f t="shared" si="15"/>
        <v>500591.75</v>
      </c>
      <c r="G213" s="95">
        <f>SUMIFS('Anlage 1c_Korrekturen_NB'!$L$80:$L$314,'Anlage 1c_Korrekturen_NB'!$A$80:$A$314,'Anlage 3a_Zusammenfassung_KWKG'!$A213)</f>
        <v>4390.6399999999994</v>
      </c>
      <c r="H213" s="747">
        <f>_xlfn.IFNA(VLOOKUP(A213,'Anlage 1c_Korrekturen_NB'!$A$678:$D$680,4,FALSE),0)</f>
        <v>0</v>
      </c>
      <c r="I213" s="748">
        <f t="shared" si="14"/>
        <v>4390.6399999999994</v>
      </c>
      <c r="J213" s="20"/>
    </row>
    <row r="214" spans="1:10" hidden="1" outlineLevel="1">
      <c r="A214" s="418" t="s">
        <v>495</v>
      </c>
      <c r="B214" s="544">
        <v>732623.14</v>
      </c>
      <c r="C214" s="95">
        <f>_xlfn.IFNA(VLOOKUP($A214,'Anlage 1b_Abzüge, Pflicht, Boni'!$A$30:$D$60,2,FALSE),0)</f>
        <v>0</v>
      </c>
      <c r="D214" s="95">
        <f>_xlfn.IFNA(VLOOKUP(A214,'Anlage 1b_Abzüge, Pflicht, Boni'!$A$9:$D$94,3,FALSE),0)</f>
        <v>0</v>
      </c>
      <c r="E214" s="95">
        <f>_xlfn.IFNA(VLOOKUP(A214,'Anlage 1b_Abzüge, Pflicht, Boni'!$A$30:$D$58,4,FALSE),0)</f>
        <v>0</v>
      </c>
      <c r="F214" s="95">
        <f t="shared" si="15"/>
        <v>732623.14</v>
      </c>
      <c r="G214" s="95">
        <f>SUMIFS('Anlage 1c_Korrekturen_NB'!$L$80:$L$314,'Anlage 1c_Korrekturen_NB'!$A$80:$A$314,'Anlage 3a_Zusammenfassung_KWKG'!$A214)</f>
        <v>27484.640000000003</v>
      </c>
      <c r="H214" s="747">
        <f>_xlfn.IFNA(VLOOKUP(A214,'Anlage 1c_Korrekturen_NB'!$A$678:$D$680,4,FALSE),0)</f>
        <v>0</v>
      </c>
      <c r="I214" s="748">
        <f t="shared" si="14"/>
        <v>27484.640000000003</v>
      </c>
      <c r="J214" s="20"/>
    </row>
    <row r="215" spans="1:10" hidden="1" outlineLevel="1">
      <c r="A215" s="418" t="s">
        <v>497</v>
      </c>
      <c r="B215" s="544">
        <v>16205.39</v>
      </c>
      <c r="C215" s="95">
        <f>_xlfn.IFNA(VLOOKUP($A215,'Anlage 1b_Abzüge, Pflicht, Boni'!$A$30:$D$60,2,FALSE),0)</f>
        <v>0</v>
      </c>
      <c r="D215" s="95">
        <f>_xlfn.IFNA(VLOOKUP(A215,'Anlage 1b_Abzüge, Pflicht, Boni'!$A$9:$D$94,3,FALSE),0)</f>
        <v>0</v>
      </c>
      <c r="E215" s="95">
        <f>_xlfn.IFNA(VLOOKUP(A215,'Anlage 1b_Abzüge, Pflicht, Boni'!$A$30:$D$58,4,FALSE),0)</f>
        <v>0</v>
      </c>
      <c r="F215" s="95">
        <f t="shared" si="15"/>
        <v>16205.39</v>
      </c>
      <c r="G215" s="95">
        <f>SUMIFS('Anlage 1c_Korrekturen_NB'!$L$80:$L$314,'Anlage 1c_Korrekturen_NB'!$A$80:$A$314,'Anlage 3a_Zusammenfassung_KWKG'!$A215)</f>
        <v>0</v>
      </c>
      <c r="H215" s="747">
        <f>_xlfn.IFNA(VLOOKUP(A215,'Anlage 1c_Korrekturen_NB'!$A$678:$D$680,4,FALSE),0)</f>
        <v>0</v>
      </c>
      <c r="I215" s="748">
        <f t="shared" si="14"/>
        <v>0</v>
      </c>
      <c r="J215" s="20"/>
    </row>
    <row r="216" spans="1:10" hidden="1" outlineLevel="1">
      <c r="A216" s="418" t="s">
        <v>499</v>
      </c>
      <c r="B216" s="544">
        <v>0</v>
      </c>
      <c r="C216" s="95">
        <f>_xlfn.IFNA(VLOOKUP($A216,'Anlage 1b_Abzüge, Pflicht, Boni'!$A$30:$D$60,2,FALSE),0)</f>
        <v>0</v>
      </c>
      <c r="D216" s="95">
        <f>_xlfn.IFNA(VLOOKUP(A216,'Anlage 1b_Abzüge, Pflicht, Boni'!$A$9:$D$94,3,FALSE),0)</f>
        <v>0</v>
      </c>
      <c r="E216" s="95">
        <f>_xlfn.IFNA(VLOOKUP(A216,'Anlage 1b_Abzüge, Pflicht, Boni'!$A$30:$D$58,4,FALSE),0)</f>
        <v>0</v>
      </c>
      <c r="F216" s="95">
        <f t="shared" si="15"/>
        <v>0</v>
      </c>
      <c r="G216" s="95">
        <f>SUMIFS('Anlage 1c_Korrekturen_NB'!$L$80:$L$314,'Anlage 1c_Korrekturen_NB'!$A$80:$A$314,'Anlage 3a_Zusammenfassung_KWKG'!$A216)</f>
        <v>0</v>
      </c>
      <c r="H216" s="747">
        <f>_xlfn.IFNA(VLOOKUP(A216,'Anlage 1c_Korrekturen_NB'!$A$678:$D$680,4,FALSE),0)</f>
        <v>0</v>
      </c>
      <c r="I216" s="748">
        <f t="shared" si="14"/>
        <v>0</v>
      </c>
      <c r="J216" s="20"/>
    </row>
    <row r="217" spans="1:10" hidden="1" outlineLevel="1">
      <c r="A217" s="418" t="s">
        <v>501</v>
      </c>
      <c r="B217" s="544">
        <v>118979.23999999999</v>
      </c>
      <c r="C217" s="95">
        <f>_xlfn.IFNA(VLOOKUP($A217,'Anlage 1b_Abzüge, Pflicht, Boni'!$A$30:$D$60,2,FALSE),0)</f>
        <v>0</v>
      </c>
      <c r="D217" s="95">
        <f>_xlfn.IFNA(VLOOKUP(A217,'Anlage 1b_Abzüge, Pflicht, Boni'!$A$9:$D$94,3,FALSE),0)</f>
        <v>0</v>
      </c>
      <c r="E217" s="95">
        <f>_xlfn.IFNA(VLOOKUP(A217,'Anlage 1b_Abzüge, Pflicht, Boni'!$A$30:$D$58,4,FALSE),0)</f>
        <v>0</v>
      </c>
      <c r="F217" s="95">
        <f t="shared" si="15"/>
        <v>118979.23999999999</v>
      </c>
      <c r="G217" s="95">
        <f>SUMIFS('Anlage 1c_Korrekturen_NB'!$L$80:$L$314,'Anlage 1c_Korrekturen_NB'!$A$80:$A$314,'Anlage 3a_Zusammenfassung_KWKG'!$A217)</f>
        <v>0</v>
      </c>
      <c r="H217" s="747">
        <f>_xlfn.IFNA(VLOOKUP(A217,'Anlage 1c_Korrekturen_NB'!$A$678:$D$680,4,FALSE),0)</f>
        <v>0</v>
      </c>
      <c r="I217" s="748">
        <f t="shared" si="14"/>
        <v>0</v>
      </c>
      <c r="J217" s="20"/>
    </row>
    <row r="218" spans="1:10" hidden="1" outlineLevel="1">
      <c r="A218" s="418" t="s">
        <v>503</v>
      </c>
      <c r="B218" s="544">
        <v>193584.71</v>
      </c>
      <c r="C218" s="95">
        <f>_xlfn.IFNA(VLOOKUP($A218,'Anlage 1b_Abzüge, Pflicht, Boni'!$A$30:$D$60,2,FALSE),0)</f>
        <v>-1976</v>
      </c>
      <c r="D218" s="95">
        <f>_xlfn.IFNA(VLOOKUP(A218,'Anlage 1b_Abzüge, Pflicht, Boni'!$A$9:$D$94,3,FALSE),0)</f>
        <v>0</v>
      </c>
      <c r="E218" s="95">
        <f>_xlfn.IFNA(VLOOKUP(A218,'Anlage 1b_Abzüge, Pflicht, Boni'!$A$30:$D$58,4,FALSE),0)</f>
        <v>0</v>
      </c>
      <c r="F218" s="95">
        <f t="shared" si="15"/>
        <v>191608.71</v>
      </c>
      <c r="G218" s="95">
        <f>SUMIFS('Anlage 1c_Korrekturen_NB'!$L$80:$L$314,'Anlage 1c_Korrekturen_NB'!$A$80:$A$314,'Anlage 3a_Zusammenfassung_KWKG'!$A218)</f>
        <v>47399.399999999994</v>
      </c>
      <c r="H218" s="747">
        <f>_xlfn.IFNA(VLOOKUP(A218,'Anlage 1c_Korrekturen_NB'!$A$678:$D$680,4,FALSE),0)</f>
        <v>0</v>
      </c>
      <c r="I218" s="748">
        <f t="shared" si="14"/>
        <v>47399.399999999994</v>
      </c>
      <c r="J218" s="20"/>
    </row>
    <row r="219" spans="1:10" hidden="1" outlineLevel="1">
      <c r="A219" s="418" t="s">
        <v>505</v>
      </c>
      <c r="B219" s="544">
        <v>89626.69</v>
      </c>
      <c r="C219" s="95">
        <f>_xlfn.IFNA(VLOOKUP($A219,'Anlage 1b_Abzüge, Pflicht, Boni'!$A$30:$D$60,2,FALSE),0)</f>
        <v>-24.39</v>
      </c>
      <c r="D219" s="95">
        <f>_xlfn.IFNA(VLOOKUP(A219,'Anlage 1b_Abzüge, Pflicht, Boni'!$A$9:$D$94,3,FALSE),0)</f>
        <v>0</v>
      </c>
      <c r="E219" s="95">
        <f>_xlfn.IFNA(VLOOKUP(A219,'Anlage 1b_Abzüge, Pflicht, Boni'!$A$30:$D$58,4,FALSE),0)</f>
        <v>0</v>
      </c>
      <c r="F219" s="95">
        <f t="shared" si="15"/>
        <v>89602.3</v>
      </c>
      <c r="G219" s="95">
        <f>SUMIFS('Anlage 1c_Korrekturen_NB'!$L$80:$L$314,'Anlage 1c_Korrekturen_NB'!$A$80:$A$314,'Anlage 3a_Zusammenfassung_KWKG'!$A219)</f>
        <v>0</v>
      </c>
      <c r="H219" s="747">
        <f>_xlfn.IFNA(VLOOKUP(A219,'Anlage 1c_Korrekturen_NB'!$A$678:$D$680,4,FALSE),0)</f>
        <v>0</v>
      </c>
      <c r="I219" s="748">
        <f t="shared" si="14"/>
        <v>0</v>
      </c>
      <c r="J219" s="20"/>
    </row>
    <row r="220" spans="1:10" hidden="1" outlineLevel="1">
      <c r="A220" s="418" t="s">
        <v>507</v>
      </c>
      <c r="B220" s="544">
        <v>79487.31</v>
      </c>
      <c r="C220" s="95">
        <f>_xlfn.IFNA(VLOOKUP($A220,'Anlage 1b_Abzüge, Pflicht, Boni'!$A$30:$D$60,2,FALSE),0)</f>
        <v>0</v>
      </c>
      <c r="D220" s="95">
        <f>_xlfn.IFNA(VLOOKUP(A220,'Anlage 1b_Abzüge, Pflicht, Boni'!$A$9:$D$94,3,FALSE),0)</f>
        <v>0</v>
      </c>
      <c r="E220" s="95">
        <f>_xlfn.IFNA(VLOOKUP(A220,'Anlage 1b_Abzüge, Pflicht, Boni'!$A$30:$D$58,4,FALSE),0)</f>
        <v>0</v>
      </c>
      <c r="F220" s="95">
        <f t="shared" si="15"/>
        <v>79487.31</v>
      </c>
      <c r="G220" s="95">
        <f>SUMIFS('Anlage 1c_Korrekturen_NB'!$L$80:$L$314,'Anlage 1c_Korrekturen_NB'!$A$80:$A$314,'Anlage 3a_Zusammenfassung_KWKG'!$A220)</f>
        <v>-4093.5</v>
      </c>
      <c r="H220" s="747">
        <f>_xlfn.IFNA(VLOOKUP(A220,'Anlage 1c_Korrekturen_NB'!$A$678:$D$680,4,FALSE),0)</f>
        <v>0</v>
      </c>
      <c r="I220" s="748">
        <f t="shared" si="14"/>
        <v>-4093.5</v>
      </c>
      <c r="J220" s="20"/>
    </row>
    <row r="221" spans="1:10" hidden="1" outlineLevel="1">
      <c r="A221" s="418" t="s">
        <v>509</v>
      </c>
      <c r="B221" s="544">
        <v>60809.05</v>
      </c>
      <c r="C221" s="95">
        <f>_xlfn.IFNA(VLOOKUP($A221,'Anlage 1b_Abzüge, Pflicht, Boni'!$A$30:$D$60,2,FALSE),0)</f>
        <v>0</v>
      </c>
      <c r="D221" s="95">
        <f>_xlfn.IFNA(VLOOKUP(A221,'Anlage 1b_Abzüge, Pflicht, Boni'!$A$9:$D$94,3,FALSE),0)</f>
        <v>0</v>
      </c>
      <c r="E221" s="95">
        <f>_xlfn.IFNA(VLOOKUP(A221,'Anlage 1b_Abzüge, Pflicht, Boni'!$A$30:$D$58,4,FALSE),0)</f>
        <v>0</v>
      </c>
      <c r="F221" s="95">
        <f t="shared" si="15"/>
        <v>60809.05</v>
      </c>
      <c r="G221" s="95">
        <f>SUMIFS('Anlage 1c_Korrekturen_NB'!$L$80:$L$314,'Anlage 1c_Korrekturen_NB'!$A$80:$A$314,'Anlage 3a_Zusammenfassung_KWKG'!$A221)</f>
        <v>13108.63</v>
      </c>
      <c r="H221" s="747">
        <f>_xlfn.IFNA(VLOOKUP(A221,'Anlage 1c_Korrekturen_NB'!$A$678:$D$680,4,FALSE),0)</f>
        <v>0</v>
      </c>
      <c r="I221" s="748">
        <f t="shared" si="14"/>
        <v>13108.63</v>
      </c>
      <c r="J221" s="20"/>
    </row>
    <row r="222" spans="1:10" hidden="1" outlineLevel="1">
      <c r="A222" s="418" t="s">
        <v>511</v>
      </c>
      <c r="B222" s="544">
        <v>0</v>
      </c>
      <c r="C222" s="95">
        <f>_xlfn.IFNA(VLOOKUP($A222,'Anlage 1b_Abzüge, Pflicht, Boni'!$A$30:$D$60,2,FALSE),0)</f>
        <v>0</v>
      </c>
      <c r="D222" s="95">
        <f>_xlfn.IFNA(VLOOKUP(A222,'Anlage 1b_Abzüge, Pflicht, Boni'!$A$9:$D$94,3,FALSE),0)</f>
        <v>0</v>
      </c>
      <c r="E222" s="95">
        <f>_xlfn.IFNA(VLOOKUP(A222,'Anlage 1b_Abzüge, Pflicht, Boni'!$A$30:$D$58,4,FALSE),0)</f>
        <v>0</v>
      </c>
      <c r="F222" s="95">
        <f t="shared" si="15"/>
        <v>0</v>
      </c>
      <c r="G222" s="95">
        <f>SUMIFS('Anlage 1c_Korrekturen_NB'!$L$80:$L$314,'Anlage 1c_Korrekturen_NB'!$A$80:$A$314,'Anlage 3a_Zusammenfassung_KWKG'!$A222)</f>
        <v>0</v>
      </c>
      <c r="H222" s="747">
        <f>_xlfn.IFNA(VLOOKUP(A222,'Anlage 1c_Korrekturen_NB'!$A$678:$D$680,4,FALSE),0)</f>
        <v>0</v>
      </c>
      <c r="I222" s="748">
        <f t="shared" si="14"/>
        <v>0</v>
      </c>
      <c r="J222" s="20"/>
    </row>
    <row r="223" spans="1:10" hidden="1" outlineLevel="1">
      <c r="A223" s="418" t="s">
        <v>172</v>
      </c>
      <c r="B223" s="544">
        <v>0</v>
      </c>
      <c r="C223" s="95">
        <f>_xlfn.IFNA(VLOOKUP($A223,'Anlage 1b_Abzüge, Pflicht, Boni'!$A$30:$D$60,2,FALSE),0)</f>
        <v>0</v>
      </c>
      <c r="D223" s="95">
        <f>_xlfn.IFNA(VLOOKUP(A223,'Anlage 1b_Abzüge, Pflicht, Boni'!$A$9:$D$94,3,FALSE),0)</f>
        <v>0</v>
      </c>
      <c r="E223" s="95">
        <f>_xlfn.IFNA(VLOOKUP(A223,'Anlage 1b_Abzüge, Pflicht, Boni'!$A$30:$D$58,4,FALSE),0)</f>
        <v>0</v>
      </c>
      <c r="F223" s="95">
        <f t="shared" si="15"/>
        <v>0</v>
      </c>
      <c r="G223" s="95">
        <f>SUMIFS('Anlage 1c_Korrekturen_NB'!$L$80:$L$314,'Anlage 1c_Korrekturen_NB'!$A$80:$A$314,'Anlage 3a_Zusammenfassung_KWKG'!$A223)</f>
        <v>0</v>
      </c>
      <c r="H223" s="747">
        <f>_xlfn.IFNA(VLOOKUP(A223,'Anlage 1c_Korrekturen_NB'!$A$678:$D$680,4,FALSE),0)</f>
        <v>0</v>
      </c>
      <c r="I223" s="748">
        <f t="shared" si="14"/>
        <v>0</v>
      </c>
      <c r="J223" s="20"/>
    </row>
    <row r="224" spans="1:10" hidden="1" outlineLevel="1">
      <c r="A224" s="418" t="s">
        <v>513</v>
      </c>
      <c r="B224" s="544">
        <v>54587.92</v>
      </c>
      <c r="C224" s="95">
        <f>_xlfn.IFNA(VLOOKUP($A224,'Anlage 1b_Abzüge, Pflicht, Boni'!$A$30:$D$60,2,FALSE),0)</f>
        <v>0</v>
      </c>
      <c r="D224" s="95">
        <f>_xlfn.IFNA(VLOOKUP(A224,'Anlage 1b_Abzüge, Pflicht, Boni'!$A$9:$D$94,3,FALSE),0)</f>
        <v>0</v>
      </c>
      <c r="E224" s="95">
        <f>_xlfn.IFNA(VLOOKUP(A224,'Anlage 1b_Abzüge, Pflicht, Boni'!$A$30:$D$58,4,FALSE),0)</f>
        <v>0</v>
      </c>
      <c r="F224" s="95">
        <f t="shared" si="15"/>
        <v>54587.92</v>
      </c>
      <c r="G224" s="95">
        <f>SUMIFS('Anlage 1c_Korrekturen_NB'!$L$80:$L$314,'Anlage 1c_Korrekturen_NB'!$A$80:$A$314,'Anlage 3a_Zusammenfassung_KWKG'!$A224)</f>
        <v>-424418.51</v>
      </c>
      <c r="H224" s="747">
        <f>_xlfn.IFNA(VLOOKUP(A224,'Anlage 1c_Korrekturen_NB'!$A$678:$D$680,4,FALSE),0)</f>
        <v>0</v>
      </c>
      <c r="I224" s="748">
        <f t="shared" si="14"/>
        <v>-424418.51</v>
      </c>
      <c r="J224" s="20"/>
    </row>
    <row r="225" spans="1:10" hidden="1" outlineLevel="1">
      <c r="A225" s="418" t="s">
        <v>515</v>
      </c>
      <c r="B225" s="544">
        <v>3675.36</v>
      </c>
      <c r="C225" s="95">
        <f>_xlfn.IFNA(VLOOKUP($A225,'Anlage 1b_Abzüge, Pflicht, Boni'!$A$30:$D$60,2,FALSE),0)</f>
        <v>0</v>
      </c>
      <c r="D225" s="95">
        <f>_xlfn.IFNA(VLOOKUP(A225,'Anlage 1b_Abzüge, Pflicht, Boni'!$A$9:$D$94,3,FALSE),0)</f>
        <v>0</v>
      </c>
      <c r="E225" s="95">
        <f>_xlfn.IFNA(VLOOKUP(A225,'Anlage 1b_Abzüge, Pflicht, Boni'!$A$30:$D$58,4,FALSE),0)</f>
        <v>0</v>
      </c>
      <c r="F225" s="95">
        <f t="shared" si="15"/>
        <v>3675.36</v>
      </c>
      <c r="G225" s="95">
        <f>SUMIFS('Anlage 1c_Korrekturen_NB'!$L$80:$L$314,'Anlage 1c_Korrekturen_NB'!$A$80:$A$314,'Anlage 3a_Zusammenfassung_KWKG'!$A225)</f>
        <v>0</v>
      </c>
      <c r="H225" s="747">
        <f>_xlfn.IFNA(VLOOKUP(A225,'Anlage 1c_Korrekturen_NB'!$A$678:$D$680,4,FALSE),0)</f>
        <v>0</v>
      </c>
      <c r="I225" s="748">
        <f t="shared" si="14"/>
        <v>0</v>
      </c>
      <c r="J225" s="20"/>
    </row>
    <row r="226" spans="1:10" hidden="1" outlineLevel="1">
      <c r="A226" s="418" t="s">
        <v>517</v>
      </c>
      <c r="B226" s="544">
        <v>45238.75</v>
      </c>
      <c r="C226" s="95">
        <f>_xlfn.IFNA(VLOOKUP($A226,'Anlage 1b_Abzüge, Pflicht, Boni'!$A$30:$D$60,2,FALSE),0)</f>
        <v>0</v>
      </c>
      <c r="D226" s="95">
        <f>_xlfn.IFNA(VLOOKUP(A226,'Anlage 1b_Abzüge, Pflicht, Boni'!$A$9:$D$94,3,FALSE),0)</f>
        <v>0</v>
      </c>
      <c r="E226" s="95">
        <f>_xlfn.IFNA(VLOOKUP(A226,'Anlage 1b_Abzüge, Pflicht, Boni'!$A$30:$D$58,4,FALSE),0)</f>
        <v>0</v>
      </c>
      <c r="F226" s="95">
        <f t="shared" si="15"/>
        <v>45238.75</v>
      </c>
      <c r="G226" s="95">
        <f>SUMIFS('Anlage 1c_Korrekturen_NB'!$L$80:$L$314,'Anlage 1c_Korrekturen_NB'!$A$80:$A$314,'Anlage 3a_Zusammenfassung_KWKG'!$A226)</f>
        <v>39.04</v>
      </c>
      <c r="H226" s="747">
        <f>_xlfn.IFNA(VLOOKUP(A226,'Anlage 1c_Korrekturen_NB'!$A$678:$D$680,4,FALSE),0)</f>
        <v>0</v>
      </c>
      <c r="I226" s="748">
        <f t="shared" si="14"/>
        <v>39.04</v>
      </c>
      <c r="J226" s="20"/>
    </row>
    <row r="227" spans="1:10" hidden="1" outlineLevel="1">
      <c r="A227" s="418" t="s">
        <v>519</v>
      </c>
      <c r="B227" s="544">
        <v>84792.349999999991</v>
      </c>
      <c r="C227" s="95">
        <f>_xlfn.IFNA(VLOOKUP($A227,'Anlage 1b_Abzüge, Pflicht, Boni'!$A$30:$D$60,2,FALSE),0)</f>
        <v>0</v>
      </c>
      <c r="D227" s="95">
        <f>_xlfn.IFNA(VLOOKUP(A227,'Anlage 1b_Abzüge, Pflicht, Boni'!$A$9:$D$94,3,FALSE),0)</f>
        <v>0</v>
      </c>
      <c r="E227" s="95">
        <f>_xlfn.IFNA(VLOOKUP(A227,'Anlage 1b_Abzüge, Pflicht, Boni'!$A$30:$D$58,4,FALSE),0)</f>
        <v>0</v>
      </c>
      <c r="F227" s="95">
        <f t="shared" si="15"/>
        <v>84792.349999999991</v>
      </c>
      <c r="G227" s="95">
        <f>SUMIFS('Anlage 1c_Korrekturen_NB'!$L$80:$L$314,'Anlage 1c_Korrekturen_NB'!$A$80:$A$314,'Anlage 3a_Zusammenfassung_KWKG'!$A227)</f>
        <v>-128484.29999999999</v>
      </c>
      <c r="H227" s="747">
        <f>_xlfn.IFNA(VLOOKUP(A227,'Anlage 1c_Korrekturen_NB'!$A$678:$D$680,4,FALSE),0)</f>
        <v>0</v>
      </c>
      <c r="I227" s="748">
        <f t="shared" si="14"/>
        <v>-128484.29999999999</v>
      </c>
      <c r="J227" s="20"/>
    </row>
    <row r="228" spans="1:10" hidden="1" outlineLevel="1">
      <c r="A228" s="418" t="s">
        <v>521</v>
      </c>
      <c r="B228" s="544">
        <v>94895.96</v>
      </c>
      <c r="C228" s="95">
        <f>_xlfn.IFNA(VLOOKUP($A228,'Anlage 1b_Abzüge, Pflicht, Boni'!$A$30:$D$60,2,FALSE),0)</f>
        <v>0</v>
      </c>
      <c r="D228" s="95">
        <f>_xlfn.IFNA(VLOOKUP(A228,'Anlage 1b_Abzüge, Pflicht, Boni'!$A$9:$D$94,3,FALSE),0)</f>
        <v>0</v>
      </c>
      <c r="E228" s="95">
        <f>_xlfn.IFNA(VLOOKUP(A228,'Anlage 1b_Abzüge, Pflicht, Boni'!$A$30:$D$58,4,FALSE),0)</f>
        <v>0</v>
      </c>
      <c r="F228" s="95">
        <f t="shared" si="15"/>
        <v>94895.96</v>
      </c>
      <c r="G228" s="95">
        <f>SUMIFS('Anlage 1c_Korrekturen_NB'!$L$80:$L$314,'Anlage 1c_Korrekturen_NB'!$A$80:$A$314,'Anlage 3a_Zusammenfassung_KWKG'!$A228)</f>
        <v>0</v>
      </c>
      <c r="H228" s="747">
        <f>_xlfn.IFNA(VLOOKUP(A228,'Anlage 1c_Korrekturen_NB'!$A$678:$D$680,4,FALSE),0)</f>
        <v>0</v>
      </c>
      <c r="I228" s="748">
        <f t="shared" si="14"/>
        <v>0</v>
      </c>
      <c r="J228" s="20"/>
    </row>
    <row r="229" spans="1:10" hidden="1" outlineLevel="1">
      <c r="A229" s="418" t="s">
        <v>523</v>
      </c>
      <c r="B229" s="544">
        <v>33476</v>
      </c>
      <c r="C229" s="95">
        <f>_xlfn.IFNA(VLOOKUP($A229,'Anlage 1b_Abzüge, Pflicht, Boni'!$A$30:$D$60,2,FALSE),0)</f>
        <v>0</v>
      </c>
      <c r="D229" s="95">
        <f>_xlfn.IFNA(VLOOKUP(A229,'Anlage 1b_Abzüge, Pflicht, Boni'!$A$9:$D$94,3,FALSE),0)</f>
        <v>0</v>
      </c>
      <c r="E229" s="95">
        <f>_xlfn.IFNA(VLOOKUP(A229,'Anlage 1b_Abzüge, Pflicht, Boni'!$A$30:$D$58,4,FALSE),0)</f>
        <v>0</v>
      </c>
      <c r="F229" s="95">
        <f t="shared" si="15"/>
        <v>33476</v>
      </c>
      <c r="G229" s="95">
        <f>SUMIFS('Anlage 1c_Korrekturen_NB'!$L$80:$L$314,'Anlage 1c_Korrekturen_NB'!$A$80:$A$314,'Anlage 3a_Zusammenfassung_KWKG'!$A229)</f>
        <v>176646.08000000002</v>
      </c>
      <c r="H229" s="747">
        <f>_xlfn.IFNA(VLOOKUP(A229,'Anlage 1c_Korrekturen_NB'!$A$678:$D$680,4,FALSE),0)</f>
        <v>0</v>
      </c>
      <c r="I229" s="748">
        <f t="shared" si="14"/>
        <v>176646.08000000002</v>
      </c>
      <c r="J229" s="20"/>
    </row>
    <row r="230" spans="1:10" hidden="1" outlineLevel="1">
      <c r="A230" s="418" t="s">
        <v>525</v>
      </c>
      <c r="B230" s="544">
        <v>3595.11</v>
      </c>
      <c r="C230" s="95">
        <f>_xlfn.IFNA(VLOOKUP($A230,'Anlage 1b_Abzüge, Pflicht, Boni'!$A$30:$D$60,2,FALSE),0)</f>
        <v>0</v>
      </c>
      <c r="D230" s="95">
        <f>_xlfn.IFNA(VLOOKUP(A230,'Anlage 1b_Abzüge, Pflicht, Boni'!$A$9:$D$94,3,FALSE),0)</f>
        <v>0</v>
      </c>
      <c r="E230" s="95">
        <f>_xlfn.IFNA(VLOOKUP(A230,'Anlage 1b_Abzüge, Pflicht, Boni'!$A$30:$D$58,4,FALSE),0)</f>
        <v>0</v>
      </c>
      <c r="F230" s="95">
        <f t="shared" si="15"/>
        <v>3595.11</v>
      </c>
      <c r="G230" s="95">
        <f>SUMIFS('Anlage 1c_Korrekturen_NB'!$L$80:$L$314,'Anlage 1c_Korrekturen_NB'!$A$80:$A$314,'Anlage 3a_Zusammenfassung_KWKG'!$A230)</f>
        <v>0</v>
      </c>
      <c r="H230" s="747">
        <f>_xlfn.IFNA(VLOOKUP(A230,'Anlage 1c_Korrekturen_NB'!$A$678:$D$680,4,FALSE),0)</f>
        <v>0</v>
      </c>
      <c r="I230" s="748">
        <f t="shared" si="14"/>
        <v>0</v>
      </c>
      <c r="J230" s="20"/>
    </row>
    <row r="231" spans="1:10" hidden="1" outlineLevel="1">
      <c r="A231" s="418" t="s">
        <v>527</v>
      </c>
      <c r="B231" s="544">
        <v>119517.42</v>
      </c>
      <c r="C231" s="95">
        <f>_xlfn.IFNA(VLOOKUP($A231,'Anlage 1b_Abzüge, Pflicht, Boni'!$A$30:$D$60,2,FALSE),0)</f>
        <v>0</v>
      </c>
      <c r="D231" s="95">
        <f>_xlfn.IFNA(VLOOKUP(A231,'Anlage 1b_Abzüge, Pflicht, Boni'!$A$9:$D$94,3,FALSE),0)</f>
        <v>0</v>
      </c>
      <c r="E231" s="95">
        <f>_xlfn.IFNA(VLOOKUP(A231,'Anlage 1b_Abzüge, Pflicht, Boni'!$A$30:$D$58,4,FALSE),0)</f>
        <v>0</v>
      </c>
      <c r="F231" s="95">
        <f t="shared" si="15"/>
        <v>119517.42</v>
      </c>
      <c r="G231" s="95">
        <f>SUMIFS('Anlage 1c_Korrekturen_NB'!$L$80:$L$314,'Anlage 1c_Korrekturen_NB'!$A$80:$A$314,'Anlage 3a_Zusammenfassung_KWKG'!$A231)</f>
        <v>13987.96</v>
      </c>
      <c r="H231" s="747">
        <f>_xlfn.IFNA(VLOOKUP(A231,'Anlage 1c_Korrekturen_NB'!$A$678:$D$680,4,FALSE),0)</f>
        <v>0</v>
      </c>
      <c r="I231" s="748">
        <f t="shared" si="14"/>
        <v>13987.96</v>
      </c>
      <c r="J231" s="20"/>
    </row>
    <row r="232" spans="1:10" hidden="1" outlineLevel="1">
      <c r="A232" s="418" t="s">
        <v>529</v>
      </c>
      <c r="B232" s="544">
        <v>0</v>
      </c>
      <c r="C232" s="95">
        <f>_xlfn.IFNA(VLOOKUP($A232,'Anlage 1b_Abzüge, Pflicht, Boni'!$A$30:$D$60,2,FALSE),0)</f>
        <v>0</v>
      </c>
      <c r="D232" s="95">
        <f>_xlfn.IFNA(VLOOKUP(A232,'Anlage 1b_Abzüge, Pflicht, Boni'!$A$9:$D$94,3,FALSE),0)</f>
        <v>0</v>
      </c>
      <c r="E232" s="95">
        <f>_xlfn.IFNA(VLOOKUP(A232,'Anlage 1b_Abzüge, Pflicht, Boni'!$A$30:$D$58,4,FALSE),0)</f>
        <v>0</v>
      </c>
      <c r="F232" s="95">
        <f t="shared" si="15"/>
        <v>0</v>
      </c>
      <c r="G232" s="95">
        <f>SUMIFS('Anlage 1c_Korrekturen_NB'!$L$80:$L$314,'Anlage 1c_Korrekturen_NB'!$A$80:$A$314,'Anlage 3a_Zusammenfassung_KWKG'!$A232)</f>
        <v>0</v>
      </c>
      <c r="H232" s="747">
        <f>_xlfn.IFNA(VLOOKUP(A232,'Anlage 1c_Korrekturen_NB'!$A$678:$D$680,4,FALSE),0)</f>
        <v>0</v>
      </c>
      <c r="I232" s="748">
        <f t="shared" ref="I232:I295" si="16">G232+H232</f>
        <v>0</v>
      </c>
      <c r="J232" s="20"/>
    </row>
    <row r="233" spans="1:10" hidden="1" outlineLevel="1">
      <c r="A233" s="418" t="s">
        <v>531</v>
      </c>
      <c r="B233" s="544">
        <v>136687.67999999999</v>
      </c>
      <c r="C233" s="95">
        <f>_xlfn.IFNA(VLOOKUP($A233,'Anlage 1b_Abzüge, Pflicht, Boni'!$A$30:$D$60,2,FALSE),0)</f>
        <v>0</v>
      </c>
      <c r="D233" s="95">
        <f>_xlfn.IFNA(VLOOKUP(A233,'Anlage 1b_Abzüge, Pflicht, Boni'!$A$9:$D$94,3,FALSE),0)</f>
        <v>0</v>
      </c>
      <c r="E233" s="95">
        <f>_xlfn.IFNA(VLOOKUP(A233,'Anlage 1b_Abzüge, Pflicht, Boni'!$A$30:$D$58,4,FALSE),0)</f>
        <v>0</v>
      </c>
      <c r="F233" s="95">
        <f t="shared" ref="F233:F296" si="17">SUM(B233:E233)</f>
        <v>136687.67999999999</v>
      </c>
      <c r="G233" s="95">
        <f>SUMIFS('Anlage 1c_Korrekturen_NB'!$L$80:$L$314,'Anlage 1c_Korrekturen_NB'!$A$80:$A$314,'Anlage 3a_Zusammenfassung_KWKG'!$A233)</f>
        <v>22561.69</v>
      </c>
      <c r="H233" s="747">
        <f>_xlfn.IFNA(VLOOKUP(A233,'Anlage 1c_Korrekturen_NB'!$A$678:$D$680,4,FALSE),0)</f>
        <v>0</v>
      </c>
      <c r="I233" s="748">
        <f t="shared" si="16"/>
        <v>22561.69</v>
      </c>
      <c r="J233" s="20"/>
    </row>
    <row r="234" spans="1:10" hidden="1" outlineLevel="1">
      <c r="A234" s="418" t="s">
        <v>533</v>
      </c>
      <c r="B234" s="544">
        <v>276176.14999999997</v>
      </c>
      <c r="C234" s="95">
        <f>_xlfn.IFNA(VLOOKUP($A234,'Anlage 1b_Abzüge, Pflicht, Boni'!$A$30:$D$60,2,FALSE),0)</f>
        <v>0</v>
      </c>
      <c r="D234" s="95">
        <f>_xlfn.IFNA(VLOOKUP(A234,'Anlage 1b_Abzüge, Pflicht, Boni'!$A$9:$D$94,3,FALSE),0)</f>
        <v>0</v>
      </c>
      <c r="E234" s="95">
        <f>_xlfn.IFNA(VLOOKUP(A234,'Anlage 1b_Abzüge, Pflicht, Boni'!$A$30:$D$58,4,FALSE),0)</f>
        <v>0</v>
      </c>
      <c r="F234" s="95">
        <f t="shared" si="17"/>
        <v>276176.14999999997</v>
      </c>
      <c r="G234" s="95">
        <f>SUMIFS('Anlage 1c_Korrekturen_NB'!$L$80:$L$314,'Anlage 1c_Korrekturen_NB'!$A$80:$A$314,'Anlage 3a_Zusammenfassung_KWKG'!$A234)</f>
        <v>0</v>
      </c>
      <c r="H234" s="747">
        <f>_xlfn.IFNA(VLOOKUP(A234,'Anlage 1c_Korrekturen_NB'!$A$678:$D$680,4,FALSE),0)</f>
        <v>0</v>
      </c>
      <c r="I234" s="748">
        <f t="shared" si="16"/>
        <v>0</v>
      </c>
      <c r="J234" s="20"/>
    </row>
    <row r="235" spans="1:10" hidden="1" outlineLevel="1">
      <c r="A235" s="418" t="s">
        <v>535</v>
      </c>
      <c r="B235" s="544">
        <v>109908.93</v>
      </c>
      <c r="C235" s="95">
        <f>_xlfn.IFNA(VLOOKUP($A235,'Anlage 1b_Abzüge, Pflicht, Boni'!$A$30:$D$60,2,FALSE),0)</f>
        <v>0</v>
      </c>
      <c r="D235" s="95">
        <f>_xlfn.IFNA(VLOOKUP(A235,'Anlage 1b_Abzüge, Pflicht, Boni'!$A$9:$D$94,3,FALSE),0)</f>
        <v>0</v>
      </c>
      <c r="E235" s="95">
        <f>_xlfn.IFNA(VLOOKUP(A235,'Anlage 1b_Abzüge, Pflicht, Boni'!$A$30:$D$58,4,FALSE),0)</f>
        <v>0</v>
      </c>
      <c r="F235" s="95">
        <f t="shared" si="17"/>
        <v>109908.93</v>
      </c>
      <c r="G235" s="95">
        <f>SUMIFS('Anlage 1c_Korrekturen_NB'!$L$80:$L$314,'Anlage 1c_Korrekturen_NB'!$A$80:$A$314,'Anlage 3a_Zusammenfassung_KWKG'!$A235)</f>
        <v>-821.54</v>
      </c>
      <c r="H235" s="747">
        <f>_xlfn.IFNA(VLOOKUP(A235,'Anlage 1c_Korrekturen_NB'!$A$678:$D$680,4,FALSE),0)</f>
        <v>0</v>
      </c>
      <c r="I235" s="748">
        <f t="shared" si="16"/>
        <v>-821.54</v>
      </c>
      <c r="J235" s="20"/>
    </row>
    <row r="236" spans="1:10" hidden="1" outlineLevel="1">
      <c r="A236" s="418" t="s">
        <v>537</v>
      </c>
      <c r="B236" s="544">
        <v>0</v>
      </c>
      <c r="C236" s="95">
        <f>_xlfn.IFNA(VLOOKUP($A236,'Anlage 1b_Abzüge, Pflicht, Boni'!$A$30:$D$60,2,FALSE),0)</f>
        <v>0</v>
      </c>
      <c r="D236" s="95">
        <f>_xlfn.IFNA(VLOOKUP(A236,'Anlage 1b_Abzüge, Pflicht, Boni'!$A$9:$D$94,3,FALSE),0)</f>
        <v>0</v>
      </c>
      <c r="E236" s="95">
        <f>_xlfn.IFNA(VLOOKUP(A236,'Anlage 1b_Abzüge, Pflicht, Boni'!$A$30:$D$58,4,FALSE),0)</f>
        <v>0</v>
      </c>
      <c r="F236" s="95">
        <f t="shared" si="17"/>
        <v>0</v>
      </c>
      <c r="G236" s="95">
        <f>SUMIFS('Anlage 1c_Korrekturen_NB'!$L$80:$L$314,'Anlage 1c_Korrekturen_NB'!$A$80:$A$314,'Anlage 3a_Zusammenfassung_KWKG'!$A236)</f>
        <v>0</v>
      </c>
      <c r="H236" s="747">
        <f>_xlfn.IFNA(VLOOKUP(A236,'Anlage 1c_Korrekturen_NB'!$A$678:$D$680,4,FALSE),0)</f>
        <v>0</v>
      </c>
      <c r="I236" s="748">
        <f t="shared" si="16"/>
        <v>0</v>
      </c>
      <c r="J236" s="20"/>
    </row>
    <row r="237" spans="1:10" hidden="1" outlineLevel="1">
      <c r="A237" s="418" t="s">
        <v>539</v>
      </c>
      <c r="B237" s="544">
        <v>147508.15</v>
      </c>
      <c r="C237" s="95">
        <f>_xlfn.IFNA(VLOOKUP($A237,'Anlage 1b_Abzüge, Pflicht, Boni'!$A$30:$D$60,2,FALSE),0)</f>
        <v>-215.42</v>
      </c>
      <c r="D237" s="95">
        <f>_xlfn.IFNA(VLOOKUP(A237,'Anlage 1b_Abzüge, Pflicht, Boni'!$A$9:$D$94,3,FALSE),0)</f>
        <v>0</v>
      </c>
      <c r="E237" s="95">
        <f>_xlfn.IFNA(VLOOKUP(A237,'Anlage 1b_Abzüge, Pflicht, Boni'!$A$30:$D$58,4,FALSE),0)</f>
        <v>0</v>
      </c>
      <c r="F237" s="95">
        <f t="shared" si="17"/>
        <v>147292.72999999998</v>
      </c>
      <c r="G237" s="95">
        <f>SUMIFS('Anlage 1c_Korrekturen_NB'!$L$80:$L$314,'Anlage 1c_Korrekturen_NB'!$A$80:$A$314,'Anlage 3a_Zusammenfassung_KWKG'!$A237)</f>
        <v>-1729.84</v>
      </c>
      <c r="H237" s="747">
        <f>_xlfn.IFNA(VLOOKUP(A237,'Anlage 1c_Korrekturen_NB'!$A$678:$D$680,4,FALSE),0)</f>
        <v>0</v>
      </c>
      <c r="I237" s="748">
        <f t="shared" si="16"/>
        <v>-1729.84</v>
      </c>
      <c r="J237" s="20"/>
    </row>
    <row r="238" spans="1:10" hidden="1" outlineLevel="1">
      <c r="A238" s="418" t="s">
        <v>541</v>
      </c>
      <c r="B238" s="544">
        <v>27093317.949999999</v>
      </c>
      <c r="C238" s="95">
        <f>_xlfn.IFNA(VLOOKUP($A238,'Anlage 1b_Abzüge, Pflicht, Boni'!$A$30:$D$60,2,FALSE),0)</f>
        <v>0</v>
      </c>
      <c r="D238" s="95">
        <f>_xlfn.IFNA(VLOOKUP(A238,'Anlage 1b_Abzüge, Pflicht, Boni'!$A$9:$D$94,3,FALSE),0)</f>
        <v>0</v>
      </c>
      <c r="E238" s="95">
        <f>_xlfn.IFNA(VLOOKUP(A238,'Anlage 1b_Abzüge, Pflicht, Boni'!$A$30:$D$58,4,FALSE),0)</f>
        <v>0</v>
      </c>
      <c r="F238" s="95">
        <f t="shared" si="17"/>
        <v>27093317.949999999</v>
      </c>
      <c r="G238" s="95">
        <f>SUMIFS('Anlage 1c_Korrekturen_NB'!$L$80:$L$314,'Anlage 1c_Korrekturen_NB'!$A$80:$A$314,'Anlage 3a_Zusammenfassung_KWKG'!$A238)</f>
        <v>238490.78999999998</v>
      </c>
      <c r="H238" s="747">
        <f>_xlfn.IFNA(VLOOKUP(A238,'Anlage 1c_Korrekturen_NB'!$A$678:$D$680,4,FALSE),0)</f>
        <v>0</v>
      </c>
      <c r="I238" s="748">
        <f t="shared" si="16"/>
        <v>238490.78999999998</v>
      </c>
      <c r="J238" s="20"/>
    </row>
    <row r="239" spans="1:10" hidden="1" outlineLevel="1">
      <c r="A239" s="418" t="s">
        <v>543</v>
      </c>
      <c r="B239" s="544">
        <v>1687181.07</v>
      </c>
      <c r="C239" s="95">
        <f>_xlfn.IFNA(VLOOKUP($A239,'Anlage 1b_Abzüge, Pflicht, Boni'!$A$30:$D$60,2,FALSE),0)</f>
        <v>0</v>
      </c>
      <c r="D239" s="95">
        <f>_xlfn.IFNA(VLOOKUP(A239,'Anlage 1b_Abzüge, Pflicht, Boni'!$A$9:$D$94,3,FALSE),0)</f>
        <v>0</v>
      </c>
      <c r="E239" s="95">
        <f>_xlfn.IFNA(VLOOKUP(A239,'Anlage 1b_Abzüge, Pflicht, Boni'!$A$30:$D$58,4,FALSE),0)</f>
        <v>0</v>
      </c>
      <c r="F239" s="95">
        <f t="shared" si="17"/>
        <v>1687181.07</v>
      </c>
      <c r="G239" s="95">
        <f>SUMIFS('Anlage 1c_Korrekturen_NB'!$L$80:$L$314,'Anlage 1c_Korrekturen_NB'!$A$80:$A$314,'Anlage 3a_Zusammenfassung_KWKG'!$A239)</f>
        <v>0</v>
      </c>
      <c r="H239" s="747">
        <f>_xlfn.IFNA(VLOOKUP(A239,'Anlage 1c_Korrekturen_NB'!$A$678:$D$680,4,FALSE),0)</f>
        <v>0</v>
      </c>
      <c r="I239" s="748">
        <f t="shared" si="16"/>
        <v>0</v>
      </c>
      <c r="J239" s="20"/>
    </row>
    <row r="240" spans="1:10" hidden="1" outlineLevel="1">
      <c r="A240" s="418" t="s">
        <v>545</v>
      </c>
      <c r="B240" s="544">
        <v>13403.859999999999</v>
      </c>
      <c r="C240" s="95">
        <f>_xlfn.IFNA(VLOOKUP($A240,'Anlage 1b_Abzüge, Pflicht, Boni'!$A$30:$D$60,2,FALSE),0)</f>
        <v>0</v>
      </c>
      <c r="D240" s="95">
        <f>_xlfn.IFNA(VLOOKUP(A240,'Anlage 1b_Abzüge, Pflicht, Boni'!$A$9:$D$94,3,FALSE),0)</f>
        <v>0</v>
      </c>
      <c r="E240" s="95">
        <f>_xlfn.IFNA(VLOOKUP(A240,'Anlage 1b_Abzüge, Pflicht, Boni'!$A$30:$D$58,4,FALSE),0)</f>
        <v>0</v>
      </c>
      <c r="F240" s="95">
        <f t="shared" si="17"/>
        <v>13403.859999999999</v>
      </c>
      <c r="G240" s="95">
        <f>SUMIFS('Anlage 1c_Korrekturen_NB'!$L$80:$L$314,'Anlage 1c_Korrekturen_NB'!$A$80:$A$314,'Anlage 3a_Zusammenfassung_KWKG'!$A240)</f>
        <v>0</v>
      </c>
      <c r="H240" s="747">
        <f>_xlfn.IFNA(VLOOKUP(A240,'Anlage 1c_Korrekturen_NB'!$A$678:$D$680,4,FALSE),0)</f>
        <v>0</v>
      </c>
      <c r="I240" s="748">
        <f t="shared" si="16"/>
        <v>0</v>
      </c>
      <c r="J240" s="20"/>
    </row>
    <row r="241" spans="1:10" hidden="1" outlineLevel="1">
      <c r="A241" s="418" t="s">
        <v>547</v>
      </c>
      <c r="B241" s="544">
        <v>235316.98</v>
      </c>
      <c r="C241" s="95">
        <f>_xlfn.IFNA(VLOOKUP($A241,'Anlage 1b_Abzüge, Pflicht, Boni'!$A$30:$D$60,2,FALSE),0)</f>
        <v>-393.36</v>
      </c>
      <c r="D241" s="95">
        <f>_xlfn.IFNA(VLOOKUP(A241,'Anlage 1b_Abzüge, Pflicht, Boni'!$A$9:$D$94,3,FALSE),0)</f>
        <v>0</v>
      </c>
      <c r="E241" s="95">
        <f>_xlfn.IFNA(VLOOKUP(A241,'Anlage 1b_Abzüge, Pflicht, Boni'!$A$30:$D$58,4,FALSE),0)</f>
        <v>0</v>
      </c>
      <c r="F241" s="95">
        <f t="shared" si="17"/>
        <v>234923.62000000002</v>
      </c>
      <c r="G241" s="95">
        <f>SUMIFS('Anlage 1c_Korrekturen_NB'!$L$80:$L$314,'Anlage 1c_Korrekturen_NB'!$A$80:$A$314,'Anlage 3a_Zusammenfassung_KWKG'!$A241)</f>
        <v>0</v>
      </c>
      <c r="H241" s="747">
        <f>_xlfn.IFNA(VLOOKUP(A241,'Anlage 1c_Korrekturen_NB'!$A$678:$D$680,4,FALSE),0)</f>
        <v>0</v>
      </c>
      <c r="I241" s="748">
        <f t="shared" si="16"/>
        <v>0</v>
      </c>
      <c r="J241" s="20"/>
    </row>
    <row r="242" spans="1:10" hidden="1" outlineLevel="1">
      <c r="A242" s="418" t="s">
        <v>549</v>
      </c>
      <c r="B242" s="544">
        <v>149124.44</v>
      </c>
      <c r="C242" s="95">
        <f>_xlfn.IFNA(VLOOKUP($A242,'Anlage 1b_Abzüge, Pflicht, Boni'!$A$30:$D$60,2,FALSE),0)</f>
        <v>0</v>
      </c>
      <c r="D242" s="95">
        <f>_xlfn.IFNA(VLOOKUP(A242,'Anlage 1b_Abzüge, Pflicht, Boni'!$A$9:$D$94,3,FALSE),0)</f>
        <v>0</v>
      </c>
      <c r="E242" s="95">
        <f>_xlfn.IFNA(VLOOKUP(A242,'Anlage 1b_Abzüge, Pflicht, Boni'!$A$30:$D$58,4,FALSE),0)</f>
        <v>0</v>
      </c>
      <c r="F242" s="95">
        <f t="shared" si="17"/>
        <v>149124.44</v>
      </c>
      <c r="G242" s="95">
        <f>SUMIFS('Anlage 1c_Korrekturen_NB'!$L$80:$L$314,'Anlage 1c_Korrekturen_NB'!$A$80:$A$314,'Anlage 3a_Zusammenfassung_KWKG'!$A242)</f>
        <v>0</v>
      </c>
      <c r="H242" s="747">
        <f>_xlfn.IFNA(VLOOKUP(A242,'Anlage 1c_Korrekturen_NB'!$A$678:$D$680,4,FALSE),0)</f>
        <v>0</v>
      </c>
      <c r="I242" s="748">
        <f t="shared" si="16"/>
        <v>0</v>
      </c>
      <c r="J242" s="20"/>
    </row>
    <row r="243" spans="1:10" hidden="1" outlineLevel="1">
      <c r="A243" s="418" t="s">
        <v>551</v>
      </c>
      <c r="B243" s="544">
        <v>165228.96</v>
      </c>
      <c r="C243" s="95">
        <f>_xlfn.IFNA(VLOOKUP($A243,'Anlage 1b_Abzüge, Pflicht, Boni'!$A$30:$D$60,2,FALSE),0)</f>
        <v>0</v>
      </c>
      <c r="D243" s="95">
        <f>_xlfn.IFNA(VLOOKUP(A243,'Anlage 1b_Abzüge, Pflicht, Boni'!$A$9:$D$94,3,FALSE),0)</f>
        <v>0</v>
      </c>
      <c r="E243" s="95">
        <f>_xlfn.IFNA(VLOOKUP(A243,'Anlage 1b_Abzüge, Pflicht, Boni'!$A$30:$D$58,4,FALSE),0)</f>
        <v>0</v>
      </c>
      <c r="F243" s="95">
        <f t="shared" si="17"/>
        <v>165228.96</v>
      </c>
      <c r="G243" s="95">
        <f>SUMIFS('Anlage 1c_Korrekturen_NB'!$L$80:$L$314,'Anlage 1c_Korrekturen_NB'!$A$80:$A$314,'Anlage 3a_Zusammenfassung_KWKG'!$A243)</f>
        <v>29.81</v>
      </c>
      <c r="H243" s="747">
        <f>_xlfn.IFNA(VLOOKUP(A243,'Anlage 1c_Korrekturen_NB'!$A$678:$D$680,4,FALSE),0)</f>
        <v>0</v>
      </c>
      <c r="I243" s="748">
        <f t="shared" si="16"/>
        <v>29.81</v>
      </c>
      <c r="J243" s="20"/>
    </row>
    <row r="244" spans="1:10" hidden="1" outlineLevel="1">
      <c r="A244" s="418" t="s">
        <v>553</v>
      </c>
      <c r="B244" s="544">
        <v>68544.540000000008</v>
      </c>
      <c r="C244" s="95">
        <f>_xlfn.IFNA(VLOOKUP($A244,'Anlage 1b_Abzüge, Pflicht, Boni'!$A$30:$D$60,2,FALSE),0)</f>
        <v>0</v>
      </c>
      <c r="D244" s="95">
        <f>_xlfn.IFNA(VLOOKUP(A244,'Anlage 1b_Abzüge, Pflicht, Boni'!$A$9:$D$94,3,FALSE),0)</f>
        <v>0</v>
      </c>
      <c r="E244" s="95">
        <f>_xlfn.IFNA(VLOOKUP(A244,'Anlage 1b_Abzüge, Pflicht, Boni'!$A$30:$D$58,4,FALSE),0)</f>
        <v>0</v>
      </c>
      <c r="F244" s="95">
        <f t="shared" si="17"/>
        <v>68544.540000000008</v>
      </c>
      <c r="G244" s="95">
        <f>SUMIFS('Anlage 1c_Korrekturen_NB'!$L$80:$L$314,'Anlage 1c_Korrekturen_NB'!$A$80:$A$314,'Anlage 3a_Zusammenfassung_KWKG'!$A244)</f>
        <v>4586.66</v>
      </c>
      <c r="H244" s="747">
        <f>_xlfn.IFNA(VLOOKUP(A244,'Anlage 1c_Korrekturen_NB'!$A$678:$D$680,4,FALSE),0)</f>
        <v>0</v>
      </c>
      <c r="I244" s="748">
        <f t="shared" si="16"/>
        <v>4586.66</v>
      </c>
      <c r="J244" s="20"/>
    </row>
    <row r="245" spans="1:10" hidden="1" outlineLevel="1">
      <c r="A245" s="418" t="s">
        <v>555</v>
      </c>
      <c r="B245" s="544">
        <v>78119.83</v>
      </c>
      <c r="C245" s="95">
        <f>_xlfn.IFNA(VLOOKUP($A245,'Anlage 1b_Abzüge, Pflicht, Boni'!$A$30:$D$60,2,FALSE),0)</f>
        <v>0</v>
      </c>
      <c r="D245" s="95">
        <f>_xlfn.IFNA(VLOOKUP(A245,'Anlage 1b_Abzüge, Pflicht, Boni'!$A$9:$D$94,3,FALSE),0)</f>
        <v>0</v>
      </c>
      <c r="E245" s="95">
        <f>_xlfn.IFNA(VLOOKUP(A245,'Anlage 1b_Abzüge, Pflicht, Boni'!$A$30:$D$58,4,FALSE),0)</f>
        <v>0</v>
      </c>
      <c r="F245" s="95">
        <f t="shared" si="17"/>
        <v>78119.83</v>
      </c>
      <c r="G245" s="95">
        <f>SUMIFS('Anlage 1c_Korrekturen_NB'!$L$80:$L$314,'Anlage 1c_Korrekturen_NB'!$A$80:$A$314,'Anlage 3a_Zusammenfassung_KWKG'!$A245)</f>
        <v>0</v>
      </c>
      <c r="H245" s="747">
        <f>_xlfn.IFNA(VLOOKUP(A245,'Anlage 1c_Korrekturen_NB'!$A$678:$D$680,4,FALSE),0)</f>
        <v>0</v>
      </c>
      <c r="I245" s="748">
        <f t="shared" si="16"/>
        <v>0</v>
      </c>
      <c r="J245" s="20"/>
    </row>
    <row r="246" spans="1:10" hidden="1" outlineLevel="1">
      <c r="A246" s="418" t="s">
        <v>557</v>
      </c>
      <c r="B246" s="544">
        <v>0</v>
      </c>
      <c r="C246" s="95">
        <f>_xlfn.IFNA(VLOOKUP($A246,'Anlage 1b_Abzüge, Pflicht, Boni'!$A$30:$D$60,2,FALSE),0)</f>
        <v>0</v>
      </c>
      <c r="D246" s="95">
        <f>_xlfn.IFNA(VLOOKUP(A246,'Anlage 1b_Abzüge, Pflicht, Boni'!$A$9:$D$94,3,FALSE),0)</f>
        <v>0</v>
      </c>
      <c r="E246" s="95">
        <f>_xlfn.IFNA(VLOOKUP(A246,'Anlage 1b_Abzüge, Pflicht, Boni'!$A$30:$D$58,4,FALSE),0)</f>
        <v>0</v>
      </c>
      <c r="F246" s="95">
        <f t="shared" si="17"/>
        <v>0</v>
      </c>
      <c r="G246" s="95">
        <f>SUMIFS('Anlage 1c_Korrekturen_NB'!$L$80:$L$314,'Anlage 1c_Korrekturen_NB'!$A$80:$A$314,'Anlage 3a_Zusammenfassung_KWKG'!$A246)</f>
        <v>0</v>
      </c>
      <c r="H246" s="747">
        <f>_xlfn.IFNA(VLOOKUP(A246,'Anlage 1c_Korrekturen_NB'!$A$678:$D$680,4,FALSE),0)</f>
        <v>0</v>
      </c>
      <c r="I246" s="748">
        <f t="shared" si="16"/>
        <v>0</v>
      </c>
      <c r="J246" s="20"/>
    </row>
    <row r="247" spans="1:10" hidden="1" outlineLevel="1">
      <c r="A247" s="418" t="s">
        <v>559</v>
      </c>
      <c r="B247" s="544">
        <v>0</v>
      </c>
      <c r="C247" s="95">
        <f>_xlfn.IFNA(VLOOKUP($A247,'Anlage 1b_Abzüge, Pflicht, Boni'!$A$30:$D$60,2,FALSE),0)</f>
        <v>0</v>
      </c>
      <c r="D247" s="95">
        <f>_xlfn.IFNA(VLOOKUP(A247,'Anlage 1b_Abzüge, Pflicht, Boni'!$A$9:$D$94,3,FALSE),0)</f>
        <v>0</v>
      </c>
      <c r="E247" s="95">
        <f>_xlfn.IFNA(VLOOKUP(A247,'Anlage 1b_Abzüge, Pflicht, Boni'!$A$30:$D$58,4,FALSE),0)</f>
        <v>0</v>
      </c>
      <c r="F247" s="95">
        <f t="shared" si="17"/>
        <v>0</v>
      </c>
      <c r="G247" s="95">
        <f>SUMIFS('Anlage 1c_Korrekturen_NB'!$L$80:$L$314,'Anlage 1c_Korrekturen_NB'!$A$80:$A$314,'Anlage 3a_Zusammenfassung_KWKG'!$A247)</f>
        <v>0</v>
      </c>
      <c r="H247" s="747">
        <f>_xlfn.IFNA(VLOOKUP(A247,'Anlage 1c_Korrekturen_NB'!$A$678:$D$680,4,FALSE),0)</f>
        <v>0</v>
      </c>
      <c r="I247" s="748">
        <f t="shared" si="16"/>
        <v>0</v>
      </c>
      <c r="J247" s="20"/>
    </row>
    <row r="248" spans="1:10" hidden="1" outlineLevel="1">
      <c r="A248" s="418" t="s">
        <v>561</v>
      </c>
      <c r="B248" s="544">
        <v>0</v>
      </c>
      <c r="C248" s="95">
        <f>_xlfn.IFNA(VLOOKUP($A248,'Anlage 1b_Abzüge, Pflicht, Boni'!$A$30:$D$60,2,FALSE),0)</f>
        <v>0</v>
      </c>
      <c r="D248" s="95">
        <f>_xlfn.IFNA(VLOOKUP(A248,'Anlage 1b_Abzüge, Pflicht, Boni'!$A$9:$D$94,3,FALSE),0)</f>
        <v>0</v>
      </c>
      <c r="E248" s="95">
        <f>_xlfn.IFNA(VLOOKUP(A248,'Anlage 1b_Abzüge, Pflicht, Boni'!$A$30:$D$58,4,FALSE),0)</f>
        <v>0</v>
      </c>
      <c r="F248" s="95">
        <f t="shared" si="17"/>
        <v>0</v>
      </c>
      <c r="G248" s="95">
        <f>SUMIFS('Anlage 1c_Korrekturen_NB'!$L$80:$L$314,'Anlage 1c_Korrekturen_NB'!$A$80:$A$314,'Anlage 3a_Zusammenfassung_KWKG'!$A248)</f>
        <v>0</v>
      </c>
      <c r="H248" s="747">
        <f>_xlfn.IFNA(VLOOKUP(A248,'Anlage 1c_Korrekturen_NB'!$A$678:$D$680,4,FALSE),0)</f>
        <v>0</v>
      </c>
      <c r="I248" s="748">
        <f t="shared" si="16"/>
        <v>0</v>
      </c>
      <c r="J248" s="20"/>
    </row>
    <row r="249" spans="1:10" hidden="1" outlineLevel="1">
      <c r="A249" s="418" t="s">
        <v>563</v>
      </c>
      <c r="B249" s="544">
        <v>16560.25</v>
      </c>
      <c r="C249" s="95">
        <f>_xlfn.IFNA(VLOOKUP($A249,'Anlage 1b_Abzüge, Pflicht, Boni'!$A$30:$D$60,2,FALSE),0)</f>
        <v>0</v>
      </c>
      <c r="D249" s="95">
        <f>_xlfn.IFNA(VLOOKUP(A249,'Anlage 1b_Abzüge, Pflicht, Boni'!$A$9:$D$94,3,FALSE),0)</f>
        <v>0</v>
      </c>
      <c r="E249" s="95">
        <f>_xlfn.IFNA(VLOOKUP(A249,'Anlage 1b_Abzüge, Pflicht, Boni'!$A$30:$D$58,4,FALSE),0)</f>
        <v>0</v>
      </c>
      <c r="F249" s="95">
        <f t="shared" si="17"/>
        <v>16560.25</v>
      </c>
      <c r="G249" s="95">
        <f>SUMIFS('Anlage 1c_Korrekturen_NB'!$L$80:$L$314,'Anlage 1c_Korrekturen_NB'!$A$80:$A$314,'Anlage 3a_Zusammenfassung_KWKG'!$A249)</f>
        <v>8382.32</v>
      </c>
      <c r="H249" s="747">
        <f>_xlfn.IFNA(VLOOKUP(A249,'Anlage 1c_Korrekturen_NB'!$A$678:$D$680,4,FALSE),0)</f>
        <v>0</v>
      </c>
      <c r="I249" s="748">
        <f t="shared" si="16"/>
        <v>8382.32</v>
      </c>
      <c r="J249" s="20"/>
    </row>
    <row r="250" spans="1:10" hidden="1" outlineLevel="1">
      <c r="A250" s="418" t="s">
        <v>565</v>
      </c>
      <c r="B250" s="544">
        <v>4573009.21</v>
      </c>
      <c r="C250" s="95">
        <f>_xlfn.IFNA(VLOOKUP($A250,'Anlage 1b_Abzüge, Pflicht, Boni'!$A$30:$D$60,2,FALSE),0)</f>
        <v>0</v>
      </c>
      <c r="D250" s="95">
        <f>_xlfn.IFNA(VLOOKUP(A250,'Anlage 1b_Abzüge, Pflicht, Boni'!$A$9:$D$94,3,FALSE),0)</f>
        <v>0</v>
      </c>
      <c r="E250" s="95">
        <f>_xlfn.IFNA(VLOOKUP(A250,'Anlage 1b_Abzüge, Pflicht, Boni'!$A$30:$D$58,4,FALSE),0)</f>
        <v>0</v>
      </c>
      <c r="F250" s="95">
        <f t="shared" si="17"/>
        <v>4573009.21</v>
      </c>
      <c r="G250" s="95">
        <f>SUMIFS('Anlage 1c_Korrekturen_NB'!$L$80:$L$314,'Anlage 1c_Korrekturen_NB'!$A$80:$A$314,'Anlage 3a_Zusammenfassung_KWKG'!$A250)</f>
        <v>0</v>
      </c>
      <c r="H250" s="747">
        <f>_xlfn.IFNA(VLOOKUP(A250,'Anlage 1c_Korrekturen_NB'!$A$678:$D$680,4,FALSE),0)</f>
        <v>0</v>
      </c>
      <c r="I250" s="748">
        <f t="shared" si="16"/>
        <v>0</v>
      </c>
      <c r="J250" s="20"/>
    </row>
    <row r="251" spans="1:10" hidden="1" outlineLevel="1">
      <c r="A251" s="418" t="s">
        <v>567</v>
      </c>
      <c r="B251" s="544">
        <v>649798.85</v>
      </c>
      <c r="C251" s="95">
        <f>_xlfn.IFNA(VLOOKUP($A251,'Anlage 1b_Abzüge, Pflicht, Boni'!$A$30:$D$60,2,FALSE),0)</f>
        <v>0</v>
      </c>
      <c r="D251" s="95">
        <f>_xlfn.IFNA(VLOOKUP(A251,'Anlage 1b_Abzüge, Pflicht, Boni'!$A$9:$D$94,3,FALSE),0)</f>
        <v>0</v>
      </c>
      <c r="E251" s="95">
        <f>_xlfn.IFNA(VLOOKUP(A251,'Anlage 1b_Abzüge, Pflicht, Boni'!$A$30:$D$58,4,FALSE),0)</f>
        <v>0</v>
      </c>
      <c r="F251" s="95">
        <f t="shared" si="17"/>
        <v>649798.85</v>
      </c>
      <c r="G251" s="95">
        <f>SUMIFS('Anlage 1c_Korrekturen_NB'!$L$80:$L$314,'Anlage 1c_Korrekturen_NB'!$A$80:$A$314,'Anlage 3a_Zusammenfassung_KWKG'!$A251)</f>
        <v>213150.79</v>
      </c>
      <c r="H251" s="747">
        <f>_xlfn.IFNA(VLOOKUP(A251,'Anlage 1c_Korrekturen_NB'!$A$678:$D$680,4,FALSE),0)</f>
        <v>0</v>
      </c>
      <c r="I251" s="748">
        <f t="shared" si="16"/>
        <v>213150.79</v>
      </c>
      <c r="J251" s="20"/>
    </row>
    <row r="252" spans="1:10" hidden="1" outlineLevel="1">
      <c r="A252" s="418" t="s">
        <v>569</v>
      </c>
      <c r="B252" s="544">
        <v>59095.83</v>
      </c>
      <c r="C252" s="95">
        <f>_xlfn.IFNA(VLOOKUP($A252,'Anlage 1b_Abzüge, Pflicht, Boni'!$A$30:$D$60,2,FALSE),0)</f>
        <v>0</v>
      </c>
      <c r="D252" s="95">
        <f>_xlfn.IFNA(VLOOKUP(A252,'Anlage 1b_Abzüge, Pflicht, Boni'!$A$9:$D$94,3,FALSE),0)</f>
        <v>0</v>
      </c>
      <c r="E252" s="95">
        <f>_xlfn.IFNA(VLOOKUP(A252,'Anlage 1b_Abzüge, Pflicht, Boni'!$A$30:$D$58,4,FALSE),0)</f>
        <v>0</v>
      </c>
      <c r="F252" s="95">
        <f t="shared" si="17"/>
        <v>59095.83</v>
      </c>
      <c r="G252" s="95">
        <f>SUMIFS('Anlage 1c_Korrekturen_NB'!$L$80:$L$314,'Anlage 1c_Korrekturen_NB'!$A$80:$A$314,'Anlage 3a_Zusammenfassung_KWKG'!$A252)</f>
        <v>0</v>
      </c>
      <c r="H252" s="747">
        <f>_xlfn.IFNA(VLOOKUP(A252,'Anlage 1c_Korrekturen_NB'!$A$678:$D$680,4,FALSE),0)</f>
        <v>0</v>
      </c>
      <c r="I252" s="748">
        <f t="shared" si="16"/>
        <v>0</v>
      </c>
      <c r="J252" s="20"/>
    </row>
    <row r="253" spans="1:10" hidden="1" outlineLevel="1">
      <c r="A253" s="418" t="s">
        <v>571</v>
      </c>
      <c r="B253" s="544">
        <v>0</v>
      </c>
      <c r="C253" s="95">
        <f>_xlfn.IFNA(VLOOKUP($A253,'Anlage 1b_Abzüge, Pflicht, Boni'!$A$30:$D$60,2,FALSE),0)</f>
        <v>0</v>
      </c>
      <c r="D253" s="95">
        <f>_xlfn.IFNA(VLOOKUP(A253,'Anlage 1b_Abzüge, Pflicht, Boni'!$A$9:$D$94,3,FALSE),0)</f>
        <v>0</v>
      </c>
      <c r="E253" s="95">
        <f>_xlfn.IFNA(VLOOKUP(A253,'Anlage 1b_Abzüge, Pflicht, Boni'!$A$30:$D$58,4,FALSE),0)</f>
        <v>0</v>
      </c>
      <c r="F253" s="95">
        <f t="shared" si="17"/>
        <v>0</v>
      </c>
      <c r="G253" s="95">
        <f>SUMIFS('Anlage 1c_Korrekturen_NB'!$L$80:$L$314,'Anlage 1c_Korrekturen_NB'!$A$80:$A$314,'Anlage 3a_Zusammenfassung_KWKG'!$A253)</f>
        <v>0</v>
      </c>
      <c r="H253" s="747">
        <f>_xlfn.IFNA(VLOOKUP(A253,'Anlage 1c_Korrekturen_NB'!$A$678:$D$680,4,FALSE),0)</f>
        <v>0</v>
      </c>
      <c r="I253" s="748">
        <f t="shared" si="16"/>
        <v>0</v>
      </c>
      <c r="J253" s="20"/>
    </row>
    <row r="254" spans="1:10" hidden="1" outlineLevel="1">
      <c r="A254" s="418" t="s">
        <v>573</v>
      </c>
      <c r="B254" s="544">
        <v>106593.3</v>
      </c>
      <c r="C254" s="95">
        <f>_xlfn.IFNA(VLOOKUP($A254,'Anlage 1b_Abzüge, Pflicht, Boni'!$A$30:$D$60,2,FALSE),0)</f>
        <v>-320.51</v>
      </c>
      <c r="D254" s="95">
        <f>_xlfn.IFNA(VLOOKUP(A254,'Anlage 1b_Abzüge, Pflicht, Boni'!$A$9:$D$94,3,FALSE),0)</f>
        <v>0</v>
      </c>
      <c r="E254" s="95">
        <f>_xlfn.IFNA(VLOOKUP(A254,'Anlage 1b_Abzüge, Pflicht, Boni'!$A$30:$D$58,4,FALSE),0)</f>
        <v>0</v>
      </c>
      <c r="F254" s="95">
        <f t="shared" si="17"/>
        <v>106272.79000000001</v>
      </c>
      <c r="G254" s="95">
        <f>SUMIFS('Anlage 1c_Korrekturen_NB'!$L$80:$L$314,'Anlage 1c_Korrekturen_NB'!$A$80:$A$314,'Anlage 3a_Zusammenfassung_KWKG'!$A254)</f>
        <v>4392.5200000000004</v>
      </c>
      <c r="H254" s="747">
        <f>_xlfn.IFNA(VLOOKUP(A254,'Anlage 1c_Korrekturen_NB'!$A$678:$D$680,4,FALSE),0)</f>
        <v>0</v>
      </c>
      <c r="I254" s="748">
        <f t="shared" si="16"/>
        <v>4392.5200000000004</v>
      </c>
      <c r="J254" s="20"/>
    </row>
    <row r="255" spans="1:10" hidden="1" outlineLevel="1">
      <c r="A255" s="418" t="s">
        <v>575</v>
      </c>
      <c r="B255" s="544">
        <v>118624.29999999999</v>
      </c>
      <c r="C255" s="95">
        <f>_xlfn.IFNA(VLOOKUP($A255,'Anlage 1b_Abzüge, Pflicht, Boni'!$A$30:$D$60,2,FALSE),0)</f>
        <v>0</v>
      </c>
      <c r="D255" s="95">
        <f>_xlfn.IFNA(VLOOKUP(A255,'Anlage 1b_Abzüge, Pflicht, Boni'!$A$9:$D$94,3,FALSE),0)</f>
        <v>0</v>
      </c>
      <c r="E255" s="95">
        <f>_xlfn.IFNA(VLOOKUP(A255,'Anlage 1b_Abzüge, Pflicht, Boni'!$A$30:$D$58,4,FALSE),0)</f>
        <v>0</v>
      </c>
      <c r="F255" s="95">
        <f t="shared" si="17"/>
        <v>118624.29999999999</v>
      </c>
      <c r="G255" s="95">
        <f>SUMIFS('Anlage 1c_Korrekturen_NB'!$L$80:$L$314,'Anlage 1c_Korrekturen_NB'!$A$80:$A$314,'Anlage 3a_Zusammenfassung_KWKG'!$A255)</f>
        <v>0</v>
      </c>
      <c r="H255" s="747">
        <f>_xlfn.IFNA(VLOOKUP(A255,'Anlage 1c_Korrekturen_NB'!$A$678:$D$680,4,FALSE),0)</f>
        <v>0</v>
      </c>
      <c r="I255" s="748">
        <f t="shared" si="16"/>
        <v>0</v>
      </c>
      <c r="J255" s="20"/>
    </row>
    <row r="256" spans="1:10" hidden="1" outlineLevel="1">
      <c r="A256" s="418" t="s">
        <v>577</v>
      </c>
      <c r="B256" s="544">
        <v>0</v>
      </c>
      <c r="C256" s="95">
        <f>_xlfn.IFNA(VLOOKUP($A256,'Anlage 1b_Abzüge, Pflicht, Boni'!$A$30:$D$60,2,FALSE),0)</f>
        <v>0</v>
      </c>
      <c r="D256" s="95">
        <f>_xlfn.IFNA(VLOOKUP(A256,'Anlage 1b_Abzüge, Pflicht, Boni'!$A$9:$D$94,3,FALSE),0)</f>
        <v>0</v>
      </c>
      <c r="E256" s="95">
        <f>_xlfn.IFNA(VLOOKUP(A256,'Anlage 1b_Abzüge, Pflicht, Boni'!$A$30:$D$58,4,FALSE),0)</f>
        <v>0</v>
      </c>
      <c r="F256" s="95">
        <f t="shared" si="17"/>
        <v>0</v>
      </c>
      <c r="G256" s="95">
        <f>SUMIFS('Anlage 1c_Korrekturen_NB'!$L$80:$L$314,'Anlage 1c_Korrekturen_NB'!$A$80:$A$314,'Anlage 3a_Zusammenfassung_KWKG'!$A256)</f>
        <v>0</v>
      </c>
      <c r="H256" s="747">
        <f>_xlfn.IFNA(VLOOKUP(A256,'Anlage 1c_Korrekturen_NB'!$A$678:$D$680,4,FALSE),0)</f>
        <v>0</v>
      </c>
      <c r="I256" s="748">
        <f t="shared" si="16"/>
        <v>0</v>
      </c>
      <c r="J256" s="20"/>
    </row>
    <row r="257" spans="1:10" hidden="1" outlineLevel="1">
      <c r="A257" s="418" t="s">
        <v>579</v>
      </c>
      <c r="B257" s="544">
        <v>696938.32</v>
      </c>
      <c r="C257" s="95">
        <f>_xlfn.IFNA(VLOOKUP($A257,'Anlage 1b_Abzüge, Pflicht, Boni'!$A$30:$D$60,2,FALSE),0)</f>
        <v>0</v>
      </c>
      <c r="D257" s="95">
        <f>_xlfn.IFNA(VLOOKUP(A257,'Anlage 1b_Abzüge, Pflicht, Boni'!$A$9:$D$94,3,FALSE),0)</f>
        <v>0</v>
      </c>
      <c r="E257" s="95">
        <f>_xlfn.IFNA(VLOOKUP(A257,'Anlage 1b_Abzüge, Pflicht, Boni'!$A$30:$D$58,4,FALSE),0)</f>
        <v>0</v>
      </c>
      <c r="F257" s="95">
        <f t="shared" si="17"/>
        <v>696938.32</v>
      </c>
      <c r="G257" s="95">
        <f>SUMIFS('Anlage 1c_Korrekturen_NB'!$L$80:$L$314,'Anlage 1c_Korrekturen_NB'!$A$80:$A$314,'Anlage 3a_Zusammenfassung_KWKG'!$A257)</f>
        <v>60166.380000000005</v>
      </c>
      <c r="H257" s="747">
        <f>_xlfn.IFNA(VLOOKUP(A257,'Anlage 1c_Korrekturen_NB'!$A$678:$D$680,4,FALSE),0)</f>
        <v>0</v>
      </c>
      <c r="I257" s="748">
        <f t="shared" si="16"/>
        <v>60166.380000000005</v>
      </c>
      <c r="J257" s="20"/>
    </row>
    <row r="258" spans="1:10" hidden="1" outlineLevel="1">
      <c r="A258" s="418" t="s">
        <v>581</v>
      </c>
      <c r="B258" s="544">
        <v>15315.36</v>
      </c>
      <c r="C258" s="95">
        <f>_xlfn.IFNA(VLOOKUP($A258,'Anlage 1b_Abzüge, Pflicht, Boni'!$A$30:$D$60,2,FALSE),0)</f>
        <v>-0.45</v>
      </c>
      <c r="D258" s="95">
        <f>_xlfn.IFNA(VLOOKUP(A258,'Anlage 1b_Abzüge, Pflicht, Boni'!$A$9:$D$94,3,FALSE),0)</f>
        <v>0</v>
      </c>
      <c r="E258" s="95">
        <f>_xlfn.IFNA(VLOOKUP(A258,'Anlage 1b_Abzüge, Pflicht, Boni'!$A$30:$D$58,4,FALSE),0)</f>
        <v>0</v>
      </c>
      <c r="F258" s="95">
        <f t="shared" si="17"/>
        <v>15314.91</v>
      </c>
      <c r="G258" s="95">
        <f>SUMIFS('Anlage 1c_Korrekturen_NB'!$L$80:$L$314,'Anlage 1c_Korrekturen_NB'!$A$80:$A$314,'Anlage 3a_Zusammenfassung_KWKG'!$A258)</f>
        <v>0</v>
      </c>
      <c r="H258" s="747">
        <f>_xlfn.IFNA(VLOOKUP(A258,'Anlage 1c_Korrekturen_NB'!$A$678:$D$680,4,FALSE),0)</f>
        <v>0</v>
      </c>
      <c r="I258" s="748">
        <f t="shared" si="16"/>
        <v>0</v>
      </c>
      <c r="J258" s="20"/>
    </row>
    <row r="259" spans="1:10" hidden="1" outlineLevel="1">
      <c r="A259" s="418" t="s">
        <v>583</v>
      </c>
      <c r="B259" s="544">
        <v>1259936.23</v>
      </c>
      <c r="C259" s="95">
        <f>_xlfn.IFNA(VLOOKUP($A259,'Anlage 1b_Abzüge, Pflicht, Boni'!$A$30:$D$60,2,FALSE),0)</f>
        <v>0</v>
      </c>
      <c r="D259" s="95">
        <f>_xlfn.IFNA(VLOOKUP(A259,'Anlage 1b_Abzüge, Pflicht, Boni'!$A$9:$D$94,3,FALSE),0)</f>
        <v>0</v>
      </c>
      <c r="E259" s="95">
        <f>_xlfn.IFNA(VLOOKUP(A259,'Anlage 1b_Abzüge, Pflicht, Boni'!$A$30:$D$58,4,FALSE),0)</f>
        <v>0</v>
      </c>
      <c r="F259" s="95">
        <f t="shared" si="17"/>
        <v>1259936.23</v>
      </c>
      <c r="G259" s="95">
        <f>SUMIFS('Anlage 1c_Korrekturen_NB'!$L$80:$L$314,'Anlage 1c_Korrekturen_NB'!$A$80:$A$314,'Anlage 3a_Zusammenfassung_KWKG'!$A259)</f>
        <v>5542.3899999999994</v>
      </c>
      <c r="H259" s="747">
        <f>_xlfn.IFNA(VLOOKUP(A259,'Anlage 1c_Korrekturen_NB'!$A$678:$D$680,4,FALSE),0)</f>
        <v>0</v>
      </c>
      <c r="I259" s="748">
        <f t="shared" si="16"/>
        <v>5542.3899999999994</v>
      </c>
      <c r="J259" s="20"/>
    </row>
    <row r="260" spans="1:10" hidden="1" outlineLevel="1">
      <c r="A260" s="418" t="s">
        <v>585</v>
      </c>
      <c r="B260" s="544">
        <v>0</v>
      </c>
      <c r="C260" s="95">
        <f>_xlfn.IFNA(VLOOKUP($A260,'Anlage 1b_Abzüge, Pflicht, Boni'!$A$30:$D$60,2,FALSE),0)</f>
        <v>0</v>
      </c>
      <c r="D260" s="95">
        <f>_xlfn.IFNA(VLOOKUP(A260,'Anlage 1b_Abzüge, Pflicht, Boni'!$A$9:$D$94,3,FALSE),0)</f>
        <v>0</v>
      </c>
      <c r="E260" s="95">
        <f>_xlfn.IFNA(VLOOKUP(A260,'Anlage 1b_Abzüge, Pflicht, Boni'!$A$30:$D$58,4,FALSE),0)</f>
        <v>0</v>
      </c>
      <c r="F260" s="95">
        <f t="shared" si="17"/>
        <v>0</v>
      </c>
      <c r="G260" s="95">
        <f>SUMIFS('Anlage 1c_Korrekturen_NB'!$L$80:$L$314,'Anlage 1c_Korrekturen_NB'!$A$80:$A$314,'Anlage 3a_Zusammenfassung_KWKG'!$A260)</f>
        <v>0</v>
      </c>
      <c r="H260" s="747">
        <f>_xlfn.IFNA(VLOOKUP(A260,'Anlage 1c_Korrekturen_NB'!$A$678:$D$680,4,FALSE),0)</f>
        <v>0</v>
      </c>
      <c r="I260" s="748">
        <f t="shared" si="16"/>
        <v>0</v>
      </c>
      <c r="J260" s="20"/>
    </row>
    <row r="261" spans="1:10" hidden="1" outlineLevel="1">
      <c r="A261" s="418" t="s">
        <v>585</v>
      </c>
      <c r="B261" s="544">
        <v>0</v>
      </c>
      <c r="C261" s="95">
        <f>_xlfn.IFNA(VLOOKUP($A261,'Anlage 1b_Abzüge, Pflicht, Boni'!$A$30:$D$60,2,FALSE),0)</f>
        <v>0</v>
      </c>
      <c r="D261" s="95">
        <f>_xlfn.IFNA(VLOOKUP(A261,'Anlage 1b_Abzüge, Pflicht, Boni'!$A$9:$D$94,3,FALSE),0)</f>
        <v>0</v>
      </c>
      <c r="E261" s="95">
        <f>_xlfn.IFNA(VLOOKUP(A261,'Anlage 1b_Abzüge, Pflicht, Boni'!$A$30:$D$58,4,FALSE),0)</f>
        <v>0</v>
      </c>
      <c r="F261" s="95">
        <f t="shared" si="17"/>
        <v>0</v>
      </c>
      <c r="G261" s="95">
        <f>SUMIFS('Anlage 1c_Korrekturen_NB'!$L$80:$L$314,'Anlage 1c_Korrekturen_NB'!$A$80:$A$314,'Anlage 3a_Zusammenfassung_KWKG'!$A261)</f>
        <v>0</v>
      </c>
      <c r="H261" s="747">
        <f>_xlfn.IFNA(VLOOKUP(A261,'Anlage 1c_Korrekturen_NB'!$A$678:$D$680,4,FALSE),0)</f>
        <v>0</v>
      </c>
      <c r="I261" s="748">
        <f t="shared" si="16"/>
        <v>0</v>
      </c>
      <c r="J261" s="20"/>
    </row>
    <row r="262" spans="1:10" hidden="1" outlineLevel="1">
      <c r="A262" s="418" t="s">
        <v>587</v>
      </c>
      <c r="B262" s="544">
        <v>162592.88</v>
      </c>
      <c r="C262" s="95">
        <f>_xlfn.IFNA(VLOOKUP($A262,'Anlage 1b_Abzüge, Pflicht, Boni'!$A$30:$D$60,2,FALSE),0)</f>
        <v>0</v>
      </c>
      <c r="D262" s="95">
        <f>_xlfn.IFNA(VLOOKUP(A262,'Anlage 1b_Abzüge, Pflicht, Boni'!$A$9:$D$94,3,FALSE),0)</f>
        <v>0</v>
      </c>
      <c r="E262" s="95">
        <f>_xlfn.IFNA(VLOOKUP(A262,'Anlage 1b_Abzüge, Pflicht, Boni'!$A$30:$D$58,4,FALSE),0)</f>
        <v>0</v>
      </c>
      <c r="F262" s="95">
        <f t="shared" si="17"/>
        <v>162592.88</v>
      </c>
      <c r="G262" s="95">
        <f>SUMIFS('Anlage 1c_Korrekturen_NB'!$L$80:$L$314,'Anlage 1c_Korrekturen_NB'!$A$80:$A$314,'Anlage 3a_Zusammenfassung_KWKG'!$A262)</f>
        <v>0</v>
      </c>
      <c r="H262" s="747">
        <f>_xlfn.IFNA(VLOOKUP(A262,'Anlage 1c_Korrekturen_NB'!$A$678:$D$680,4,FALSE),0)</f>
        <v>0</v>
      </c>
      <c r="I262" s="748">
        <f t="shared" si="16"/>
        <v>0</v>
      </c>
      <c r="J262" s="20"/>
    </row>
    <row r="263" spans="1:10" hidden="1" outlineLevel="1">
      <c r="A263" s="418" t="s">
        <v>589</v>
      </c>
      <c r="B263" s="544">
        <v>70522.399999999994</v>
      </c>
      <c r="C263" s="95">
        <f>_xlfn.IFNA(VLOOKUP($A263,'Anlage 1b_Abzüge, Pflicht, Boni'!$A$30:$D$60,2,FALSE),0)</f>
        <v>-282.29000000000002</v>
      </c>
      <c r="D263" s="95">
        <f>_xlfn.IFNA(VLOOKUP(A263,'Anlage 1b_Abzüge, Pflicht, Boni'!$A$9:$D$94,3,FALSE),0)</f>
        <v>0</v>
      </c>
      <c r="E263" s="95">
        <f>_xlfn.IFNA(VLOOKUP(A263,'Anlage 1b_Abzüge, Pflicht, Boni'!$A$30:$D$58,4,FALSE),0)</f>
        <v>0</v>
      </c>
      <c r="F263" s="95">
        <f t="shared" si="17"/>
        <v>70240.11</v>
      </c>
      <c r="G263" s="95">
        <f>SUMIFS('Anlage 1c_Korrekturen_NB'!$L$80:$L$314,'Anlage 1c_Korrekturen_NB'!$A$80:$A$314,'Anlage 3a_Zusammenfassung_KWKG'!$A263)</f>
        <v>35506.880000000005</v>
      </c>
      <c r="H263" s="747">
        <f>_xlfn.IFNA(VLOOKUP(A263,'Anlage 1c_Korrekturen_NB'!$A$678:$D$680,4,FALSE),0)</f>
        <v>0</v>
      </c>
      <c r="I263" s="748">
        <f t="shared" si="16"/>
        <v>35506.880000000005</v>
      </c>
      <c r="J263" s="20"/>
    </row>
    <row r="264" spans="1:10" hidden="1" outlineLevel="1">
      <c r="A264" s="418" t="s">
        <v>591</v>
      </c>
      <c r="B264" s="544">
        <v>1007864.71</v>
      </c>
      <c r="C264" s="95">
        <f>_xlfn.IFNA(VLOOKUP($A264,'Anlage 1b_Abzüge, Pflicht, Boni'!$A$30:$D$60,2,FALSE),0)</f>
        <v>0</v>
      </c>
      <c r="D264" s="95">
        <f>_xlfn.IFNA(VLOOKUP(A264,'Anlage 1b_Abzüge, Pflicht, Boni'!$A$9:$D$94,3,FALSE),0)</f>
        <v>0</v>
      </c>
      <c r="E264" s="95">
        <f>_xlfn.IFNA(VLOOKUP(A264,'Anlage 1b_Abzüge, Pflicht, Boni'!$A$30:$D$58,4,FALSE),0)</f>
        <v>0</v>
      </c>
      <c r="F264" s="95">
        <f t="shared" si="17"/>
        <v>1007864.71</v>
      </c>
      <c r="G264" s="95">
        <f>SUMIFS('Anlage 1c_Korrekturen_NB'!$L$80:$L$314,'Anlage 1c_Korrekturen_NB'!$A$80:$A$314,'Anlage 3a_Zusammenfassung_KWKG'!$A264)</f>
        <v>1483330.0000000002</v>
      </c>
      <c r="H264" s="747">
        <f>_xlfn.IFNA(VLOOKUP(A264,'Anlage 1c_Korrekturen_NB'!$A$678:$D$680,4,FALSE),0)</f>
        <v>0</v>
      </c>
      <c r="I264" s="748">
        <f t="shared" si="16"/>
        <v>1483330.0000000002</v>
      </c>
      <c r="J264" s="20"/>
    </row>
    <row r="265" spans="1:10" hidden="1" outlineLevel="1">
      <c r="A265" s="418" t="s">
        <v>593</v>
      </c>
      <c r="B265" s="544">
        <v>36710.92</v>
      </c>
      <c r="C265" s="95">
        <f>_xlfn.IFNA(VLOOKUP($A265,'Anlage 1b_Abzüge, Pflicht, Boni'!$A$30:$D$60,2,FALSE),0)</f>
        <v>0</v>
      </c>
      <c r="D265" s="95">
        <f>_xlfn.IFNA(VLOOKUP(A265,'Anlage 1b_Abzüge, Pflicht, Boni'!$A$9:$D$94,3,FALSE),0)</f>
        <v>0</v>
      </c>
      <c r="E265" s="95">
        <f>_xlfn.IFNA(VLOOKUP(A265,'Anlage 1b_Abzüge, Pflicht, Boni'!$A$30:$D$58,4,FALSE),0)</f>
        <v>0</v>
      </c>
      <c r="F265" s="95">
        <f t="shared" si="17"/>
        <v>36710.92</v>
      </c>
      <c r="G265" s="95">
        <f>SUMIFS('Anlage 1c_Korrekturen_NB'!$L$80:$L$314,'Anlage 1c_Korrekturen_NB'!$A$80:$A$314,'Anlage 3a_Zusammenfassung_KWKG'!$A265)</f>
        <v>0</v>
      </c>
      <c r="H265" s="747">
        <f>_xlfn.IFNA(VLOOKUP(A265,'Anlage 1c_Korrekturen_NB'!$A$678:$D$680,4,FALSE),0)</f>
        <v>0</v>
      </c>
      <c r="I265" s="748">
        <f t="shared" si="16"/>
        <v>0</v>
      </c>
      <c r="J265" s="20"/>
    </row>
    <row r="266" spans="1:10" hidden="1" outlineLevel="1">
      <c r="A266" s="418" t="s">
        <v>595</v>
      </c>
      <c r="B266" s="544">
        <v>42096.84</v>
      </c>
      <c r="C266" s="95">
        <f>_xlfn.IFNA(VLOOKUP($A266,'Anlage 1b_Abzüge, Pflicht, Boni'!$A$30:$D$60,2,FALSE),0)</f>
        <v>0</v>
      </c>
      <c r="D266" s="95">
        <f>_xlfn.IFNA(VLOOKUP(A266,'Anlage 1b_Abzüge, Pflicht, Boni'!$A$9:$D$94,3,FALSE),0)</f>
        <v>0</v>
      </c>
      <c r="E266" s="95">
        <f>_xlfn.IFNA(VLOOKUP(A266,'Anlage 1b_Abzüge, Pflicht, Boni'!$A$30:$D$58,4,FALSE),0)</f>
        <v>0</v>
      </c>
      <c r="F266" s="95">
        <f t="shared" si="17"/>
        <v>42096.84</v>
      </c>
      <c r="G266" s="95">
        <f>SUMIFS('Anlage 1c_Korrekturen_NB'!$L$80:$L$314,'Anlage 1c_Korrekturen_NB'!$A$80:$A$314,'Anlage 3a_Zusammenfassung_KWKG'!$A266)</f>
        <v>0</v>
      </c>
      <c r="H266" s="747">
        <f>_xlfn.IFNA(VLOOKUP(A266,'Anlage 1c_Korrekturen_NB'!$A$678:$D$680,4,FALSE),0)</f>
        <v>0</v>
      </c>
      <c r="I266" s="748">
        <f t="shared" si="16"/>
        <v>0</v>
      </c>
      <c r="J266" s="20"/>
    </row>
    <row r="267" spans="1:10" hidden="1" outlineLevel="1">
      <c r="A267" s="418" t="s">
        <v>597</v>
      </c>
      <c r="B267" s="544">
        <v>31615.55</v>
      </c>
      <c r="C267" s="95">
        <f>_xlfn.IFNA(VLOOKUP($A267,'Anlage 1b_Abzüge, Pflicht, Boni'!$A$30:$D$60,2,FALSE),0)</f>
        <v>0</v>
      </c>
      <c r="D267" s="95">
        <f>_xlfn.IFNA(VLOOKUP(A267,'Anlage 1b_Abzüge, Pflicht, Boni'!$A$9:$D$94,3,FALSE),0)</f>
        <v>0</v>
      </c>
      <c r="E267" s="95">
        <f>_xlfn.IFNA(VLOOKUP(A267,'Anlage 1b_Abzüge, Pflicht, Boni'!$A$30:$D$58,4,FALSE),0)</f>
        <v>0</v>
      </c>
      <c r="F267" s="95">
        <f t="shared" si="17"/>
        <v>31615.55</v>
      </c>
      <c r="G267" s="95">
        <f>SUMIFS('Anlage 1c_Korrekturen_NB'!$L$80:$L$314,'Anlage 1c_Korrekturen_NB'!$A$80:$A$314,'Anlage 3a_Zusammenfassung_KWKG'!$A267)</f>
        <v>0</v>
      </c>
      <c r="H267" s="747">
        <f>_xlfn.IFNA(VLOOKUP(A267,'Anlage 1c_Korrekturen_NB'!$A$678:$D$680,4,FALSE),0)</f>
        <v>0</v>
      </c>
      <c r="I267" s="748">
        <f t="shared" si="16"/>
        <v>0</v>
      </c>
      <c r="J267" s="20"/>
    </row>
    <row r="268" spans="1:10" hidden="1" outlineLevel="1">
      <c r="A268" s="418" t="s">
        <v>599</v>
      </c>
      <c r="B268" s="544">
        <v>83873.42</v>
      </c>
      <c r="C268" s="95">
        <f>_xlfn.IFNA(VLOOKUP($A268,'Anlage 1b_Abzüge, Pflicht, Boni'!$A$30:$D$60,2,FALSE),0)</f>
        <v>0</v>
      </c>
      <c r="D268" s="95">
        <f>_xlfn.IFNA(VLOOKUP(A268,'Anlage 1b_Abzüge, Pflicht, Boni'!$A$9:$D$94,3,FALSE),0)</f>
        <v>0</v>
      </c>
      <c r="E268" s="95">
        <f>_xlfn.IFNA(VLOOKUP(A268,'Anlage 1b_Abzüge, Pflicht, Boni'!$A$30:$D$58,4,FALSE),0)</f>
        <v>0</v>
      </c>
      <c r="F268" s="95">
        <f t="shared" si="17"/>
        <v>83873.42</v>
      </c>
      <c r="G268" s="95">
        <f>SUMIFS('Anlage 1c_Korrekturen_NB'!$L$80:$L$314,'Anlage 1c_Korrekturen_NB'!$A$80:$A$314,'Anlage 3a_Zusammenfassung_KWKG'!$A268)</f>
        <v>0</v>
      </c>
      <c r="H268" s="747">
        <f>_xlfn.IFNA(VLOOKUP(A268,'Anlage 1c_Korrekturen_NB'!$A$678:$D$680,4,FALSE),0)</f>
        <v>0</v>
      </c>
      <c r="I268" s="748">
        <f t="shared" si="16"/>
        <v>0</v>
      </c>
      <c r="J268" s="20"/>
    </row>
    <row r="269" spans="1:10" hidden="1" outlineLevel="1">
      <c r="A269" s="418" t="s">
        <v>601</v>
      </c>
      <c r="B269" s="544">
        <v>76716.44</v>
      </c>
      <c r="C269" s="95">
        <f>_xlfn.IFNA(VLOOKUP($A269,'Anlage 1b_Abzüge, Pflicht, Boni'!$A$30:$D$60,2,FALSE),0)</f>
        <v>0</v>
      </c>
      <c r="D269" s="95">
        <f>_xlfn.IFNA(VLOOKUP(A269,'Anlage 1b_Abzüge, Pflicht, Boni'!$A$9:$D$94,3,FALSE),0)</f>
        <v>0</v>
      </c>
      <c r="E269" s="95">
        <f>_xlfn.IFNA(VLOOKUP(A269,'Anlage 1b_Abzüge, Pflicht, Boni'!$A$30:$D$58,4,FALSE),0)</f>
        <v>0</v>
      </c>
      <c r="F269" s="95">
        <f t="shared" si="17"/>
        <v>76716.44</v>
      </c>
      <c r="G269" s="95">
        <f>SUMIFS('Anlage 1c_Korrekturen_NB'!$L$80:$L$314,'Anlage 1c_Korrekturen_NB'!$A$80:$A$314,'Anlage 3a_Zusammenfassung_KWKG'!$A269)</f>
        <v>0</v>
      </c>
      <c r="H269" s="747">
        <f>_xlfn.IFNA(VLOOKUP(A269,'Anlage 1c_Korrekturen_NB'!$A$678:$D$680,4,FALSE),0)</f>
        <v>0</v>
      </c>
      <c r="I269" s="748">
        <f t="shared" si="16"/>
        <v>0</v>
      </c>
      <c r="J269" s="20"/>
    </row>
    <row r="270" spans="1:10" hidden="1" outlineLevel="1">
      <c r="A270" s="418" t="s">
        <v>603</v>
      </c>
      <c r="B270" s="544">
        <v>15823.37</v>
      </c>
      <c r="C270" s="95">
        <f>_xlfn.IFNA(VLOOKUP($A270,'Anlage 1b_Abzüge, Pflicht, Boni'!$A$30:$D$60,2,FALSE),0)</f>
        <v>0</v>
      </c>
      <c r="D270" s="95">
        <f>_xlfn.IFNA(VLOOKUP(A270,'Anlage 1b_Abzüge, Pflicht, Boni'!$A$9:$D$94,3,FALSE),0)</f>
        <v>0</v>
      </c>
      <c r="E270" s="95">
        <f>_xlfn.IFNA(VLOOKUP(A270,'Anlage 1b_Abzüge, Pflicht, Boni'!$A$30:$D$58,4,FALSE),0)</f>
        <v>0</v>
      </c>
      <c r="F270" s="95">
        <f t="shared" si="17"/>
        <v>15823.37</v>
      </c>
      <c r="G270" s="95">
        <f>SUMIFS('Anlage 1c_Korrekturen_NB'!$L$80:$L$314,'Anlage 1c_Korrekturen_NB'!$A$80:$A$314,'Anlage 3a_Zusammenfassung_KWKG'!$A270)</f>
        <v>0</v>
      </c>
      <c r="H270" s="747">
        <f>_xlfn.IFNA(VLOOKUP(A270,'Anlage 1c_Korrekturen_NB'!$A$678:$D$680,4,FALSE),0)</f>
        <v>0</v>
      </c>
      <c r="I270" s="748">
        <f t="shared" si="16"/>
        <v>0</v>
      </c>
      <c r="J270" s="20"/>
    </row>
    <row r="271" spans="1:10" hidden="1" outlineLevel="1">
      <c r="A271" s="418" t="s">
        <v>605</v>
      </c>
      <c r="B271" s="544">
        <v>278419.22000000003</v>
      </c>
      <c r="C271" s="95">
        <f>_xlfn.IFNA(VLOOKUP($A271,'Anlage 1b_Abzüge, Pflicht, Boni'!$A$30:$D$60,2,FALSE),0)</f>
        <v>0</v>
      </c>
      <c r="D271" s="95">
        <f>_xlfn.IFNA(VLOOKUP(A271,'Anlage 1b_Abzüge, Pflicht, Boni'!$A$9:$D$94,3,FALSE),0)</f>
        <v>0</v>
      </c>
      <c r="E271" s="95">
        <f>_xlfn.IFNA(VLOOKUP(A271,'Anlage 1b_Abzüge, Pflicht, Boni'!$A$30:$D$58,4,FALSE),0)</f>
        <v>0</v>
      </c>
      <c r="F271" s="95">
        <f t="shared" si="17"/>
        <v>278419.22000000003</v>
      </c>
      <c r="G271" s="95">
        <f>SUMIFS('Anlage 1c_Korrekturen_NB'!$L$80:$L$314,'Anlage 1c_Korrekturen_NB'!$A$80:$A$314,'Anlage 3a_Zusammenfassung_KWKG'!$A271)</f>
        <v>0</v>
      </c>
      <c r="H271" s="747">
        <f>_xlfn.IFNA(VLOOKUP(A271,'Anlage 1c_Korrekturen_NB'!$A$678:$D$680,4,FALSE),0)</f>
        <v>0</v>
      </c>
      <c r="I271" s="748">
        <f t="shared" si="16"/>
        <v>0</v>
      </c>
      <c r="J271" s="20"/>
    </row>
    <row r="272" spans="1:10" hidden="1" outlineLevel="1">
      <c r="A272" s="418" t="s">
        <v>607</v>
      </c>
      <c r="B272" s="544">
        <v>291.60000000000002</v>
      </c>
      <c r="C272" s="95">
        <f>_xlfn.IFNA(VLOOKUP($A272,'Anlage 1b_Abzüge, Pflicht, Boni'!$A$30:$D$60,2,FALSE),0)</f>
        <v>0</v>
      </c>
      <c r="D272" s="95">
        <f>_xlfn.IFNA(VLOOKUP(A272,'Anlage 1b_Abzüge, Pflicht, Boni'!$A$9:$D$94,3,FALSE),0)</f>
        <v>0</v>
      </c>
      <c r="E272" s="95">
        <f>_xlfn.IFNA(VLOOKUP(A272,'Anlage 1b_Abzüge, Pflicht, Boni'!$A$30:$D$58,4,FALSE),0)</f>
        <v>0</v>
      </c>
      <c r="F272" s="95">
        <f t="shared" si="17"/>
        <v>291.60000000000002</v>
      </c>
      <c r="G272" s="95">
        <f>SUMIFS('Anlage 1c_Korrekturen_NB'!$L$80:$L$314,'Anlage 1c_Korrekturen_NB'!$A$80:$A$314,'Anlage 3a_Zusammenfassung_KWKG'!$A272)</f>
        <v>0</v>
      </c>
      <c r="H272" s="747">
        <f>_xlfn.IFNA(VLOOKUP(A272,'Anlage 1c_Korrekturen_NB'!$A$678:$D$680,4,FALSE),0)</f>
        <v>0</v>
      </c>
      <c r="I272" s="748">
        <f t="shared" si="16"/>
        <v>0</v>
      </c>
      <c r="J272" s="20"/>
    </row>
    <row r="273" spans="1:10" hidden="1" outlineLevel="1">
      <c r="A273" s="418" t="s">
        <v>609</v>
      </c>
      <c r="B273" s="544">
        <v>216761.49000000002</v>
      </c>
      <c r="C273" s="95">
        <f>_xlfn.IFNA(VLOOKUP($A273,'Anlage 1b_Abzüge, Pflicht, Boni'!$A$30:$D$60,2,FALSE),0)</f>
        <v>0</v>
      </c>
      <c r="D273" s="95">
        <f>_xlfn.IFNA(VLOOKUP(A273,'Anlage 1b_Abzüge, Pflicht, Boni'!$A$9:$D$94,3,FALSE),0)</f>
        <v>0</v>
      </c>
      <c r="E273" s="95">
        <f>_xlfn.IFNA(VLOOKUP(A273,'Anlage 1b_Abzüge, Pflicht, Boni'!$A$30:$D$58,4,FALSE),0)</f>
        <v>0</v>
      </c>
      <c r="F273" s="95">
        <f t="shared" si="17"/>
        <v>216761.49000000002</v>
      </c>
      <c r="G273" s="95">
        <f>SUMIFS('Anlage 1c_Korrekturen_NB'!$L$80:$L$314,'Anlage 1c_Korrekturen_NB'!$A$80:$A$314,'Anlage 3a_Zusammenfassung_KWKG'!$A273)</f>
        <v>40498.959999999999</v>
      </c>
      <c r="H273" s="747">
        <f>_xlfn.IFNA(VLOOKUP(A273,'Anlage 1c_Korrekturen_NB'!$A$678:$D$680,4,FALSE),0)</f>
        <v>0</v>
      </c>
      <c r="I273" s="748">
        <f t="shared" si="16"/>
        <v>40498.959999999999</v>
      </c>
      <c r="J273" s="20"/>
    </row>
    <row r="274" spans="1:10" hidden="1" outlineLevel="1">
      <c r="A274" s="418" t="s">
        <v>611</v>
      </c>
      <c r="B274" s="544">
        <v>109515.17000000001</v>
      </c>
      <c r="C274" s="95">
        <f>_xlfn.IFNA(VLOOKUP($A274,'Anlage 1b_Abzüge, Pflicht, Boni'!$A$30:$D$60,2,FALSE),0)</f>
        <v>-27.08</v>
      </c>
      <c r="D274" s="95">
        <f>_xlfn.IFNA(VLOOKUP(A274,'Anlage 1b_Abzüge, Pflicht, Boni'!$A$9:$D$94,3,FALSE),0)</f>
        <v>0</v>
      </c>
      <c r="E274" s="95">
        <f>_xlfn.IFNA(VLOOKUP(A274,'Anlage 1b_Abzüge, Pflicht, Boni'!$A$30:$D$58,4,FALSE),0)</f>
        <v>0</v>
      </c>
      <c r="F274" s="95">
        <f t="shared" si="17"/>
        <v>109488.09000000001</v>
      </c>
      <c r="G274" s="95">
        <f>SUMIFS('Anlage 1c_Korrekturen_NB'!$L$80:$L$314,'Anlage 1c_Korrekturen_NB'!$A$80:$A$314,'Anlage 3a_Zusammenfassung_KWKG'!$A274)</f>
        <v>-7934.1</v>
      </c>
      <c r="H274" s="747">
        <f>_xlfn.IFNA(VLOOKUP(A274,'Anlage 1c_Korrekturen_NB'!$A$678:$D$680,4,FALSE),0)</f>
        <v>0</v>
      </c>
      <c r="I274" s="748">
        <f t="shared" si="16"/>
        <v>-7934.1</v>
      </c>
      <c r="J274" s="20"/>
    </row>
    <row r="275" spans="1:10" hidden="1" outlineLevel="1">
      <c r="A275" s="418" t="s">
        <v>613</v>
      </c>
      <c r="B275" s="544">
        <v>0</v>
      </c>
      <c r="C275" s="95">
        <f>_xlfn.IFNA(VLOOKUP($A275,'Anlage 1b_Abzüge, Pflicht, Boni'!$A$30:$D$60,2,FALSE),0)</f>
        <v>0</v>
      </c>
      <c r="D275" s="95">
        <f>_xlfn.IFNA(VLOOKUP(A275,'Anlage 1b_Abzüge, Pflicht, Boni'!$A$9:$D$94,3,FALSE),0)</f>
        <v>0</v>
      </c>
      <c r="E275" s="95">
        <f>_xlfn.IFNA(VLOOKUP(A275,'Anlage 1b_Abzüge, Pflicht, Boni'!$A$30:$D$58,4,FALSE),0)</f>
        <v>0</v>
      </c>
      <c r="F275" s="95">
        <f t="shared" si="17"/>
        <v>0</v>
      </c>
      <c r="G275" s="95">
        <f>SUMIFS('Anlage 1c_Korrekturen_NB'!$L$80:$L$314,'Anlage 1c_Korrekturen_NB'!$A$80:$A$314,'Anlage 3a_Zusammenfassung_KWKG'!$A275)</f>
        <v>0</v>
      </c>
      <c r="H275" s="747">
        <f>_xlfn.IFNA(VLOOKUP(A275,'Anlage 1c_Korrekturen_NB'!$A$678:$D$680,4,FALSE),0)</f>
        <v>0</v>
      </c>
      <c r="I275" s="748">
        <f t="shared" si="16"/>
        <v>0</v>
      </c>
      <c r="J275" s="20"/>
    </row>
    <row r="276" spans="1:10" hidden="1" outlineLevel="1">
      <c r="A276" s="418" t="s">
        <v>615</v>
      </c>
      <c r="B276" s="544">
        <v>0</v>
      </c>
      <c r="C276" s="95">
        <f>_xlfn.IFNA(VLOOKUP($A276,'Anlage 1b_Abzüge, Pflicht, Boni'!$A$30:$D$60,2,FALSE),0)</f>
        <v>0</v>
      </c>
      <c r="D276" s="95">
        <f>_xlfn.IFNA(VLOOKUP(A276,'Anlage 1b_Abzüge, Pflicht, Boni'!$A$9:$D$94,3,FALSE),0)</f>
        <v>0</v>
      </c>
      <c r="E276" s="95">
        <f>_xlfn.IFNA(VLOOKUP(A276,'Anlage 1b_Abzüge, Pflicht, Boni'!$A$30:$D$58,4,FALSE),0)</f>
        <v>0</v>
      </c>
      <c r="F276" s="95">
        <f t="shared" si="17"/>
        <v>0</v>
      </c>
      <c r="G276" s="95">
        <f>SUMIFS('Anlage 1c_Korrekturen_NB'!$L$80:$L$314,'Anlage 1c_Korrekturen_NB'!$A$80:$A$314,'Anlage 3a_Zusammenfassung_KWKG'!$A276)</f>
        <v>0</v>
      </c>
      <c r="H276" s="747">
        <f>_xlfn.IFNA(VLOOKUP(A276,'Anlage 1c_Korrekturen_NB'!$A$678:$D$680,4,FALSE),0)</f>
        <v>0</v>
      </c>
      <c r="I276" s="748">
        <f t="shared" si="16"/>
        <v>0</v>
      </c>
      <c r="J276" s="20"/>
    </row>
    <row r="277" spans="1:10" hidden="1" outlineLevel="1">
      <c r="A277" s="418" t="s">
        <v>617</v>
      </c>
      <c r="B277" s="544">
        <v>74041.89</v>
      </c>
      <c r="C277" s="95">
        <f>_xlfn.IFNA(VLOOKUP($A277,'Anlage 1b_Abzüge, Pflicht, Boni'!$A$30:$D$60,2,FALSE),0)</f>
        <v>0</v>
      </c>
      <c r="D277" s="95">
        <f>_xlfn.IFNA(VLOOKUP(A277,'Anlage 1b_Abzüge, Pflicht, Boni'!$A$9:$D$94,3,FALSE),0)</f>
        <v>0</v>
      </c>
      <c r="E277" s="95">
        <f>_xlfn.IFNA(VLOOKUP(A277,'Anlage 1b_Abzüge, Pflicht, Boni'!$A$30:$D$58,4,FALSE),0)</f>
        <v>0</v>
      </c>
      <c r="F277" s="95">
        <f t="shared" si="17"/>
        <v>74041.89</v>
      </c>
      <c r="G277" s="95">
        <f>SUMIFS('Anlage 1c_Korrekturen_NB'!$L$80:$L$314,'Anlage 1c_Korrekturen_NB'!$A$80:$A$314,'Anlage 3a_Zusammenfassung_KWKG'!$A277)</f>
        <v>690.88</v>
      </c>
      <c r="H277" s="747">
        <f>_xlfn.IFNA(VLOOKUP(A277,'Anlage 1c_Korrekturen_NB'!$A$678:$D$680,4,FALSE),0)</f>
        <v>0</v>
      </c>
      <c r="I277" s="748">
        <f t="shared" si="16"/>
        <v>690.88</v>
      </c>
      <c r="J277" s="20"/>
    </row>
    <row r="278" spans="1:10" hidden="1" outlineLevel="1">
      <c r="A278" s="418" t="s">
        <v>619</v>
      </c>
      <c r="B278" s="544">
        <v>285119.52</v>
      </c>
      <c r="C278" s="95">
        <f>_xlfn.IFNA(VLOOKUP($A278,'Anlage 1b_Abzüge, Pflicht, Boni'!$A$30:$D$60,2,FALSE),0)</f>
        <v>0</v>
      </c>
      <c r="D278" s="95">
        <f>_xlfn.IFNA(VLOOKUP(A278,'Anlage 1b_Abzüge, Pflicht, Boni'!$A$9:$D$94,3,FALSE),0)</f>
        <v>0</v>
      </c>
      <c r="E278" s="95">
        <f>_xlfn.IFNA(VLOOKUP(A278,'Anlage 1b_Abzüge, Pflicht, Boni'!$A$30:$D$58,4,FALSE),0)</f>
        <v>0</v>
      </c>
      <c r="F278" s="95">
        <f t="shared" si="17"/>
        <v>285119.52</v>
      </c>
      <c r="G278" s="95">
        <f>SUMIFS('Anlage 1c_Korrekturen_NB'!$L$80:$L$314,'Anlage 1c_Korrekturen_NB'!$A$80:$A$314,'Anlage 3a_Zusammenfassung_KWKG'!$A278)</f>
        <v>0</v>
      </c>
      <c r="H278" s="747">
        <f>_xlfn.IFNA(VLOOKUP(A278,'Anlage 1c_Korrekturen_NB'!$A$678:$D$680,4,FALSE),0)</f>
        <v>0</v>
      </c>
      <c r="I278" s="748">
        <f t="shared" si="16"/>
        <v>0</v>
      </c>
      <c r="J278" s="20"/>
    </row>
    <row r="279" spans="1:10" hidden="1" outlineLevel="1">
      <c r="A279" s="418" t="s">
        <v>621</v>
      </c>
      <c r="B279" s="544">
        <v>454431.94</v>
      </c>
      <c r="C279" s="95">
        <f>_xlfn.IFNA(VLOOKUP($A279,'Anlage 1b_Abzüge, Pflicht, Boni'!$A$30:$D$60,2,FALSE),0)</f>
        <v>0</v>
      </c>
      <c r="D279" s="95">
        <f>_xlfn.IFNA(VLOOKUP(A279,'Anlage 1b_Abzüge, Pflicht, Boni'!$A$9:$D$94,3,FALSE),0)</f>
        <v>0</v>
      </c>
      <c r="E279" s="95">
        <f>_xlfn.IFNA(VLOOKUP(A279,'Anlage 1b_Abzüge, Pflicht, Boni'!$A$30:$D$58,4,FALSE),0)</f>
        <v>0</v>
      </c>
      <c r="F279" s="95">
        <f t="shared" si="17"/>
        <v>454431.94</v>
      </c>
      <c r="G279" s="95">
        <f>SUMIFS('Anlage 1c_Korrekturen_NB'!$L$80:$L$314,'Anlage 1c_Korrekturen_NB'!$A$80:$A$314,'Anlage 3a_Zusammenfassung_KWKG'!$A279)</f>
        <v>201023.85</v>
      </c>
      <c r="H279" s="747">
        <f>_xlfn.IFNA(VLOOKUP(A279,'Anlage 1c_Korrekturen_NB'!$A$678:$D$680,4,FALSE),0)</f>
        <v>0</v>
      </c>
      <c r="I279" s="748">
        <f t="shared" si="16"/>
        <v>201023.85</v>
      </c>
      <c r="J279" s="20"/>
    </row>
    <row r="280" spans="1:10" hidden="1" outlineLevel="1">
      <c r="A280" s="418" t="s">
        <v>623</v>
      </c>
      <c r="B280" s="544">
        <v>5129.0599999999995</v>
      </c>
      <c r="C280" s="95">
        <f>_xlfn.IFNA(VLOOKUP($A280,'Anlage 1b_Abzüge, Pflicht, Boni'!$A$30:$D$60,2,FALSE),0)</f>
        <v>0</v>
      </c>
      <c r="D280" s="95">
        <f>_xlfn.IFNA(VLOOKUP(A280,'Anlage 1b_Abzüge, Pflicht, Boni'!$A$9:$D$94,3,FALSE),0)</f>
        <v>0</v>
      </c>
      <c r="E280" s="95">
        <f>_xlfn.IFNA(VLOOKUP(A280,'Anlage 1b_Abzüge, Pflicht, Boni'!$A$30:$D$58,4,FALSE),0)</f>
        <v>0</v>
      </c>
      <c r="F280" s="95">
        <f t="shared" si="17"/>
        <v>5129.0599999999995</v>
      </c>
      <c r="G280" s="95">
        <f>SUMIFS('Anlage 1c_Korrekturen_NB'!$L$80:$L$314,'Anlage 1c_Korrekturen_NB'!$A$80:$A$314,'Anlage 3a_Zusammenfassung_KWKG'!$A280)</f>
        <v>0</v>
      </c>
      <c r="H280" s="747">
        <f>_xlfn.IFNA(VLOOKUP(A280,'Anlage 1c_Korrekturen_NB'!$A$678:$D$680,4,FALSE),0)</f>
        <v>0</v>
      </c>
      <c r="I280" s="748">
        <f t="shared" si="16"/>
        <v>0</v>
      </c>
      <c r="J280" s="20"/>
    </row>
    <row r="281" spans="1:10" hidden="1" outlineLevel="1">
      <c r="A281" s="418" t="s">
        <v>625</v>
      </c>
      <c r="B281" s="544">
        <v>28180.32</v>
      </c>
      <c r="C281" s="95">
        <f>_xlfn.IFNA(VLOOKUP($A281,'Anlage 1b_Abzüge, Pflicht, Boni'!$A$30:$D$60,2,FALSE),0)</f>
        <v>0</v>
      </c>
      <c r="D281" s="95">
        <f>_xlfn.IFNA(VLOOKUP(A281,'Anlage 1b_Abzüge, Pflicht, Boni'!$A$9:$D$94,3,FALSE),0)</f>
        <v>0</v>
      </c>
      <c r="E281" s="95">
        <f>_xlfn.IFNA(VLOOKUP(A281,'Anlage 1b_Abzüge, Pflicht, Boni'!$A$30:$D$58,4,FALSE),0)</f>
        <v>0</v>
      </c>
      <c r="F281" s="95">
        <f t="shared" si="17"/>
        <v>28180.32</v>
      </c>
      <c r="G281" s="95">
        <f>SUMIFS('Anlage 1c_Korrekturen_NB'!$L$80:$L$314,'Anlage 1c_Korrekturen_NB'!$A$80:$A$314,'Anlage 3a_Zusammenfassung_KWKG'!$A281)</f>
        <v>0</v>
      </c>
      <c r="H281" s="747">
        <f>_xlfn.IFNA(VLOOKUP(A281,'Anlage 1c_Korrekturen_NB'!$A$678:$D$680,4,FALSE),0)</f>
        <v>0</v>
      </c>
      <c r="I281" s="748">
        <f t="shared" si="16"/>
        <v>0</v>
      </c>
      <c r="J281" s="20"/>
    </row>
    <row r="282" spans="1:10" hidden="1" outlineLevel="1">
      <c r="A282" s="418" t="s">
        <v>627</v>
      </c>
      <c r="B282" s="544">
        <v>556995.05000000005</v>
      </c>
      <c r="C282" s="95">
        <f>_xlfn.IFNA(VLOOKUP($A282,'Anlage 1b_Abzüge, Pflicht, Boni'!$A$30:$D$60,2,FALSE),0)</f>
        <v>0</v>
      </c>
      <c r="D282" s="95">
        <f>_xlfn.IFNA(VLOOKUP(A282,'Anlage 1b_Abzüge, Pflicht, Boni'!$A$9:$D$94,3,FALSE),0)</f>
        <v>0</v>
      </c>
      <c r="E282" s="95">
        <f>_xlfn.IFNA(VLOOKUP(A282,'Anlage 1b_Abzüge, Pflicht, Boni'!$A$30:$D$58,4,FALSE),0)</f>
        <v>0</v>
      </c>
      <c r="F282" s="95">
        <f t="shared" si="17"/>
        <v>556995.05000000005</v>
      </c>
      <c r="G282" s="95">
        <f>SUMIFS('Anlage 1c_Korrekturen_NB'!$L$80:$L$314,'Anlage 1c_Korrekturen_NB'!$A$80:$A$314,'Anlage 3a_Zusammenfassung_KWKG'!$A282)</f>
        <v>19248.63</v>
      </c>
      <c r="H282" s="747">
        <f>_xlfn.IFNA(VLOOKUP(A282,'Anlage 1c_Korrekturen_NB'!$A$678:$D$680,4,FALSE),0)</f>
        <v>0</v>
      </c>
      <c r="I282" s="748">
        <f t="shared" si="16"/>
        <v>19248.63</v>
      </c>
      <c r="J282" s="20"/>
    </row>
    <row r="283" spans="1:10" hidden="1" outlineLevel="1">
      <c r="A283" s="418" t="s">
        <v>629</v>
      </c>
      <c r="B283" s="544">
        <v>6944.8600000000006</v>
      </c>
      <c r="C283" s="95">
        <f>_xlfn.IFNA(VLOOKUP($A283,'Anlage 1b_Abzüge, Pflicht, Boni'!$A$30:$D$60,2,FALSE),0)</f>
        <v>0</v>
      </c>
      <c r="D283" s="95">
        <f>_xlfn.IFNA(VLOOKUP(A283,'Anlage 1b_Abzüge, Pflicht, Boni'!$A$9:$D$94,3,FALSE),0)</f>
        <v>0</v>
      </c>
      <c r="E283" s="95">
        <f>_xlfn.IFNA(VLOOKUP(A283,'Anlage 1b_Abzüge, Pflicht, Boni'!$A$30:$D$58,4,FALSE),0)</f>
        <v>0</v>
      </c>
      <c r="F283" s="95">
        <f t="shared" si="17"/>
        <v>6944.8600000000006</v>
      </c>
      <c r="G283" s="95">
        <f>SUMIFS('Anlage 1c_Korrekturen_NB'!$L$80:$L$314,'Anlage 1c_Korrekturen_NB'!$A$80:$A$314,'Anlage 3a_Zusammenfassung_KWKG'!$A283)</f>
        <v>19769.45</v>
      </c>
      <c r="H283" s="747">
        <f>_xlfn.IFNA(VLOOKUP(A283,'Anlage 1c_Korrekturen_NB'!$A$678:$D$680,4,FALSE),0)</f>
        <v>0</v>
      </c>
      <c r="I283" s="748">
        <f t="shared" si="16"/>
        <v>19769.45</v>
      </c>
      <c r="J283" s="20"/>
    </row>
    <row r="284" spans="1:10" hidden="1" outlineLevel="1">
      <c r="A284" s="418" t="s">
        <v>631</v>
      </c>
      <c r="B284" s="544">
        <v>102764.92</v>
      </c>
      <c r="C284" s="95">
        <f>_xlfn.IFNA(VLOOKUP($A284,'Anlage 1b_Abzüge, Pflicht, Boni'!$A$30:$D$60,2,FALSE),0)</f>
        <v>0</v>
      </c>
      <c r="D284" s="95">
        <f>_xlfn.IFNA(VLOOKUP(A284,'Anlage 1b_Abzüge, Pflicht, Boni'!$A$9:$D$94,3,FALSE),0)</f>
        <v>0</v>
      </c>
      <c r="E284" s="95">
        <f>_xlfn.IFNA(VLOOKUP(A284,'Anlage 1b_Abzüge, Pflicht, Boni'!$A$30:$D$58,4,FALSE),0)</f>
        <v>0</v>
      </c>
      <c r="F284" s="95">
        <f t="shared" si="17"/>
        <v>102764.92</v>
      </c>
      <c r="G284" s="95">
        <f>SUMIFS('Anlage 1c_Korrekturen_NB'!$L$80:$L$314,'Anlage 1c_Korrekturen_NB'!$A$80:$A$314,'Anlage 3a_Zusammenfassung_KWKG'!$A284)</f>
        <v>0</v>
      </c>
      <c r="H284" s="747">
        <f>_xlfn.IFNA(VLOOKUP(A284,'Anlage 1c_Korrekturen_NB'!$A$678:$D$680,4,FALSE),0)</f>
        <v>0</v>
      </c>
      <c r="I284" s="748">
        <f t="shared" si="16"/>
        <v>0</v>
      </c>
      <c r="J284" s="20"/>
    </row>
    <row r="285" spans="1:10" hidden="1" outlineLevel="1">
      <c r="A285" s="418" t="s">
        <v>633</v>
      </c>
      <c r="B285" s="544">
        <v>66835.05</v>
      </c>
      <c r="C285" s="95">
        <f>_xlfn.IFNA(VLOOKUP($A285,'Anlage 1b_Abzüge, Pflicht, Boni'!$A$30:$D$60,2,FALSE),0)</f>
        <v>0</v>
      </c>
      <c r="D285" s="95">
        <f>_xlfn.IFNA(VLOOKUP(A285,'Anlage 1b_Abzüge, Pflicht, Boni'!$A$9:$D$94,3,FALSE),0)</f>
        <v>0</v>
      </c>
      <c r="E285" s="95">
        <f>_xlfn.IFNA(VLOOKUP(A285,'Anlage 1b_Abzüge, Pflicht, Boni'!$A$30:$D$58,4,FALSE),0)</f>
        <v>0</v>
      </c>
      <c r="F285" s="95">
        <f t="shared" si="17"/>
        <v>66835.05</v>
      </c>
      <c r="G285" s="95">
        <f>SUMIFS('Anlage 1c_Korrekturen_NB'!$L$80:$L$314,'Anlage 1c_Korrekturen_NB'!$A$80:$A$314,'Anlage 3a_Zusammenfassung_KWKG'!$A285)</f>
        <v>0</v>
      </c>
      <c r="H285" s="747">
        <f>_xlfn.IFNA(VLOOKUP(A285,'Anlage 1c_Korrekturen_NB'!$A$678:$D$680,4,FALSE),0)</f>
        <v>0</v>
      </c>
      <c r="I285" s="748">
        <f t="shared" si="16"/>
        <v>0</v>
      </c>
      <c r="J285" s="20"/>
    </row>
    <row r="286" spans="1:10" hidden="1" outlineLevel="1">
      <c r="A286" s="418" t="s">
        <v>635</v>
      </c>
      <c r="B286" s="544">
        <v>20954.95</v>
      </c>
      <c r="C286" s="95">
        <f>_xlfn.IFNA(VLOOKUP($A286,'Anlage 1b_Abzüge, Pflicht, Boni'!$A$30:$D$60,2,FALSE),0)</f>
        <v>0</v>
      </c>
      <c r="D286" s="95">
        <f>_xlfn.IFNA(VLOOKUP(A286,'Anlage 1b_Abzüge, Pflicht, Boni'!$A$9:$D$94,3,FALSE),0)</f>
        <v>0</v>
      </c>
      <c r="E286" s="95">
        <f>_xlfn.IFNA(VLOOKUP(A286,'Anlage 1b_Abzüge, Pflicht, Boni'!$A$30:$D$58,4,FALSE),0)</f>
        <v>0</v>
      </c>
      <c r="F286" s="95">
        <f t="shared" si="17"/>
        <v>20954.95</v>
      </c>
      <c r="G286" s="95">
        <f>SUMIFS('Anlage 1c_Korrekturen_NB'!$L$80:$L$314,'Anlage 1c_Korrekturen_NB'!$A$80:$A$314,'Anlage 3a_Zusammenfassung_KWKG'!$A286)</f>
        <v>0</v>
      </c>
      <c r="H286" s="747">
        <f>_xlfn.IFNA(VLOOKUP(A286,'Anlage 1c_Korrekturen_NB'!$A$678:$D$680,4,FALSE),0)</f>
        <v>0</v>
      </c>
      <c r="I286" s="748">
        <f t="shared" si="16"/>
        <v>0</v>
      </c>
      <c r="J286" s="20"/>
    </row>
    <row r="287" spans="1:10" hidden="1" outlineLevel="1">
      <c r="A287" s="418" t="s">
        <v>637</v>
      </c>
      <c r="B287" s="544">
        <v>27091933.5</v>
      </c>
      <c r="C287" s="95">
        <f>_xlfn.IFNA(VLOOKUP($A287,'Anlage 1b_Abzüge, Pflicht, Boni'!$A$30:$D$60,2,FALSE),0)</f>
        <v>0</v>
      </c>
      <c r="D287" s="95">
        <f>_xlfn.IFNA(VLOOKUP(A287,'Anlage 1b_Abzüge, Pflicht, Boni'!$A$9:$D$94,3,FALSE),0)</f>
        <v>0</v>
      </c>
      <c r="E287" s="95">
        <f>_xlfn.IFNA(VLOOKUP(A287,'Anlage 1b_Abzüge, Pflicht, Boni'!$A$30:$D$58,4,FALSE),0)</f>
        <v>0</v>
      </c>
      <c r="F287" s="95">
        <f t="shared" si="17"/>
        <v>27091933.5</v>
      </c>
      <c r="G287" s="95">
        <f>SUMIFS('Anlage 1c_Korrekturen_NB'!$L$80:$L$314,'Anlage 1c_Korrekturen_NB'!$A$80:$A$314,'Anlage 3a_Zusammenfassung_KWKG'!$A287)</f>
        <v>0</v>
      </c>
      <c r="H287" s="747">
        <f>_xlfn.IFNA(VLOOKUP(A287,'Anlage 1c_Korrekturen_NB'!$A$678:$D$680,4,FALSE),0)</f>
        <v>0</v>
      </c>
      <c r="I287" s="748">
        <f t="shared" si="16"/>
        <v>0</v>
      </c>
      <c r="J287" s="20"/>
    </row>
    <row r="288" spans="1:10" hidden="1" outlineLevel="1">
      <c r="A288" s="418" t="s">
        <v>639</v>
      </c>
      <c r="B288" s="544">
        <v>1020730.1599999999</v>
      </c>
      <c r="C288" s="95">
        <f>_xlfn.IFNA(VLOOKUP($A288,'Anlage 1b_Abzüge, Pflicht, Boni'!$A$30:$D$60,2,FALSE),0)</f>
        <v>0</v>
      </c>
      <c r="D288" s="95">
        <f>_xlfn.IFNA(VLOOKUP(A288,'Anlage 1b_Abzüge, Pflicht, Boni'!$A$9:$D$94,3,FALSE),0)</f>
        <v>0</v>
      </c>
      <c r="E288" s="95">
        <f>_xlfn.IFNA(VLOOKUP(A288,'Anlage 1b_Abzüge, Pflicht, Boni'!$A$30:$D$58,4,FALSE),0)</f>
        <v>0</v>
      </c>
      <c r="F288" s="95">
        <f t="shared" si="17"/>
        <v>1020730.1599999999</v>
      </c>
      <c r="G288" s="95">
        <f>SUMIFS('Anlage 1c_Korrekturen_NB'!$L$80:$L$314,'Anlage 1c_Korrekturen_NB'!$A$80:$A$314,'Anlage 3a_Zusammenfassung_KWKG'!$A288)</f>
        <v>336495.17000000004</v>
      </c>
      <c r="H288" s="747">
        <f>_xlfn.IFNA(VLOOKUP(A288,'Anlage 1c_Korrekturen_NB'!$A$678:$D$680,4,FALSE),0)</f>
        <v>0</v>
      </c>
      <c r="I288" s="748">
        <f t="shared" si="16"/>
        <v>336495.17000000004</v>
      </c>
      <c r="J288" s="20"/>
    </row>
    <row r="289" spans="1:10" hidden="1" outlineLevel="1">
      <c r="A289" s="418" t="s">
        <v>641</v>
      </c>
      <c r="B289" s="544">
        <v>6442.96</v>
      </c>
      <c r="C289" s="95">
        <f>_xlfn.IFNA(VLOOKUP($A289,'Anlage 1b_Abzüge, Pflicht, Boni'!$A$30:$D$60,2,FALSE),0)</f>
        <v>0</v>
      </c>
      <c r="D289" s="95">
        <f>_xlfn.IFNA(VLOOKUP(A289,'Anlage 1b_Abzüge, Pflicht, Boni'!$A$9:$D$94,3,FALSE),0)</f>
        <v>0</v>
      </c>
      <c r="E289" s="95">
        <f>_xlfn.IFNA(VLOOKUP(A289,'Anlage 1b_Abzüge, Pflicht, Boni'!$A$30:$D$58,4,FALSE),0)</f>
        <v>0</v>
      </c>
      <c r="F289" s="95">
        <f t="shared" si="17"/>
        <v>6442.96</v>
      </c>
      <c r="G289" s="95">
        <f>SUMIFS('Anlage 1c_Korrekturen_NB'!$L$80:$L$314,'Anlage 1c_Korrekturen_NB'!$A$80:$A$314,'Anlage 3a_Zusammenfassung_KWKG'!$A289)</f>
        <v>3394.08</v>
      </c>
      <c r="H289" s="747">
        <f>_xlfn.IFNA(VLOOKUP(A289,'Anlage 1c_Korrekturen_NB'!$A$678:$D$680,4,FALSE),0)</f>
        <v>0</v>
      </c>
      <c r="I289" s="748">
        <f t="shared" si="16"/>
        <v>3394.08</v>
      </c>
      <c r="J289" s="20"/>
    </row>
    <row r="290" spans="1:10" hidden="1" outlineLevel="1">
      <c r="A290" s="418" t="s">
        <v>643</v>
      </c>
      <c r="B290" s="544">
        <v>27738.080000000002</v>
      </c>
      <c r="C290" s="95">
        <f>_xlfn.IFNA(VLOOKUP($A290,'Anlage 1b_Abzüge, Pflicht, Boni'!$A$30:$D$60,2,FALSE),0)</f>
        <v>0</v>
      </c>
      <c r="D290" s="95">
        <f>_xlfn.IFNA(VLOOKUP(A290,'Anlage 1b_Abzüge, Pflicht, Boni'!$A$9:$D$94,3,FALSE),0)</f>
        <v>0</v>
      </c>
      <c r="E290" s="95">
        <f>_xlfn.IFNA(VLOOKUP(A290,'Anlage 1b_Abzüge, Pflicht, Boni'!$A$30:$D$58,4,FALSE),0)</f>
        <v>0</v>
      </c>
      <c r="F290" s="95">
        <f t="shared" si="17"/>
        <v>27738.080000000002</v>
      </c>
      <c r="G290" s="95">
        <f>SUMIFS('Anlage 1c_Korrekturen_NB'!$L$80:$L$314,'Anlage 1c_Korrekturen_NB'!$A$80:$A$314,'Anlage 3a_Zusammenfassung_KWKG'!$A290)</f>
        <v>0</v>
      </c>
      <c r="H290" s="747">
        <f>_xlfn.IFNA(VLOOKUP(A290,'Anlage 1c_Korrekturen_NB'!$A$678:$D$680,4,FALSE),0)</f>
        <v>0</v>
      </c>
      <c r="I290" s="748">
        <f t="shared" si="16"/>
        <v>0</v>
      </c>
      <c r="J290" s="20"/>
    </row>
    <row r="291" spans="1:10" hidden="1" outlineLevel="1">
      <c r="A291" s="418" t="s">
        <v>645</v>
      </c>
      <c r="B291" s="544">
        <v>291118.79000000004</v>
      </c>
      <c r="C291" s="95">
        <f>_xlfn.IFNA(VLOOKUP($A291,'Anlage 1b_Abzüge, Pflicht, Boni'!$A$30:$D$60,2,FALSE),0)</f>
        <v>0</v>
      </c>
      <c r="D291" s="95">
        <f>_xlfn.IFNA(VLOOKUP(A291,'Anlage 1b_Abzüge, Pflicht, Boni'!$A$9:$D$94,3,FALSE),0)</f>
        <v>0</v>
      </c>
      <c r="E291" s="95">
        <f>_xlfn.IFNA(VLOOKUP(A291,'Anlage 1b_Abzüge, Pflicht, Boni'!$A$30:$D$58,4,FALSE),0)</f>
        <v>0</v>
      </c>
      <c r="F291" s="95">
        <f t="shared" si="17"/>
        <v>291118.79000000004</v>
      </c>
      <c r="G291" s="95">
        <f>SUMIFS('Anlage 1c_Korrekturen_NB'!$L$80:$L$314,'Anlage 1c_Korrekturen_NB'!$A$80:$A$314,'Anlage 3a_Zusammenfassung_KWKG'!$A291)</f>
        <v>0</v>
      </c>
      <c r="H291" s="747">
        <f>_xlfn.IFNA(VLOOKUP(A291,'Anlage 1c_Korrekturen_NB'!$A$678:$D$680,4,FALSE),0)</f>
        <v>0</v>
      </c>
      <c r="I291" s="748">
        <f t="shared" si="16"/>
        <v>0</v>
      </c>
      <c r="J291" s="20"/>
    </row>
    <row r="292" spans="1:10" hidden="1" outlineLevel="1">
      <c r="A292" s="418" t="s">
        <v>647</v>
      </c>
      <c r="B292" s="544">
        <v>0</v>
      </c>
      <c r="C292" s="95">
        <f>_xlfn.IFNA(VLOOKUP($A292,'Anlage 1b_Abzüge, Pflicht, Boni'!$A$30:$D$60,2,FALSE),0)</f>
        <v>0</v>
      </c>
      <c r="D292" s="95">
        <f>_xlfn.IFNA(VLOOKUP(A292,'Anlage 1b_Abzüge, Pflicht, Boni'!$A$9:$D$94,3,FALSE),0)</f>
        <v>0</v>
      </c>
      <c r="E292" s="95">
        <f>_xlfn.IFNA(VLOOKUP(A292,'Anlage 1b_Abzüge, Pflicht, Boni'!$A$30:$D$58,4,FALSE),0)</f>
        <v>0</v>
      </c>
      <c r="F292" s="95">
        <f t="shared" si="17"/>
        <v>0</v>
      </c>
      <c r="G292" s="95">
        <f>SUMIFS('Anlage 1c_Korrekturen_NB'!$L$80:$L$314,'Anlage 1c_Korrekturen_NB'!$A$80:$A$314,'Anlage 3a_Zusammenfassung_KWKG'!$A292)</f>
        <v>0</v>
      </c>
      <c r="H292" s="747">
        <f>_xlfn.IFNA(VLOOKUP(A292,'Anlage 1c_Korrekturen_NB'!$A$678:$D$680,4,FALSE),0)</f>
        <v>0</v>
      </c>
      <c r="I292" s="748">
        <f t="shared" si="16"/>
        <v>0</v>
      </c>
      <c r="J292" s="20"/>
    </row>
    <row r="293" spans="1:10" hidden="1" outlineLevel="1">
      <c r="A293" s="418" t="s">
        <v>649</v>
      </c>
      <c r="B293" s="544">
        <v>96314.260000000009</v>
      </c>
      <c r="C293" s="95">
        <f>_xlfn.IFNA(VLOOKUP($A293,'Anlage 1b_Abzüge, Pflicht, Boni'!$A$30:$D$60,2,FALSE),0)</f>
        <v>0</v>
      </c>
      <c r="D293" s="95">
        <f>_xlfn.IFNA(VLOOKUP(A293,'Anlage 1b_Abzüge, Pflicht, Boni'!$A$9:$D$94,3,FALSE),0)</f>
        <v>0</v>
      </c>
      <c r="E293" s="95">
        <f>_xlfn.IFNA(VLOOKUP(A293,'Anlage 1b_Abzüge, Pflicht, Boni'!$A$30:$D$58,4,FALSE),0)</f>
        <v>0</v>
      </c>
      <c r="F293" s="95">
        <f t="shared" si="17"/>
        <v>96314.260000000009</v>
      </c>
      <c r="G293" s="95">
        <f>SUMIFS('Anlage 1c_Korrekturen_NB'!$L$80:$L$314,'Anlage 1c_Korrekturen_NB'!$A$80:$A$314,'Anlage 3a_Zusammenfassung_KWKG'!$A293)</f>
        <v>0</v>
      </c>
      <c r="H293" s="747">
        <f>_xlfn.IFNA(VLOOKUP(A293,'Anlage 1c_Korrekturen_NB'!$A$678:$D$680,4,FALSE),0)</f>
        <v>0</v>
      </c>
      <c r="I293" s="748">
        <f t="shared" si="16"/>
        <v>0</v>
      </c>
      <c r="J293" s="20"/>
    </row>
    <row r="294" spans="1:10" hidden="1" outlineLevel="1">
      <c r="A294" s="418" t="s">
        <v>651</v>
      </c>
      <c r="B294" s="544">
        <v>3767365.47</v>
      </c>
      <c r="C294" s="95">
        <f>_xlfn.IFNA(VLOOKUP($A294,'Anlage 1b_Abzüge, Pflicht, Boni'!$A$30:$D$60,2,FALSE),0)</f>
        <v>0</v>
      </c>
      <c r="D294" s="95">
        <f>_xlfn.IFNA(VLOOKUP(A294,'Anlage 1b_Abzüge, Pflicht, Boni'!$A$9:$D$94,3,FALSE),0)</f>
        <v>0</v>
      </c>
      <c r="E294" s="95">
        <f>_xlfn.IFNA(VLOOKUP(A294,'Anlage 1b_Abzüge, Pflicht, Boni'!$A$30:$D$58,4,FALSE),0)</f>
        <v>0</v>
      </c>
      <c r="F294" s="95">
        <f t="shared" si="17"/>
        <v>3767365.47</v>
      </c>
      <c r="G294" s="95">
        <f>SUMIFS('Anlage 1c_Korrekturen_NB'!$L$80:$L$314,'Anlage 1c_Korrekturen_NB'!$A$80:$A$314,'Anlage 3a_Zusammenfassung_KWKG'!$A294)</f>
        <v>138748.5</v>
      </c>
      <c r="H294" s="747">
        <f>_xlfn.IFNA(VLOOKUP(A294,'Anlage 1c_Korrekturen_NB'!$A$678:$D$680,4,FALSE),0)</f>
        <v>0</v>
      </c>
      <c r="I294" s="748">
        <f t="shared" si="16"/>
        <v>138748.5</v>
      </c>
      <c r="J294" s="20"/>
    </row>
    <row r="295" spans="1:10" hidden="1" outlineLevel="1">
      <c r="A295" s="418" t="s">
        <v>653</v>
      </c>
      <c r="B295" s="544">
        <v>1654.72</v>
      </c>
      <c r="C295" s="95">
        <f>_xlfn.IFNA(VLOOKUP($A295,'Anlage 1b_Abzüge, Pflicht, Boni'!$A$30:$D$60,2,FALSE),0)</f>
        <v>0</v>
      </c>
      <c r="D295" s="95">
        <f>_xlfn.IFNA(VLOOKUP(A295,'Anlage 1b_Abzüge, Pflicht, Boni'!$A$9:$D$94,3,FALSE),0)</f>
        <v>0</v>
      </c>
      <c r="E295" s="95">
        <f>_xlfn.IFNA(VLOOKUP(A295,'Anlage 1b_Abzüge, Pflicht, Boni'!$A$30:$D$58,4,FALSE),0)</f>
        <v>0</v>
      </c>
      <c r="F295" s="95">
        <f t="shared" si="17"/>
        <v>1654.72</v>
      </c>
      <c r="G295" s="95">
        <f>SUMIFS('Anlage 1c_Korrekturen_NB'!$L$80:$L$314,'Anlage 1c_Korrekturen_NB'!$A$80:$A$314,'Anlage 3a_Zusammenfassung_KWKG'!$A295)</f>
        <v>0</v>
      </c>
      <c r="H295" s="747">
        <f>_xlfn.IFNA(VLOOKUP(A295,'Anlage 1c_Korrekturen_NB'!$A$678:$D$680,4,FALSE),0)</f>
        <v>0</v>
      </c>
      <c r="I295" s="748">
        <f t="shared" si="16"/>
        <v>0</v>
      </c>
      <c r="J295" s="20"/>
    </row>
    <row r="296" spans="1:10" hidden="1" outlineLevel="1">
      <c r="A296" s="418" t="s">
        <v>655</v>
      </c>
      <c r="B296" s="544">
        <v>0</v>
      </c>
      <c r="C296" s="95">
        <f>_xlfn.IFNA(VLOOKUP($A296,'Anlage 1b_Abzüge, Pflicht, Boni'!$A$30:$D$60,2,FALSE),0)</f>
        <v>0</v>
      </c>
      <c r="D296" s="95">
        <f>_xlfn.IFNA(VLOOKUP(A296,'Anlage 1b_Abzüge, Pflicht, Boni'!$A$9:$D$94,3,FALSE),0)</f>
        <v>0</v>
      </c>
      <c r="E296" s="95">
        <f>_xlfn.IFNA(VLOOKUP(A296,'Anlage 1b_Abzüge, Pflicht, Boni'!$A$30:$D$58,4,FALSE),0)</f>
        <v>0</v>
      </c>
      <c r="F296" s="95">
        <f t="shared" si="17"/>
        <v>0</v>
      </c>
      <c r="G296" s="95">
        <f>SUMIFS('Anlage 1c_Korrekturen_NB'!$L$80:$L$314,'Anlage 1c_Korrekturen_NB'!$A$80:$A$314,'Anlage 3a_Zusammenfassung_KWKG'!$A296)</f>
        <v>0</v>
      </c>
      <c r="H296" s="747">
        <f>_xlfn.IFNA(VLOOKUP(A296,'Anlage 1c_Korrekturen_NB'!$A$678:$D$680,4,FALSE),0)</f>
        <v>0</v>
      </c>
      <c r="I296" s="748">
        <f t="shared" ref="I296:I403" si="18">G296+H296</f>
        <v>0</v>
      </c>
      <c r="J296" s="20"/>
    </row>
    <row r="297" spans="1:10" hidden="1" outlineLevel="1">
      <c r="A297" s="418" t="s">
        <v>656</v>
      </c>
      <c r="B297" s="544">
        <v>101144.3</v>
      </c>
      <c r="C297" s="95">
        <f>_xlfn.IFNA(VLOOKUP($A297,'Anlage 1b_Abzüge, Pflicht, Boni'!$A$30:$D$60,2,FALSE),0)</f>
        <v>0</v>
      </c>
      <c r="D297" s="95">
        <f>_xlfn.IFNA(VLOOKUP(A297,'Anlage 1b_Abzüge, Pflicht, Boni'!$A$9:$D$94,3,FALSE),0)</f>
        <v>0</v>
      </c>
      <c r="E297" s="95">
        <f>_xlfn.IFNA(VLOOKUP(A297,'Anlage 1b_Abzüge, Pflicht, Boni'!$A$30:$D$58,4,FALSE),0)</f>
        <v>0</v>
      </c>
      <c r="F297" s="95">
        <f t="shared" ref="F297:F403" si="19">SUM(B297:E297)</f>
        <v>101144.3</v>
      </c>
      <c r="G297" s="95">
        <f>SUMIFS('Anlage 1c_Korrekturen_NB'!$L$80:$L$314,'Anlage 1c_Korrekturen_NB'!$A$80:$A$314,'Anlage 3a_Zusammenfassung_KWKG'!$A297)</f>
        <v>0</v>
      </c>
      <c r="H297" s="747">
        <f>_xlfn.IFNA(VLOOKUP(A297,'Anlage 1c_Korrekturen_NB'!$A$678:$D$680,4,FALSE),0)</f>
        <v>0</v>
      </c>
      <c r="I297" s="748">
        <f t="shared" si="18"/>
        <v>0</v>
      </c>
      <c r="J297" s="20"/>
    </row>
    <row r="298" spans="1:10" hidden="1" outlineLevel="1">
      <c r="A298" s="418" t="s">
        <v>658</v>
      </c>
      <c r="B298" s="544">
        <v>7017026.7999999998</v>
      </c>
      <c r="C298" s="95">
        <f>_xlfn.IFNA(VLOOKUP($A298,'Anlage 1b_Abzüge, Pflicht, Boni'!$A$30:$D$60,2,FALSE),0)</f>
        <v>0</v>
      </c>
      <c r="D298" s="95">
        <f>_xlfn.IFNA(VLOOKUP(A298,'Anlage 1b_Abzüge, Pflicht, Boni'!$A$9:$D$94,3,FALSE),0)</f>
        <v>0</v>
      </c>
      <c r="E298" s="95">
        <f>_xlfn.IFNA(VLOOKUP(A298,'Anlage 1b_Abzüge, Pflicht, Boni'!$A$30:$D$58,4,FALSE),0)</f>
        <v>0</v>
      </c>
      <c r="F298" s="95">
        <f t="shared" si="19"/>
        <v>7017026.7999999998</v>
      </c>
      <c r="G298" s="95">
        <f>SUMIFS('Anlage 1c_Korrekturen_NB'!$L$80:$L$314,'Anlage 1c_Korrekturen_NB'!$A$80:$A$314,'Anlage 3a_Zusammenfassung_KWKG'!$A298)</f>
        <v>213447.93</v>
      </c>
      <c r="H298" s="747">
        <f>_xlfn.IFNA(VLOOKUP(A298,'Anlage 1c_Korrekturen_NB'!$A$678:$D$680,4,FALSE),0)</f>
        <v>0</v>
      </c>
      <c r="I298" s="748">
        <f t="shared" si="18"/>
        <v>213447.93</v>
      </c>
      <c r="J298" s="20"/>
    </row>
    <row r="299" spans="1:10" hidden="1" outlineLevel="1">
      <c r="A299" s="418" t="s">
        <v>660</v>
      </c>
      <c r="B299" s="544">
        <v>57824.35</v>
      </c>
      <c r="C299" s="95">
        <f>_xlfn.IFNA(VLOOKUP($A299,'Anlage 1b_Abzüge, Pflicht, Boni'!$A$30:$D$60,2,FALSE),0)</f>
        <v>0</v>
      </c>
      <c r="D299" s="95">
        <f>_xlfn.IFNA(VLOOKUP(A299,'Anlage 1b_Abzüge, Pflicht, Boni'!$A$9:$D$94,3,FALSE),0)</f>
        <v>3000</v>
      </c>
      <c r="E299" s="95">
        <f>_xlfn.IFNA(VLOOKUP(A299,'Anlage 1b_Abzüge, Pflicht, Boni'!$A$30:$D$58,4,FALSE),0)</f>
        <v>0</v>
      </c>
      <c r="F299" s="95">
        <f t="shared" si="19"/>
        <v>60824.35</v>
      </c>
      <c r="G299" s="95">
        <f>SUMIFS('Anlage 1c_Korrekturen_NB'!$L$80:$L$314,'Anlage 1c_Korrekturen_NB'!$A$80:$A$314,'Anlage 3a_Zusammenfassung_KWKG'!$A299)</f>
        <v>7264.1100000000006</v>
      </c>
      <c r="H299" s="747">
        <f>_xlfn.IFNA(VLOOKUP(A299,'Anlage 1c_Korrekturen_NB'!$A$678:$D$680,4,FALSE),0)</f>
        <v>-4000</v>
      </c>
      <c r="I299" s="748">
        <f t="shared" si="18"/>
        <v>3264.1100000000006</v>
      </c>
      <c r="J299" s="20"/>
    </row>
    <row r="300" spans="1:10" hidden="1" outlineLevel="1">
      <c r="A300" s="418" t="s">
        <v>662</v>
      </c>
      <c r="B300" s="544">
        <v>10340374.370000001</v>
      </c>
      <c r="C300" s="95">
        <f>_xlfn.IFNA(VLOOKUP($A300,'Anlage 1b_Abzüge, Pflicht, Boni'!$A$30:$D$60,2,FALSE),0)</f>
        <v>-25623</v>
      </c>
      <c r="D300" s="95">
        <f>_xlfn.IFNA(VLOOKUP(A300,'Anlage 1b_Abzüge, Pflicht, Boni'!$A$9:$D$94,3,FALSE),0)</f>
        <v>0</v>
      </c>
      <c r="E300" s="95">
        <f>_xlfn.IFNA(VLOOKUP(A300,'Anlage 1b_Abzüge, Pflicht, Boni'!$A$30:$D$58,4,FALSE),0)</f>
        <v>0</v>
      </c>
      <c r="F300" s="95">
        <f t="shared" si="19"/>
        <v>10314751.370000001</v>
      </c>
      <c r="G300" s="95">
        <f>SUMIFS('Anlage 1c_Korrekturen_NB'!$L$80:$L$314,'Anlage 1c_Korrekturen_NB'!$A$80:$A$314,'Anlage 3a_Zusammenfassung_KWKG'!$A300)</f>
        <v>160883.05000000002</v>
      </c>
      <c r="H300" s="747">
        <f>_xlfn.IFNA(VLOOKUP(A300,'Anlage 1c_Korrekturen_NB'!$A$678:$D$680,4,FALSE),0)</f>
        <v>0</v>
      </c>
      <c r="I300" s="748">
        <f t="shared" si="18"/>
        <v>160883.05000000002</v>
      </c>
      <c r="J300" s="20"/>
    </row>
    <row r="301" spans="1:10" hidden="1" outlineLevel="1">
      <c r="A301" s="418" t="s">
        <v>664</v>
      </c>
      <c r="B301" s="544">
        <v>86786.69</v>
      </c>
      <c r="C301" s="95">
        <f>_xlfn.IFNA(VLOOKUP($A301,'Anlage 1b_Abzüge, Pflicht, Boni'!$A$30:$D$60,2,FALSE),0)</f>
        <v>0</v>
      </c>
      <c r="D301" s="95">
        <f>_xlfn.IFNA(VLOOKUP(A301,'Anlage 1b_Abzüge, Pflicht, Boni'!$A$9:$D$94,3,FALSE),0)</f>
        <v>0</v>
      </c>
      <c r="E301" s="95">
        <f>_xlfn.IFNA(VLOOKUP(A301,'Anlage 1b_Abzüge, Pflicht, Boni'!$A$30:$D$58,4,FALSE),0)</f>
        <v>0</v>
      </c>
      <c r="F301" s="95">
        <f t="shared" ref="F301:F348" si="20">SUM(B301:E301)</f>
        <v>86786.69</v>
      </c>
      <c r="G301" s="95">
        <f>SUMIFS('Anlage 1c_Korrekturen_NB'!$L$80:$L$314,'Anlage 1c_Korrekturen_NB'!$A$80:$A$314,'Anlage 3a_Zusammenfassung_KWKG'!$A301)</f>
        <v>67952.759999999995</v>
      </c>
      <c r="H301" s="747">
        <f>_xlfn.IFNA(VLOOKUP(A301,'Anlage 1c_Korrekturen_NB'!$A$678:$D$680,4,FALSE),0)</f>
        <v>0</v>
      </c>
      <c r="I301" s="748">
        <f t="shared" si="18"/>
        <v>67952.759999999995</v>
      </c>
      <c r="J301" s="20"/>
    </row>
    <row r="302" spans="1:10" hidden="1" outlineLevel="1">
      <c r="A302" s="418" t="s">
        <v>666</v>
      </c>
      <c r="B302" s="544">
        <v>49295.83</v>
      </c>
      <c r="C302" s="95">
        <f>_xlfn.IFNA(VLOOKUP($A302,'Anlage 1b_Abzüge, Pflicht, Boni'!$A$30:$D$60,2,FALSE),0)</f>
        <v>0</v>
      </c>
      <c r="D302" s="95">
        <f>_xlfn.IFNA(VLOOKUP(A302,'Anlage 1b_Abzüge, Pflicht, Boni'!$A$9:$D$94,3,FALSE),0)</f>
        <v>0</v>
      </c>
      <c r="E302" s="95">
        <f>_xlfn.IFNA(VLOOKUP(A302,'Anlage 1b_Abzüge, Pflicht, Boni'!$A$30:$D$58,4,FALSE),0)</f>
        <v>0</v>
      </c>
      <c r="F302" s="95">
        <f t="shared" si="20"/>
        <v>49295.83</v>
      </c>
      <c r="G302" s="95">
        <f>SUMIFS('Anlage 1c_Korrekturen_NB'!$L$80:$L$314,'Anlage 1c_Korrekturen_NB'!$A$80:$A$314,'Anlage 3a_Zusammenfassung_KWKG'!$A302)</f>
        <v>0</v>
      </c>
      <c r="H302" s="747">
        <f>_xlfn.IFNA(VLOOKUP(A302,'Anlage 1c_Korrekturen_NB'!$A$678:$D$680,4,FALSE),0)</f>
        <v>0</v>
      </c>
      <c r="I302" s="748">
        <f t="shared" si="18"/>
        <v>0</v>
      </c>
      <c r="J302" s="20"/>
    </row>
    <row r="303" spans="1:10" hidden="1" outlineLevel="1">
      <c r="A303" s="418" t="s">
        <v>668</v>
      </c>
      <c r="B303" s="544">
        <v>0</v>
      </c>
      <c r="C303" s="95">
        <f>_xlfn.IFNA(VLOOKUP($A303,'Anlage 1b_Abzüge, Pflicht, Boni'!$A$30:$D$60,2,FALSE),0)</f>
        <v>0</v>
      </c>
      <c r="D303" s="95">
        <f>_xlfn.IFNA(VLOOKUP(A303,'Anlage 1b_Abzüge, Pflicht, Boni'!$A$9:$D$94,3,FALSE),0)</f>
        <v>0</v>
      </c>
      <c r="E303" s="95">
        <f>_xlfn.IFNA(VLOOKUP(A303,'Anlage 1b_Abzüge, Pflicht, Boni'!$A$30:$D$58,4,FALSE),0)</f>
        <v>0</v>
      </c>
      <c r="F303" s="95">
        <f t="shared" si="20"/>
        <v>0</v>
      </c>
      <c r="G303" s="95">
        <f>SUMIFS('Anlage 1c_Korrekturen_NB'!$L$80:$L$314,'Anlage 1c_Korrekturen_NB'!$A$80:$A$314,'Anlage 3a_Zusammenfassung_KWKG'!$A303)</f>
        <v>0</v>
      </c>
      <c r="H303" s="747">
        <f>_xlfn.IFNA(VLOOKUP(A303,'Anlage 1c_Korrekturen_NB'!$A$678:$D$680,4,FALSE),0)</f>
        <v>0</v>
      </c>
      <c r="I303" s="748">
        <f t="shared" si="18"/>
        <v>0</v>
      </c>
      <c r="J303" s="20"/>
    </row>
    <row r="304" spans="1:10" hidden="1" outlineLevel="1">
      <c r="A304" s="418" t="s">
        <v>670</v>
      </c>
      <c r="B304" s="544">
        <v>81200.350000000006</v>
      </c>
      <c r="C304" s="95">
        <f>_xlfn.IFNA(VLOOKUP($A304,'Anlage 1b_Abzüge, Pflicht, Boni'!$A$30:$D$60,2,FALSE),0)</f>
        <v>0</v>
      </c>
      <c r="D304" s="95">
        <f>_xlfn.IFNA(VLOOKUP(A304,'Anlage 1b_Abzüge, Pflicht, Boni'!$A$9:$D$94,3,FALSE),0)</f>
        <v>0</v>
      </c>
      <c r="E304" s="95">
        <f>_xlfn.IFNA(VLOOKUP(A304,'Anlage 1b_Abzüge, Pflicht, Boni'!$A$30:$D$58,4,FALSE),0)</f>
        <v>0</v>
      </c>
      <c r="F304" s="95">
        <f t="shared" si="20"/>
        <v>81200.350000000006</v>
      </c>
      <c r="G304" s="95">
        <f>SUMIFS('Anlage 1c_Korrekturen_NB'!$L$80:$L$314,'Anlage 1c_Korrekturen_NB'!$A$80:$A$314,'Anlage 3a_Zusammenfassung_KWKG'!$A304)</f>
        <v>0</v>
      </c>
      <c r="H304" s="747">
        <f>_xlfn.IFNA(VLOOKUP(A304,'Anlage 1c_Korrekturen_NB'!$A$678:$D$680,4,FALSE),0)</f>
        <v>0</v>
      </c>
      <c r="I304" s="748">
        <f t="shared" si="18"/>
        <v>0</v>
      </c>
      <c r="J304" s="20"/>
    </row>
    <row r="305" spans="1:10" hidden="1" outlineLevel="1">
      <c r="A305" s="418" t="s">
        <v>672</v>
      </c>
      <c r="B305" s="544">
        <v>3093.27</v>
      </c>
      <c r="C305" s="95">
        <f>_xlfn.IFNA(VLOOKUP($A305,'Anlage 1b_Abzüge, Pflicht, Boni'!$A$30:$D$60,2,FALSE),0)</f>
        <v>0</v>
      </c>
      <c r="D305" s="95">
        <f>_xlfn.IFNA(VLOOKUP(A305,'Anlage 1b_Abzüge, Pflicht, Boni'!$A$9:$D$94,3,FALSE),0)</f>
        <v>0</v>
      </c>
      <c r="E305" s="95">
        <f>_xlfn.IFNA(VLOOKUP(A305,'Anlage 1b_Abzüge, Pflicht, Boni'!$A$30:$D$58,4,FALSE),0)</f>
        <v>0</v>
      </c>
      <c r="F305" s="95">
        <f t="shared" si="20"/>
        <v>3093.27</v>
      </c>
      <c r="G305" s="95">
        <f>SUMIFS('Anlage 1c_Korrekturen_NB'!$L$80:$L$314,'Anlage 1c_Korrekturen_NB'!$A$80:$A$314,'Anlage 3a_Zusammenfassung_KWKG'!$A305)</f>
        <v>0</v>
      </c>
      <c r="H305" s="747">
        <f>_xlfn.IFNA(VLOOKUP(A305,'Anlage 1c_Korrekturen_NB'!$A$678:$D$680,4,FALSE),0)</f>
        <v>0</v>
      </c>
      <c r="I305" s="748">
        <f t="shared" si="18"/>
        <v>0</v>
      </c>
      <c r="J305" s="20"/>
    </row>
    <row r="306" spans="1:10" hidden="1" outlineLevel="1">
      <c r="A306" s="418" t="s">
        <v>674</v>
      </c>
      <c r="B306" s="544">
        <v>97230.03</v>
      </c>
      <c r="C306" s="95">
        <f>_xlfn.IFNA(VLOOKUP($A306,'Anlage 1b_Abzüge, Pflicht, Boni'!$A$30:$D$60,2,FALSE),0)</f>
        <v>0</v>
      </c>
      <c r="D306" s="95">
        <f>_xlfn.IFNA(VLOOKUP(A306,'Anlage 1b_Abzüge, Pflicht, Boni'!$A$9:$D$94,3,FALSE),0)</f>
        <v>0</v>
      </c>
      <c r="E306" s="95">
        <f>_xlfn.IFNA(VLOOKUP(A306,'Anlage 1b_Abzüge, Pflicht, Boni'!$A$30:$D$58,4,FALSE),0)</f>
        <v>0</v>
      </c>
      <c r="F306" s="95">
        <f t="shared" si="20"/>
        <v>97230.03</v>
      </c>
      <c r="G306" s="95">
        <f>SUMIFS('Anlage 1c_Korrekturen_NB'!$L$80:$L$314,'Anlage 1c_Korrekturen_NB'!$A$80:$A$314,'Anlage 3a_Zusammenfassung_KWKG'!$A306)</f>
        <v>0</v>
      </c>
      <c r="H306" s="747">
        <f>_xlfn.IFNA(VLOOKUP(A306,'Anlage 1c_Korrekturen_NB'!$A$678:$D$680,4,FALSE),0)</f>
        <v>0</v>
      </c>
      <c r="I306" s="748">
        <f t="shared" si="18"/>
        <v>0</v>
      </c>
      <c r="J306" s="20"/>
    </row>
    <row r="307" spans="1:10" hidden="1" outlineLevel="1">
      <c r="A307" s="418" t="s">
        <v>676</v>
      </c>
      <c r="B307" s="544">
        <v>322942.88</v>
      </c>
      <c r="C307" s="95">
        <f>_xlfn.IFNA(VLOOKUP($A307,'Anlage 1b_Abzüge, Pflicht, Boni'!$A$30:$D$60,2,FALSE),0)</f>
        <v>-1078.9100000000001</v>
      </c>
      <c r="D307" s="95">
        <f>_xlfn.IFNA(VLOOKUP(A307,'Anlage 1b_Abzüge, Pflicht, Boni'!$A$9:$D$94,3,FALSE),0)</f>
        <v>0</v>
      </c>
      <c r="E307" s="95">
        <f>_xlfn.IFNA(VLOOKUP(A307,'Anlage 1b_Abzüge, Pflicht, Boni'!$A$30:$D$58,4,FALSE),0)</f>
        <v>0</v>
      </c>
      <c r="F307" s="95">
        <f t="shared" si="20"/>
        <v>321863.97000000003</v>
      </c>
      <c r="G307" s="95">
        <f>SUMIFS('Anlage 1c_Korrekturen_NB'!$L$80:$L$314,'Anlage 1c_Korrekturen_NB'!$A$80:$A$314,'Anlage 3a_Zusammenfassung_KWKG'!$A307)</f>
        <v>9161.36</v>
      </c>
      <c r="H307" s="747">
        <f>_xlfn.IFNA(VLOOKUP(A307,'Anlage 1c_Korrekturen_NB'!$A$678:$D$680,4,FALSE),0)</f>
        <v>0</v>
      </c>
      <c r="I307" s="748">
        <f t="shared" si="18"/>
        <v>9161.36</v>
      </c>
      <c r="J307" s="20"/>
    </row>
    <row r="308" spans="1:10" hidden="1" outlineLevel="1">
      <c r="A308" s="418" t="s">
        <v>678</v>
      </c>
      <c r="B308" s="544">
        <v>202980.33</v>
      </c>
      <c r="C308" s="95">
        <f>_xlfn.IFNA(VLOOKUP($A308,'Anlage 1b_Abzüge, Pflicht, Boni'!$A$30:$D$60,2,FALSE),0)</f>
        <v>0</v>
      </c>
      <c r="D308" s="95">
        <f>_xlfn.IFNA(VLOOKUP(A308,'Anlage 1b_Abzüge, Pflicht, Boni'!$A$9:$D$94,3,FALSE),0)</f>
        <v>0</v>
      </c>
      <c r="E308" s="95">
        <f>_xlfn.IFNA(VLOOKUP(A308,'Anlage 1b_Abzüge, Pflicht, Boni'!$A$30:$D$58,4,FALSE),0)</f>
        <v>0</v>
      </c>
      <c r="F308" s="95">
        <f t="shared" si="20"/>
        <v>202980.33</v>
      </c>
      <c r="G308" s="95">
        <f>SUMIFS('Anlage 1c_Korrekturen_NB'!$L$80:$L$314,'Anlage 1c_Korrekturen_NB'!$A$80:$A$314,'Anlage 3a_Zusammenfassung_KWKG'!$A308)</f>
        <v>37069.43</v>
      </c>
      <c r="H308" s="747">
        <f>_xlfn.IFNA(VLOOKUP(A308,'Anlage 1c_Korrekturen_NB'!$A$678:$D$680,4,FALSE),0)</f>
        <v>0</v>
      </c>
      <c r="I308" s="748">
        <f t="shared" si="18"/>
        <v>37069.43</v>
      </c>
      <c r="J308" s="20"/>
    </row>
    <row r="309" spans="1:10" hidden="1" outlineLevel="1">
      <c r="A309" s="418" t="s">
        <v>680</v>
      </c>
      <c r="B309" s="544">
        <v>0</v>
      </c>
      <c r="C309" s="95">
        <f>_xlfn.IFNA(VLOOKUP($A309,'Anlage 1b_Abzüge, Pflicht, Boni'!$A$30:$D$60,2,FALSE),0)</f>
        <v>0</v>
      </c>
      <c r="D309" s="95">
        <f>_xlfn.IFNA(VLOOKUP(A309,'Anlage 1b_Abzüge, Pflicht, Boni'!$A$9:$D$94,3,FALSE),0)</f>
        <v>0</v>
      </c>
      <c r="E309" s="95">
        <f>_xlfn.IFNA(VLOOKUP(A309,'Anlage 1b_Abzüge, Pflicht, Boni'!$A$30:$D$58,4,FALSE),0)</f>
        <v>0</v>
      </c>
      <c r="F309" s="95">
        <f t="shared" si="20"/>
        <v>0</v>
      </c>
      <c r="G309" s="95">
        <f>SUMIFS('Anlage 1c_Korrekturen_NB'!$L$80:$L$314,'Anlage 1c_Korrekturen_NB'!$A$80:$A$314,'Anlage 3a_Zusammenfassung_KWKG'!$A309)</f>
        <v>0</v>
      </c>
      <c r="H309" s="747">
        <f>_xlfn.IFNA(VLOOKUP(A309,'Anlage 1c_Korrekturen_NB'!$A$678:$D$680,4,FALSE),0)</f>
        <v>0</v>
      </c>
      <c r="I309" s="748">
        <f t="shared" si="18"/>
        <v>0</v>
      </c>
      <c r="J309" s="20"/>
    </row>
    <row r="310" spans="1:10" hidden="1" outlineLevel="1">
      <c r="A310" s="418" t="s">
        <v>682</v>
      </c>
      <c r="B310" s="544">
        <v>195712.1</v>
      </c>
      <c r="C310" s="95">
        <f>_xlfn.IFNA(VLOOKUP($A310,'Anlage 1b_Abzüge, Pflicht, Boni'!$A$30:$D$60,2,FALSE),0)</f>
        <v>0</v>
      </c>
      <c r="D310" s="95">
        <f>_xlfn.IFNA(VLOOKUP(A310,'Anlage 1b_Abzüge, Pflicht, Boni'!$A$9:$D$94,3,FALSE),0)</f>
        <v>0</v>
      </c>
      <c r="E310" s="95">
        <f>_xlfn.IFNA(VLOOKUP(A310,'Anlage 1b_Abzüge, Pflicht, Boni'!$A$30:$D$58,4,FALSE),0)</f>
        <v>0</v>
      </c>
      <c r="F310" s="95">
        <f t="shared" si="20"/>
        <v>195712.1</v>
      </c>
      <c r="G310" s="95">
        <f>SUMIFS('Anlage 1c_Korrekturen_NB'!$L$80:$L$314,'Anlage 1c_Korrekturen_NB'!$A$80:$A$314,'Anlage 3a_Zusammenfassung_KWKG'!$A310)</f>
        <v>0</v>
      </c>
      <c r="H310" s="747">
        <f>_xlfn.IFNA(VLOOKUP(A310,'Anlage 1c_Korrekturen_NB'!$A$678:$D$680,4,FALSE),0)</f>
        <v>0</v>
      </c>
      <c r="I310" s="748">
        <f t="shared" si="18"/>
        <v>0</v>
      </c>
      <c r="J310" s="20"/>
    </row>
    <row r="311" spans="1:10" hidden="1" outlineLevel="1">
      <c r="A311" s="418" t="s">
        <v>684</v>
      </c>
      <c r="B311" s="544">
        <v>738103.10000000009</v>
      </c>
      <c r="C311" s="95">
        <f>_xlfn.IFNA(VLOOKUP($A311,'Anlage 1b_Abzüge, Pflicht, Boni'!$A$30:$D$60,2,FALSE),0)</f>
        <v>0</v>
      </c>
      <c r="D311" s="95">
        <f>_xlfn.IFNA(VLOOKUP(A311,'Anlage 1b_Abzüge, Pflicht, Boni'!$A$9:$D$94,3,FALSE),0)</f>
        <v>0</v>
      </c>
      <c r="E311" s="95">
        <f>_xlfn.IFNA(VLOOKUP(A311,'Anlage 1b_Abzüge, Pflicht, Boni'!$A$30:$D$58,4,FALSE),0)</f>
        <v>0</v>
      </c>
      <c r="F311" s="95">
        <f t="shared" si="20"/>
        <v>738103.10000000009</v>
      </c>
      <c r="G311" s="95">
        <f>SUMIFS('Anlage 1c_Korrekturen_NB'!$L$80:$L$314,'Anlage 1c_Korrekturen_NB'!$A$80:$A$314,'Anlage 3a_Zusammenfassung_KWKG'!$A311)</f>
        <v>0</v>
      </c>
      <c r="H311" s="747">
        <f>_xlfn.IFNA(VLOOKUP(A311,'Anlage 1c_Korrekturen_NB'!$A$678:$D$680,4,FALSE),0)</f>
        <v>0</v>
      </c>
      <c r="I311" s="748">
        <f t="shared" si="18"/>
        <v>0</v>
      </c>
      <c r="J311" s="20"/>
    </row>
    <row r="312" spans="1:10" hidden="1" outlineLevel="1">
      <c r="A312" s="418" t="s">
        <v>686</v>
      </c>
      <c r="B312" s="544">
        <v>0</v>
      </c>
      <c r="C312" s="95">
        <f>_xlfn.IFNA(VLOOKUP($A312,'Anlage 1b_Abzüge, Pflicht, Boni'!$A$30:$D$60,2,FALSE),0)</f>
        <v>0</v>
      </c>
      <c r="D312" s="95">
        <f>_xlfn.IFNA(VLOOKUP(A312,'Anlage 1b_Abzüge, Pflicht, Boni'!$A$9:$D$94,3,FALSE),0)</f>
        <v>0</v>
      </c>
      <c r="E312" s="95">
        <f>_xlfn.IFNA(VLOOKUP(A312,'Anlage 1b_Abzüge, Pflicht, Boni'!$A$30:$D$58,4,FALSE),0)</f>
        <v>0</v>
      </c>
      <c r="F312" s="95">
        <f t="shared" si="20"/>
        <v>0</v>
      </c>
      <c r="G312" s="95">
        <f>SUMIFS('Anlage 1c_Korrekturen_NB'!$L$80:$L$314,'Anlage 1c_Korrekturen_NB'!$A$80:$A$314,'Anlage 3a_Zusammenfassung_KWKG'!$A312)</f>
        <v>0</v>
      </c>
      <c r="H312" s="747">
        <f>_xlfn.IFNA(VLOOKUP(A312,'Anlage 1c_Korrekturen_NB'!$A$678:$D$680,4,FALSE),0)</f>
        <v>0</v>
      </c>
      <c r="I312" s="748">
        <f t="shared" si="18"/>
        <v>0</v>
      </c>
      <c r="J312" s="20"/>
    </row>
    <row r="313" spans="1:10" hidden="1" outlineLevel="1">
      <c r="A313" s="418" t="s">
        <v>688</v>
      </c>
      <c r="B313" s="544">
        <v>338150.92</v>
      </c>
      <c r="C313" s="95">
        <f>_xlfn.IFNA(VLOOKUP($A313,'Anlage 1b_Abzüge, Pflicht, Boni'!$A$30:$D$60,2,FALSE),0)</f>
        <v>0</v>
      </c>
      <c r="D313" s="95">
        <f>_xlfn.IFNA(VLOOKUP(A313,'Anlage 1b_Abzüge, Pflicht, Boni'!$A$9:$D$94,3,FALSE),0)</f>
        <v>0</v>
      </c>
      <c r="E313" s="95">
        <f>_xlfn.IFNA(VLOOKUP(A313,'Anlage 1b_Abzüge, Pflicht, Boni'!$A$30:$D$58,4,FALSE),0)</f>
        <v>0</v>
      </c>
      <c r="F313" s="95">
        <f t="shared" si="20"/>
        <v>338150.92</v>
      </c>
      <c r="G313" s="95">
        <f>SUMIFS('Anlage 1c_Korrekturen_NB'!$L$80:$L$314,'Anlage 1c_Korrekturen_NB'!$A$80:$A$314,'Anlage 3a_Zusammenfassung_KWKG'!$A313)</f>
        <v>0</v>
      </c>
      <c r="H313" s="747">
        <f>_xlfn.IFNA(VLOOKUP(A313,'Anlage 1c_Korrekturen_NB'!$A$678:$D$680,4,FALSE),0)</f>
        <v>0</v>
      </c>
      <c r="I313" s="748">
        <f t="shared" si="18"/>
        <v>0</v>
      </c>
      <c r="J313" s="20"/>
    </row>
    <row r="314" spans="1:10" hidden="1" outlineLevel="1">
      <c r="A314" s="418" t="s">
        <v>690</v>
      </c>
      <c r="B314" s="544">
        <v>117901.75999999999</v>
      </c>
      <c r="C314" s="95">
        <f>_xlfn.IFNA(VLOOKUP($A314,'Anlage 1b_Abzüge, Pflicht, Boni'!$A$30:$D$60,2,FALSE),0)</f>
        <v>0</v>
      </c>
      <c r="D314" s="95">
        <f>_xlfn.IFNA(VLOOKUP(A314,'Anlage 1b_Abzüge, Pflicht, Boni'!$A$9:$D$94,3,FALSE),0)</f>
        <v>0</v>
      </c>
      <c r="E314" s="95">
        <f>_xlfn.IFNA(VLOOKUP(A314,'Anlage 1b_Abzüge, Pflicht, Boni'!$A$30:$D$58,4,FALSE),0)</f>
        <v>0</v>
      </c>
      <c r="F314" s="95">
        <f t="shared" si="20"/>
        <v>117901.75999999999</v>
      </c>
      <c r="G314" s="95">
        <f>SUMIFS('Anlage 1c_Korrekturen_NB'!$L$80:$L$314,'Anlage 1c_Korrekturen_NB'!$A$80:$A$314,'Anlage 3a_Zusammenfassung_KWKG'!$A314)</f>
        <v>0</v>
      </c>
      <c r="H314" s="747">
        <f>_xlfn.IFNA(VLOOKUP(A314,'Anlage 1c_Korrekturen_NB'!$A$678:$D$680,4,FALSE),0)</f>
        <v>0</v>
      </c>
      <c r="I314" s="748">
        <f t="shared" si="18"/>
        <v>0</v>
      </c>
      <c r="J314" s="20"/>
    </row>
    <row r="315" spans="1:10" hidden="1" outlineLevel="1">
      <c r="A315" s="418" t="s">
        <v>692</v>
      </c>
      <c r="B315" s="544">
        <v>210700.38</v>
      </c>
      <c r="C315" s="95">
        <f>_xlfn.IFNA(VLOOKUP($A315,'Anlage 1b_Abzüge, Pflicht, Boni'!$A$30:$D$60,2,FALSE),0)</f>
        <v>0</v>
      </c>
      <c r="D315" s="95">
        <f>_xlfn.IFNA(VLOOKUP(A315,'Anlage 1b_Abzüge, Pflicht, Boni'!$A$9:$D$94,3,FALSE),0)</f>
        <v>0</v>
      </c>
      <c r="E315" s="95">
        <f>_xlfn.IFNA(VLOOKUP(A315,'Anlage 1b_Abzüge, Pflicht, Boni'!$A$30:$D$58,4,FALSE),0)</f>
        <v>0</v>
      </c>
      <c r="F315" s="95">
        <f t="shared" si="20"/>
        <v>210700.38</v>
      </c>
      <c r="G315" s="95">
        <f>SUMIFS('Anlage 1c_Korrekturen_NB'!$L$80:$L$314,'Anlage 1c_Korrekturen_NB'!$A$80:$A$314,'Anlage 3a_Zusammenfassung_KWKG'!$A315)</f>
        <v>0</v>
      </c>
      <c r="H315" s="747">
        <f>_xlfn.IFNA(VLOOKUP(A315,'Anlage 1c_Korrekturen_NB'!$A$678:$D$680,4,FALSE),0)</f>
        <v>0</v>
      </c>
      <c r="I315" s="748">
        <f t="shared" si="18"/>
        <v>0</v>
      </c>
      <c r="J315" s="20"/>
    </row>
    <row r="316" spans="1:10" hidden="1" outlineLevel="1">
      <c r="A316" s="418" t="s">
        <v>694</v>
      </c>
      <c r="B316" s="544">
        <v>0</v>
      </c>
      <c r="C316" s="95">
        <f>_xlfn.IFNA(VLOOKUP($A316,'Anlage 1b_Abzüge, Pflicht, Boni'!$A$30:$D$60,2,FALSE),0)</f>
        <v>0</v>
      </c>
      <c r="D316" s="95">
        <f>_xlfn.IFNA(VLOOKUP(A316,'Anlage 1b_Abzüge, Pflicht, Boni'!$A$9:$D$94,3,FALSE),0)</f>
        <v>0</v>
      </c>
      <c r="E316" s="95">
        <f>_xlfn.IFNA(VLOOKUP(A316,'Anlage 1b_Abzüge, Pflicht, Boni'!$A$30:$D$58,4,FALSE),0)</f>
        <v>0</v>
      </c>
      <c r="F316" s="95">
        <f t="shared" si="20"/>
        <v>0</v>
      </c>
      <c r="G316" s="95">
        <f>SUMIFS('Anlage 1c_Korrekturen_NB'!$L$80:$L$314,'Anlage 1c_Korrekturen_NB'!$A$80:$A$314,'Anlage 3a_Zusammenfassung_KWKG'!$A316)</f>
        <v>0</v>
      </c>
      <c r="H316" s="747">
        <f>_xlfn.IFNA(VLOOKUP(A316,'Anlage 1c_Korrekturen_NB'!$A$678:$D$680,4,FALSE),0)</f>
        <v>0</v>
      </c>
      <c r="I316" s="748">
        <f t="shared" si="18"/>
        <v>0</v>
      </c>
      <c r="J316" s="20"/>
    </row>
    <row r="317" spans="1:10" hidden="1" outlineLevel="1">
      <c r="A317" s="418" t="s">
        <v>696</v>
      </c>
      <c r="B317" s="544">
        <v>263598.95</v>
      </c>
      <c r="C317" s="95">
        <f>_xlfn.IFNA(VLOOKUP($A317,'Anlage 1b_Abzüge, Pflicht, Boni'!$A$30:$D$60,2,FALSE),0)</f>
        <v>0</v>
      </c>
      <c r="D317" s="95">
        <f>_xlfn.IFNA(VLOOKUP(A317,'Anlage 1b_Abzüge, Pflicht, Boni'!$A$9:$D$94,3,FALSE),0)</f>
        <v>0</v>
      </c>
      <c r="E317" s="95">
        <f>_xlfn.IFNA(VLOOKUP(A317,'Anlage 1b_Abzüge, Pflicht, Boni'!$A$30:$D$58,4,FALSE),0)</f>
        <v>0</v>
      </c>
      <c r="F317" s="95">
        <f t="shared" si="20"/>
        <v>263598.95</v>
      </c>
      <c r="G317" s="95">
        <f>SUMIFS('Anlage 1c_Korrekturen_NB'!$L$80:$L$314,'Anlage 1c_Korrekturen_NB'!$A$80:$A$314,'Anlage 3a_Zusammenfassung_KWKG'!$A317)</f>
        <v>70578.61</v>
      </c>
      <c r="H317" s="747">
        <f>_xlfn.IFNA(VLOOKUP(A317,'Anlage 1c_Korrekturen_NB'!$A$678:$D$680,4,FALSE),0)</f>
        <v>0</v>
      </c>
      <c r="I317" s="748">
        <f t="shared" si="18"/>
        <v>70578.61</v>
      </c>
      <c r="J317" s="20"/>
    </row>
    <row r="318" spans="1:10" hidden="1" outlineLevel="1">
      <c r="A318" s="418" t="s">
        <v>698</v>
      </c>
      <c r="B318" s="544">
        <v>342357.46</v>
      </c>
      <c r="C318" s="95">
        <f>_xlfn.IFNA(VLOOKUP($A318,'Anlage 1b_Abzüge, Pflicht, Boni'!$A$30:$D$60,2,FALSE),0)</f>
        <v>0</v>
      </c>
      <c r="D318" s="95">
        <f>_xlfn.IFNA(VLOOKUP(A318,'Anlage 1b_Abzüge, Pflicht, Boni'!$A$9:$D$94,3,FALSE),0)</f>
        <v>0</v>
      </c>
      <c r="E318" s="95">
        <f>_xlfn.IFNA(VLOOKUP(A318,'Anlage 1b_Abzüge, Pflicht, Boni'!$A$30:$D$58,4,FALSE),0)</f>
        <v>0</v>
      </c>
      <c r="F318" s="95">
        <f t="shared" si="20"/>
        <v>342357.46</v>
      </c>
      <c r="G318" s="95">
        <f>SUMIFS('Anlage 1c_Korrekturen_NB'!$L$80:$L$314,'Anlage 1c_Korrekturen_NB'!$A$80:$A$314,'Anlage 3a_Zusammenfassung_KWKG'!$A318)</f>
        <v>-213.08</v>
      </c>
      <c r="H318" s="747">
        <f>_xlfn.IFNA(VLOOKUP(A318,'Anlage 1c_Korrekturen_NB'!$A$678:$D$680,4,FALSE),0)</f>
        <v>0</v>
      </c>
      <c r="I318" s="748">
        <f t="shared" si="18"/>
        <v>-213.08</v>
      </c>
      <c r="J318" s="20"/>
    </row>
    <row r="319" spans="1:10" hidden="1" outlineLevel="1">
      <c r="A319" s="418" t="s">
        <v>700</v>
      </c>
      <c r="B319" s="544">
        <v>4135.24</v>
      </c>
      <c r="C319" s="95">
        <f>_xlfn.IFNA(VLOOKUP($A319,'Anlage 1b_Abzüge, Pflicht, Boni'!$A$30:$D$60,2,FALSE),0)</f>
        <v>-409.65</v>
      </c>
      <c r="D319" s="95">
        <f>_xlfn.IFNA(VLOOKUP(A319,'Anlage 1b_Abzüge, Pflicht, Boni'!$A$9:$D$94,3,FALSE),0)</f>
        <v>0</v>
      </c>
      <c r="E319" s="95">
        <f>_xlfn.IFNA(VLOOKUP(A319,'Anlage 1b_Abzüge, Pflicht, Boni'!$A$30:$D$58,4,FALSE),0)</f>
        <v>0</v>
      </c>
      <c r="F319" s="95">
        <f t="shared" si="20"/>
        <v>3725.5899999999997</v>
      </c>
      <c r="G319" s="95">
        <f>SUMIFS('Anlage 1c_Korrekturen_NB'!$L$80:$L$314,'Anlage 1c_Korrekturen_NB'!$A$80:$A$314,'Anlage 3a_Zusammenfassung_KWKG'!$A319)</f>
        <v>0</v>
      </c>
      <c r="H319" s="747">
        <f>_xlfn.IFNA(VLOOKUP(A319,'Anlage 1c_Korrekturen_NB'!$A$678:$D$680,4,FALSE),0)</f>
        <v>0</v>
      </c>
      <c r="I319" s="748">
        <f t="shared" si="18"/>
        <v>0</v>
      </c>
      <c r="J319" s="20"/>
    </row>
    <row r="320" spans="1:10" hidden="1" outlineLevel="1">
      <c r="A320" s="418" t="s">
        <v>702</v>
      </c>
      <c r="B320" s="544">
        <v>232839.86000000002</v>
      </c>
      <c r="C320" s="95">
        <f>_xlfn.IFNA(VLOOKUP($A320,'Anlage 1b_Abzüge, Pflicht, Boni'!$A$30:$D$60,2,FALSE),0)</f>
        <v>0</v>
      </c>
      <c r="D320" s="95">
        <f>_xlfn.IFNA(VLOOKUP(A320,'Anlage 1b_Abzüge, Pflicht, Boni'!$A$9:$D$94,3,FALSE),0)</f>
        <v>0</v>
      </c>
      <c r="E320" s="95">
        <f>_xlfn.IFNA(VLOOKUP(A320,'Anlage 1b_Abzüge, Pflicht, Boni'!$A$30:$D$58,4,FALSE),0)</f>
        <v>0</v>
      </c>
      <c r="F320" s="95">
        <f t="shared" si="20"/>
        <v>232839.86000000002</v>
      </c>
      <c r="G320" s="95">
        <f>SUMIFS('Anlage 1c_Korrekturen_NB'!$L$80:$L$314,'Anlage 1c_Korrekturen_NB'!$A$80:$A$314,'Anlage 3a_Zusammenfassung_KWKG'!$A320)</f>
        <v>0</v>
      </c>
      <c r="H320" s="747">
        <f>_xlfn.IFNA(VLOOKUP(A320,'Anlage 1c_Korrekturen_NB'!$A$678:$D$680,4,FALSE),0)</f>
        <v>0</v>
      </c>
      <c r="I320" s="748">
        <f t="shared" si="18"/>
        <v>0</v>
      </c>
      <c r="J320" s="20"/>
    </row>
    <row r="321" spans="1:10" hidden="1" outlineLevel="1">
      <c r="A321" s="418" t="s">
        <v>704</v>
      </c>
      <c r="B321" s="544">
        <v>61480.28</v>
      </c>
      <c r="C321" s="95">
        <f>_xlfn.IFNA(VLOOKUP($A321,'Anlage 1b_Abzüge, Pflicht, Boni'!$A$30:$D$60,2,FALSE),0)</f>
        <v>0</v>
      </c>
      <c r="D321" s="95">
        <f>_xlfn.IFNA(VLOOKUP(A321,'Anlage 1b_Abzüge, Pflicht, Boni'!$A$9:$D$94,3,FALSE),0)</f>
        <v>0</v>
      </c>
      <c r="E321" s="95">
        <f>_xlfn.IFNA(VLOOKUP(A321,'Anlage 1b_Abzüge, Pflicht, Boni'!$A$30:$D$58,4,FALSE),0)</f>
        <v>0</v>
      </c>
      <c r="F321" s="95">
        <f t="shared" si="20"/>
        <v>61480.28</v>
      </c>
      <c r="G321" s="95">
        <f>SUMIFS('Anlage 1c_Korrekturen_NB'!$L$80:$L$314,'Anlage 1c_Korrekturen_NB'!$A$80:$A$314,'Anlage 3a_Zusammenfassung_KWKG'!$A321)</f>
        <v>0</v>
      </c>
      <c r="H321" s="747">
        <f>_xlfn.IFNA(VLOOKUP(A321,'Anlage 1c_Korrekturen_NB'!$A$678:$D$680,4,FALSE),0)</f>
        <v>0</v>
      </c>
      <c r="I321" s="748">
        <f t="shared" si="18"/>
        <v>0</v>
      </c>
      <c r="J321" s="20"/>
    </row>
    <row r="322" spans="1:10" hidden="1" outlineLevel="1">
      <c r="A322" s="418" t="s">
        <v>706</v>
      </c>
      <c r="B322" s="544">
        <v>702520.89</v>
      </c>
      <c r="C322" s="95">
        <f>_xlfn.IFNA(VLOOKUP($A322,'Anlage 1b_Abzüge, Pflicht, Boni'!$A$30:$D$60,2,FALSE),0)</f>
        <v>0</v>
      </c>
      <c r="D322" s="95">
        <f>_xlfn.IFNA(VLOOKUP(A322,'Anlage 1b_Abzüge, Pflicht, Boni'!$A$9:$D$94,3,FALSE),0)</f>
        <v>0</v>
      </c>
      <c r="E322" s="95">
        <f>_xlfn.IFNA(VLOOKUP(A322,'Anlage 1b_Abzüge, Pflicht, Boni'!$A$30:$D$58,4,FALSE),0)</f>
        <v>0</v>
      </c>
      <c r="F322" s="95">
        <f t="shared" si="20"/>
        <v>702520.89</v>
      </c>
      <c r="G322" s="95">
        <f>SUMIFS('Anlage 1c_Korrekturen_NB'!$L$80:$L$314,'Anlage 1c_Korrekturen_NB'!$A$80:$A$314,'Anlage 3a_Zusammenfassung_KWKG'!$A322)</f>
        <v>0</v>
      </c>
      <c r="H322" s="747">
        <f>_xlfn.IFNA(VLOOKUP(A322,'Anlage 1c_Korrekturen_NB'!$A$678:$D$680,4,FALSE),0)</f>
        <v>0</v>
      </c>
      <c r="I322" s="748">
        <f t="shared" si="18"/>
        <v>0</v>
      </c>
      <c r="J322" s="20"/>
    </row>
    <row r="323" spans="1:10" hidden="1" outlineLevel="1">
      <c r="A323" s="418" t="s">
        <v>708</v>
      </c>
      <c r="B323" s="544">
        <v>575133.90999999992</v>
      </c>
      <c r="C323" s="95">
        <f>_xlfn.IFNA(VLOOKUP($A323,'Anlage 1b_Abzüge, Pflicht, Boni'!$A$30:$D$60,2,FALSE),0)</f>
        <v>-22323.24</v>
      </c>
      <c r="D323" s="95">
        <f>_xlfn.IFNA(VLOOKUP(A323,'Anlage 1b_Abzüge, Pflicht, Boni'!$A$9:$D$94,3,FALSE),0)</f>
        <v>0</v>
      </c>
      <c r="E323" s="95">
        <f>_xlfn.IFNA(VLOOKUP(A323,'Anlage 1b_Abzüge, Pflicht, Boni'!$A$30:$D$58,4,FALSE),0)</f>
        <v>0</v>
      </c>
      <c r="F323" s="95">
        <f t="shared" si="20"/>
        <v>552810.66999999993</v>
      </c>
      <c r="G323" s="95">
        <f>SUMIFS('Anlage 1c_Korrekturen_NB'!$L$80:$L$314,'Anlage 1c_Korrekturen_NB'!$A$80:$A$314,'Anlage 3a_Zusammenfassung_KWKG'!$A323)</f>
        <v>244723.03999999998</v>
      </c>
      <c r="H323" s="747">
        <f>_xlfn.IFNA(VLOOKUP(A323,'Anlage 1c_Korrekturen_NB'!$A$678:$D$680,4,FALSE),0)</f>
        <v>0</v>
      </c>
      <c r="I323" s="748">
        <f t="shared" si="18"/>
        <v>244723.03999999998</v>
      </c>
      <c r="J323" s="20"/>
    </row>
    <row r="324" spans="1:10" hidden="1" outlineLevel="1">
      <c r="A324" s="418" t="s">
        <v>710</v>
      </c>
      <c r="B324" s="544">
        <v>101205.24</v>
      </c>
      <c r="C324" s="95">
        <f>_xlfn.IFNA(VLOOKUP($A324,'Anlage 1b_Abzüge, Pflicht, Boni'!$A$30:$D$60,2,FALSE),0)</f>
        <v>-207.97</v>
      </c>
      <c r="D324" s="95">
        <f>_xlfn.IFNA(VLOOKUP(A324,'Anlage 1b_Abzüge, Pflicht, Boni'!$A$9:$D$94,3,FALSE),0)</f>
        <v>0</v>
      </c>
      <c r="E324" s="95">
        <f>_xlfn.IFNA(VLOOKUP(A324,'Anlage 1b_Abzüge, Pflicht, Boni'!$A$30:$D$58,4,FALSE),0)</f>
        <v>0</v>
      </c>
      <c r="F324" s="95">
        <f t="shared" si="20"/>
        <v>100997.27</v>
      </c>
      <c r="G324" s="95">
        <f>SUMIFS('Anlage 1c_Korrekturen_NB'!$L$80:$L$314,'Anlage 1c_Korrekturen_NB'!$A$80:$A$314,'Anlage 3a_Zusammenfassung_KWKG'!$A324)</f>
        <v>3902.96</v>
      </c>
      <c r="H324" s="747">
        <f>_xlfn.IFNA(VLOOKUP(A324,'Anlage 1c_Korrekturen_NB'!$A$678:$D$680,4,FALSE),0)</f>
        <v>0</v>
      </c>
      <c r="I324" s="748">
        <f t="shared" si="18"/>
        <v>3902.96</v>
      </c>
      <c r="J324" s="20"/>
    </row>
    <row r="325" spans="1:10" hidden="1" outlineLevel="1">
      <c r="A325" s="418" t="s">
        <v>712</v>
      </c>
      <c r="B325" s="544">
        <v>208238.53</v>
      </c>
      <c r="C325" s="95">
        <f>_xlfn.IFNA(VLOOKUP($A325,'Anlage 1b_Abzüge, Pflicht, Boni'!$A$30:$D$60,2,FALSE),0)</f>
        <v>0</v>
      </c>
      <c r="D325" s="95">
        <f>_xlfn.IFNA(VLOOKUP(A325,'Anlage 1b_Abzüge, Pflicht, Boni'!$A$9:$D$94,3,FALSE),0)</f>
        <v>0</v>
      </c>
      <c r="E325" s="95">
        <f>_xlfn.IFNA(VLOOKUP(A325,'Anlage 1b_Abzüge, Pflicht, Boni'!$A$30:$D$58,4,FALSE),0)</f>
        <v>0</v>
      </c>
      <c r="F325" s="95">
        <f t="shared" si="20"/>
        <v>208238.53</v>
      </c>
      <c r="G325" s="95">
        <f>SUMIFS('Anlage 1c_Korrekturen_NB'!$L$80:$L$314,'Anlage 1c_Korrekturen_NB'!$A$80:$A$314,'Anlage 3a_Zusammenfassung_KWKG'!$A325)</f>
        <v>163439.63</v>
      </c>
      <c r="H325" s="747">
        <f>_xlfn.IFNA(VLOOKUP(A325,'Anlage 1c_Korrekturen_NB'!$A$678:$D$680,4,FALSE),0)</f>
        <v>0</v>
      </c>
      <c r="I325" s="748">
        <f t="shared" si="18"/>
        <v>163439.63</v>
      </c>
      <c r="J325" s="20"/>
    </row>
    <row r="326" spans="1:10" hidden="1" outlineLevel="1">
      <c r="A326" s="418" t="s">
        <v>714</v>
      </c>
      <c r="B326" s="544">
        <v>7263.25</v>
      </c>
      <c r="C326" s="95">
        <f>_xlfn.IFNA(VLOOKUP($A326,'Anlage 1b_Abzüge, Pflicht, Boni'!$A$30:$D$60,2,FALSE),0)</f>
        <v>0</v>
      </c>
      <c r="D326" s="95">
        <f>_xlfn.IFNA(VLOOKUP(A326,'Anlage 1b_Abzüge, Pflicht, Boni'!$A$9:$D$94,3,FALSE),0)</f>
        <v>0</v>
      </c>
      <c r="E326" s="95">
        <f>_xlfn.IFNA(VLOOKUP(A326,'Anlage 1b_Abzüge, Pflicht, Boni'!$A$30:$D$58,4,FALSE),0)</f>
        <v>0</v>
      </c>
      <c r="F326" s="95">
        <f t="shared" si="20"/>
        <v>7263.25</v>
      </c>
      <c r="G326" s="95">
        <f>SUMIFS('Anlage 1c_Korrekturen_NB'!$L$80:$L$314,'Anlage 1c_Korrekturen_NB'!$A$80:$A$314,'Anlage 3a_Zusammenfassung_KWKG'!$A326)</f>
        <v>0</v>
      </c>
      <c r="H326" s="747">
        <f>_xlfn.IFNA(VLOOKUP(A326,'Anlage 1c_Korrekturen_NB'!$A$678:$D$680,4,FALSE),0)</f>
        <v>0</v>
      </c>
      <c r="I326" s="748">
        <f t="shared" si="18"/>
        <v>0</v>
      </c>
      <c r="J326" s="20"/>
    </row>
    <row r="327" spans="1:10" hidden="1" outlineLevel="1">
      <c r="A327" s="418" t="s">
        <v>716</v>
      </c>
      <c r="B327" s="544">
        <v>97068.03</v>
      </c>
      <c r="C327" s="95">
        <f>_xlfn.IFNA(VLOOKUP($A327,'Anlage 1b_Abzüge, Pflicht, Boni'!$A$30:$D$60,2,FALSE),0)</f>
        <v>0</v>
      </c>
      <c r="D327" s="95">
        <f>_xlfn.IFNA(VLOOKUP(A327,'Anlage 1b_Abzüge, Pflicht, Boni'!$A$9:$D$94,3,FALSE),0)</f>
        <v>0</v>
      </c>
      <c r="E327" s="95">
        <f>_xlfn.IFNA(VLOOKUP(A327,'Anlage 1b_Abzüge, Pflicht, Boni'!$A$30:$D$58,4,FALSE),0)</f>
        <v>0</v>
      </c>
      <c r="F327" s="95">
        <f t="shared" si="20"/>
        <v>97068.03</v>
      </c>
      <c r="G327" s="95">
        <f>SUMIFS('Anlage 1c_Korrekturen_NB'!$L$80:$L$314,'Anlage 1c_Korrekturen_NB'!$A$80:$A$314,'Anlage 3a_Zusammenfassung_KWKG'!$A327)</f>
        <v>1549.5600000000002</v>
      </c>
      <c r="H327" s="747">
        <f>_xlfn.IFNA(VLOOKUP(A327,'Anlage 1c_Korrekturen_NB'!$A$678:$D$680,4,FALSE),0)</f>
        <v>0</v>
      </c>
      <c r="I327" s="748">
        <f t="shared" si="18"/>
        <v>1549.5600000000002</v>
      </c>
      <c r="J327" s="20"/>
    </row>
    <row r="328" spans="1:10" hidden="1" outlineLevel="1">
      <c r="A328" s="418" t="s">
        <v>718</v>
      </c>
      <c r="B328" s="544">
        <v>49241.93</v>
      </c>
      <c r="C328" s="95">
        <f>_xlfn.IFNA(VLOOKUP($A328,'Anlage 1b_Abzüge, Pflicht, Boni'!$A$30:$D$60,2,FALSE),0)</f>
        <v>0</v>
      </c>
      <c r="D328" s="95">
        <f>_xlfn.IFNA(VLOOKUP(A328,'Anlage 1b_Abzüge, Pflicht, Boni'!$A$9:$D$94,3,FALSE),0)</f>
        <v>0</v>
      </c>
      <c r="E328" s="95">
        <f>_xlfn.IFNA(VLOOKUP(A328,'Anlage 1b_Abzüge, Pflicht, Boni'!$A$30:$D$58,4,FALSE),0)</f>
        <v>0</v>
      </c>
      <c r="F328" s="95">
        <f t="shared" si="20"/>
        <v>49241.93</v>
      </c>
      <c r="G328" s="95">
        <f>SUMIFS('Anlage 1c_Korrekturen_NB'!$L$80:$L$314,'Anlage 1c_Korrekturen_NB'!$A$80:$A$314,'Anlage 3a_Zusammenfassung_KWKG'!$A328)</f>
        <v>0</v>
      </c>
      <c r="H328" s="747">
        <f>_xlfn.IFNA(VLOOKUP(A328,'Anlage 1c_Korrekturen_NB'!$A$678:$D$680,4,FALSE),0)</f>
        <v>0</v>
      </c>
      <c r="I328" s="748">
        <f t="shared" si="18"/>
        <v>0</v>
      </c>
      <c r="J328" s="20"/>
    </row>
    <row r="329" spans="1:10" hidden="1" outlineLevel="1">
      <c r="A329" s="418" t="s">
        <v>720</v>
      </c>
      <c r="B329" s="544">
        <v>272220.02</v>
      </c>
      <c r="C329" s="95">
        <f>_xlfn.IFNA(VLOOKUP($A329,'Anlage 1b_Abzüge, Pflicht, Boni'!$A$30:$D$60,2,FALSE),0)</f>
        <v>0</v>
      </c>
      <c r="D329" s="95">
        <f>_xlfn.IFNA(VLOOKUP(A329,'Anlage 1b_Abzüge, Pflicht, Boni'!$A$9:$D$94,3,FALSE),0)</f>
        <v>0</v>
      </c>
      <c r="E329" s="95">
        <f>_xlfn.IFNA(VLOOKUP(A329,'Anlage 1b_Abzüge, Pflicht, Boni'!$A$30:$D$58,4,FALSE),0)</f>
        <v>0</v>
      </c>
      <c r="F329" s="95">
        <f t="shared" si="20"/>
        <v>272220.02</v>
      </c>
      <c r="G329" s="95">
        <f>SUMIFS('Anlage 1c_Korrekturen_NB'!$L$80:$L$314,'Anlage 1c_Korrekturen_NB'!$A$80:$A$314,'Anlage 3a_Zusammenfassung_KWKG'!$A329)</f>
        <v>0</v>
      </c>
      <c r="H329" s="747">
        <f>_xlfn.IFNA(VLOOKUP(A329,'Anlage 1c_Korrekturen_NB'!$A$678:$D$680,4,FALSE),0)</f>
        <v>0</v>
      </c>
      <c r="I329" s="748">
        <f t="shared" si="18"/>
        <v>0</v>
      </c>
      <c r="J329" s="20"/>
    </row>
    <row r="330" spans="1:10" hidden="1" outlineLevel="1">
      <c r="A330" s="418" t="s">
        <v>722</v>
      </c>
      <c r="B330" s="544">
        <v>79856.87</v>
      </c>
      <c r="C330" s="95">
        <f>_xlfn.IFNA(VLOOKUP($A330,'Anlage 1b_Abzüge, Pflicht, Boni'!$A$30:$D$60,2,FALSE),0)</f>
        <v>0</v>
      </c>
      <c r="D330" s="95">
        <f>_xlfn.IFNA(VLOOKUP(A330,'Anlage 1b_Abzüge, Pflicht, Boni'!$A$9:$D$94,3,FALSE),0)</f>
        <v>0</v>
      </c>
      <c r="E330" s="95">
        <f>_xlfn.IFNA(VLOOKUP(A330,'Anlage 1b_Abzüge, Pflicht, Boni'!$A$30:$D$58,4,FALSE),0)</f>
        <v>0</v>
      </c>
      <c r="F330" s="95">
        <f t="shared" si="20"/>
        <v>79856.87</v>
      </c>
      <c r="G330" s="95">
        <f>SUMIFS('Anlage 1c_Korrekturen_NB'!$L$80:$L$314,'Anlage 1c_Korrekturen_NB'!$A$80:$A$314,'Anlage 3a_Zusammenfassung_KWKG'!$A330)</f>
        <v>0</v>
      </c>
      <c r="H330" s="747">
        <f>_xlfn.IFNA(VLOOKUP(A330,'Anlage 1c_Korrekturen_NB'!$A$678:$D$680,4,FALSE),0)</f>
        <v>0</v>
      </c>
      <c r="I330" s="748">
        <f t="shared" si="18"/>
        <v>0</v>
      </c>
      <c r="J330" s="20"/>
    </row>
    <row r="331" spans="1:10" hidden="1" outlineLevel="1">
      <c r="A331" s="418" t="s">
        <v>724</v>
      </c>
      <c r="B331" s="544">
        <v>76059.37</v>
      </c>
      <c r="C331" s="95">
        <f>_xlfn.IFNA(VLOOKUP($A331,'Anlage 1b_Abzüge, Pflicht, Boni'!$A$30:$D$60,2,FALSE),0)</f>
        <v>0</v>
      </c>
      <c r="D331" s="95">
        <f>_xlfn.IFNA(VLOOKUP(A331,'Anlage 1b_Abzüge, Pflicht, Boni'!$A$9:$D$94,3,FALSE),0)</f>
        <v>0</v>
      </c>
      <c r="E331" s="95">
        <f>_xlfn.IFNA(VLOOKUP(A331,'Anlage 1b_Abzüge, Pflicht, Boni'!$A$30:$D$58,4,FALSE),0)</f>
        <v>0</v>
      </c>
      <c r="F331" s="95">
        <f t="shared" si="20"/>
        <v>76059.37</v>
      </c>
      <c r="G331" s="95">
        <f>SUMIFS('Anlage 1c_Korrekturen_NB'!$L$80:$L$314,'Anlage 1c_Korrekturen_NB'!$A$80:$A$314,'Anlage 3a_Zusammenfassung_KWKG'!$A331)</f>
        <v>13221.89</v>
      </c>
      <c r="H331" s="747">
        <f>_xlfn.IFNA(VLOOKUP(A331,'Anlage 1c_Korrekturen_NB'!$A$678:$D$680,4,FALSE),0)</f>
        <v>0</v>
      </c>
      <c r="I331" s="748">
        <f t="shared" si="18"/>
        <v>13221.89</v>
      </c>
      <c r="J331" s="20"/>
    </row>
    <row r="332" spans="1:10" hidden="1" outlineLevel="1">
      <c r="A332" s="418" t="s">
        <v>726</v>
      </c>
      <c r="B332" s="544">
        <v>180362.39</v>
      </c>
      <c r="C332" s="95">
        <f>_xlfn.IFNA(VLOOKUP($A332,'Anlage 1b_Abzüge, Pflicht, Boni'!$A$30:$D$60,2,FALSE),0)</f>
        <v>0</v>
      </c>
      <c r="D332" s="95">
        <f>_xlfn.IFNA(VLOOKUP(A332,'Anlage 1b_Abzüge, Pflicht, Boni'!$A$9:$D$94,3,FALSE),0)</f>
        <v>0</v>
      </c>
      <c r="E332" s="95">
        <f>_xlfn.IFNA(VLOOKUP(A332,'Anlage 1b_Abzüge, Pflicht, Boni'!$A$30:$D$58,4,FALSE),0)</f>
        <v>0</v>
      </c>
      <c r="F332" s="95">
        <f t="shared" si="20"/>
        <v>180362.39</v>
      </c>
      <c r="G332" s="95">
        <f>SUMIFS('Anlage 1c_Korrekturen_NB'!$L$80:$L$314,'Anlage 1c_Korrekturen_NB'!$A$80:$A$314,'Anlage 3a_Zusammenfassung_KWKG'!$A332)</f>
        <v>-10161.950000000003</v>
      </c>
      <c r="H332" s="747">
        <f>_xlfn.IFNA(VLOOKUP(A332,'Anlage 1c_Korrekturen_NB'!$A$678:$D$680,4,FALSE),0)</f>
        <v>0</v>
      </c>
      <c r="I332" s="748">
        <f t="shared" si="18"/>
        <v>-10161.950000000003</v>
      </c>
      <c r="J332" s="20"/>
    </row>
    <row r="333" spans="1:10" hidden="1" outlineLevel="1">
      <c r="A333" s="418" t="s">
        <v>728</v>
      </c>
      <c r="B333" s="544">
        <v>14466.619999999999</v>
      </c>
      <c r="C333" s="95">
        <f>_xlfn.IFNA(VLOOKUP($A333,'Anlage 1b_Abzüge, Pflicht, Boni'!$A$30:$D$60,2,FALSE),0)</f>
        <v>0</v>
      </c>
      <c r="D333" s="95">
        <f>_xlfn.IFNA(VLOOKUP(A333,'Anlage 1b_Abzüge, Pflicht, Boni'!$A$9:$D$94,3,FALSE),0)</f>
        <v>0</v>
      </c>
      <c r="E333" s="95">
        <f>_xlfn.IFNA(VLOOKUP(A333,'Anlage 1b_Abzüge, Pflicht, Boni'!$A$30:$D$58,4,FALSE),0)</f>
        <v>0</v>
      </c>
      <c r="F333" s="95">
        <f t="shared" si="20"/>
        <v>14466.619999999999</v>
      </c>
      <c r="G333" s="95">
        <f>SUMIFS('Anlage 1c_Korrekturen_NB'!$L$80:$L$314,'Anlage 1c_Korrekturen_NB'!$A$80:$A$314,'Anlage 3a_Zusammenfassung_KWKG'!$A333)</f>
        <v>0</v>
      </c>
      <c r="H333" s="747">
        <f>_xlfn.IFNA(VLOOKUP(A333,'Anlage 1c_Korrekturen_NB'!$A$678:$D$680,4,FALSE),0)</f>
        <v>0</v>
      </c>
      <c r="I333" s="748">
        <f t="shared" si="18"/>
        <v>0</v>
      </c>
      <c r="J333" s="20"/>
    </row>
    <row r="334" spans="1:10" hidden="1" outlineLevel="1">
      <c r="A334" s="418" t="s">
        <v>730</v>
      </c>
      <c r="B334" s="544">
        <v>45108.15</v>
      </c>
      <c r="C334" s="95">
        <f>_xlfn.IFNA(VLOOKUP($A334,'Anlage 1b_Abzüge, Pflicht, Boni'!$A$30:$D$60,2,FALSE),0)</f>
        <v>0</v>
      </c>
      <c r="D334" s="95">
        <f>_xlfn.IFNA(VLOOKUP(A334,'Anlage 1b_Abzüge, Pflicht, Boni'!$A$9:$D$94,3,FALSE),0)</f>
        <v>0</v>
      </c>
      <c r="E334" s="95">
        <f>_xlfn.IFNA(VLOOKUP(A334,'Anlage 1b_Abzüge, Pflicht, Boni'!$A$30:$D$58,4,FALSE),0)</f>
        <v>0</v>
      </c>
      <c r="F334" s="95">
        <f t="shared" si="20"/>
        <v>45108.15</v>
      </c>
      <c r="G334" s="95">
        <f>SUMIFS('Anlage 1c_Korrekturen_NB'!$L$80:$L$314,'Anlage 1c_Korrekturen_NB'!$A$80:$A$314,'Anlage 3a_Zusammenfassung_KWKG'!$A334)</f>
        <v>5508.1000000000013</v>
      </c>
      <c r="H334" s="747">
        <f>_xlfn.IFNA(VLOOKUP(A334,'Anlage 1c_Korrekturen_NB'!$A$678:$D$680,4,FALSE),0)</f>
        <v>0</v>
      </c>
      <c r="I334" s="748">
        <f t="shared" si="18"/>
        <v>5508.1000000000013</v>
      </c>
      <c r="J334" s="20"/>
    </row>
    <row r="335" spans="1:10" hidden="1" outlineLevel="1">
      <c r="A335" s="418" t="s">
        <v>732</v>
      </c>
      <c r="B335" s="544">
        <v>0</v>
      </c>
      <c r="C335" s="95">
        <f>_xlfn.IFNA(VLOOKUP($A335,'Anlage 1b_Abzüge, Pflicht, Boni'!$A$30:$D$60,2,FALSE),0)</f>
        <v>0</v>
      </c>
      <c r="D335" s="95">
        <f>_xlfn.IFNA(VLOOKUP(A335,'Anlage 1b_Abzüge, Pflicht, Boni'!$A$9:$D$94,3,FALSE),0)</f>
        <v>0</v>
      </c>
      <c r="E335" s="95">
        <f>_xlfn.IFNA(VLOOKUP(A335,'Anlage 1b_Abzüge, Pflicht, Boni'!$A$30:$D$58,4,FALSE),0)</f>
        <v>0</v>
      </c>
      <c r="F335" s="95">
        <f t="shared" si="20"/>
        <v>0</v>
      </c>
      <c r="G335" s="95">
        <f>SUMIFS('Anlage 1c_Korrekturen_NB'!$L$80:$L$314,'Anlage 1c_Korrekturen_NB'!$A$80:$A$314,'Anlage 3a_Zusammenfassung_KWKG'!$A335)</f>
        <v>0</v>
      </c>
      <c r="H335" s="747">
        <f>_xlfn.IFNA(VLOOKUP(A335,'Anlage 1c_Korrekturen_NB'!$A$678:$D$680,4,FALSE),0)</f>
        <v>0</v>
      </c>
      <c r="I335" s="748">
        <f t="shared" si="18"/>
        <v>0</v>
      </c>
      <c r="J335" s="20"/>
    </row>
    <row r="336" spans="1:10" hidden="1" outlineLevel="1">
      <c r="A336" s="418" t="s">
        <v>734</v>
      </c>
      <c r="B336" s="544">
        <v>318643.06</v>
      </c>
      <c r="C336" s="95">
        <f>_xlfn.IFNA(VLOOKUP($A336,'Anlage 1b_Abzüge, Pflicht, Boni'!$A$30:$D$60,2,FALSE),0)</f>
        <v>-57657.26</v>
      </c>
      <c r="D336" s="95">
        <f>_xlfn.IFNA(VLOOKUP(A336,'Anlage 1b_Abzüge, Pflicht, Boni'!$A$9:$D$94,3,FALSE),0)</f>
        <v>0</v>
      </c>
      <c r="E336" s="95">
        <f>_xlfn.IFNA(VLOOKUP(A336,'Anlage 1b_Abzüge, Pflicht, Boni'!$A$30:$D$58,4,FALSE),0)</f>
        <v>0</v>
      </c>
      <c r="F336" s="95">
        <f t="shared" si="20"/>
        <v>260985.8</v>
      </c>
      <c r="G336" s="95">
        <f>SUMIFS('Anlage 1c_Korrekturen_NB'!$L$80:$L$314,'Anlage 1c_Korrekturen_NB'!$A$80:$A$314,'Anlage 3a_Zusammenfassung_KWKG'!$A336)</f>
        <v>349.49</v>
      </c>
      <c r="H336" s="747">
        <f>_xlfn.IFNA(VLOOKUP(A336,'Anlage 1c_Korrekturen_NB'!$A$678:$D$680,4,FALSE),0)</f>
        <v>0</v>
      </c>
      <c r="I336" s="748">
        <f t="shared" si="18"/>
        <v>349.49</v>
      </c>
      <c r="J336" s="20"/>
    </row>
    <row r="337" spans="1:10" hidden="1" outlineLevel="1">
      <c r="A337" s="418" t="s">
        <v>736</v>
      </c>
      <c r="B337" s="544">
        <v>149118.10999999999</v>
      </c>
      <c r="C337" s="95">
        <f>_xlfn.IFNA(VLOOKUP($A337,'Anlage 1b_Abzüge, Pflicht, Boni'!$A$30:$D$60,2,FALSE),0)</f>
        <v>0</v>
      </c>
      <c r="D337" s="95">
        <f>_xlfn.IFNA(VLOOKUP(A337,'Anlage 1b_Abzüge, Pflicht, Boni'!$A$9:$D$94,3,FALSE),0)</f>
        <v>0</v>
      </c>
      <c r="E337" s="95">
        <f>_xlfn.IFNA(VLOOKUP(A337,'Anlage 1b_Abzüge, Pflicht, Boni'!$A$30:$D$58,4,FALSE),0)</f>
        <v>0</v>
      </c>
      <c r="F337" s="95">
        <f t="shared" si="20"/>
        <v>149118.10999999999</v>
      </c>
      <c r="G337" s="95">
        <f>SUMIFS('Anlage 1c_Korrekturen_NB'!$L$80:$L$314,'Anlage 1c_Korrekturen_NB'!$A$80:$A$314,'Anlage 3a_Zusammenfassung_KWKG'!$A337)</f>
        <v>0</v>
      </c>
      <c r="H337" s="747">
        <f>_xlfn.IFNA(VLOOKUP(A337,'Anlage 1c_Korrekturen_NB'!$A$678:$D$680,4,FALSE),0)</f>
        <v>0</v>
      </c>
      <c r="I337" s="748">
        <f t="shared" si="18"/>
        <v>0</v>
      </c>
      <c r="J337" s="20"/>
    </row>
    <row r="338" spans="1:10" hidden="1" outlineLevel="1">
      <c r="A338" s="418" t="s">
        <v>738</v>
      </c>
      <c r="B338" s="544">
        <v>16181.8</v>
      </c>
      <c r="C338" s="95">
        <f>_xlfn.IFNA(VLOOKUP($A338,'Anlage 1b_Abzüge, Pflicht, Boni'!$A$30:$D$60,2,FALSE),0)</f>
        <v>0</v>
      </c>
      <c r="D338" s="95">
        <f>_xlfn.IFNA(VLOOKUP(A338,'Anlage 1b_Abzüge, Pflicht, Boni'!$A$9:$D$94,3,FALSE),0)</f>
        <v>0</v>
      </c>
      <c r="E338" s="95">
        <f>_xlfn.IFNA(VLOOKUP(A338,'Anlage 1b_Abzüge, Pflicht, Boni'!$A$30:$D$58,4,FALSE),0)</f>
        <v>0</v>
      </c>
      <c r="F338" s="95">
        <f t="shared" si="20"/>
        <v>16181.8</v>
      </c>
      <c r="G338" s="95">
        <f>SUMIFS('Anlage 1c_Korrekturen_NB'!$L$80:$L$314,'Anlage 1c_Korrekturen_NB'!$A$80:$A$314,'Anlage 3a_Zusammenfassung_KWKG'!$A338)</f>
        <v>0</v>
      </c>
      <c r="H338" s="747">
        <f>_xlfn.IFNA(VLOOKUP(A338,'Anlage 1c_Korrekturen_NB'!$A$678:$D$680,4,FALSE),0)</f>
        <v>0</v>
      </c>
      <c r="I338" s="748">
        <f t="shared" si="18"/>
        <v>0</v>
      </c>
      <c r="J338" s="20"/>
    </row>
    <row r="339" spans="1:10" hidden="1" outlineLevel="1">
      <c r="A339" s="418" t="s">
        <v>740</v>
      </c>
      <c r="B339" s="544">
        <v>0</v>
      </c>
      <c r="C339" s="95">
        <f>_xlfn.IFNA(VLOOKUP($A339,'Anlage 1b_Abzüge, Pflicht, Boni'!$A$30:$D$60,2,FALSE),0)</f>
        <v>0</v>
      </c>
      <c r="D339" s="95">
        <f>_xlfn.IFNA(VLOOKUP(A339,'Anlage 1b_Abzüge, Pflicht, Boni'!$A$9:$D$94,3,FALSE),0)</f>
        <v>0</v>
      </c>
      <c r="E339" s="95">
        <f>_xlfn.IFNA(VLOOKUP(A339,'Anlage 1b_Abzüge, Pflicht, Boni'!$A$30:$D$58,4,FALSE),0)</f>
        <v>0</v>
      </c>
      <c r="F339" s="95">
        <f t="shared" si="20"/>
        <v>0</v>
      </c>
      <c r="G339" s="95">
        <f>SUMIFS('Anlage 1c_Korrekturen_NB'!$L$80:$L$314,'Anlage 1c_Korrekturen_NB'!$A$80:$A$314,'Anlage 3a_Zusammenfassung_KWKG'!$A339)</f>
        <v>0</v>
      </c>
      <c r="H339" s="747">
        <f>_xlfn.IFNA(VLOOKUP(A339,'Anlage 1c_Korrekturen_NB'!$A$678:$D$680,4,FALSE),0)</f>
        <v>0</v>
      </c>
      <c r="I339" s="748">
        <f t="shared" si="18"/>
        <v>0</v>
      </c>
      <c r="J339" s="20"/>
    </row>
    <row r="340" spans="1:10" hidden="1" outlineLevel="1">
      <c r="A340" s="418" t="s">
        <v>742</v>
      </c>
      <c r="B340" s="544">
        <v>113068.24</v>
      </c>
      <c r="C340" s="95">
        <f>_xlfn.IFNA(VLOOKUP($A340,'Anlage 1b_Abzüge, Pflicht, Boni'!$A$30:$D$60,2,FALSE),0)</f>
        <v>-42.12</v>
      </c>
      <c r="D340" s="95">
        <f>_xlfn.IFNA(VLOOKUP(A340,'Anlage 1b_Abzüge, Pflicht, Boni'!$A$9:$D$94,3,FALSE),0)</f>
        <v>0</v>
      </c>
      <c r="E340" s="95">
        <f>_xlfn.IFNA(VLOOKUP(A340,'Anlage 1b_Abzüge, Pflicht, Boni'!$A$30:$D$58,4,FALSE),0)</f>
        <v>0</v>
      </c>
      <c r="F340" s="95">
        <f t="shared" si="20"/>
        <v>113026.12000000001</v>
      </c>
      <c r="G340" s="95">
        <f>SUMIFS('Anlage 1c_Korrekturen_NB'!$L$80:$L$314,'Anlage 1c_Korrekturen_NB'!$A$80:$A$314,'Anlage 3a_Zusammenfassung_KWKG'!$A340)</f>
        <v>0</v>
      </c>
      <c r="H340" s="747">
        <f>_xlfn.IFNA(VLOOKUP(A340,'Anlage 1c_Korrekturen_NB'!$A$678:$D$680,4,FALSE),0)</f>
        <v>0</v>
      </c>
      <c r="I340" s="748">
        <f t="shared" si="18"/>
        <v>0</v>
      </c>
      <c r="J340" s="20"/>
    </row>
    <row r="341" spans="1:10" hidden="1" outlineLevel="1">
      <c r="A341" s="418" t="s">
        <v>744</v>
      </c>
      <c r="B341" s="544">
        <v>47516.19</v>
      </c>
      <c r="C341" s="95">
        <f>_xlfn.IFNA(VLOOKUP($A341,'Anlage 1b_Abzüge, Pflicht, Boni'!$A$30:$D$60,2,FALSE),0)</f>
        <v>0</v>
      </c>
      <c r="D341" s="95">
        <f>_xlfn.IFNA(VLOOKUP(A341,'Anlage 1b_Abzüge, Pflicht, Boni'!$A$9:$D$94,3,FALSE),0)</f>
        <v>0</v>
      </c>
      <c r="E341" s="95">
        <f>_xlfn.IFNA(VLOOKUP(A341,'Anlage 1b_Abzüge, Pflicht, Boni'!$A$30:$D$58,4,FALSE),0)</f>
        <v>0</v>
      </c>
      <c r="F341" s="95">
        <f t="shared" si="20"/>
        <v>47516.19</v>
      </c>
      <c r="G341" s="95">
        <f>SUMIFS('Anlage 1c_Korrekturen_NB'!$L$80:$L$314,'Anlage 1c_Korrekturen_NB'!$A$80:$A$314,'Anlage 3a_Zusammenfassung_KWKG'!$A341)</f>
        <v>13745.98</v>
      </c>
      <c r="H341" s="747">
        <f>_xlfn.IFNA(VLOOKUP(A341,'Anlage 1c_Korrekturen_NB'!$A$678:$D$680,4,FALSE),0)</f>
        <v>0</v>
      </c>
      <c r="I341" s="748">
        <f t="shared" si="18"/>
        <v>13745.98</v>
      </c>
      <c r="J341" s="20"/>
    </row>
    <row r="342" spans="1:10" hidden="1" outlineLevel="1">
      <c r="A342" s="418" t="s">
        <v>746</v>
      </c>
      <c r="B342" s="544">
        <v>0</v>
      </c>
      <c r="C342" s="95">
        <f>_xlfn.IFNA(VLOOKUP($A342,'Anlage 1b_Abzüge, Pflicht, Boni'!$A$30:$D$60,2,FALSE),0)</f>
        <v>0</v>
      </c>
      <c r="D342" s="95">
        <f>_xlfn.IFNA(VLOOKUP(A342,'Anlage 1b_Abzüge, Pflicht, Boni'!$A$9:$D$94,3,FALSE),0)</f>
        <v>0</v>
      </c>
      <c r="E342" s="95">
        <f>_xlfn.IFNA(VLOOKUP(A342,'Anlage 1b_Abzüge, Pflicht, Boni'!$A$30:$D$58,4,FALSE),0)</f>
        <v>0</v>
      </c>
      <c r="F342" s="95">
        <f t="shared" si="20"/>
        <v>0</v>
      </c>
      <c r="G342" s="95">
        <f>SUMIFS('Anlage 1c_Korrekturen_NB'!$L$80:$L$314,'Anlage 1c_Korrekturen_NB'!$A$80:$A$314,'Anlage 3a_Zusammenfassung_KWKG'!$A342)</f>
        <v>0</v>
      </c>
      <c r="H342" s="747">
        <f>_xlfn.IFNA(VLOOKUP(A342,'Anlage 1c_Korrekturen_NB'!$A$678:$D$680,4,FALSE),0)</f>
        <v>0</v>
      </c>
      <c r="I342" s="748">
        <f t="shared" si="18"/>
        <v>0</v>
      </c>
      <c r="J342" s="20"/>
    </row>
    <row r="343" spans="1:10" hidden="1" outlineLevel="1">
      <c r="A343" s="418" t="s">
        <v>748</v>
      </c>
      <c r="B343" s="544">
        <v>48264.640000000007</v>
      </c>
      <c r="C343" s="95">
        <f>_xlfn.IFNA(VLOOKUP($A343,'Anlage 1b_Abzüge, Pflicht, Boni'!$A$30:$D$60,2,FALSE),0)</f>
        <v>0</v>
      </c>
      <c r="D343" s="95">
        <f>_xlfn.IFNA(VLOOKUP(A343,'Anlage 1b_Abzüge, Pflicht, Boni'!$A$9:$D$94,3,FALSE),0)</f>
        <v>0</v>
      </c>
      <c r="E343" s="95">
        <f>_xlfn.IFNA(VLOOKUP(A343,'Anlage 1b_Abzüge, Pflicht, Boni'!$A$30:$D$58,4,FALSE),0)</f>
        <v>0</v>
      </c>
      <c r="F343" s="95">
        <f t="shared" si="20"/>
        <v>48264.640000000007</v>
      </c>
      <c r="G343" s="95">
        <f>SUMIFS('Anlage 1c_Korrekturen_NB'!$L$80:$L$314,'Anlage 1c_Korrekturen_NB'!$A$80:$A$314,'Anlage 3a_Zusammenfassung_KWKG'!$A343)</f>
        <v>0</v>
      </c>
      <c r="H343" s="747">
        <f>_xlfn.IFNA(VLOOKUP(A343,'Anlage 1c_Korrekturen_NB'!$A$678:$D$680,4,FALSE),0)</f>
        <v>0</v>
      </c>
      <c r="I343" s="748">
        <f t="shared" si="18"/>
        <v>0</v>
      </c>
      <c r="J343" s="20"/>
    </row>
    <row r="344" spans="1:10" hidden="1" outlineLevel="1">
      <c r="A344" s="418" t="s">
        <v>750</v>
      </c>
      <c r="B344" s="544">
        <v>25622.33</v>
      </c>
      <c r="C344" s="95">
        <f>_xlfn.IFNA(VLOOKUP($A344,'Anlage 1b_Abzüge, Pflicht, Boni'!$A$30:$D$60,2,FALSE),0)</f>
        <v>0</v>
      </c>
      <c r="D344" s="95">
        <f>_xlfn.IFNA(VLOOKUP(A344,'Anlage 1b_Abzüge, Pflicht, Boni'!$A$9:$D$94,3,FALSE),0)</f>
        <v>0</v>
      </c>
      <c r="E344" s="95">
        <f>_xlfn.IFNA(VLOOKUP(A344,'Anlage 1b_Abzüge, Pflicht, Boni'!$A$30:$D$58,4,FALSE),0)</f>
        <v>0</v>
      </c>
      <c r="F344" s="95">
        <f t="shared" si="20"/>
        <v>25622.33</v>
      </c>
      <c r="G344" s="95">
        <f>SUMIFS('Anlage 1c_Korrekturen_NB'!$L$80:$L$314,'Anlage 1c_Korrekturen_NB'!$A$80:$A$314,'Anlage 3a_Zusammenfassung_KWKG'!$A344)</f>
        <v>0</v>
      </c>
      <c r="H344" s="747">
        <f>_xlfn.IFNA(VLOOKUP(A344,'Anlage 1c_Korrekturen_NB'!$A$678:$D$680,4,FALSE),0)</f>
        <v>0</v>
      </c>
      <c r="I344" s="748">
        <f t="shared" si="18"/>
        <v>0</v>
      </c>
      <c r="J344" s="20"/>
    </row>
    <row r="345" spans="1:10" hidden="1" outlineLevel="1">
      <c r="A345" s="418" t="s">
        <v>752</v>
      </c>
      <c r="B345" s="544">
        <v>351350.10000000003</v>
      </c>
      <c r="C345" s="95">
        <f>_xlfn.IFNA(VLOOKUP($A345,'Anlage 1b_Abzüge, Pflicht, Boni'!$A$30:$D$60,2,FALSE),0)</f>
        <v>0</v>
      </c>
      <c r="D345" s="95">
        <f>_xlfn.IFNA(VLOOKUP(A345,'Anlage 1b_Abzüge, Pflicht, Boni'!$A$9:$D$94,3,FALSE),0)</f>
        <v>0</v>
      </c>
      <c r="E345" s="95">
        <f>_xlfn.IFNA(VLOOKUP(A345,'Anlage 1b_Abzüge, Pflicht, Boni'!$A$30:$D$58,4,FALSE),0)</f>
        <v>0</v>
      </c>
      <c r="F345" s="95">
        <f t="shared" si="20"/>
        <v>351350.10000000003</v>
      </c>
      <c r="G345" s="95">
        <f>SUMIFS('Anlage 1c_Korrekturen_NB'!$L$80:$L$314,'Anlage 1c_Korrekturen_NB'!$A$80:$A$314,'Anlage 3a_Zusammenfassung_KWKG'!$A345)</f>
        <v>0</v>
      </c>
      <c r="H345" s="747">
        <f>_xlfn.IFNA(VLOOKUP(A345,'Anlage 1c_Korrekturen_NB'!$A$678:$D$680,4,FALSE),0)</f>
        <v>0</v>
      </c>
      <c r="I345" s="748">
        <f t="shared" si="18"/>
        <v>0</v>
      </c>
      <c r="J345" s="20"/>
    </row>
    <row r="346" spans="1:10" hidden="1" outlineLevel="1">
      <c r="A346" s="418" t="s">
        <v>754</v>
      </c>
      <c r="B346" s="544">
        <v>20967648.140000001</v>
      </c>
      <c r="C346" s="95">
        <f>_xlfn.IFNA(VLOOKUP($A346,'Anlage 1b_Abzüge, Pflicht, Boni'!$A$30:$D$60,2,FALSE),0)</f>
        <v>0</v>
      </c>
      <c r="D346" s="95">
        <f>_xlfn.IFNA(VLOOKUP(A346,'Anlage 1b_Abzüge, Pflicht, Boni'!$A$9:$D$94,3,FALSE),0)</f>
        <v>0</v>
      </c>
      <c r="E346" s="95">
        <f>_xlfn.IFNA(VLOOKUP(A346,'Anlage 1b_Abzüge, Pflicht, Boni'!$A$30:$D$58,4,FALSE),0)</f>
        <v>0</v>
      </c>
      <c r="F346" s="95">
        <f t="shared" si="20"/>
        <v>20967648.140000001</v>
      </c>
      <c r="G346" s="95">
        <f>SUMIFS('Anlage 1c_Korrekturen_NB'!$L$80:$L$314,'Anlage 1c_Korrekturen_NB'!$A$80:$A$314,'Anlage 3a_Zusammenfassung_KWKG'!$A346)</f>
        <v>0</v>
      </c>
      <c r="H346" s="747">
        <f>_xlfn.IFNA(VLOOKUP(A346,'Anlage 1c_Korrekturen_NB'!$A$678:$D$680,4,FALSE),0)</f>
        <v>0</v>
      </c>
      <c r="I346" s="748">
        <f t="shared" si="18"/>
        <v>0</v>
      </c>
      <c r="J346" s="20"/>
    </row>
    <row r="347" spans="1:10" hidden="1" outlineLevel="1">
      <c r="A347" s="418" t="s">
        <v>756</v>
      </c>
      <c r="B347" s="544">
        <v>430808.64</v>
      </c>
      <c r="C347" s="95">
        <f>_xlfn.IFNA(VLOOKUP($A347,'Anlage 1b_Abzüge, Pflicht, Boni'!$A$30:$D$60,2,FALSE),0)</f>
        <v>0</v>
      </c>
      <c r="D347" s="95">
        <f>_xlfn.IFNA(VLOOKUP(A347,'Anlage 1b_Abzüge, Pflicht, Boni'!$A$9:$D$94,3,FALSE),0)</f>
        <v>0</v>
      </c>
      <c r="E347" s="95">
        <f>_xlfn.IFNA(VLOOKUP(A347,'Anlage 1b_Abzüge, Pflicht, Boni'!$A$30:$D$58,4,FALSE),0)</f>
        <v>0</v>
      </c>
      <c r="F347" s="95">
        <f t="shared" si="20"/>
        <v>430808.64</v>
      </c>
      <c r="G347" s="95">
        <f>SUMIFS('Anlage 1c_Korrekturen_NB'!$L$80:$L$314,'Anlage 1c_Korrekturen_NB'!$A$80:$A$314,'Anlage 3a_Zusammenfassung_KWKG'!$A347)</f>
        <v>0</v>
      </c>
      <c r="H347" s="747">
        <f>_xlfn.IFNA(VLOOKUP(A347,'Anlage 1c_Korrekturen_NB'!$A$678:$D$680,4,FALSE),0)</f>
        <v>0</v>
      </c>
      <c r="I347" s="748">
        <f t="shared" si="18"/>
        <v>0</v>
      </c>
      <c r="J347" s="20"/>
    </row>
    <row r="348" spans="1:10" hidden="1" outlineLevel="1">
      <c r="A348" s="418" t="s">
        <v>757</v>
      </c>
      <c r="B348" s="544">
        <v>0</v>
      </c>
      <c r="C348" s="95">
        <f>_xlfn.IFNA(VLOOKUP($A348,'Anlage 1b_Abzüge, Pflicht, Boni'!$A$30:$D$60,2,FALSE),0)</f>
        <v>0</v>
      </c>
      <c r="D348" s="95">
        <f>_xlfn.IFNA(VLOOKUP(A348,'Anlage 1b_Abzüge, Pflicht, Boni'!$A$9:$D$94,3,FALSE),0)</f>
        <v>0</v>
      </c>
      <c r="E348" s="95">
        <f>_xlfn.IFNA(VLOOKUP(A348,'Anlage 1b_Abzüge, Pflicht, Boni'!$A$30:$D$58,4,FALSE),0)</f>
        <v>0</v>
      </c>
      <c r="F348" s="95">
        <f t="shared" si="20"/>
        <v>0</v>
      </c>
      <c r="G348" s="95">
        <f>SUMIFS('Anlage 1c_Korrekturen_NB'!$L$80:$L$314,'Anlage 1c_Korrekturen_NB'!$A$80:$A$314,'Anlage 3a_Zusammenfassung_KWKG'!$A348)</f>
        <v>0</v>
      </c>
      <c r="H348" s="747">
        <f>_xlfn.IFNA(VLOOKUP(A348,'Anlage 1c_Korrekturen_NB'!$A$678:$D$680,4,FALSE),0)</f>
        <v>0</v>
      </c>
      <c r="I348" s="748">
        <f t="shared" si="18"/>
        <v>0</v>
      </c>
      <c r="J348" s="20"/>
    </row>
    <row r="349" spans="1:10" hidden="1" outlineLevel="1">
      <c r="A349" s="418" t="s">
        <v>759</v>
      </c>
      <c r="B349" s="544">
        <v>95530.12999999999</v>
      </c>
      <c r="C349" s="95">
        <f>_xlfn.IFNA(VLOOKUP($A349,'Anlage 1b_Abzüge, Pflicht, Boni'!$A$30:$D$60,2,FALSE),0)</f>
        <v>0</v>
      </c>
      <c r="D349" s="95">
        <f>_xlfn.IFNA(VLOOKUP(A349,'Anlage 1b_Abzüge, Pflicht, Boni'!$A$9:$D$94,3,FALSE),0)</f>
        <v>0</v>
      </c>
      <c r="E349" s="95">
        <f>_xlfn.IFNA(VLOOKUP(A349,'Anlage 1b_Abzüge, Pflicht, Boni'!$A$30:$D$58,4,FALSE),0)</f>
        <v>0</v>
      </c>
      <c r="F349" s="95">
        <f t="shared" si="19"/>
        <v>95530.12999999999</v>
      </c>
      <c r="G349" s="95">
        <f>SUMIFS('Anlage 1c_Korrekturen_NB'!$L$80:$L$314,'Anlage 1c_Korrekturen_NB'!$A$80:$A$314,'Anlage 3a_Zusammenfassung_KWKG'!$A349)</f>
        <v>2258.84</v>
      </c>
      <c r="H349" s="747">
        <f>_xlfn.IFNA(VLOOKUP(A349,'Anlage 1c_Korrekturen_NB'!$A$678:$D$680,4,FALSE),0)</f>
        <v>0</v>
      </c>
      <c r="I349" s="748">
        <f t="shared" si="18"/>
        <v>2258.84</v>
      </c>
      <c r="J349" s="20"/>
    </row>
    <row r="350" spans="1:10" hidden="1" outlineLevel="1">
      <c r="A350" s="418" t="s">
        <v>761</v>
      </c>
      <c r="B350" s="544">
        <v>244474.69</v>
      </c>
      <c r="C350" s="95">
        <f>_xlfn.IFNA(VLOOKUP($A350,'Anlage 1b_Abzüge, Pflicht, Boni'!$A$30:$D$60,2,FALSE),0)</f>
        <v>0</v>
      </c>
      <c r="D350" s="95">
        <f>_xlfn.IFNA(VLOOKUP(A350,'Anlage 1b_Abzüge, Pflicht, Boni'!$A$9:$D$94,3,FALSE),0)</f>
        <v>0</v>
      </c>
      <c r="E350" s="95">
        <f>_xlfn.IFNA(VLOOKUP(A350,'Anlage 1b_Abzüge, Pflicht, Boni'!$A$30:$D$58,4,FALSE),0)</f>
        <v>0</v>
      </c>
      <c r="F350" s="95">
        <f t="shared" si="19"/>
        <v>244474.69</v>
      </c>
      <c r="G350" s="95">
        <f>SUMIFS('Anlage 1c_Korrekturen_NB'!$L$80:$L$314,'Anlage 1c_Korrekturen_NB'!$A$80:$A$314,'Anlage 3a_Zusammenfassung_KWKG'!$A350)</f>
        <v>0</v>
      </c>
      <c r="H350" s="747">
        <f>_xlfn.IFNA(VLOOKUP(A350,'Anlage 1c_Korrekturen_NB'!$A$678:$D$680,4,FALSE),0)</f>
        <v>0</v>
      </c>
      <c r="I350" s="748">
        <f t="shared" si="18"/>
        <v>0</v>
      </c>
      <c r="J350" s="20"/>
    </row>
    <row r="351" spans="1:10" hidden="1" outlineLevel="1">
      <c r="A351" s="418" t="s">
        <v>763</v>
      </c>
      <c r="B351" s="544">
        <v>120115.88</v>
      </c>
      <c r="C351" s="95">
        <f>_xlfn.IFNA(VLOOKUP($A351,'Anlage 1b_Abzüge, Pflicht, Boni'!$A$30:$D$60,2,FALSE),0)</f>
        <v>0</v>
      </c>
      <c r="D351" s="95">
        <f>_xlfn.IFNA(VLOOKUP(A351,'Anlage 1b_Abzüge, Pflicht, Boni'!$A$9:$D$94,3,FALSE),0)</f>
        <v>0</v>
      </c>
      <c r="E351" s="95">
        <f>_xlfn.IFNA(VLOOKUP(A351,'Anlage 1b_Abzüge, Pflicht, Boni'!$A$30:$D$58,4,FALSE),0)</f>
        <v>0</v>
      </c>
      <c r="F351" s="95">
        <f t="shared" si="19"/>
        <v>120115.88</v>
      </c>
      <c r="G351" s="95">
        <f>SUMIFS('Anlage 1c_Korrekturen_NB'!$L$80:$L$314,'Anlage 1c_Korrekturen_NB'!$A$80:$A$314,'Anlage 3a_Zusammenfassung_KWKG'!$A351)</f>
        <v>0</v>
      </c>
      <c r="H351" s="747">
        <f>_xlfn.IFNA(VLOOKUP(A351,'Anlage 1c_Korrekturen_NB'!$A$678:$D$680,4,FALSE),0)</f>
        <v>0</v>
      </c>
      <c r="I351" s="748">
        <f t="shared" si="18"/>
        <v>0</v>
      </c>
      <c r="J351" s="20"/>
    </row>
    <row r="352" spans="1:10" hidden="1" outlineLevel="1">
      <c r="A352" s="418" t="s">
        <v>765</v>
      </c>
      <c r="B352" s="544">
        <v>24127.88</v>
      </c>
      <c r="C352" s="95">
        <f>_xlfn.IFNA(VLOOKUP($A352,'Anlage 1b_Abzüge, Pflicht, Boni'!$A$30:$D$60,2,FALSE),0)</f>
        <v>0</v>
      </c>
      <c r="D352" s="95">
        <f>_xlfn.IFNA(VLOOKUP(A352,'Anlage 1b_Abzüge, Pflicht, Boni'!$A$9:$D$94,3,FALSE),0)</f>
        <v>0</v>
      </c>
      <c r="E352" s="95">
        <f>_xlfn.IFNA(VLOOKUP(A352,'Anlage 1b_Abzüge, Pflicht, Boni'!$A$30:$D$58,4,FALSE),0)</f>
        <v>0</v>
      </c>
      <c r="F352" s="95">
        <f t="shared" si="19"/>
        <v>24127.88</v>
      </c>
      <c r="G352" s="95">
        <f>SUMIFS('Anlage 1c_Korrekturen_NB'!$L$80:$L$314,'Anlage 1c_Korrekturen_NB'!$A$80:$A$314,'Anlage 3a_Zusammenfassung_KWKG'!$A352)</f>
        <v>183540.72999999998</v>
      </c>
      <c r="H352" s="747">
        <f>_xlfn.IFNA(VLOOKUP(A352,'Anlage 1c_Korrekturen_NB'!$A$678:$D$680,4,FALSE),0)</f>
        <v>0</v>
      </c>
      <c r="I352" s="748">
        <f t="shared" si="18"/>
        <v>183540.72999999998</v>
      </c>
      <c r="J352" s="20"/>
    </row>
    <row r="353" spans="1:10" hidden="1" outlineLevel="1">
      <c r="A353" s="418" t="s">
        <v>767</v>
      </c>
      <c r="B353" s="544">
        <v>55668.6</v>
      </c>
      <c r="C353" s="95">
        <f>_xlfn.IFNA(VLOOKUP($A353,'Anlage 1b_Abzüge, Pflicht, Boni'!$A$30:$D$60,2,FALSE),0)</f>
        <v>0</v>
      </c>
      <c r="D353" s="95">
        <f>_xlfn.IFNA(VLOOKUP(A353,'Anlage 1b_Abzüge, Pflicht, Boni'!$A$9:$D$94,3,FALSE),0)</f>
        <v>0</v>
      </c>
      <c r="E353" s="95">
        <f>_xlfn.IFNA(VLOOKUP(A353,'Anlage 1b_Abzüge, Pflicht, Boni'!$A$30:$D$58,4,FALSE),0)</f>
        <v>0</v>
      </c>
      <c r="F353" s="95">
        <f t="shared" si="19"/>
        <v>55668.6</v>
      </c>
      <c r="G353" s="95">
        <f>SUMIFS('Anlage 1c_Korrekturen_NB'!$L$80:$L$314,'Anlage 1c_Korrekturen_NB'!$A$80:$A$314,'Anlage 3a_Zusammenfassung_KWKG'!$A353)</f>
        <v>0</v>
      </c>
      <c r="H353" s="747">
        <f>_xlfn.IFNA(VLOOKUP(A353,'Anlage 1c_Korrekturen_NB'!$A$678:$D$680,4,FALSE),0)</f>
        <v>0</v>
      </c>
      <c r="I353" s="748">
        <f t="shared" si="18"/>
        <v>0</v>
      </c>
      <c r="J353" s="20"/>
    </row>
    <row r="354" spans="1:10" hidden="1" outlineLevel="1">
      <c r="A354" s="418" t="s">
        <v>769</v>
      </c>
      <c r="B354" s="544">
        <v>50754.57</v>
      </c>
      <c r="C354" s="95">
        <f>_xlfn.IFNA(VLOOKUP($A354,'Anlage 1b_Abzüge, Pflicht, Boni'!$A$30:$D$60,2,FALSE),0)</f>
        <v>0</v>
      </c>
      <c r="D354" s="95">
        <f>_xlfn.IFNA(VLOOKUP(A354,'Anlage 1b_Abzüge, Pflicht, Boni'!$A$9:$D$94,3,FALSE),0)</f>
        <v>0</v>
      </c>
      <c r="E354" s="95">
        <f>_xlfn.IFNA(VLOOKUP(A354,'Anlage 1b_Abzüge, Pflicht, Boni'!$A$30:$D$58,4,FALSE),0)</f>
        <v>0</v>
      </c>
      <c r="F354" s="95">
        <f t="shared" si="19"/>
        <v>50754.57</v>
      </c>
      <c r="G354" s="95">
        <f>SUMIFS('Anlage 1c_Korrekturen_NB'!$L$80:$L$314,'Anlage 1c_Korrekturen_NB'!$A$80:$A$314,'Anlage 3a_Zusammenfassung_KWKG'!$A354)</f>
        <v>0</v>
      </c>
      <c r="H354" s="747">
        <f>_xlfn.IFNA(VLOOKUP(A354,'Anlage 1c_Korrekturen_NB'!$A$678:$D$680,4,FALSE),0)</f>
        <v>0</v>
      </c>
      <c r="I354" s="748">
        <f t="shared" si="18"/>
        <v>0</v>
      </c>
      <c r="J354" s="20"/>
    </row>
    <row r="355" spans="1:10" hidden="1" outlineLevel="1">
      <c r="A355" s="418" t="s">
        <v>771</v>
      </c>
      <c r="B355" s="544">
        <v>55679.61</v>
      </c>
      <c r="C355" s="95">
        <f>_xlfn.IFNA(VLOOKUP($A355,'Anlage 1b_Abzüge, Pflicht, Boni'!$A$30:$D$60,2,FALSE),0)</f>
        <v>0</v>
      </c>
      <c r="D355" s="95">
        <f>_xlfn.IFNA(VLOOKUP(A355,'Anlage 1b_Abzüge, Pflicht, Boni'!$A$9:$D$94,3,FALSE),0)</f>
        <v>0</v>
      </c>
      <c r="E355" s="95">
        <f>_xlfn.IFNA(VLOOKUP(A355,'Anlage 1b_Abzüge, Pflicht, Boni'!$A$30:$D$58,4,FALSE),0)</f>
        <v>0</v>
      </c>
      <c r="F355" s="95">
        <f t="shared" si="19"/>
        <v>55679.61</v>
      </c>
      <c r="G355" s="95">
        <f>SUMIFS('Anlage 1c_Korrekturen_NB'!$L$80:$L$314,'Anlage 1c_Korrekturen_NB'!$A$80:$A$314,'Anlage 3a_Zusammenfassung_KWKG'!$A355)</f>
        <v>0</v>
      </c>
      <c r="H355" s="747">
        <f>_xlfn.IFNA(VLOOKUP(A355,'Anlage 1c_Korrekturen_NB'!$A$678:$D$680,4,FALSE),0)</f>
        <v>0</v>
      </c>
      <c r="I355" s="748">
        <f t="shared" si="18"/>
        <v>0</v>
      </c>
      <c r="J355" s="20"/>
    </row>
    <row r="356" spans="1:10" hidden="1" outlineLevel="1">
      <c r="A356" s="418" t="s">
        <v>773</v>
      </c>
      <c r="B356" s="544">
        <v>648687.35999999999</v>
      </c>
      <c r="C356" s="95">
        <f>_xlfn.IFNA(VLOOKUP($A356,'Anlage 1b_Abzüge, Pflicht, Boni'!$A$30:$D$60,2,FALSE),0)</f>
        <v>0</v>
      </c>
      <c r="D356" s="95">
        <f>_xlfn.IFNA(VLOOKUP(A356,'Anlage 1b_Abzüge, Pflicht, Boni'!$A$9:$D$94,3,FALSE),0)</f>
        <v>0</v>
      </c>
      <c r="E356" s="95">
        <f>_xlfn.IFNA(VLOOKUP(A356,'Anlage 1b_Abzüge, Pflicht, Boni'!$A$30:$D$58,4,FALSE),0)</f>
        <v>0</v>
      </c>
      <c r="F356" s="95">
        <f t="shared" si="19"/>
        <v>648687.35999999999</v>
      </c>
      <c r="G356" s="95">
        <f>SUMIFS('Anlage 1c_Korrekturen_NB'!$L$80:$L$314,'Anlage 1c_Korrekturen_NB'!$A$80:$A$314,'Anlage 3a_Zusammenfassung_KWKG'!$A356)</f>
        <v>594721.72</v>
      </c>
      <c r="H356" s="747">
        <f>_xlfn.IFNA(VLOOKUP(A356,'Anlage 1c_Korrekturen_NB'!$A$678:$D$680,4,FALSE),0)</f>
        <v>0</v>
      </c>
      <c r="I356" s="748">
        <f t="shared" si="18"/>
        <v>594721.72</v>
      </c>
      <c r="J356" s="20"/>
    </row>
    <row r="357" spans="1:10" hidden="1" outlineLevel="1">
      <c r="A357" s="418" t="s">
        <v>356</v>
      </c>
      <c r="B357" s="544">
        <v>0</v>
      </c>
      <c r="C357" s="95">
        <f>_xlfn.IFNA(VLOOKUP($A357,'Anlage 1b_Abzüge, Pflicht, Boni'!$A$30:$D$60,2,FALSE),0)</f>
        <v>0</v>
      </c>
      <c r="D357" s="95">
        <f>_xlfn.IFNA(VLOOKUP(A357,'Anlage 1b_Abzüge, Pflicht, Boni'!$A$9:$D$94,3,FALSE),0)</f>
        <v>0</v>
      </c>
      <c r="E357" s="95">
        <f>_xlfn.IFNA(VLOOKUP(A357,'Anlage 1b_Abzüge, Pflicht, Boni'!$A$30:$D$58,4,FALSE),0)</f>
        <v>0</v>
      </c>
      <c r="F357" s="95">
        <f t="shared" si="19"/>
        <v>0</v>
      </c>
      <c r="G357" s="95">
        <f>SUMIFS('Anlage 1c_Korrekturen_NB'!$L$80:$L$314,'Anlage 1c_Korrekturen_NB'!$A$80:$A$314,'Anlage 3a_Zusammenfassung_KWKG'!$A357)</f>
        <v>0</v>
      </c>
      <c r="H357" s="747">
        <f>_xlfn.IFNA(VLOOKUP(A357,'Anlage 1c_Korrekturen_NB'!$A$678:$D$680,4,FALSE),0)</f>
        <v>0</v>
      </c>
      <c r="I357" s="748">
        <f t="shared" si="18"/>
        <v>0</v>
      </c>
      <c r="J357" s="20"/>
    </row>
    <row r="358" spans="1:10" hidden="1" outlineLevel="1">
      <c r="A358" s="418" t="s">
        <v>775</v>
      </c>
      <c r="B358" s="544">
        <v>911023.91999999993</v>
      </c>
      <c r="C358" s="95">
        <f>_xlfn.IFNA(VLOOKUP($A358,'Anlage 1b_Abzüge, Pflicht, Boni'!$A$30:$D$60,2,FALSE),0)</f>
        <v>0</v>
      </c>
      <c r="D358" s="95">
        <f>_xlfn.IFNA(VLOOKUP(A358,'Anlage 1b_Abzüge, Pflicht, Boni'!$A$9:$D$94,3,FALSE),0)</f>
        <v>0</v>
      </c>
      <c r="E358" s="95">
        <f>_xlfn.IFNA(VLOOKUP(A358,'Anlage 1b_Abzüge, Pflicht, Boni'!$A$30:$D$58,4,FALSE),0)</f>
        <v>0</v>
      </c>
      <c r="F358" s="95">
        <f t="shared" si="19"/>
        <v>911023.91999999993</v>
      </c>
      <c r="G358" s="95">
        <f>SUMIFS('Anlage 1c_Korrekturen_NB'!$L$80:$L$314,'Anlage 1c_Korrekturen_NB'!$A$80:$A$314,'Anlage 3a_Zusammenfassung_KWKG'!$A358)</f>
        <v>-2752.58</v>
      </c>
      <c r="H358" s="747">
        <f>_xlfn.IFNA(VLOOKUP(A358,'Anlage 1c_Korrekturen_NB'!$A$678:$D$680,4,FALSE),0)</f>
        <v>0</v>
      </c>
      <c r="I358" s="748">
        <f t="shared" si="18"/>
        <v>-2752.58</v>
      </c>
      <c r="J358" s="20"/>
    </row>
    <row r="359" spans="1:10" hidden="1" outlineLevel="1">
      <c r="A359" s="418" t="s">
        <v>777</v>
      </c>
      <c r="B359" s="544">
        <v>488115.05000000005</v>
      </c>
      <c r="C359" s="95">
        <f>_xlfn.IFNA(VLOOKUP($A359,'Anlage 1b_Abzüge, Pflicht, Boni'!$A$30:$D$60,2,FALSE),0)</f>
        <v>-429.25</v>
      </c>
      <c r="D359" s="95">
        <f>_xlfn.IFNA(VLOOKUP(A359,'Anlage 1b_Abzüge, Pflicht, Boni'!$A$9:$D$94,3,FALSE),0)</f>
        <v>0</v>
      </c>
      <c r="E359" s="95">
        <f>_xlfn.IFNA(VLOOKUP(A359,'Anlage 1b_Abzüge, Pflicht, Boni'!$A$30:$D$58,4,FALSE),0)</f>
        <v>0</v>
      </c>
      <c r="F359" s="95">
        <f t="shared" si="19"/>
        <v>487685.80000000005</v>
      </c>
      <c r="G359" s="95">
        <f>SUMIFS('Anlage 1c_Korrekturen_NB'!$L$80:$L$314,'Anlage 1c_Korrekturen_NB'!$A$80:$A$314,'Anlage 3a_Zusammenfassung_KWKG'!$A359)</f>
        <v>79169.929999999993</v>
      </c>
      <c r="H359" s="747">
        <f>_xlfn.IFNA(VLOOKUP(A359,'Anlage 1c_Korrekturen_NB'!$A$678:$D$680,4,FALSE),0)</f>
        <v>0</v>
      </c>
      <c r="I359" s="748">
        <f t="shared" si="18"/>
        <v>79169.929999999993</v>
      </c>
      <c r="J359" s="20"/>
    </row>
    <row r="360" spans="1:10" hidden="1" outlineLevel="1">
      <c r="A360" s="418" t="s">
        <v>360</v>
      </c>
      <c r="B360" s="544">
        <v>0</v>
      </c>
      <c r="C360" s="95">
        <f>_xlfn.IFNA(VLOOKUP($A360,'Anlage 1b_Abzüge, Pflicht, Boni'!$A$30:$D$60,2,FALSE),0)</f>
        <v>0</v>
      </c>
      <c r="D360" s="95">
        <f>_xlfn.IFNA(VLOOKUP(A360,'Anlage 1b_Abzüge, Pflicht, Boni'!$A$9:$D$94,3,FALSE),0)</f>
        <v>0</v>
      </c>
      <c r="E360" s="95">
        <f>_xlfn.IFNA(VLOOKUP(A360,'Anlage 1b_Abzüge, Pflicht, Boni'!$A$30:$D$58,4,FALSE),0)</f>
        <v>0</v>
      </c>
      <c r="F360" s="95">
        <f t="shared" si="19"/>
        <v>0</v>
      </c>
      <c r="G360" s="95">
        <f>SUMIFS('Anlage 1c_Korrekturen_NB'!$L$80:$L$314,'Anlage 1c_Korrekturen_NB'!$A$80:$A$314,'Anlage 3a_Zusammenfassung_KWKG'!$A360)</f>
        <v>0</v>
      </c>
      <c r="H360" s="747">
        <f>_xlfn.IFNA(VLOOKUP(A360,'Anlage 1c_Korrekturen_NB'!$A$678:$D$680,4,FALSE),0)</f>
        <v>0</v>
      </c>
      <c r="I360" s="748">
        <f t="shared" si="18"/>
        <v>0</v>
      </c>
      <c r="J360" s="20"/>
    </row>
    <row r="361" spans="1:10" hidden="1" outlineLevel="1">
      <c r="A361" s="418" t="s">
        <v>779</v>
      </c>
      <c r="B361" s="544">
        <v>50004.67</v>
      </c>
      <c r="C361" s="95">
        <f>_xlfn.IFNA(VLOOKUP($A361,'Anlage 1b_Abzüge, Pflicht, Boni'!$A$30:$D$60,2,FALSE),0)</f>
        <v>0</v>
      </c>
      <c r="D361" s="95">
        <f>_xlfn.IFNA(VLOOKUP(A361,'Anlage 1b_Abzüge, Pflicht, Boni'!$A$9:$D$94,3,FALSE),0)</f>
        <v>0</v>
      </c>
      <c r="E361" s="95">
        <f>_xlfn.IFNA(VLOOKUP(A361,'Anlage 1b_Abzüge, Pflicht, Boni'!$A$30:$D$58,4,FALSE),0)</f>
        <v>0</v>
      </c>
      <c r="F361" s="95">
        <f t="shared" si="19"/>
        <v>50004.67</v>
      </c>
      <c r="G361" s="95">
        <f>SUMIFS('Anlage 1c_Korrekturen_NB'!$L$80:$L$314,'Anlage 1c_Korrekturen_NB'!$A$80:$A$314,'Anlage 3a_Zusammenfassung_KWKG'!$A361)</f>
        <v>538.78000000000009</v>
      </c>
      <c r="H361" s="747">
        <f>_xlfn.IFNA(VLOOKUP(A361,'Anlage 1c_Korrekturen_NB'!$A$678:$D$680,4,FALSE),0)</f>
        <v>0</v>
      </c>
      <c r="I361" s="748">
        <f t="shared" si="18"/>
        <v>538.78000000000009</v>
      </c>
      <c r="J361" s="20"/>
    </row>
    <row r="362" spans="1:10" hidden="1" outlineLevel="1">
      <c r="A362" s="418" t="s">
        <v>781</v>
      </c>
      <c r="B362" s="544">
        <v>262078.02</v>
      </c>
      <c r="C362" s="95">
        <f>_xlfn.IFNA(VLOOKUP($A362,'Anlage 1b_Abzüge, Pflicht, Boni'!$A$30:$D$60,2,FALSE),0)</f>
        <v>0</v>
      </c>
      <c r="D362" s="95">
        <f>_xlfn.IFNA(VLOOKUP(A362,'Anlage 1b_Abzüge, Pflicht, Boni'!$A$9:$D$94,3,FALSE),0)</f>
        <v>0</v>
      </c>
      <c r="E362" s="95">
        <f>_xlfn.IFNA(VLOOKUP(A362,'Anlage 1b_Abzüge, Pflicht, Boni'!$A$30:$D$58,4,FALSE),0)</f>
        <v>0</v>
      </c>
      <c r="F362" s="95">
        <f t="shared" si="19"/>
        <v>262078.02</v>
      </c>
      <c r="G362" s="95">
        <f>SUMIFS('Anlage 1c_Korrekturen_NB'!$L$80:$L$314,'Anlage 1c_Korrekturen_NB'!$A$80:$A$314,'Anlage 3a_Zusammenfassung_KWKG'!$A362)</f>
        <v>0</v>
      </c>
      <c r="H362" s="747">
        <f>_xlfn.IFNA(VLOOKUP(A362,'Anlage 1c_Korrekturen_NB'!$A$678:$D$680,4,FALSE),0)</f>
        <v>0</v>
      </c>
      <c r="I362" s="748">
        <f t="shared" si="18"/>
        <v>0</v>
      </c>
      <c r="J362" s="20"/>
    </row>
    <row r="363" spans="1:10" hidden="1" outlineLevel="1">
      <c r="A363" s="418" t="s">
        <v>783</v>
      </c>
      <c r="B363" s="544">
        <v>49123.360000000001</v>
      </c>
      <c r="C363" s="95">
        <f>_xlfn.IFNA(VLOOKUP($A363,'Anlage 1b_Abzüge, Pflicht, Boni'!$A$30:$D$60,2,FALSE),0)</f>
        <v>0</v>
      </c>
      <c r="D363" s="95">
        <f>_xlfn.IFNA(VLOOKUP(A363,'Anlage 1b_Abzüge, Pflicht, Boni'!$A$9:$D$94,3,FALSE),0)</f>
        <v>0</v>
      </c>
      <c r="E363" s="95">
        <f>_xlfn.IFNA(VLOOKUP(A363,'Anlage 1b_Abzüge, Pflicht, Boni'!$A$30:$D$58,4,FALSE),0)</f>
        <v>0</v>
      </c>
      <c r="F363" s="95">
        <f t="shared" si="19"/>
        <v>49123.360000000001</v>
      </c>
      <c r="G363" s="95">
        <f>SUMIFS('Anlage 1c_Korrekturen_NB'!$L$80:$L$314,'Anlage 1c_Korrekturen_NB'!$A$80:$A$314,'Anlage 3a_Zusammenfassung_KWKG'!$A363)</f>
        <v>0</v>
      </c>
      <c r="H363" s="747">
        <f>_xlfn.IFNA(VLOOKUP(A363,'Anlage 1c_Korrekturen_NB'!$A$678:$D$680,4,FALSE),0)</f>
        <v>0</v>
      </c>
      <c r="I363" s="748">
        <f t="shared" si="18"/>
        <v>0</v>
      </c>
      <c r="J363" s="20"/>
    </row>
    <row r="364" spans="1:10" hidden="1" outlineLevel="1">
      <c r="A364" s="418" t="s">
        <v>785</v>
      </c>
      <c r="B364" s="544">
        <v>4576358.03</v>
      </c>
      <c r="C364" s="95">
        <f>_xlfn.IFNA(VLOOKUP($A364,'Anlage 1b_Abzüge, Pflicht, Boni'!$A$30:$D$60,2,FALSE),0)</f>
        <v>0</v>
      </c>
      <c r="D364" s="95">
        <f>_xlfn.IFNA(VLOOKUP(A364,'Anlage 1b_Abzüge, Pflicht, Boni'!$A$9:$D$94,3,FALSE),0)</f>
        <v>0</v>
      </c>
      <c r="E364" s="95">
        <f>_xlfn.IFNA(VLOOKUP(A364,'Anlage 1b_Abzüge, Pflicht, Boni'!$A$30:$D$58,4,FALSE),0)</f>
        <v>0</v>
      </c>
      <c r="F364" s="95">
        <f t="shared" si="19"/>
        <v>4576358.03</v>
      </c>
      <c r="G364" s="95">
        <f>SUMIFS('Anlage 1c_Korrekturen_NB'!$L$80:$L$314,'Anlage 1c_Korrekturen_NB'!$A$80:$A$314,'Anlage 3a_Zusammenfassung_KWKG'!$A364)</f>
        <v>1381969.04</v>
      </c>
      <c r="H364" s="747">
        <f>_xlfn.IFNA(VLOOKUP(A364,'Anlage 1c_Korrekturen_NB'!$A$678:$D$680,4,FALSE),0)</f>
        <v>0</v>
      </c>
      <c r="I364" s="748">
        <f t="shared" si="18"/>
        <v>1381969.04</v>
      </c>
      <c r="J364" s="20"/>
    </row>
    <row r="365" spans="1:10" hidden="1" outlineLevel="1">
      <c r="A365" s="418" t="s">
        <v>787</v>
      </c>
      <c r="B365" s="544">
        <v>362352.01</v>
      </c>
      <c r="C365" s="95">
        <f>_xlfn.IFNA(VLOOKUP($A365,'Anlage 1b_Abzüge, Pflicht, Boni'!$A$30:$D$60,2,FALSE),0)</f>
        <v>0</v>
      </c>
      <c r="D365" s="95">
        <f>_xlfn.IFNA(VLOOKUP(A365,'Anlage 1b_Abzüge, Pflicht, Boni'!$A$9:$D$94,3,FALSE),0)</f>
        <v>0</v>
      </c>
      <c r="E365" s="95">
        <f>_xlfn.IFNA(VLOOKUP(A365,'Anlage 1b_Abzüge, Pflicht, Boni'!$A$30:$D$58,4,FALSE),0)</f>
        <v>0</v>
      </c>
      <c r="F365" s="95">
        <f t="shared" si="19"/>
        <v>362352.01</v>
      </c>
      <c r="G365" s="95">
        <f>SUMIFS('Anlage 1c_Korrekturen_NB'!$L$80:$L$314,'Anlage 1c_Korrekturen_NB'!$A$80:$A$314,'Anlage 3a_Zusammenfassung_KWKG'!$A365)</f>
        <v>1775.6</v>
      </c>
      <c r="H365" s="747">
        <f>_xlfn.IFNA(VLOOKUP(A365,'Anlage 1c_Korrekturen_NB'!$A$678:$D$680,4,FALSE),0)</f>
        <v>0</v>
      </c>
      <c r="I365" s="748">
        <f t="shared" si="18"/>
        <v>1775.6</v>
      </c>
      <c r="J365" s="20"/>
    </row>
    <row r="366" spans="1:10" hidden="1" outlineLevel="1">
      <c r="A366" s="418" t="s">
        <v>789</v>
      </c>
      <c r="B366" s="544">
        <v>0</v>
      </c>
      <c r="C366" s="95">
        <f>_xlfn.IFNA(VLOOKUP($A366,'Anlage 1b_Abzüge, Pflicht, Boni'!$A$30:$D$60,2,FALSE),0)</f>
        <v>0</v>
      </c>
      <c r="D366" s="95">
        <f>_xlfn.IFNA(VLOOKUP(A366,'Anlage 1b_Abzüge, Pflicht, Boni'!$A$9:$D$94,3,FALSE),0)</f>
        <v>0</v>
      </c>
      <c r="E366" s="95">
        <f>_xlfn.IFNA(VLOOKUP(A366,'Anlage 1b_Abzüge, Pflicht, Boni'!$A$30:$D$58,4,FALSE),0)</f>
        <v>0</v>
      </c>
      <c r="F366" s="95">
        <f t="shared" si="19"/>
        <v>0</v>
      </c>
      <c r="G366" s="95">
        <f>SUMIFS('Anlage 1c_Korrekturen_NB'!$L$80:$L$314,'Anlage 1c_Korrekturen_NB'!$A$80:$A$314,'Anlage 3a_Zusammenfassung_KWKG'!$A366)</f>
        <v>0</v>
      </c>
      <c r="H366" s="747">
        <f>_xlfn.IFNA(VLOOKUP(A366,'Anlage 1c_Korrekturen_NB'!$A$678:$D$680,4,FALSE),0)</f>
        <v>0</v>
      </c>
      <c r="I366" s="748">
        <f t="shared" si="18"/>
        <v>0</v>
      </c>
      <c r="J366" s="20"/>
    </row>
    <row r="367" spans="1:10" hidden="1" outlineLevel="1">
      <c r="A367" s="418" t="s">
        <v>791</v>
      </c>
      <c r="B367" s="544">
        <v>1730196.38</v>
      </c>
      <c r="C367" s="95">
        <f>_xlfn.IFNA(VLOOKUP($A367,'Anlage 1b_Abzüge, Pflicht, Boni'!$A$30:$D$60,2,FALSE),0)</f>
        <v>0</v>
      </c>
      <c r="D367" s="95">
        <f>_xlfn.IFNA(VLOOKUP(A367,'Anlage 1b_Abzüge, Pflicht, Boni'!$A$9:$D$94,3,FALSE),0)</f>
        <v>0</v>
      </c>
      <c r="E367" s="95">
        <f>_xlfn.IFNA(VLOOKUP(A367,'Anlage 1b_Abzüge, Pflicht, Boni'!$A$30:$D$58,4,FALSE),0)</f>
        <v>0</v>
      </c>
      <c r="F367" s="95">
        <f t="shared" si="19"/>
        <v>1730196.38</v>
      </c>
      <c r="G367" s="95">
        <f>SUMIFS('Anlage 1c_Korrekturen_NB'!$L$80:$L$314,'Anlage 1c_Korrekturen_NB'!$A$80:$A$314,'Anlage 3a_Zusammenfassung_KWKG'!$A367)</f>
        <v>7511.68</v>
      </c>
      <c r="H367" s="747">
        <f>_xlfn.IFNA(VLOOKUP(A367,'Anlage 1c_Korrekturen_NB'!$A$678:$D$680,4,FALSE),0)</f>
        <v>0</v>
      </c>
      <c r="I367" s="748">
        <f t="shared" si="18"/>
        <v>7511.68</v>
      </c>
      <c r="J367" s="20"/>
    </row>
    <row r="368" spans="1:10" hidden="1" outlineLevel="1">
      <c r="A368" s="418" t="s">
        <v>793</v>
      </c>
      <c r="B368" s="544">
        <v>57075.66</v>
      </c>
      <c r="C368" s="95">
        <f>_xlfn.IFNA(VLOOKUP($A368,'Anlage 1b_Abzüge, Pflicht, Boni'!$A$30:$D$60,2,FALSE),0)</f>
        <v>0</v>
      </c>
      <c r="D368" s="95">
        <f>_xlfn.IFNA(VLOOKUP(A368,'Anlage 1b_Abzüge, Pflicht, Boni'!$A$9:$D$94,3,FALSE),0)</f>
        <v>0</v>
      </c>
      <c r="E368" s="95">
        <f>_xlfn.IFNA(VLOOKUP(A368,'Anlage 1b_Abzüge, Pflicht, Boni'!$A$30:$D$58,4,FALSE),0)</f>
        <v>0</v>
      </c>
      <c r="F368" s="95">
        <f t="shared" si="19"/>
        <v>57075.66</v>
      </c>
      <c r="G368" s="95">
        <f>SUMIFS('Anlage 1c_Korrekturen_NB'!$L$80:$L$314,'Anlage 1c_Korrekturen_NB'!$A$80:$A$314,'Anlage 3a_Zusammenfassung_KWKG'!$A368)</f>
        <v>0</v>
      </c>
      <c r="H368" s="747">
        <f>_xlfn.IFNA(VLOOKUP(A368,'Anlage 1c_Korrekturen_NB'!$A$678:$D$680,4,FALSE),0)</f>
        <v>0</v>
      </c>
      <c r="I368" s="748">
        <f t="shared" si="18"/>
        <v>0</v>
      </c>
      <c r="J368" s="20"/>
    </row>
    <row r="369" spans="1:10" hidden="1" outlineLevel="1">
      <c r="A369" s="418" t="s">
        <v>795</v>
      </c>
      <c r="B369" s="544">
        <v>130198.05</v>
      </c>
      <c r="C369" s="95">
        <f>_xlfn.IFNA(VLOOKUP($A369,'Anlage 1b_Abzüge, Pflicht, Boni'!$A$30:$D$60,2,FALSE),0)</f>
        <v>0</v>
      </c>
      <c r="D369" s="95">
        <f>_xlfn.IFNA(VLOOKUP(A369,'Anlage 1b_Abzüge, Pflicht, Boni'!$A$9:$D$94,3,FALSE),0)</f>
        <v>0</v>
      </c>
      <c r="E369" s="95">
        <f>_xlfn.IFNA(VLOOKUP(A369,'Anlage 1b_Abzüge, Pflicht, Boni'!$A$30:$D$58,4,FALSE),0)</f>
        <v>0</v>
      </c>
      <c r="F369" s="95">
        <f t="shared" si="19"/>
        <v>130198.05</v>
      </c>
      <c r="G369" s="95">
        <f>SUMIFS('Anlage 1c_Korrekturen_NB'!$L$80:$L$314,'Anlage 1c_Korrekturen_NB'!$A$80:$A$314,'Anlage 3a_Zusammenfassung_KWKG'!$A369)</f>
        <v>0</v>
      </c>
      <c r="H369" s="747">
        <f>_xlfn.IFNA(VLOOKUP(A369,'Anlage 1c_Korrekturen_NB'!$A$678:$D$680,4,FALSE),0)</f>
        <v>0</v>
      </c>
      <c r="I369" s="748">
        <f t="shared" si="18"/>
        <v>0</v>
      </c>
      <c r="J369" s="20"/>
    </row>
    <row r="370" spans="1:10" hidden="1" outlineLevel="1">
      <c r="A370" s="418" t="s">
        <v>797</v>
      </c>
      <c r="B370" s="544">
        <v>10477.419999999998</v>
      </c>
      <c r="C370" s="95">
        <f>_xlfn.IFNA(VLOOKUP($A370,'Anlage 1b_Abzüge, Pflicht, Boni'!$A$30:$D$60,2,FALSE),0)</f>
        <v>0</v>
      </c>
      <c r="D370" s="95">
        <f>_xlfn.IFNA(VLOOKUP(A370,'Anlage 1b_Abzüge, Pflicht, Boni'!$A$9:$D$94,3,FALSE),0)</f>
        <v>0</v>
      </c>
      <c r="E370" s="95">
        <f>_xlfn.IFNA(VLOOKUP(A370,'Anlage 1b_Abzüge, Pflicht, Boni'!$A$30:$D$58,4,FALSE),0)</f>
        <v>0</v>
      </c>
      <c r="F370" s="95">
        <f t="shared" si="19"/>
        <v>10477.419999999998</v>
      </c>
      <c r="G370" s="95">
        <f>SUMIFS('Anlage 1c_Korrekturen_NB'!$L$80:$L$314,'Anlage 1c_Korrekturen_NB'!$A$80:$A$314,'Anlage 3a_Zusammenfassung_KWKG'!$A370)</f>
        <v>0</v>
      </c>
      <c r="H370" s="747">
        <f>_xlfn.IFNA(VLOOKUP(A370,'Anlage 1c_Korrekturen_NB'!$A$678:$D$680,4,FALSE),0)</f>
        <v>0</v>
      </c>
      <c r="I370" s="748">
        <f t="shared" si="18"/>
        <v>0</v>
      </c>
      <c r="J370" s="20"/>
    </row>
    <row r="371" spans="1:10" hidden="1" outlineLevel="1">
      <c r="A371" s="418" t="s">
        <v>799</v>
      </c>
      <c r="B371" s="544">
        <v>724.72</v>
      </c>
      <c r="C371" s="95">
        <f>_xlfn.IFNA(VLOOKUP($A371,'Anlage 1b_Abzüge, Pflicht, Boni'!$A$30:$D$60,2,FALSE),0)</f>
        <v>0</v>
      </c>
      <c r="D371" s="95">
        <f>_xlfn.IFNA(VLOOKUP(A371,'Anlage 1b_Abzüge, Pflicht, Boni'!$A$9:$D$94,3,FALSE),0)</f>
        <v>0</v>
      </c>
      <c r="E371" s="95">
        <f>_xlfn.IFNA(VLOOKUP(A371,'Anlage 1b_Abzüge, Pflicht, Boni'!$A$30:$D$58,4,FALSE),0)</f>
        <v>0</v>
      </c>
      <c r="F371" s="95">
        <f t="shared" si="19"/>
        <v>724.72</v>
      </c>
      <c r="G371" s="95">
        <f>SUMIFS('Anlage 1c_Korrekturen_NB'!$L$80:$L$314,'Anlage 1c_Korrekturen_NB'!$A$80:$A$314,'Anlage 3a_Zusammenfassung_KWKG'!$A371)</f>
        <v>0</v>
      </c>
      <c r="H371" s="747">
        <f>_xlfn.IFNA(VLOOKUP(A371,'Anlage 1c_Korrekturen_NB'!$A$678:$D$680,4,FALSE),0)</f>
        <v>0</v>
      </c>
      <c r="I371" s="748">
        <f t="shared" si="18"/>
        <v>0</v>
      </c>
      <c r="J371" s="20"/>
    </row>
    <row r="372" spans="1:10" hidden="1" outlineLevel="1">
      <c r="A372" s="418" t="s">
        <v>801</v>
      </c>
      <c r="B372" s="544">
        <v>0</v>
      </c>
      <c r="C372" s="95">
        <f>_xlfn.IFNA(VLOOKUP($A372,'Anlage 1b_Abzüge, Pflicht, Boni'!$A$30:$D$60,2,FALSE),0)</f>
        <v>0</v>
      </c>
      <c r="D372" s="95">
        <f>_xlfn.IFNA(VLOOKUP(A372,'Anlage 1b_Abzüge, Pflicht, Boni'!$A$9:$D$94,3,FALSE),0)</f>
        <v>0</v>
      </c>
      <c r="E372" s="95">
        <f>_xlfn.IFNA(VLOOKUP(A372,'Anlage 1b_Abzüge, Pflicht, Boni'!$A$30:$D$58,4,FALSE),0)</f>
        <v>0</v>
      </c>
      <c r="F372" s="95">
        <f t="shared" si="19"/>
        <v>0</v>
      </c>
      <c r="G372" s="95">
        <f>SUMIFS('Anlage 1c_Korrekturen_NB'!$L$80:$L$314,'Anlage 1c_Korrekturen_NB'!$A$80:$A$314,'Anlage 3a_Zusammenfassung_KWKG'!$A372)</f>
        <v>0</v>
      </c>
      <c r="H372" s="747">
        <f>_xlfn.IFNA(VLOOKUP(A372,'Anlage 1c_Korrekturen_NB'!$A$678:$D$680,4,FALSE),0)</f>
        <v>0</v>
      </c>
      <c r="I372" s="748">
        <f t="shared" si="18"/>
        <v>0</v>
      </c>
      <c r="J372" s="20"/>
    </row>
    <row r="373" spans="1:10" hidden="1" outlineLevel="1">
      <c r="A373" s="418" t="s">
        <v>803</v>
      </c>
      <c r="B373" s="544">
        <v>0</v>
      </c>
      <c r="C373" s="95">
        <f>_xlfn.IFNA(VLOOKUP($A373,'Anlage 1b_Abzüge, Pflicht, Boni'!$A$30:$D$60,2,FALSE),0)</f>
        <v>0</v>
      </c>
      <c r="D373" s="95">
        <f>_xlfn.IFNA(VLOOKUP(A373,'Anlage 1b_Abzüge, Pflicht, Boni'!$A$9:$D$94,3,FALSE),0)</f>
        <v>0</v>
      </c>
      <c r="E373" s="95">
        <f>_xlfn.IFNA(VLOOKUP(A373,'Anlage 1b_Abzüge, Pflicht, Boni'!$A$30:$D$58,4,FALSE),0)</f>
        <v>0</v>
      </c>
      <c r="F373" s="95">
        <f t="shared" si="19"/>
        <v>0</v>
      </c>
      <c r="G373" s="95">
        <f>SUMIFS('Anlage 1c_Korrekturen_NB'!$L$80:$L$314,'Anlage 1c_Korrekturen_NB'!$A$80:$A$314,'Anlage 3a_Zusammenfassung_KWKG'!$A373)</f>
        <v>0</v>
      </c>
      <c r="H373" s="747">
        <f>_xlfn.IFNA(VLOOKUP(A373,'Anlage 1c_Korrekturen_NB'!$A$678:$D$680,4,FALSE),0)</f>
        <v>0</v>
      </c>
      <c r="I373" s="748">
        <f t="shared" si="18"/>
        <v>0</v>
      </c>
      <c r="J373" s="20"/>
    </row>
    <row r="374" spans="1:10" hidden="1" outlineLevel="1">
      <c r="A374" s="418" t="s">
        <v>805</v>
      </c>
      <c r="B374" s="544">
        <v>138998.13</v>
      </c>
      <c r="C374" s="95">
        <f>_xlfn.IFNA(VLOOKUP($A374,'Anlage 1b_Abzüge, Pflicht, Boni'!$A$30:$D$60,2,FALSE),0)</f>
        <v>0</v>
      </c>
      <c r="D374" s="95">
        <f>_xlfn.IFNA(VLOOKUP(A374,'Anlage 1b_Abzüge, Pflicht, Boni'!$A$9:$D$94,3,FALSE),0)</f>
        <v>0</v>
      </c>
      <c r="E374" s="95">
        <f>_xlfn.IFNA(VLOOKUP(A374,'Anlage 1b_Abzüge, Pflicht, Boni'!$A$30:$D$58,4,FALSE),0)</f>
        <v>0</v>
      </c>
      <c r="F374" s="95">
        <f t="shared" si="19"/>
        <v>138998.13</v>
      </c>
      <c r="G374" s="95">
        <f>SUMIFS('Anlage 1c_Korrekturen_NB'!$L$80:$L$314,'Anlage 1c_Korrekturen_NB'!$A$80:$A$314,'Anlage 3a_Zusammenfassung_KWKG'!$A374)</f>
        <v>-752.26</v>
      </c>
      <c r="H374" s="747">
        <f>_xlfn.IFNA(VLOOKUP(A374,'Anlage 1c_Korrekturen_NB'!$A$678:$D$680,4,FALSE),0)</f>
        <v>0</v>
      </c>
      <c r="I374" s="748">
        <f t="shared" si="18"/>
        <v>-752.26</v>
      </c>
      <c r="J374" s="20"/>
    </row>
    <row r="375" spans="1:10" hidden="1" outlineLevel="1">
      <c r="A375" s="418" t="s">
        <v>807</v>
      </c>
      <c r="B375" s="544">
        <v>59067.74</v>
      </c>
      <c r="C375" s="95">
        <f>_xlfn.IFNA(VLOOKUP($A375,'Anlage 1b_Abzüge, Pflicht, Boni'!$A$30:$D$60,2,FALSE),0)</f>
        <v>0</v>
      </c>
      <c r="D375" s="95">
        <f>_xlfn.IFNA(VLOOKUP(A375,'Anlage 1b_Abzüge, Pflicht, Boni'!$A$9:$D$94,3,FALSE),0)</f>
        <v>0</v>
      </c>
      <c r="E375" s="95">
        <f>_xlfn.IFNA(VLOOKUP(A375,'Anlage 1b_Abzüge, Pflicht, Boni'!$A$30:$D$58,4,FALSE),0)</f>
        <v>0</v>
      </c>
      <c r="F375" s="95">
        <f t="shared" si="19"/>
        <v>59067.74</v>
      </c>
      <c r="G375" s="95">
        <f>SUMIFS('Anlage 1c_Korrekturen_NB'!$L$80:$L$314,'Anlage 1c_Korrekturen_NB'!$A$80:$A$314,'Anlage 3a_Zusammenfassung_KWKG'!$A375)</f>
        <v>0</v>
      </c>
      <c r="H375" s="747">
        <f>_xlfn.IFNA(VLOOKUP(A375,'Anlage 1c_Korrekturen_NB'!$A$678:$D$680,4,FALSE),0)</f>
        <v>0</v>
      </c>
      <c r="I375" s="748">
        <f t="shared" si="18"/>
        <v>0</v>
      </c>
      <c r="J375" s="20"/>
    </row>
    <row r="376" spans="1:10" hidden="1" outlineLevel="1">
      <c r="A376" s="418" t="s">
        <v>809</v>
      </c>
      <c r="B376" s="544">
        <v>6160487</v>
      </c>
      <c r="C376" s="95">
        <f>_xlfn.IFNA(VLOOKUP($A376,'Anlage 1b_Abzüge, Pflicht, Boni'!$A$30:$D$60,2,FALSE),0)</f>
        <v>0</v>
      </c>
      <c r="D376" s="95">
        <f>_xlfn.IFNA(VLOOKUP(A376,'Anlage 1b_Abzüge, Pflicht, Boni'!$A$9:$D$94,3,FALSE),0)</f>
        <v>0</v>
      </c>
      <c r="E376" s="95">
        <f>_xlfn.IFNA(VLOOKUP(A376,'Anlage 1b_Abzüge, Pflicht, Boni'!$A$30:$D$58,4,FALSE),0)</f>
        <v>0</v>
      </c>
      <c r="F376" s="95">
        <f t="shared" si="19"/>
        <v>6160487</v>
      </c>
      <c r="G376" s="95">
        <f>SUMIFS('Anlage 1c_Korrekturen_NB'!$L$80:$L$314,'Anlage 1c_Korrekturen_NB'!$A$80:$A$314,'Anlage 3a_Zusammenfassung_KWKG'!$A376)</f>
        <v>0</v>
      </c>
      <c r="H376" s="747">
        <f>_xlfn.IFNA(VLOOKUP(A376,'Anlage 1c_Korrekturen_NB'!$A$678:$D$680,4,FALSE),0)</f>
        <v>0</v>
      </c>
      <c r="I376" s="748">
        <f t="shared" si="18"/>
        <v>0</v>
      </c>
      <c r="J376" s="20"/>
    </row>
    <row r="377" spans="1:10" hidden="1" outlineLevel="1">
      <c r="A377" s="418" t="s">
        <v>811</v>
      </c>
      <c r="B377" s="544">
        <v>339375.89999999997</v>
      </c>
      <c r="C377" s="95">
        <f>_xlfn.IFNA(VLOOKUP($A377,'Anlage 1b_Abzüge, Pflicht, Boni'!$A$30:$D$60,2,FALSE),0)</f>
        <v>-8627.6200000000008</v>
      </c>
      <c r="D377" s="95">
        <f>_xlfn.IFNA(VLOOKUP(A377,'Anlage 1b_Abzüge, Pflicht, Boni'!$A$9:$D$94,3,FALSE),0)</f>
        <v>0</v>
      </c>
      <c r="E377" s="95">
        <f>_xlfn.IFNA(VLOOKUP(A377,'Anlage 1b_Abzüge, Pflicht, Boni'!$A$30:$D$58,4,FALSE),0)</f>
        <v>0</v>
      </c>
      <c r="F377" s="95">
        <f t="shared" si="19"/>
        <v>330748.27999999997</v>
      </c>
      <c r="G377" s="95">
        <f>SUMIFS('Anlage 1c_Korrekturen_NB'!$L$80:$L$314,'Anlage 1c_Korrekturen_NB'!$A$80:$A$314,'Anlage 3a_Zusammenfassung_KWKG'!$A377)</f>
        <v>313.03999999999996</v>
      </c>
      <c r="H377" s="747">
        <f>_xlfn.IFNA(VLOOKUP(A377,'Anlage 1c_Korrekturen_NB'!$A$678:$D$680,4,FALSE),0)</f>
        <v>0</v>
      </c>
      <c r="I377" s="748">
        <f t="shared" si="18"/>
        <v>313.03999999999996</v>
      </c>
      <c r="J377" s="20"/>
    </row>
    <row r="378" spans="1:10" hidden="1" outlineLevel="1">
      <c r="A378" s="418" t="s">
        <v>813</v>
      </c>
      <c r="B378" s="544">
        <v>65908.12</v>
      </c>
      <c r="C378" s="95">
        <f>_xlfn.IFNA(VLOOKUP($A378,'Anlage 1b_Abzüge, Pflicht, Boni'!$A$30:$D$60,2,FALSE),0)</f>
        <v>0</v>
      </c>
      <c r="D378" s="95">
        <f>_xlfn.IFNA(VLOOKUP(A378,'Anlage 1b_Abzüge, Pflicht, Boni'!$A$9:$D$94,3,FALSE),0)</f>
        <v>0</v>
      </c>
      <c r="E378" s="95">
        <f>_xlfn.IFNA(VLOOKUP(A378,'Anlage 1b_Abzüge, Pflicht, Boni'!$A$30:$D$58,4,FALSE),0)</f>
        <v>0</v>
      </c>
      <c r="F378" s="95">
        <f t="shared" si="19"/>
        <v>65908.12</v>
      </c>
      <c r="G378" s="95">
        <f>SUMIFS('Anlage 1c_Korrekturen_NB'!$L$80:$L$314,'Anlage 1c_Korrekturen_NB'!$A$80:$A$314,'Anlage 3a_Zusammenfassung_KWKG'!$A378)</f>
        <v>1292.4000000000001</v>
      </c>
      <c r="H378" s="747">
        <f>_xlfn.IFNA(VLOOKUP(A378,'Anlage 1c_Korrekturen_NB'!$A$678:$D$680,4,FALSE),0)</f>
        <v>0</v>
      </c>
      <c r="I378" s="748">
        <f t="shared" si="18"/>
        <v>1292.4000000000001</v>
      </c>
      <c r="J378" s="20"/>
    </row>
    <row r="379" spans="1:10" hidden="1" outlineLevel="1">
      <c r="A379" s="418" t="s">
        <v>815</v>
      </c>
      <c r="B379" s="544">
        <v>156932.99</v>
      </c>
      <c r="C379" s="95">
        <f>_xlfn.IFNA(VLOOKUP($A379,'Anlage 1b_Abzüge, Pflicht, Boni'!$A$30:$D$60,2,FALSE),0)</f>
        <v>0</v>
      </c>
      <c r="D379" s="95">
        <f>_xlfn.IFNA(VLOOKUP(A379,'Anlage 1b_Abzüge, Pflicht, Boni'!$A$9:$D$94,3,FALSE),0)</f>
        <v>0</v>
      </c>
      <c r="E379" s="95">
        <f>_xlfn.IFNA(VLOOKUP(A379,'Anlage 1b_Abzüge, Pflicht, Boni'!$A$30:$D$58,4,FALSE),0)</f>
        <v>0</v>
      </c>
      <c r="F379" s="95">
        <f t="shared" si="19"/>
        <v>156932.99</v>
      </c>
      <c r="G379" s="95">
        <f>SUMIFS('Anlage 1c_Korrekturen_NB'!$L$80:$L$314,'Anlage 1c_Korrekturen_NB'!$A$80:$A$314,'Anlage 3a_Zusammenfassung_KWKG'!$A379)</f>
        <v>0</v>
      </c>
      <c r="H379" s="747">
        <f>_xlfn.IFNA(VLOOKUP(A379,'Anlage 1c_Korrekturen_NB'!$A$678:$D$680,4,FALSE),0)</f>
        <v>0</v>
      </c>
      <c r="I379" s="748">
        <f t="shared" si="18"/>
        <v>0</v>
      </c>
      <c r="J379" s="20"/>
    </row>
    <row r="380" spans="1:10" hidden="1" outlineLevel="1">
      <c r="A380" s="418" t="s">
        <v>817</v>
      </c>
      <c r="B380" s="544">
        <v>154395.09</v>
      </c>
      <c r="C380" s="95">
        <f>_xlfn.IFNA(VLOOKUP($A380,'Anlage 1b_Abzüge, Pflicht, Boni'!$A$30:$D$60,2,FALSE),0)</f>
        <v>0</v>
      </c>
      <c r="D380" s="95">
        <f>_xlfn.IFNA(VLOOKUP(A380,'Anlage 1b_Abzüge, Pflicht, Boni'!$A$9:$D$94,3,FALSE),0)</f>
        <v>0</v>
      </c>
      <c r="E380" s="95">
        <f>_xlfn.IFNA(VLOOKUP(A380,'Anlage 1b_Abzüge, Pflicht, Boni'!$A$30:$D$58,4,FALSE),0)</f>
        <v>0</v>
      </c>
      <c r="F380" s="95">
        <f t="shared" si="19"/>
        <v>154395.09</v>
      </c>
      <c r="G380" s="95">
        <f>SUMIFS('Anlage 1c_Korrekturen_NB'!$L$80:$L$314,'Anlage 1c_Korrekturen_NB'!$A$80:$A$314,'Anlage 3a_Zusammenfassung_KWKG'!$A380)</f>
        <v>0</v>
      </c>
      <c r="H380" s="747">
        <f>_xlfn.IFNA(VLOOKUP(A380,'Anlage 1c_Korrekturen_NB'!$A$678:$D$680,4,FALSE),0)</f>
        <v>0</v>
      </c>
      <c r="I380" s="748">
        <f t="shared" si="18"/>
        <v>0</v>
      </c>
      <c r="J380" s="20"/>
    </row>
    <row r="381" spans="1:10" hidden="1" outlineLevel="1">
      <c r="A381" s="418" t="s">
        <v>819</v>
      </c>
      <c r="B381" s="544">
        <v>10094.280000000001</v>
      </c>
      <c r="C381" s="95">
        <f>_xlfn.IFNA(VLOOKUP($A381,'Anlage 1b_Abzüge, Pflicht, Boni'!$A$30:$D$60,2,FALSE),0)</f>
        <v>0</v>
      </c>
      <c r="D381" s="95">
        <f>_xlfn.IFNA(VLOOKUP(A381,'Anlage 1b_Abzüge, Pflicht, Boni'!$A$9:$D$94,3,FALSE),0)</f>
        <v>0</v>
      </c>
      <c r="E381" s="95">
        <f>_xlfn.IFNA(VLOOKUP(A381,'Anlage 1b_Abzüge, Pflicht, Boni'!$A$30:$D$58,4,FALSE),0)</f>
        <v>0</v>
      </c>
      <c r="F381" s="95">
        <f t="shared" si="19"/>
        <v>10094.280000000001</v>
      </c>
      <c r="G381" s="95">
        <f>SUMIFS('Anlage 1c_Korrekturen_NB'!$L$80:$L$314,'Anlage 1c_Korrekturen_NB'!$A$80:$A$314,'Anlage 3a_Zusammenfassung_KWKG'!$A381)</f>
        <v>0</v>
      </c>
      <c r="H381" s="747">
        <f>_xlfn.IFNA(VLOOKUP(A381,'Anlage 1c_Korrekturen_NB'!$A$678:$D$680,4,FALSE),0)</f>
        <v>0</v>
      </c>
      <c r="I381" s="748">
        <f t="shared" si="18"/>
        <v>0</v>
      </c>
      <c r="J381" s="20"/>
    </row>
    <row r="382" spans="1:10" hidden="1" outlineLevel="1">
      <c r="A382" s="418" t="s">
        <v>821</v>
      </c>
      <c r="B382" s="544">
        <v>0</v>
      </c>
      <c r="C382" s="95">
        <f>_xlfn.IFNA(VLOOKUP($A382,'Anlage 1b_Abzüge, Pflicht, Boni'!$A$30:$D$60,2,FALSE),0)</f>
        <v>0</v>
      </c>
      <c r="D382" s="95">
        <f>_xlfn.IFNA(VLOOKUP(A382,'Anlage 1b_Abzüge, Pflicht, Boni'!$A$9:$D$94,3,FALSE),0)</f>
        <v>0</v>
      </c>
      <c r="E382" s="95">
        <f>_xlfn.IFNA(VLOOKUP(A382,'Anlage 1b_Abzüge, Pflicht, Boni'!$A$30:$D$58,4,FALSE),0)</f>
        <v>0</v>
      </c>
      <c r="F382" s="95">
        <f t="shared" si="19"/>
        <v>0</v>
      </c>
      <c r="G382" s="95">
        <f>SUMIFS('Anlage 1c_Korrekturen_NB'!$L$80:$L$314,'Anlage 1c_Korrekturen_NB'!$A$80:$A$314,'Anlage 3a_Zusammenfassung_KWKG'!$A382)</f>
        <v>0</v>
      </c>
      <c r="H382" s="747">
        <f>_xlfn.IFNA(VLOOKUP(A382,'Anlage 1c_Korrekturen_NB'!$A$678:$D$680,4,FALSE),0)</f>
        <v>0</v>
      </c>
      <c r="I382" s="748">
        <f t="shared" si="18"/>
        <v>0</v>
      </c>
      <c r="J382" s="20"/>
    </row>
    <row r="383" spans="1:10" hidden="1" outlineLevel="1">
      <c r="A383" s="418" t="s">
        <v>821</v>
      </c>
      <c r="B383" s="544">
        <v>0</v>
      </c>
      <c r="C383" s="95">
        <f>_xlfn.IFNA(VLOOKUP($A383,'Anlage 1b_Abzüge, Pflicht, Boni'!$A$30:$D$60,2,FALSE),0)</f>
        <v>0</v>
      </c>
      <c r="D383" s="95">
        <f>_xlfn.IFNA(VLOOKUP(A383,'Anlage 1b_Abzüge, Pflicht, Boni'!$A$9:$D$94,3,FALSE),0)</f>
        <v>0</v>
      </c>
      <c r="E383" s="95">
        <f>_xlfn.IFNA(VLOOKUP(A383,'Anlage 1b_Abzüge, Pflicht, Boni'!$A$30:$D$58,4,FALSE),0)</f>
        <v>0</v>
      </c>
      <c r="F383" s="95">
        <f t="shared" si="19"/>
        <v>0</v>
      </c>
      <c r="G383" s="95">
        <f>SUMIFS('Anlage 1c_Korrekturen_NB'!$L$80:$L$314,'Anlage 1c_Korrekturen_NB'!$A$80:$A$314,'Anlage 3a_Zusammenfassung_KWKG'!$A383)</f>
        <v>0</v>
      </c>
      <c r="H383" s="747">
        <f>_xlfn.IFNA(VLOOKUP(A383,'Anlage 1c_Korrekturen_NB'!$A$678:$D$680,4,FALSE),0)</f>
        <v>0</v>
      </c>
      <c r="I383" s="748">
        <f t="shared" si="18"/>
        <v>0</v>
      </c>
      <c r="J383" s="20"/>
    </row>
    <row r="384" spans="1:10" hidden="1" outlineLevel="1">
      <c r="A384" s="418" t="s">
        <v>821</v>
      </c>
      <c r="B384" s="544">
        <v>0</v>
      </c>
      <c r="C384" s="95">
        <f>_xlfn.IFNA(VLOOKUP($A384,'Anlage 1b_Abzüge, Pflicht, Boni'!$A$30:$D$60,2,FALSE),0)</f>
        <v>0</v>
      </c>
      <c r="D384" s="95">
        <f>_xlfn.IFNA(VLOOKUP(A384,'Anlage 1b_Abzüge, Pflicht, Boni'!$A$9:$D$94,3,FALSE),0)</f>
        <v>0</v>
      </c>
      <c r="E384" s="95">
        <f>_xlfn.IFNA(VLOOKUP(A384,'Anlage 1b_Abzüge, Pflicht, Boni'!$A$30:$D$58,4,FALSE),0)</f>
        <v>0</v>
      </c>
      <c r="F384" s="95">
        <f t="shared" si="19"/>
        <v>0</v>
      </c>
      <c r="G384" s="95">
        <f>SUMIFS('Anlage 1c_Korrekturen_NB'!$L$80:$L$314,'Anlage 1c_Korrekturen_NB'!$A$80:$A$314,'Anlage 3a_Zusammenfassung_KWKG'!$A384)</f>
        <v>0</v>
      </c>
      <c r="H384" s="747">
        <f>_xlfn.IFNA(VLOOKUP(A384,'Anlage 1c_Korrekturen_NB'!$A$678:$D$680,4,FALSE),0)</f>
        <v>0</v>
      </c>
      <c r="I384" s="748">
        <f t="shared" si="18"/>
        <v>0</v>
      </c>
      <c r="J384" s="20"/>
    </row>
    <row r="385" spans="1:10" hidden="1" outlineLevel="1">
      <c r="A385" s="418" t="s">
        <v>823</v>
      </c>
      <c r="B385" s="544">
        <v>39731.649999999994</v>
      </c>
      <c r="C385" s="95">
        <f>_xlfn.IFNA(VLOOKUP($A385,'Anlage 1b_Abzüge, Pflicht, Boni'!$A$30:$D$60,2,FALSE),0)</f>
        <v>0</v>
      </c>
      <c r="D385" s="95">
        <f>_xlfn.IFNA(VLOOKUP(A385,'Anlage 1b_Abzüge, Pflicht, Boni'!$A$9:$D$94,3,FALSE),0)</f>
        <v>0</v>
      </c>
      <c r="E385" s="95">
        <f>_xlfn.IFNA(VLOOKUP(A385,'Anlage 1b_Abzüge, Pflicht, Boni'!$A$30:$D$58,4,FALSE),0)</f>
        <v>0</v>
      </c>
      <c r="F385" s="95">
        <f t="shared" si="19"/>
        <v>39731.649999999994</v>
      </c>
      <c r="G385" s="95">
        <f>SUMIFS('Anlage 1c_Korrekturen_NB'!$L$80:$L$314,'Anlage 1c_Korrekturen_NB'!$A$80:$A$314,'Anlage 3a_Zusammenfassung_KWKG'!$A385)</f>
        <v>0</v>
      </c>
      <c r="H385" s="747">
        <f>_xlfn.IFNA(VLOOKUP(A385,'Anlage 1c_Korrekturen_NB'!$A$678:$D$680,4,FALSE),0)</f>
        <v>0</v>
      </c>
      <c r="I385" s="748">
        <f t="shared" si="18"/>
        <v>0</v>
      </c>
      <c r="J385" s="20"/>
    </row>
    <row r="386" spans="1:10" hidden="1" outlineLevel="1">
      <c r="A386" s="418" t="s">
        <v>825</v>
      </c>
      <c r="B386" s="544">
        <v>37666.449999999997</v>
      </c>
      <c r="C386" s="95">
        <f>_xlfn.IFNA(VLOOKUP($A386,'Anlage 1b_Abzüge, Pflicht, Boni'!$A$30:$D$60,2,FALSE),0)</f>
        <v>0</v>
      </c>
      <c r="D386" s="95">
        <f>_xlfn.IFNA(VLOOKUP(A386,'Anlage 1b_Abzüge, Pflicht, Boni'!$A$9:$D$94,3,FALSE),0)</f>
        <v>0</v>
      </c>
      <c r="E386" s="95">
        <f>_xlfn.IFNA(VLOOKUP(A386,'Anlage 1b_Abzüge, Pflicht, Boni'!$A$30:$D$58,4,FALSE),0)</f>
        <v>0</v>
      </c>
      <c r="F386" s="95">
        <f t="shared" si="19"/>
        <v>37666.449999999997</v>
      </c>
      <c r="G386" s="95">
        <f>SUMIFS('Anlage 1c_Korrekturen_NB'!$L$80:$L$314,'Anlage 1c_Korrekturen_NB'!$A$80:$A$314,'Anlage 3a_Zusammenfassung_KWKG'!$A386)</f>
        <v>0</v>
      </c>
      <c r="H386" s="747">
        <f>_xlfn.IFNA(VLOOKUP(A386,'Anlage 1c_Korrekturen_NB'!$A$678:$D$680,4,FALSE),0)</f>
        <v>0</v>
      </c>
      <c r="I386" s="748">
        <f t="shared" si="18"/>
        <v>0</v>
      </c>
      <c r="J386" s="20"/>
    </row>
    <row r="387" spans="1:10" hidden="1" outlineLevel="1">
      <c r="A387" s="418" t="s">
        <v>827</v>
      </c>
      <c r="B387" s="544">
        <v>25333.79</v>
      </c>
      <c r="C387" s="95">
        <f>_xlfn.IFNA(VLOOKUP($A387,'Anlage 1b_Abzüge, Pflicht, Boni'!$A$30:$D$60,2,FALSE),0)</f>
        <v>0</v>
      </c>
      <c r="D387" s="95">
        <f>_xlfn.IFNA(VLOOKUP(A387,'Anlage 1b_Abzüge, Pflicht, Boni'!$A$9:$D$94,3,FALSE),0)</f>
        <v>0</v>
      </c>
      <c r="E387" s="95">
        <f>_xlfn.IFNA(VLOOKUP(A387,'Anlage 1b_Abzüge, Pflicht, Boni'!$A$30:$D$58,4,FALSE),0)</f>
        <v>0</v>
      </c>
      <c r="F387" s="95">
        <f t="shared" si="19"/>
        <v>25333.79</v>
      </c>
      <c r="G387" s="95">
        <f>SUMIFS('Anlage 1c_Korrekturen_NB'!$L$80:$L$314,'Anlage 1c_Korrekturen_NB'!$A$80:$A$314,'Anlage 3a_Zusammenfassung_KWKG'!$A387)</f>
        <v>0</v>
      </c>
      <c r="H387" s="747">
        <f>_xlfn.IFNA(VLOOKUP(A387,'Anlage 1c_Korrekturen_NB'!$A$678:$D$680,4,FALSE),0)</f>
        <v>0</v>
      </c>
      <c r="I387" s="748">
        <f t="shared" si="18"/>
        <v>0</v>
      </c>
      <c r="J387" s="20"/>
    </row>
    <row r="388" spans="1:10" hidden="1" outlineLevel="1">
      <c r="A388" s="418" t="s">
        <v>829</v>
      </c>
      <c r="B388" s="544">
        <v>32232.18</v>
      </c>
      <c r="C388" s="95">
        <f>_xlfn.IFNA(VLOOKUP($A388,'Anlage 1b_Abzüge, Pflicht, Boni'!$A$30:$D$60,2,FALSE),0)</f>
        <v>0</v>
      </c>
      <c r="D388" s="95">
        <f>_xlfn.IFNA(VLOOKUP(A388,'Anlage 1b_Abzüge, Pflicht, Boni'!$A$9:$D$94,3,FALSE),0)</f>
        <v>0</v>
      </c>
      <c r="E388" s="95">
        <f>_xlfn.IFNA(VLOOKUP(A388,'Anlage 1b_Abzüge, Pflicht, Boni'!$A$30:$D$58,4,FALSE),0)</f>
        <v>0</v>
      </c>
      <c r="F388" s="95">
        <f t="shared" si="19"/>
        <v>32232.18</v>
      </c>
      <c r="G388" s="95">
        <f>SUMIFS('Anlage 1c_Korrekturen_NB'!$L$80:$L$314,'Anlage 1c_Korrekturen_NB'!$A$80:$A$314,'Anlage 3a_Zusammenfassung_KWKG'!$A388)</f>
        <v>0</v>
      </c>
      <c r="H388" s="747">
        <f>_xlfn.IFNA(VLOOKUP(A388,'Anlage 1c_Korrekturen_NB'!$A$678:$D$680,4,FALSE),0)</f>
        <v>0</v>
      </c>
      <c r="I388" s="748">
        <f t="shared" si="18"/>
        <v>0</v>
      </c>
      <c r="J388" s="20"/>
    </row>
    <row r="389" spans="1:10" hidden="1" outlineLevel="1">
      <c r="A389" s="418" t="s">
        <v>831</v>
      </c>
      <c r="B389" s="544">
        <v>0</v>
      </c>
      <c r="C389" s="95">
        <f>_xlfn.IFNA(VLOOKUP($A389,'Anlage 1b_Abzüge, Pflicht, Boni'!$A$30:$D$60,2,FALSE),0)</f>
        <v>0</v>
      </c>
      <c r="D389" s="95">
        <f>_xlfn.IFNA(VLOOKUP(A389,'Anlage 1b_Abzüge, Pflicht, Boni'!$A$9:$D$94,3,FALSE),0)</f>
        <v>0</v>
      </c>
      <c r="E389" s="95">
        <f>_xlfn.IFNA(VLOOKUP(A389,'Anlage 1b_Abzüge, Pflicht, Boni'!$A$30:$D$58,4,FALSE),0)</f>
        <v>0</v>
      </c>
      <c r="F389" s="95">
        <f t="shared" si="19"/>
        <v>0</v>
      </c>
      <c r="G389" s="95">
        <f>SUMIFS('Anlage 1c_Korrekturen_NB'!$L$80:$L$314,'Anlage 1c_Korrekturen_NB'!$A$80:$A$314,'Anlage 3a_Zusammenfassung_KWKG'!$A389)</f>
        <v>0</v>
      </c>
      <c r="H389" s="747">
        <f>_xlfn.IFNA(VLOOKUP(A389,'Anlage 1c_Korrekturen_NB'!$A$678:$D$680,4,FALSE),0)</f>
        <v>0</v>
      </c>
      <c r="I389" s="748">
        <f t="shared" si="18"/>
        <v>0</v>
      </c>
      <c r="J389" s="20"/>
    </row>
    <row r="390" spans="1:10" hidden="1" outlineLevel="1">
      <c r="A390" s="418" t="s">
        <v>833</v>
      </c>
      <c r="B390" s="544">
        <v>49182.680000000008</v>
      </c>
      <c r="C390" s="95">
        <f>_xlfn.IFNA(VLOOKUP($A390,'Anlage 1b_Abzüge, Pflicht, Boni'!$A$30:$D$60,2,FALSE),0)</f>
        <v>0</v>
      </c>
      <c r="D390" s="95">
        <f>_xlfn.IFNA(VLOOKUP(A390,'Anlage 1b_Abzüge, Pflicht, Boni'!$A$9:$D$94,3,FALSE),0)</f>
        <v>0</v>
      </c>
      <c r="E390" s="95">
        <f>_xlfn.IFNA(VLOOKUP(A390,'Anlage 1b_Abzüge, Pflicht, Boni'!$A$30:$D$58,4,FALSE),0)</f>
        <v>0</v>
      </c>
      <c r="F390" s="95">
        <f t="shared" si="19"/>
        <v>49182.680000000008</v>
      </c>
      <c r="G390" s="95">
        <f>SUMIFS('Anlage 1c_Korrekturen_NB'!$L$80:$L$314,'Anlage 1c_Korrekturen_NB'!$A$80:$A$314,'Anlage 3a_Zusammenfassung_KWKG'!$A390)</f>
        <v>0</v>
      </c>
      <c r="H390" s="747">
        <f>_xlfn.IFNA(VLOOKUP(A390,'Anlage 1c_Korrekturen_NB'!$A$678:$D$680,4,FALSE),0)</f>
        <v>0</v>
      </c>
      <c r="I390" s="748">
        <f t="shared" si="18"/>
        <v>0</v>
      </c>
      <c r="J390" s="20"/>
    </row>
    <row r="391" spans="1:10" hidden="1" outlineLevel="1">
      <c r="A391" s="418" t="s">
        <v>835</v>
      </c>
      <c r="B391" s="544">
        <v>111648.75</v>
      </c>
      <c r="C391" s="95">
        <f>_xlfn.IFNA(VLOOKUP($A391,'Anlage 1b_Abzüge, Pflicht, Boni'!$A$30:$D$60,2,FALSE),0)</f>
        <v>0</v>
      </c>
      <c r="D391" s="95">
        <f>_xlfn.IFNA(VLOOKUP(A391,'Anlage 1b_Abzüge, Pflicht, Boni'!$A$9:$D$94,3,FALSE),0)</f>
        <v>0</v>
      </c>
      <c r="E391" s="95">
        <f>_xlfn.IFNA(VLOOKUP(A391,'Anlage 1b_Abzüge, Pflicht, Boni'!$A$30:$D$58,4,FALSE),0)</f>
        <v>0</v>
      </c>
      <c r="F391" s="95">
        <f t="shared" si="19"/>
        <v>111648.75</v>
      </c>
      <c r="G391" s="95">
        <f>SUMIFS('Anlage 1c_Korrekturen_NB'!$L$80:$L$314,'Anlage 1c_Korrekturen_NB'!$A$80:$A$314,'Anlage 3a_Zusammenfassung_KWKG'!$A391)</f>
        <v>6382.55</v>
      </c>
      <c r="H391" s="747">
        <f>_xlfn.IFNA(VLOOKUP(A391,'Anlage 1c_Korrekturen_NB'!$A$678:$D$680,4,FALSE),0)</f>
        <v>0</v>
      </c>
      <c r="I391" s="748">
        <f t="shared" si="18"/>
        <v>6382.55</v>
      </c>
      <c r="J391" s="20"/>
    </row>
    <row r="392" spans="1:10" hidden="1" outlineLevel="1">
      <c r="A392" s="418" t="s">
        <v>837</v>
      </c>
      <c r="B392" s="544">
        <v>18692.62</v>
      </c>
      <c r="C392" s="95">
        <f>_xlfn.IFNA(VLOOKUP($A392,'Anlage 1b_Abzüge, Pflicht, Boni'!$A$30:$D$60,2,FALSE),0)</f>
        <v>0</v>
      </c>
      <c r="D392" s="95">
        <f>_xlfn.IFNA(VLOOKUP(A392,'Anlage 1b_Abzüge, Pflicht, Boni'!$A$9:$D$94,3,FALSE),0)</f>
        <v>0</v>
      </c>
      <c r="E392" s="95">
        <f>_xlfn.IFNA(VLOOKUP(A392,'Anlage 1b_Abzüge, Pflicht, Boni'!$A$30:$D$58,4,FALSE),0)</f>
        <v>0</v>
      </c>
      <c r="F392" s="95">
        <f t="shared" si="19"/>
        <v>18692.62</v>
      </c>
      <c r="G392" s="95">
        <f>SUMIFS('Anlage 1c_Korrekturen_NB'!$L$80:$L$314,'Anlage 1c_Korrekturen_NB'!$A$80:$A$314,'Anlage 3a_Zusammenfassung_KWKG'!$A392)</f>
        <v>0</v>
      </c>
      <c r="H392" s="747">
        <f>_xlfn.IFNA(VLOOKUP(A392,'Anlage 1c_Korrekturen_NB'!$A$678:$D$680,4,FALSE),0)</f>
        <v>0</v>
      </c>
      <c r="I392" s="748">
        <f t="shared" si="18"/>
        <v>0</v>
      </c>
      <c r="J392" s="20"/>
    </row>
    <row r="393" spans="1:10" hidden="1" outlineLevel="1">
      <c r="A393" s="418" t="s">
        <v>837</v>
      </c>
      <c r="B393" s="544">
        <v>0</v>
      </c>
      <c r="C393" s="95">
        <f>_xlfn.IFNA(VLOOKUP($A393,'Anlage 1b_Abzüge, Pflicht, Boni'!$A$30:$D$60,2,FALSE),0)</f>
        <v>0</v>
      </c>
      <c r="D393" s="95">
        <f>_xlfn.IFNA(VLOOKUP(A393,'Anlage 1b_Abzüge, Pflicht, Boni'!$A$9:$D$94,3,FALSE),0)</f>
        <v>0</v>
      </c>
      <c r="E393" s="95">
        <f>_xlfn.IFNA(VLOOKUP(A393,'Anlage 1b_Abzüge, Pflicht, Boni'!$A$30:$D$58,4,FALSE),0)</f>
        <v>0</v>
      </c>
      <c r="F393" s="95">
        <f t="shared" si="19"/>
        <v>0</v>
      </c>
      <c r="G393" s="95">
        <f>SUMIFS('Anlage 1c_Korrekturen_NB'!$L$80:$L$314,'Anlage 1c_Korrekturen_NB'!$A$80:$A$314,'Anlage 3a_Zusammenfassung_KWKG'!$A393)</f>
        <v>0</v>
      </c>
      <c r="H393" s="747">
        <f>_xlfn.IFNA(VLOOKUP(A393,'Anlage 1c_Korrekturen_NB'!$A$678:$D$680,4,FALSE),0)</f>
        <v>0</v>
      </c>
      <c r="I393" s="748">
        <f t="shared" si="18"/>
        <v>0</v>
      </c>
      <c r="J393" s="20"/>
    </row>
    <row r="394" spans="1:10" hidden="1" outlineLevel="1">
      <c r="A394" s="418" t="s">
        <v>837</v>
      </c>
      <c r="B394" s="544">
        <v>0</v>
      </c>
      <c r="C394" s="95">
        <f>_xlfn.IFNA(VLOOKUP($A394,'Anlage 1b_Abzüge, Pflicht, Boni'!$A$30:$D$60,2,FALSE),0)</f>
        <v>0</v>
      </c>
      <c r="D394" s="95">
        <f>_xlfn.IFNA(VLOOKUP(A394,'Anlage 1b_Abzüge, Pflicht, Boni'!$A$9:$D$94,3,FALSE),0)</f>
        <v>0</v>
      </c>
      <c r="E394" s="95">
        <f>_xlfn.IFNA(VLOOKUP(A394,'Anlage 1b_Abzüge, Pflicht, Boni'!$A$30:$D$58,4,FALSE),0)</f>
        <v>0</v>
      </c>
      <c r="F394" s="95">
        <f t="shared" si="19"/>
        <v>0</v>
      </c>
      <c r="G394" s="95">
        <f>SUMIFS('Anlage 1c_Korrekturen_NB'!$L$80:$L$314,'Anlage 1c_Korrekturen_NB'!$A$80:$A$314,'Anlage 3a_Zusammenfassung_KWKG'!$A394)</f>
        <v>0</v>
      </c>
      <c r="H394" s="747">
        <f>_xlfn.IFNA(VLOOKUP(A394,'Anlage 1c_Korrekturen_NB'!$A$678:$D$680,4,FALSE),0)</f>
        <v>0</v>
      </c>
      <c r="I394" s="748">
        <f t="shared" si="18"/>
        <v>0</v>
      </c>
      <c r="J394" s="20"/>
    </row>
    <row r="395" spans="1:10" hidden="1" outlineLevel="1">
      <c r="A395" s="418" t="s">
        <v>839</v>
      </c>
      <c r="B395" s="544">
        <v>30720</v>
      </c>
      <c r="C395" s="95">
        <f>_xlfn.IFNA(VLOOKUP($A395,'Anlage 1b_Abzüge, Pflicht, Boni'!$A$30:$D$60,2,FALSE),0)</f>
        <v>0</v>
      </c>
      <c r="D395" s="95">
        <f>_xlfn.IFNA(VLOOKUP(A395,'Anlage 1b_Abzüge, Pflicht, Boni'!$A$9:$D$94,3,FALSE),0)</f>
        <v>0</v>
      </c>
      <c r="E395" s="95">
        <f>_xlfn.IFNA(VLOOKUP(A395,'Anlage 1b_Abzüge, Pflicht, Boni'!$A$30:$D$58,4,FALSE),0)</f>
        <v>0</v>
      </c>
      <c r="F395" s="95">
        <f t="shared" si="19"/>
        <v>30720</v>
      </c>
      <c r="G395" s="95">
        <f>SUMIFS('Anlage 1c_Korrekturen_NB'!$L$80:$L$314,'Anlage 1c_Korrekturen_NB'!$A$80:$A$314,'Anlage 3a_Zusammenfassung_KWKG'!$A395)</f>
        <v>0</v>
      </c>
      <c r="H395" s="747">
        <f>_xlfn.IFNA(VLOOKUP(A395,'Anlage 1c_Korrekturen_NB'!$A$678:$D$680,4,FALSE),0)</f>
        <v>0</v>
      </c>
      <c r="I395" s="748">
        <f t="shared" si="18"/>
        <v>0</v>
      </c>
      <c r="J395" s="20"/>
    </row>
    <row r="396" spans="1:10" hidden="1" outlineLevel="1">
      <c r="A396" s="418" t="s">
        <v>841</v>
      </c>
      <c r="B396" s="544">
        <v>100607.32</v>
      </c>
      <c r="C396" s="95">
        <f>_xlfn.IFNA(VLOOKUP($A396,'Anlage 1b_Abzüge, Pflicht, Boni'!$A$30:$D$60,2,FALSE),0)</f>
        <v>0</v>
      </c>
      <c r="D396" s="95">
        <f>_xlfn.IFNA(VLOOKUP(A396,'Anlage 1b_Abzüge, Pflicht, Boni'!$A$9:$D$94,3,FALSE),0)</f>
        <v>0</v>
      </c>
      <c r="E396" s="95">
        <f>_xlfn.IFNA(VLOOKUP(A396,'Anlage 1b_Abzüge, Pflicht, Boni'!$A$30:$D$58,4,FALSE),0)</f>
        <v>0</v>
      </c>
      <c r="F396" s="95">
        <f t="shared" si="19"/>
        <v>100607.32</v>
      </c>
      <c r="G396" s="95">
        <f>SUMIFS('Anlage 1c_Korrekturen_NB'!$L$80:$L$314,'Anlage 1c_Korrekturen_NB'!$A$80:$A$314,'Anlage 3a_Zusammenfassung_KWKG'!$A396)</f>
        <v>1476.8</v>
      </c>
      <c r="H396" s="747">
        <f>_xlfn.IFNA(VLOOKUP(A396,'Anlage 1c_Korrekturen_NB'!$A$678:$D$680,4,FALSE),0)</f>
        <v>0</v>
      </c>
      <c r="I396" s="748">
        <f t="shared" si="18"/>
        <v>1476.8</v>
      </c>
      <c r="J396" s="20"/>
    </row>
    <row r="397" spans="1:10" hidden="1" outlineLevel="1">
      <c r="A397" s="418" t="s">
        <v>843</v>
      </c>
      <c r="B397" s="544">
        <v>17245.14</v>
      </c>
      <c r="C397" s="95">
        <f>_xlfn.IFNA(VLOOKUP($A397,'Anlage 1b_Abzüge, Pflicht, Boni'!$A$30:$D$60,2,FALSE),0)</f>
        <v>0</v>
      </c>
      <c r="D397" s="95">
        <f>_xlfn.IFNA(VLOOKUP(A397,'Anlage 1b_Abzüge, Pflicht, Boni'!$A$9:$D$94,3,FALSE),0)</f>
        <v>0</v>
      </c>
      <c r="E397" s="95">
        <f>_xlfn.IFNA(VLOOKUP(A397,'Anlage 1b_Abzüge, Pflicht, Boni'!$A$30:$D$58,4,FALSE),0)</f>
        <v>0</v>
      </c>
      <c r="F397" s="95">
        <f t="shared" si="19"/>
        <v>17245.14</v>
      </c>
      <c r="G397" s="95">
        <f>SUMIFS('Anlage 1c_Korrekturen_NB'!$L$80:$L$314,'Anlage 1c_Korrekturen_NB'!$A$80:$A$314,'Anlage 3a_Zusammenfassung_KWKG'!$A397)</f>
        <v>0</v>
      </c>
      <c r="H397" s="747">
        <f>_xlfn.IFNA(VLOOKUP(A397,'Anlage 1c_Korrekturen_NB'!$A$678:$D$680,4,FALSE),0)</f>
        <v>0</v>
      </c>
      <c r="I397" s="748">
        <f t="shared" si="18"/>
        <v>0</v>
      </c>
      <c r="J397" s="20"/>
    </row>
    <row r="398" spans="1:10" hidden="1" outlineLevel="1">
      <c r="A398" s="418" t="s">
        <v>845</v>
      </c>
      <c r="B398" s="544">
        <v>2594297.2599999998</v>
      </c>
      <c r="C398" s="95">
        <f>_xlfn.IFNA(VLOOKUP($A398,'Anlage 1b_Abzüge, Pflicht, Boni'!$A$30:$D$60,2,FALSE),0)</f>
        <v>0</v>
      </c>
      <c r="D398" s="95">
        <f>_xlfn.IFNA(VLOOKUP(A398,'Anlage 1b_Abzüge, Pflicht, Boni'!$A$9:$D$94,3,FALSE),0)</f>
        <v>0</v>
      </c>
      <c r="E398" s="95">
        <f>_xlfn.IFNA(VLOOKUP(A398,'Anlage 1b_Abzüge, Pflicht, Boni'!$A$30:$D$58,4,FALSE),0)</f>
        <v>0</v>
      </c>
      <c r="F398" s="95">
        <f t="shared" si="19"/>
        <v>2594297.2599999998</v>
      </c>
      <c r="G398" s="95">
        <f>SUMIFS('Anlage 1c_Korrekturen_NB'!$L$80:$L$314,'Anlage 1c_Korrekturen_NB'!$A$80:$A$314,'Anlage 3a_Zusammenfassung_KWKG'!$A398)</f>
        <v>0</v>
      </c>
      <c r="H398" s="747">
        <f>_xlfn.IFNA(VLOOKUP(A398,'Anlage 1c_Korrekturen_NB'!$A$678:$D$680,4,FALSE),0)</f>
        <v>0</v>
      </c>
      <c r="I398" s="748">
        <f t="shared" si="18"/>
        <v>0</v>
      </c>
      <c r="J398" s="20"/>
    </row>
    <row r="399" spans="1:10" hidden="1" outlineLevel="1">
      <c r="A399" s="418" t="s">
        <v>847</v>
      </c>
      <c r="B399" s="544">
        <v>132438.19</v>
      </c>
      <c r="C399" s="95">
        <f>_xlfn.IFNA(VLOOKUP($A399,'Anlage 1b_Abzüge, Pflicht, Boni'!$A$30:$D$60,2,FALSE),0)</f>
        <v>0</v>
      </c>
      <c r="D399" s="95">
        <f>_xlfn.IFNA(VLOOKUP(A399,'Anlage 1b_Abzüge, Pflicht, Boni'!$A$9:$D$94,3,FALSE),0)</f>
        <v>0</v>
      </c>
      <c r="E399" s="95">
        <f>_xlfn.IFNA(VLOOKUP(A399,'Anlage 1b_Abzüge, Pflicht, Boni'!$A$30:$D$58,4,FALSE),0)</f>
        <v>0</v>
      </c>
      <c r="F399" s="95">
        <f t="shared" si="19"/>
        <v>132438.19</v>
      </c>
      <c r="G399" s="95">
        <f>SUMIFS('Anlage 1c_Korrekturen_NB'!$L$80:$L$314,'Anlage 1c_Korrekturen_NB'!$A$80:$A$314,'Anlage 3a_Zusammenfassung_KWKG'!$A399)</f>
        <v>0</v>
      </c>
      <c r="H399" s="747">
        <f>_xlfn.IFNA(VLOOKUP(A399,'Anlage 1c_Korrekturen_NB'!$A$678:$D$680,4,FALSE),0)</f>
        <v>0</v>
      </c>
      <c r="I399" s="748">
        <f t="shared" si="18"/>
        <v>0</v>
      </c>
      <c r="J399" s="20"/>
    </row>
    <row r="400" spans="1:10" hidden="1" outlineLevel="1">
      <c r="A400" s="418" t="s">
        <v>849</v>
      </c>
      <c r="B400" s="544">
        <v>2797935.52</v>
      </c>
      <c r="C400" s="95">
        <f>_xlfn.IFNA(VLOOKUP($A400,'Anlage 1b_Abzüge, Pflicht, Boni'!$A$30:$D$60,2,FALSE),0)</f>
        <v>0</v>
      </c>
      <c r="D400" s="95">
        <f>_xlfn.IFNA(VLOOKUP(A400,'Anlage 1b_Abzüge, Pflicht, Boni'!$A$9:$D$94,3,FALSE),0)</f>
        <v>0</v>
      </c>
      <c r="E400" s="95">
        <f>_xlfn.IFNA(VLOOKUP(A400,'Anlage 1b_Abzüge, Pflicht, Boni'!$A$30:$D$58,4,FALSE),0)</f>
        <v>0</v>
      </c>
      <c r="F400" s="95">
        <f t="shared" si="19"/>
        <v>2797935.52</v>
      </c>
      <c r="G400" s="95">
        <f>SUMIFS('Anlage 1c_Korrekturen_NB'!$L$80:$L$314,'Anlage 1c_Korrekturen_NB'!$A$80:$A$314,'Anlage 3a_Zusammenfassung_KWKG'!$A400)</f>
        <v>0</v>
      </c>
      <c r="H400" s="747">
        <f>_xlfn.IFNA(VLOOKUP(A400,'Anlage 1c_Korrekturen_NB'!$A$678:$D$680,4,FALSE),0)</f>
        <v>0</v>
      </c>
      <c r="I400" s="748">
        <f t="shared" si="18"/>
        <v>0</v>
      </c>
      <c r="J400" s="20"/>
    </row>
    <row r="401" spans="1:10" hidden="1" outlineLevel="1">
      <c r="A401" s="418" t="s">
        <v>398</v>
      </c>
      <c r="B401" s="544">
        <v>34800</v>
      </c>
      <c r="C401" s="95">
        <f>_xlfn.IFNA(VLOOKUP($A401,'Anlage 1b_Abzüge, Pflicht, Boni'!$A$30:$D$60,2,FALSE),0)</f>
        <v>0</v>
      </c>
      <c r="D401" s="95">
        <f>_xlfn.IFNA(VLOOKUP(A401,'Anlage 1b_Abzüge, Pflicht, Boni'!$A$9:$D$94,3,FALSE),0)</f>
        <v>0</v>
      </c>
      <c r="E401" s="95">
        <f>_xlfn.IFNA(VLOOKUP(A401,'Anlage 1b_Abzüge, Pflicht, Boni'!$A$30:$D$58,4,FALSE),0)</f>
        <v>0</v>
      </c>
      <c r="F401" s="95">
        <f t="shared" si="19"/>
        <v>34800</v>
      </c>
      <c r="G401" s="95">
        <f>SUMIFS('Anlage 1c_Korrekturen_NB'!$L$80:$L$314,'Anlage 1c_Korrekturen_NB'!$A$80:$A$314,'Anlage 3a_Zusammenfassung_KWKG'!$A401)</f>
        <v>0</v>
      </c>
      <c r="H401" s="747">
        <f>_xlfn.IFNA(VLOOKUP(A401,'Anlage 1c_Korrekturen_NB'!$A$678:$D$680,4,FALSE),0)</f>
        <v>0</v>
      </c>
      <c r="I401" s="748">
        <f t="shared" si="18"/>
        <v>0</v>
      </c>
      <c r="J401" s="20"/>
    </row>
    <row r="402" spans="1:10" hidden="1" outlineLevel="1">
      <c r="A402" s="418" t="s">
        <v>851</v>
      </c>
      <c r="B402" s="544">
        <v>0</v>
      </c>
      <c r="C402" s="95">
        <f>_xlfn.IFNA(VLOOKUP($A402,'Anlage 1b_Abzüge, Pflicht, Boni'!$A$30:$D$60,2,FALSE),0)</f>
        <v>0</v>
      </c>
      <c r="D402" s="95">
        <f>_xlfn.IFNA(VLOOKUP(A402,'Anlage 1b_Abzüge, Pflicht, Boni'!$A$9:$D$94,3,FALSE),0)</f>
        <v>0</v>
      </c>
      <c r="E402" s="95">
        <f>_xlfn.IFNA(VLOOKUP(A402,'Anlage 1b_Abzüge, Pflicht, Boni'!$A$30:$D$58,4,FALSE),0)</f>
        <v>0</v>
      </c>
      <c r="F402" s="95">
        <f t="shared" si="19"/>
        <v>0</v>
      </c>
      <c r="G402" s="95">
        <f>SUMIFS('Anlage 1c_Korrekturen_NB'!$L$80:$L$314,'Anlage 1c_Korrekturen_NB'!$A$80:$A$314,'Anlage 3a_Zusammenfassung_KWKG'!$A402)</f>
        <v>0</v>
      </c>
      <c r="H402" s="747">
        <f>_xlfn.IFNA(VLOOKUP(A402,'Anlage 1c_Korrekturen_NB'!$A$678:$D$680,4,FALSE),0)</f>
        <v>0</v>
      </c>
      <c r="I402" s="748">
        <f t="shared" si="18"/>
        <v>0</v>
      </c>
      <c r="J402" s="20"/>
    </row>
    <row r="403" spans="1:10" hidden="1" outlineLevel="1">
      <c r="A403" s="418" t="s">
        <v>853</v>
      </c>
      <c r="B403" s="544">
        <v>20662.02</v>
      </c>
      <c r="C403" s="95">
        <f>_xlfn.IFNA(VLOOKUP($A403,'Anlage 1b_Abzüge, Pflicht, Boni'!$A$30:$D$60,2,FALSE),0)</f>
        <v>0</v>
      </c>
      <c r="D403" s="95">
        <f>_xlfn.IFNA(VLOOKUP(A403,'Anlage 1b_Abzüge, Pflicht, Boni'!$A$9:$D$94,3,FALSE),0)</f>
        <v>0</v>
      </c>
      <c r="E403" s="95">
        <f>_xlfn.IFNA(VLOOKUP(A403,'Anlage 1b_Abzüge, Pflicht, Boni'!$A$30:$D$58,4,FALSE),0)</f>
        <v>0</v>
      </c>
      <c r="F403" s="95">
        <f t="shared" si="19"/>
        <v>20662.02</v>
      </c>
      <c r="G403" s="95">
        <f>SUMIFS('Anlage 1c_Korrekturen_NB'!$L$80:$L$314,'Anlage 1c_Korrekturen_NB'!$A$80:$A$314,'Anlage 3a_Zusammenfassung_KWKG'!$A403)</f>
        <v>68837.19</v>
      </c>
      <c r="H403" s="747">
        <f>_xlfn.IFNA(VLOOKUP(A403,'Anlage 1c_Korrekturen_NB'!$A$678:$D$680,4,FALSE),0)</f>
        <v>0</v>
      </c>
      <c r="I403" s="748">
        <f t="shared" si="18"/>
        <v>68837.19</v>
      </c>
      <c r="J403" s="20"/>
    </row>
    <row r="404" spans="1:10" hidden="1" outlineLevel="1">
      <c r="A404" s="418"/>
      <c r="B404" s="544"/>
      <c r="C404" s="95"/>
      <c r="D404" s="95"/>
      <c r="E404" s="95"/>
      <c r="F404" s="95"/>
      <c r="G404" s="95"/>
      <c r="H404" s="145"/>
      <c r="I404" s="748"/>
      <c r="J404" s="20"/>
    </row>
    <row r="405" spans="1:10" collapsed="1">
      <c r="A405" s="418" t="s">
        <v>855</v>
      </c>
      <c r="B405" s="543">
        <f>SUM(B406:B742)</f>
        <v>271236340.80000007</v>
      </c>
      <c r="C405" s="94">
        <f t="shared" ref="C405:G405" si="21">SUM(C406:C742)</f>
        <v>-422545.87999999989</v>
      </c>
      <c r="D405" s="94">
        <f t="shared" si="21"/>
        <v>-111253.28</v>
      </c>
      <c r="E405" s="94">
        <f t="shared" si="21"/>
        <v>32521597.740000002</v>
      </c>
      <c r="F405" s="94">
        <f t="shared" si="21"/>
        <v>303224139.37999994</v>
      </c>
      <c r="G405" s="94">
        <f t="shared" si="21"/>
        <v>50218613.400000006</v>
      </c>
      <c r="H405" s="145">
        <f>SUM(H406:H742)</f>
        <v>72196</v>
      </c>
      <c r="I405" s="748">
        <f>F405+G405+H405</f>
        <v>353514948.77999997</v>
      </c>
      <c r="J405" s="20"/>
    </row>
    <row r="406" spans="1:10" hidden="1" outlineLevel="1">
      <c r="A406" s="418" t="s">
        <v>856</v>
      </c>
      <c r="B406" s="543">
        <v>6898.92</v>
      </c>
      <c r="C406" s="94">
        <v>0</v>
      </c>
      <c r="D406" s="94">
        <v>0</v>
      </c>
      <c r="E406" s="94">
        <v>0</v>
      </c>
      <c r="F406" s="94">
        <f>SUM(B406:E406)</f>
        <v>6898.92</v>
      </c>
      <c r="G406" s="94">
        <v>0</v>
      </c>
      <c r="H406" s="144">
        <v>0</v>
      </c>
      <c r="I406" s="748">
        <f>G406+H406</f>
        <v>0</v>
      </c>
      <c r="J406" s="20"/>
    </row>
    <row r="407" spans="1:10" hidden="1" outlineLevel="1">
      <c r="A407" s="418" t="s">
        <v>858</v>
      </c>
      <c r="B407" s="543">
        <v>3564.63</v>
      </c>
      <c r="C407" s="94">
        <v>0</v>
      </c>
      <c r="D407" s="94">
        <v>0</v>
      </c>
      <c r="E407" s="94">
        <v>0</v>
      </c>
      <c r="F407" s="94">
        <f t="shared" ref="F407:F471" si="22">SUM(B407:E407)</f>
        <v>3564.63</v>
      </c>
      <c r="G407" s="94">
        <v>0</v>
      </c>
      <c r="H407" s="144">
        <v>0</v>
      </c>
      <c r="I407" s="748">
        <f t="shared" ref="I407:I471" si="23">G407+H407</f>
        <v>0</v>
      </c>
      <c r="J407" s="20"/>
    </row>
    <row r="408" spans="1:10" hidden="1" outlineLevel="1">
      <c r="A408" s="418" t="s">
        <v>860</v>
      </c>
      <c r="B408" s="543">
        <v>24789.91</v>
      </c>
      <c r="C408" s="94">
        <v>0</v>
      </c>
      <c r="D408" s="94">
        <v>0</v>
      </c>
      <c r="E408" s="94">
        <v>0</v>
      </c>
      <c r="F408" s="94">
        <f t="shared" si="22"/>
        <v>24789.91</v>
      </c>
      <c r="G408" s="94">
        <v>0</v>
      </c>
      <c r="H408" s="144">
        <v>0</v>
      </c>
      <c r="I408" s="748">
        <f t="shared" si="23"/>
        <v>0</v>
      </c>
      <c r="J408" s="20"/>
    </row>
    <row r="409" spans="1:10" hidden="1" outlineLevel="1">
      <c r="A409" s="418" t="s">
        <v>862</v>
      </c>
      <c r="B409" s="543">
        <v>1454.24</v>
      </c>
      <c r="C409" s="94">
        <v>0</v>
      </c>
      <c r="D409" s="94">
        <v>0</v>
      </c>
      <c r="E409" s="94">
        <v>0</v>
      </c>
      <c r="F409" s="94">
        <f t="shared" si="22"/>
        <v>1454.24</v>
      </c>
      <c r="G409" s="94">
        <v>0</v>
      </c>
      <c r="H409" s="144">
        <v>0</v>
      </c>
      <c r="I409" s="748">
        <f t="shared" si="23"/>
        <v>0</v>
      </c>
      <c r="J409" s="20"/>
    </row>
    <row r="410" spans="1:10" hidden="1" outlineLevel="1">
      <c r="A410" s="418" t="s">
        <v>864</v>
      </c>
      <c r="B410" s="543">
        <v>53753.03</v>
      </c>
      <c r="C410" s="94">
        <v>0</v>
      </c>
      <c r="D410" s="94">
        <v>0</v>
      </c>
      <c r="E410" s="94">
        <v>0</v>
      </c>
      <c r="F410" s="94">
        <f t="shared" si="22"/>
        <v>53753.03</v>
      </c>
      <c r="G410" s="94">
        <v>0</v>
      </c>
      <c r="H410" s="144">
        <v>0</v>
      </c>
      <c r="I410" s="748">
        <f t="shared" si="23"/>
        <v>0</v>
      </c>
      <c r="J410" s="20"/>
    </row>
    <row r="411" spans="1:10" hidden="1" outlineLevel="1">
      <c r="A411" s="418" t="s">
        <v>866</v>
      </c>
      <c r="B411" s="543">
        <v>1122.1200000000001</v>
      </c>
      <c r="C411" s="94">
        <v>0</v>
      </c>
      <c r="D411" s="94">
        <v>0</v>
      </c>
      <c r="E411" s="94">
        <v>0</v>
      </c>
      <c r="F411" s="94">
        <f t="shared" si="22"/>
        <v>1122.1200000000001</v>
      </c>
      <c r="G411" s="94">
        <v>0</v>
      </c>
      <c r="H411" s="144">
        <v>0</v>
      </c>
      <c r="I411" s="748">
        <f t="shared" si="23"/>
        <v>0</v>
      </c>
      <c r="J411" s="20"/>
    </row>
    <row r="412" spans="1:10" hidden="1" outlineLevel="1">
      <c r="A412" s="418" t="s">
        <v>868</v>
      </c>
      <c r="B412" s="543">
        <v>48161.73</v>
      </c>
      <c r="C412" s="94">
        <v>0</v>
      </c>
      <c r="D412" s="94">
        <v>0</v>
      </c>
      <c r="E412" s="94">
        <v>0</v>
      </c>
      <c r="F412" s="94">
        <f t="shared" si="22"/>
        <v>48161.73</v>
      </c>
      <c r="G412" s="94">
        <v>0</v>
      </c>
      <c r="H412" s="144">
        <v>0</v>
      </c>
      <c r="I412" s="748">
        <f t="shared" si="23"/>
        <v>0</v>
      </c>
      <c r="J412" s="20"/>
    </row>
    <row r="413" spans="1:10" hidden="1" outlineLevel="1">
      <c r="A413" s="418" t="s">
        <v>870</v>
      </c>
      <c r="B413" s="543">
        <v>170464.15</v>
      </c>
      <c r="C413" s="94">
        <v>0</v>
      </c>
      <c r="D413" s="94">
        <v>0</v>
      </c>
      <c r="E413" s="94">
        <v>0</v>
      </c>
      <c r="F413" s="94">
        <f t="shared" si="22"/>
        <v>170464.15</v>
      </c>
      <c r="G413" s="94">
        <v>0</v>
      </c>
      <c r="H413" s="144">
        <v>0</v>
      </c>
      <c r="I413" s="748">
        <f t="shared" si="23"/>
        <v>0</v>
      </c>
      <c r="J413" s="20"/>
    </row>
    <row r="414" spans="1:10" hidden="1" outlineLevel="1">
      <c r="A414" s="418" t="s">
        <v>872</v>
      </c>
      <c r="B414" s="543">
        <v>17763.169999999998</v>
      </c>
      <c r="C414" s="94">
        <v>0</v>
      </c>
      <c r="D414" s="94">
        <v>0</v>
      </c>
      <c r="E414" s="94">
        <v>0</v>
      </c>
      <c r="F414" s="94">
        <f t="shared" si="22"/>
        <v>17763.169999999998</v>
      </c>
      <c r="G414" s="94">
        <v>0</v>
      </c>
      <c r="H414" s="144">
        <v>0</v>
      </c>
      <c r="I414" s="748">
        <f t="shared" si="23"/>
        <v>0</v>
      </c>
      <c r="J414" s="20"/>
    </row>
    <row r="415" spans="1:10" hidden="1" outlineLevel="1">
      <c r="A415" s="418" t="s">
        <v>874</v>
      </c>
      <c r="B415" s="543">
        <v>211532.45999999996</v>
      </c>
      <c r="C415" s="94">
        <v>0</v>
      </c>
      <c r="D415" s="94">
        <v>0</v>
      </c>
      <c r="E415" s="94">
        <v>0</v>
      </c>
      <c r="F415" s="94">
        <f t="shared" si="22"/>
        <v>211532.45999999996</v>
      </c>
      <c r="G415" s="94">
        <v>138.52000000000001</v>
      </c>
      <c r="H415" s="144">
        <v>0</v>
      </c>
      <c r="I415" s="748">
        <f t="shared" si="23"/>
        <v>138.52000000000001</v>
      </c>
      <c r="J415" s="20"/>
    </row>
    <row r="416" spans="1:10" hidden="1" outlineLevel="1">
      <c r="A416" s="418" t="s">
        <v>876</v>
      </c>
      <c r="B416" s="543">
        <v>859653.39</v>
      </c>
      <c r="C416" s="94">
        <v>0</v>
      </c>
      <c r="D416" s="94">
        <v>0</v>
      </c>
      <c r="E416" s="94">
        <v>0</v>
      </c>
      <c r="F416" s="94">
        <f t="shared" si="22"/>
        <v>859653.39</v>
      </c>
      <c r="G416" s="94">
        <v>0</v>
      </c>
      <c r="H416" s="144">
        <v>0</v>
      </c>
      <c r="I416" s="748">
        <f t="shared" si="23"/>
        <v>0</v>
      </c>
      <c r="J416" s="20"/>
    </row>
    <row r="417" spans="1:10" hidden="1" outlineLevel="1">
      <c r="A417" s="418" t="s">
        <v>878</v>
      </c>
      <c r="B417" s="543">
        <v>15036.84</v>
      </c>
      <c r="C417" s="94">
        <v>0</v>
      </c>
      <c r="D417" s="94">
        <v>0</v>
      </c>
      <c r="E417" s="94">
        <v>0</v>
      </c>
      <c r="F417" s="94">
        <f t="shared" si="22"/>
        <v>15036.84</v>
      </c>
      <c r="G417" s="94">
        <v>0</v>
      </c>
      <c r="H417" s="144">
        <v>0</v>
      </c>
      <c r="I417" s="748">
        <f t="shared" si="23"/>
        <v>0</v>
      </c>
      <c r="J417" s="20"/>
    </row>
    <row r="418" spans="1:10" hidden="1" outlineLevel="1">
      <c r="A418" s="418" t="s">
        <v>322</v>
      </c>
      <c r="B418" s="543">
        <v>32216.549999999996</v>
      </c>
      <c r="C418" s="94">
        <v>0</v>
      </c>
      <c r="D418" s="94">
        <v>0</v>
      </c>
      <c r="E418" s="94">
        <v>0</v>
      </c>
      <c r="F418" s="94">
        <f t="shared" si="22"/>
        <v>32216.549999999996</v>
      </c>
      <c r="G418" s="94">
        <v>203.04000000000002</v>
      </c>
      <c r="H418" s="144">
        <v>0</v>
      </c>
      <c r="I418" s="748">
        <f t="shared" si="23"/>
        <v>203.04000000000002</v>
      </c>
      <c r="J418" s="20"/>
    </row>
    <row r="419" spans="1:10" hidden="1" outlineLevel="1">
      <c r="A419" s="418" t="s">
        <v>880</v>
      </c>
      <c r="B419" s="543">
        <v>75216.39</v>
      </c>
      <c r="C419" s="94">
        <v>0</v>
      </c>
      <c r="D419" s="94">
        <v>0</v>
      </c>
      <c r="E419" s="94">
        <v>0</v>
      </c>
      <c r="F419" s="94">
        <f t="shared" si="22"/>
        <v>75216.39</v>
      </c>
      <c r="G419" s="94">
        <v>0</v>
      </c>
      <c r="H419" s="144">
        <v>0</v>
      </c>
      <c r="I419" s="748">
        <f t="shared" si="23"/>
        <v>0</v>
      </c>
      <c r="J419" s="20"/>
    </row>
    <row r="420" spans="1:10" hidden="1" outlineLevel="1">
      <c r="A420" s="418" t="s">
        <v>882</v>
      </c>
      <c r="B420" s="543">
        <v>188633.75</v>
      </c>
      <c r="C420" s="94">
        <v>0</v>
      </c>
      <c r="D420" s="94">
        <v>0</v>
      </c>
      <c r="E420" s="94">
        <v>0</v>
      </c>
      <c r="F420" s="94">
        <f t="shared" si="22"/>
        <v>188633.75</v>
      </c>
      <c r="G420" s="94">
        <v>0</v>
      </c>
      <c r="H420" s="144">
        <v>0</v>
      </c>
      <c r="I420" s="748">
        <f t="shared" si="23"/>
        <v>0</v>
      </c>
      <c r="J420" s="20"/>
    </row>
    <row r="421" spans="1:10" hidden="1" outlineLevel="1">
      <c r="A421" s="418" t="s">
        <v>884</v>
      </c>
      <c r="B421" s="543">
        <v>121706.07</v>
      </c>
      <c r="C421" s="94">
        <v>0</v>
      </c>
      <c r="D421" s="94">
        <v>0</v>
      </c>
      <c r="E421" s="94">
        <v>0</v>
      </c>
      <c r="F421" s="94">
        <f t="shared" si="22"/>
        <v>121706.07</v>
      </c>
      <c r="G421" s="94">
        <v>0</v>
      </c>
      <c r="H421" s="144">
        <v>0</v>
      </c>
      <c r="I421" s="748">
        <f t="shared" si="23"/>
        <v>0</v>
      </c>
      <c r="J421" s="20"/>
    </row>
    <row r="422" spans="1:10" hidden="1" outlineLevel="1">
      <c r="A422" s="418" t="s">
        <v>886</v>
      </c>
      <c r="B422" s="543">
        <v>49358.31</v>
      </c>
      <c r="C422" s="94">
        <v>0</v>
      </c>
      <c r="D422" s="94">
        <v>0</v>
      </c>
      <c r="E422" s="94">
        <v>0</v>
      </c>
      <c r="F422" s="94">
        <f t="shared" si="22"/>
        <v>49358.31</v>
      </c>
      <c r="G422" s="94">
        <v>0</v>
      </c>
      <c r="H422" s="144">
        <v>0</v>
      </c>
      <c r="I422" s="748">
        <f t="shared" si="23"/>
        <v>0</v>
      </c>
      <c r="J422" s="20"/>
    </row>
    <row r="423" spans="1:10" hidden="1" outlineLevel="1">
      <c r="A423" s="418" t="s">
        <v>888</v>
      </c>
      <c r="B423" s="543">
        <v>131487.79999999999</v>
      </c>
      <c r="C423" s="94">
        <v>0</v>
      </c>
      <c r="D423" s="94">
        <v>0</v>
      </c>
      <c r="E423" s="94">
        <v>0</v>
      </c>
      <c r="F423" s="94">
        <f t="shared" si="22"/>
        <v>131487.79999999999</v>
      </c>
      <c r="G423" s="94">
        <v>0</v>
      </c>
      <c r="H423" s="144">
        <v>0</v>
      </c>
      <c r="I423" s="748">
        <f t="shared" si="23"/>
        <v>0</v>
      </c>
      <c r="J423" s="20"/>
    </row>
    <row r="424" spans="1:10" hidden="1" outlineLevel="1">
      <c r="A424" s="418" t="s">
        <v>890</v>
      </c>
      <c r="B424" s="543">
        <v>215652.14</v>
      </c>
      <c r="C424" s="94">
        <v>0</v>
      </c>
      <c r="D424" s="94">
        <v>0</v>
      </c>
      <c r="E424" s="94">
        <v>0</v>
      </c>
      <c r="F424" s="94">
        <f t="shared" si="22"/>
        <v>215652.14</v>
      </c>
      <c r="G424" s="94">
        <v>0</v>
      </c>
      <c r="H424" s="144">
        <v>0</v>
      </c>
      <c r="I424" s="748">
        <f t="shared" si="23"/>
        <v>0</v>
      </c>
      <c r="J424" s="20"/>
    </row>
    <row r="425" spans="1:10" hidden="1" outlineLevel="1">
      <c r="A425" s="418" t="s">
        <v>892</v>
      </c>
      <c r="B425" s="543">
        <v>9145.93</v>
      </c>
      <c r="C425" s="94">
        <v>0</v>
      </c>
      <c r="D425" s="94">
        <v>0</v>
      </c>
      <c r="E425" s="94">
        <v>0</v>
      </c>
      <c r="F425" s="94">
        <f t="shared" si="22"/>
        <v>9145.93</v>
      </c>
      <c r="G425" s="94">
        <v>0</v>
      </c>
      <c r="H425" s="144">
        <v>0</v>
      </c>
      <c r="I425" s="748">
        <f t="shared" si="23"/>
        <v>0</v>
      </c>
      <c r="J425" s="20"/>
    </row>
    <row r="426" spans="1:10" hidden="1" outlineLevel="1">
      <c r="A426" s="418" t="s">
        <v>894</v>
      </c>
      <c r="B426" s="543">
        <v>32296.909999999993</v>
      </c>
      <c r="C426" s="94">
        <v>0</v>
      </c>
      <c r="D426" s="94">
        <v>0</v>
      </c>
      <c r="E426" s="94">
        <v>0</v>
      </c>
      <c r="F426" s="94">
        <f t="shared" si="22"/>
        <v>32296.909999999993</v>
      </c>
      <c r="G426" s="94">
        <v>1749.44</v>
      </c>
      <c r="H426" s="144">
        <v>0</v>
      </c>
      <c r="I426" s="748">
        <f t="shared" si="23"/>
        <v>1749.44</v>
      </c>
      <c r="J426" s="20"/>
    </row>
    <row r="427" spans="1:10" hidden="1" outlineLevel="1">
      <c r="A427" s="418" t="s">
        <v>896</v>
      </c>
      <c r="B427" s="543">
        <v>37528.879999999997</v>
      </c>
      <c r="C427" s="94">
        <v>0</v>
      </c>
      <c r="D427" s="94">
        <v>0</v>
      </c>
      <c r="E427" s="94">
        <v>0</v>
      </c>
      <c r="F427" s="94">
        <f t="shared" si="22"/>
        <v>37528.879999999997</v>
      </c>
      <c r="G427" s="94">
        <v>0</v>
      </c>
      <c r="H427" s="144">
        <v>0</v>
      </c>
      <c r="I427" s="748">
        <f t="shared" si="23"/>
        <v>0</v>
      </c>
      <c r="J427" s="20"/>
    </row>
    <row r="428" spans="1:10" hidden="1" outlineLevel="1">
      <c r="A428" s="418" t="s">
        <v>898</v>
      </c>
      <c r="B428" s="543">
        <v>20004.669999999998</v>
      </c>
      <c r="C428" s="94">
        <v>0</v>
      </c>
      <c r="D428" s="94">
        <v>0</v>
      </c>
      <c r="E428" s="94">
        <v>0</v>
      </c>
      <c r="F428" s="94">
        <f t="shared" si="22"/>
        <v>20004.669999999998</v>
      </c>
      <c r="G428" s="94">
        <v>0</v>
      </c>
      <c r="H428" s="144">
        <v>0</v>
      </c>
      <c r="I428" s="748">
        <f t="shared" si="23"/>
        <v>0</v>
      </c>
      <c r="J428" s="20"/>
    </row>
    <row r="429" spans="1:10" hidden="1" outlineLevel="1">
      <c r="A429" s="418" t="s">
        <v>900</v>
      </c>
      <c r="B429" s="543">
        <v>1059.44</v>
      </c>
      <c r="C429" s="94">
        <v>0</v>
      </c>
      <c r="D429" s="94">
        <v>0</v>
      </c>
      <c r="E429" s="94">
        <v>0</v>
      </c>
      <c r="F429" s="94">
        <f t="shared" si="22"/>
        <v>1059.44</v>
      </c>
      <c r="G429" s="94">
        <v>0</v>
      </c>
      <c r="H429" s="144">
        <v>0</v>
      </c>
      <c r="I429" s="748">
        <f t="shared" si="23"/>
        <v>0</v>
      </c>
      <c r="J429" s="20"/>
    </row>
    <row r="430" spans="1:10" hidden="1" outlineLevel="1">
      <c r="A430" s="418" t="s">
        <v>902</v>
      </c>
      <c r="B430" s="543">
        <v>363183.55</v>
      </c>
      <c r="C430" s="94">
        <v>0</v>
      </c>
      <c r="D430" s="94">
        <v>0</v>
      </c>
      <c r="E430" s="94">
        <v>0</v>
      </c>
      <c r="F430" s="94">
        <f t="shared" si="22"/>
        <v>363183.55</v>
      </c>
      <c r="G430" s="94">
        <v>-987.16000000000008</v>
      </c>
      <c r="H430" s="144">
        <v>0</v>
      </c>
      <c r="I430" s="748">
        <f t="shared" si="23"/>
        <v>-987.16000000000008</v>
      </c>
      <c r="J430" s="20"/>
    </row>
    <row r="431" spans="1:10" hidden="1" outlineLevel="1">
      <c r="A431" s="418" t="s">
        <v>904</v>
      </c>
      <c r="B431" s="543">
        <v>95911.98000000001</v>
      </c>
      <c r="C431" s="94">
        <v>-390.91</v>
      </c>
      <c r="D431" s="94">
        <v>0</v>
      </c>
      <c r="E431" s="94">
        <v>0</v>
      </c>
      <c r="F431" s="94">
        <f t="shared" si="22"/>
        <v>95521.07</v>
      </c>
      <c r="G431" s="94">
        <v>2034.0199999999998</v>
      </c>
      <c r="H431" s="144">
        <v>0</v>
      </c>
      <c r="I431" s="748">
        <f t="shared" si="23"/>
        <v>2034.0199999999998</v>
      </c>
      <c r="J431" s="20"/>
    </row>
    <row r="432" spans="1:10" hidden="1" outlineLevel="1">
      <c r="A432" s="418" t="s">
        <v>906</v>
      </c>
      <c r="B432" s="543">
        <v>31830.73</v>
      </c>
      <c r="C432" s="94">
        <v>0</v>
      </c>
      <c r="D432" s="94">
        <v>0</v>
      </c>
      <c r="E432" s="94">
        <v>0</v>
      </c>
      <c r="F432" s="94">
        <f t="shared" si="22"/>
        <v>31830.73</v>
      </c>
      <c r="G432" s="94">
        <v>0</v>
      </c>
      <c r="H432" s="144">
        <v>0</v>
      </c>
      <c r="I432" s="748">
        <f t="shared" si="23"/>
        <v>0</v>
      </c>
      <c r="J432" s="20"/>
    </row>
    <row r="433" spans="1:10" hidden="1" outlineLevel="1">
      <c r="A433" s="418" t="s">
        <v>908</v>
      </c>
      <c r="B433" s="543">
        <v>109579.70000000001</v>
      </c>
      <c r="C433" s="94">
        <v>0</v>
      </c>
      <c r="D433" s="94">
        <v>0</v>
      </c>
      <c r="E433" s="94">
        <v>0</v>
      </c>
      <c r="F433" s="94">
        <f t="shared" si="22"/>
        <v>109579.70000000001</v>
      </c>
      <c r="G433" s="94">
        <v>0</v>
      </c>
      <c r="H433" s="144">
        <v>0</v>
      </c>
      <c r="I433" s="748">
        <f t="shared" si="23"/>
        <v>0</v>
      </c>
      <c r="J433" s="20"/>
    </row>
    <row r="434" spans="1:10" hidden="1" outlineLevel="1">
      <c r="A434" s="418" t="s">
        <v>910</v>
      </c>
      <c r="B434" s="543">
        <v>429148.09</v>
      </c>
      <c r="C434" s="94">
        <v>0</v>
      </c>
      <c r="D434" s="94">
        <v>0</v>
      </c>
      <c r="E434" s="94">
        <v>0</v>
      </c>
      <c r="F434" s="94">
        <f t="shared" si="22"/>
        <v>429148.09</v>
      </c>
      <c r="G434" s="94">
        <v>0</v>
      </c>
      <c r="H434" s="144">
        <v>0</v>
      </c>
      <c r="I434" s="748">
        <f t="shared" si="23"/>
        <v>0</v>
      </c>
      <c r="J434" s="20"/>
    </row>
    <row r="435" spans="1:10" hidden="1" outlineLevel="1">
      <c r="A435" s="418" t="s">
        <v>912</v>
      </c>
      <c r="B435" s="543">
        <v>16120.64</v>
      </c>
      <c r="C435" s="94">
        <v>0</v>
      </c>
      <c r="D435" s="94">
        <v>0</v>
      </c>
      <c r="E435" s="94">
        <v>0</v>
      </c>
      <c r="F435" s="94">
        <f t="shared" si="22"/>
        <v>16120.64</v>
      </c>
      <c r="G435" s="94">
        <v>0</v>
      </c>
      <c r="H435" s="144">
        <v>0</v>
      </c>
      <c r="I435" s="748">
        <f t="shared" si="23"/>
        <v>0</v>
      </c>
      <c r="J435" s="20"/>
    </row>
    <row r="436" spans="1:10" hidden="1" outlineLevel="1">
      <c r="A436" s="418" t="s">
        <v>914</v>
      </c>
      <c r="B436" s="543">
        <v>512399.57</v>
      </c>
      <c r="C436" s="94">
        <v>0</v>
      </c>
      <c r="D436" s="94">
        <v>0</v>
      </c>
      <c r="E436" s="94">
        <v>0</v>
      </c>
      <c r="F436" s="94">
        <f t="shared" si="22"/>
        <v>512399.57</v>
      </c>
      <c r="G436" s="94">
        <v>0</v>
      </c>
      <c r="H436" s="144">
        <v>0</v>
      </c>
      <c r="I436" s="748">
        <f t="shared" si="23"/>
        <v>0</v>
      </c>
      <c r="J436" s="20"/>
    </row>
    <row r="437" spans="1:10" hidden="1" outlineLevel="1">
      <c r="A437" s="418" t="s">
        <v>916</v>
      </c>
      <c r="B437" s="543">
        <v>11545.789999999999</v>
      </c>
      <c r="C437" s="94">
        <v>0</v>
      </c>
      <c r="D437" s="94">
        <v>0</v>
      </c>
      <c r="E437" s="94">
        <v>0</v>
      </c>
      <c r="F437" s="94">
        <f t="shared" si="22"/>
        <v>11545.789999999999</v>
      </c>
      <c r="G437" s="94">
        <v>0</v>
      </c>
      <c r="H437" s="144">
        <v>0</v>
      </c>
      <c r="I437" s="748">
        <f t="shared" si="23"/>
        <v>0</v>
      </c>
      <c r="J437" s="20"/>
    </row>
    <row r="438" spans="1:10" hidden="1" outlineLevel="1">
      <c r="A438" s="418" t="s">
        <v>918</v>
      </c>
      <c r="B438" s="543">
        <v>50040.259999999995</v>
      </c>
      <c r="C438" s="94">
        <v>0</v>
      </c>
      <c r="D438" s="94">
        <v>0</v>
      </c>
      <c r="E438" s="94">
        <v>0</v>
      </c>
      <c r="F438" s="94">
        <f t="shared" si="22"/>
        <v>50040.259999999995</v>
      </c>
      <c r="G438" s="94">
        <v>0</v>
      </c>
      <c r="H438" s="144">
        <v>0</v>
      </c>
      <c r="I438" s="748">
        <f t="shared" si="23"/>
        <v>0</v>
      </c>
      <c r="J438" s="20"/>
    </row>
    <row r="439" spans="1:10" hidden="1" outlineLevel="1">
      <c r="A439" s="418" t="s">
        <v>920</v>
      </c>
      <c r="B439" s="543">
        <v>247520.78</v>
      </c>
      <c r="C439" s="94">
        <v>0</v>
      </c>
      <c r="D439" s="94">
        <v>0</v>
      </c>
      <c r="E439" s="94">
        <v>0</v>
      </c>
      <c r="F439" s="94">
        <f t="shared" si="22"/>
        <v>247520.78</v>
      </c>
      <c r="G439" s="94">
        <v>-33.76</v>
      </c>
      <c r="H439" s="144">
        <v>0</v>
      </c>
      <c r="I439" s="748">
        <f t="shared" si="23"/>
        <v>-33.76</v>
      </c>
      <c r="J439" s="20"/>
    </row>
    <row r="440" spans="1:10" hidden="1" outlineLevel="1">
      <c r="A440" s="418" t="s">
        <v>922</v>
      </c>
      <c r="B440" s="543">
        <v>2827.08</v>
      </c>
      <c r="C440" s="94">
        <v>0</v>
      </c>
      <c r="D440" s="94">
        <v>0</v>
      </c>
      <c r="E440" s="94">
        <v>0</v>
      </c>
      <c r="F440" s="94">
        <f t="shared" si="22"/>
        <v>2827.08</v>
      </c>
      <c r="G440" s="94">
        <v>0</v>
      </c>
      <c r="H440" s="144">
        <v>0</v>
      </c>
      <c r="I440" s="748">
        <f t="shared" si="23"/>
        <v>0</v>
      </c>
      <c r="J440" s="20"/>
    </row>
    <row r="441" spans="1:10" hidden="1" outlineLevel="1">
      <c r="A441" s="418" t="s">
        <v>924</v>
      </c>
      <c r="B441" s="543">
        <v>3520</v>
      </c>
      <c r="C441" s="94">
        <v>0</v>
      </c>
      <c r="D441" s="94">
        <v>0</v>
      </c>
      <c r="E441" s="94">
        <v>0</v>
      </c>
      <c r="F441" s="94">
        <f t="shared" si="22"/>
        <v>3520</v>
      </c>
      <c r="G441" s="94">
        <v>0</v>
      </c>
      <c r="H441" s="144">
        <v>0</v>
      </c>
      <c r="I441" s="748">
        <f t="shared" si="23"/>
        <v>0</v>
      </c>
      <c r="J441" s="20"/>
    </row>
    <row r="442" spans="1:10" hidden="1" outlineLevel="1">
      <c r="A442" s="418" t="s">
        <v>926</v>
      </c>
      <c r="B442" s="543">
        <v>613308.75</v>
      </c>
      <c r="C442" s="94">
        <v>0</v>
      </c>
      <c r="D442" s="94">
        <v>0</v>
      </c>
      <c r="E442" s="94">
        <v>0</v>
      </c>
      <c r="F442" s="94">
        <f t="shared" si="22"/>
        <v>613308.75</v>
      </c>
      <c r="G442" s="94">
        <v>0</v>
      </c>
      <c r="H442" s="144">
        <v>0</v>
      </c>
      <c r="I442" s="748">
        <f t="shared" si="23"/>
        <v>0</v>
      </c>
      <c r="J442" s="20"/>
    </row>
    <row r="443" spans="1:10" hidden="1" outlineLevel="1">
      <c r="A443" s="418" t="s">
        <v>928</v>
      </c>
      <c r="B443" s="543">
        <v>36260.69</v>
      </c>
      <c r="C443" s="94">
        <v>0</v>
      </c>
      <c r="D443" s="94">
        <v>0</v>
      </c>
      <c r="E443" s="94">
        <v>0</v>
      </c>
      <c r="F443" s="94">
        <f t="shared" si="22"/>
        <v>36260.69</v>
      </c>
      <c r="G443" s="94">
        <v>464.52</v>
      </c>
      <c r="H443" s="144">
        <v>0</v>
      </c>
      <c r="I443" s="748">
        <f t="shared" si="23"/>
        <v>464.52</v>
      </c>
      <c r="J443" s="20"/>
    </row>
    <row r="444" spans="1:10" hidden="1" outlineLevel="1">
      <c r="A444" s="418" t="s">
        <v>930</v>
      </c>
      <c r="B444" s="543">
        <v>140939.19999999998</v>
      </c>
      <c r="C444" s="94">
        <v>0</v>
      </c>
      <c r="D444" s="94">
        <v>0</v>
      </c>
      <c r="E444" s="94">
        <v>0</v>
      </c>
      <c r="F444" s="94">
        <f t="shared" si="22"/>
        <v>140939.19999999998</v>
      </c>
      <c r="G444" s="94">
        <v>0</v>
      </c>
      <c r="H444" s="144">
        <v>0</v>
      </c>
      <c r="I444" s="748">
        <f t="shared" si="23"/>
        <v>0</v>
      </c>
      <c r="J444" s="20"/>
    </row>
    <row r="445" spans="1:10" hidden="1" outlineLevel="1">
      <c r="A445" s="418" t="s">
        <v>932</v>
      </c>
      <c r="B445" s="543">
        <v>4271.54</v>
      </c>
      <c r="C445" s="94">
        <v>0</v>
      </c>
      <c r="D445" s="94">
        <v>0</v>
      </c>
      <c r="E445" s="94">
        <v>0</v>
      </c>
      <c r="F445" s="94">
        <f t="shared" si="22"/>
        <v>4271.54</v>
      </c>
      <c r="G445" s="94">
        <v>0</v>
      </c>
      <c r="H445" s="144">
        <v>0</v>
      </c>
      <c r="I445" s="748">
        <f t="shared" si="23"/>
        <v>0</v>
      </c>
      <c r="J445" s="20"/>
    </row>
    <row r="446" spans="1:10" hidden="1" outlineLevel="1">
      <c r="A446" s="418" t="s">
        <v>934</v>
      </c>
      <c r="B446" s="543">
        <v>780815.21</v>
      </c>
      <c r="C446" s="94">
        <v>0</v>
      </c>
      <c r="D446" s="94">
        <v>0</v>
      </c>
      <c r="E446" s="94">
        <v>0</v>
      </c>
      <c r="F446" s="94">
        <f t="shared" si="22"/>
        <v>780815.21</v>
      </c>
      <c r="G446" s="94">
        <v>0</v>
      </c>
      <c r="H446" s="144">
        <v>0</v>
      </c>
      <c r="I446" s="748">
        <f t="shared" si="23"/>
        <v>0</v>
      </c>
      <c r="J446" s="20"/>
    </row>
    <row r="447" spans="1:10" hidden="1" outlineLevel="1">
      <c r="A447" s="418" t="s">
        <v>936</v>
      </c>
      <c r="B447" s="543">
        <v>1334392.56</v>
      </c>
      <c r="C447" s="94">
        <v>0</v>
      </c>
      <c r="D447" s="94">
        <v>0</v>
      </c>
      <c r="E447" s="94">
        <v>0</v>
      </c>
      <c r="F447" s="94">
        <f t="shared" si="22"/>
        <v>1334392.56</v>
      </c>
      <c r="G447" s="94">
        <v>0</v>
      </c>
      <c r="H447" s="144">
        <v>0</v>
      </c>
      <c r="I447" s="748">
        <f t="shared" si="23"/>
        <v>0</v>
      </c>
      <c r="J447" s="20"/>
    </row>
    <row r="448" spans="1:10" hidden="1" outlineLevel="1">
      <c r="A448" s="418" t="s">
        <v>938</v>
      </c>
      <c r="B448" s="543">
        <v>8948.4599999999991</v>
      </c>
      <c r="C448" s="94">
        <v>0</v>
      </c>
      <c r="D448" s="94">
        <v>0</v>
      </c>
      <c r="E448" s="94">
        <v>0</v>
      </c>
      <c r="F448" s="94">
        <f t="shared" si="22"/>
        <v>8948.4599999999991</v>
      </c>
      <c r="G448" s="94">
        <v>0</v>
      </c>
      <c r="H448" s="144">
        <v>0</v>
      </c>
      <c r="I448" s="748">
        <f t="shared" si="23"/>
        <v>0</v>
      </c>
      <c r="J448" s="20"/>
    </row>
    <row r="449" spans="1:10" hidden="1" outlineLevel="1">
      <c r="A449" s="418" t="s">
        <v>940</v>
      </c>
      <c r="B449" s="543">
        <v>79494.400000000009</v>
      </c>
      <c r="C449" s="94">
        <v>0</v>
      </c>
      <c r="D449" s="94">
        <v>0</v>
      </c>
      <c r="E449" s="94">
        <v>0</v>
      </c>
      <c r="F449" s="94">
        <f t="shared" si="22"/>
        <v>79494.400000000009</v>
      </c>
      <c r="G449" s="94">
        <v>0</v>
      </c>
      <c r="H449" s="144">
        <v>0</v>
      </c>
      <c r="I449" s="748">
        <f t="shared" si="23"/>
        <v>0</v>
      </c>
      <c r="J449" s="20"/>
    </row>
    <row r="450" spans="1:10" hidden="1" outlineLevel="1">
      <c r="A450" s="418" t="s">
        <v>942</v>
      </c>
      <c r="B450" s="543">
        <v>7754.99</v>
      </c>
      <c r="C450" s="94">
        <v>0</v>
      </c>
      <c r="D450" s="94">
        <v>0</v>
      </c>
      <c r="E450" s="94">
        <v>0</v>
      </c>
      <c r="F450" s="94">
        <f t="shared" si="22"/>
        <v>7754.99</v>
      </c>
      <c r="G450" s="94">
        <v>0</v>
      </c>
      <c r="H450" s="144">
        <v>0</v>
      </c>
      <c r="I450" s="748">
        <f t="shared" si="23"/>
        <v>0</v>
      </c>
      <c r="J450" s="20"/>
    </row>
    <row r="451" spans="1:10" hidden="1" outlineLevel="1">
      <c r="A451" s="418" t="s">
        <v>210</v>
      </c>
      <c r="B451" s="543">
        <v>146209.22999999998</v>
      </c>
      <c r="C451" s="94">
        <v>0</v>
      </c>
      <c r="D451" s="94">
        <v>0</v>
      </c>
      <c r="E451" s="94">
        <v>0</v>
      </c>
      <c r="F451" s="94">
        <f t="shared" si="22"/>
        <v>146209.22999999998</v>
      </c>
      <c r="G451" s="94">
        <v>0</v>
      </c>
      <c r="H451" s="144">
        <v>0</v>
      </c>
      <c r="I451" s="748">
        <f t="shared" si="23"/>
        <v>0</v>
      </c>
      <c r="J451" s="20"/>
    </row>
    <row r="452" spans="1:10" hidden="1" outlineLevel="1">
      <c r="A452" s="418" t="s">
        <v>944</v>
      </c>
      <c r="B452" s="543">
        <v>109654.89</v>
      </c>
      <c r="C452" s="94">
        <v>0</v>
      </c>
      <c r="D452" s="94">
        <v>0</v>
      </c>
      <c r="E452" s="94">
        <v>0</v>
      </c>
      <c r="F452" s="94">
        <f t="shared" si="22"/>
        <v>109654.89</v>
      </c>
      <c r="G452" s="94">
        <v>0</v>
      </c>
      <c r="H452" s="144">
        <v>0</v>
      </c>
      <c r="I452" s="748">
        <f t="shared" si="23"/>
        <v>0</v>
      </c>
      <c r="J452" s="20"/>
    </row>
    <row r="453" spans="1:10" hidden="1" outlineLevel="1">
      <c r="A453" s="418" t="s">
        <v>946</v>
      </c>
      <c r="B453" s="543">
        <v>33480.910000000003</v>
      </c>
      <c r="C453" s="94">
        <v>0</v>
      </c>
      <c r="D453" s="94">
        <v>0</v>
      </c>
      <c r="E453" s="94">
        <v>0</v>
      </c>
      <c r="F453" s="94">
        <f t="shared" si="22"/>
        <v>33480.910000000003</v>
      </c>
      <c r="G453" s="94">
        <v>0</v>
      </c>
      <c r="H453" s="144">
        <v>0</v>
      </c>
      <c r="I453" s="748">
        <f t="shared" si="23"/>
        <v>0</v>
      </c>
      <c r="J453" s="20"/>
    </row>
    <row r="454" spans="1:10" hidden="1" outlineLevel="1">
      <c r="A454" s="418" t="s">
        <v>948</v>
      </c>
      <c r="B454" s="543">
        <v>2774.9</v>
      </c>
      <c r="C454" s="94">
        <v>0</v>
      </c>
      <c r="D454" s="94">
        <v>0</v>
      </c>
      <c r="E454" s="94">
        <v>0</v>
      </c>
      <c r="F454" s="94">
        <f t="shared" si="22"/>
        <v>2774.9</v>
      </c>
      <c r="G454" s="94">
        <v>0</v>
      </c>
      <c r="H454" s="144">
        <v>0</v>
      </c>
      <c r="I454" s="748">
        <f t="shared" si="23"/>
        <v>0</v>
      </c>
      <c r="J454" s="20"/>
    </row>
    <row r="455" spans="1:10" hidden="1" outlineLevel="1">
      <c r="A455" s="418" t="s">
        <v>950</v>
      </c>
      <c r="B455" s="543">
        <v>15422.099999999999</v>
      </c>
      <c r="C455" s="94">
        <v>0</v>
      </c>
      <c r="D455" s="94">
        <v>0</v>
      </c>
      <c r="E455" s="94">
        <v>0</v>
      </c>
      <c r="F455" s="94">
        <f t="shared" si="22"/>
        <v>15422.099999999999</v>
      </c>
      <c r="G455" s="94">
        <v>0</v>
      </c>
      <c r="H455" s="144">
        <v>0</v>
      </c>
      <c r="I455" s="748">
        <f t="shared" si="23"/>
        <v>0</v>
      </c>
      <c r="J455" s="20"/>
    </row>
    <row r="456" spans="1:10" hidden="1" outlineLevel="1">
      <c r="A456" s="418" t="s">
        <v>952</v>
      </c>
      <c r="B456" s="543">
        <v>73814.05</v>
      </c>
      <c r="C456" s="94">
        <v>0</v>
      </c>
      <c r="D456" s="94">
        <v>0</v>
      </c>
      <c r="E456" s="94">
        <v>0</v>
      </c>
      <c r="F456" s="94">
        <f t="shared" si="22"/>
        <v>73814.05</v>
      </c>
      <c r="G456" s="94">
        <v>0</v>
      </c>
      <c r="H456" s="144">
        <v>0</v>
      </c>
      <c r="I456" s="748">
        <f t="shared" si="23"/>
        <v>0</v>
      </c>
      <c r="J456" s="20"/>
    </row>
    <row r="457" spans="1:10" hidden="1" outlineLevel="1">
      <c r="A457" s="418" t="s">
        <v>954</v>
      </c>
      <c r="B457" s="543">
        <v>131197.93</v>
      </c>
      <c r="C457" s="94">
        <v>0</v>
      </c>
      <c r="D457" s="94">
        <v>0</v>
      </c>
      <c r="E457" s="94">
        <v>0</v>
      </c>
      <c r="F457" s="94">
        <f>SUM(B457:E457)</f>
        <v>131197.93</v>
      </c>
      <c r="G457" s="94">
        <v>0</v>
      </c>
      <c r="H457" s="144">
        <v>0</v>
      </c>
      <c r="I457" s="748">
        <f>G457+H457</f>
        <v>0</v>
      </c>
      <c r="J457" s="20"/>
    </row>
    <row r="458" spans="1:10" hidden="1" outlineLevel="1">
      <c r="A458" s="418" t="s">
        <v>956</v>
      </c>
      <c r="B458" s="543">
        <v>34166</v>
      </c>
      <c r="C458" s="94">
        <v>0</v>
      </c>
      <c r="D458" s="94">
        <v>0</v>
      </c>
      <c r="E458" s="94">
        <v>0</v>
      </c>
      <c r="F458" s="94">
        <f t="shared" si="22"/>
        <v>34166</v>
      </c>
      <c r="G458" s="94">
        <v>0</v>
      </c>
      <c r="H458" s="144">
        <v>0</v>
      </c>
      <c r="I458" s="748">
        <f t="shared" si="23"/>
        <v>0</v>
      </c>
      <c r="J458" s="20"/>
    </row>
    <row r="459" spans="1:10" hidden="1" outlineLevel="1">
      <c r="A459" s="418" t="s">
        <v>958</v>
      </c>
      <c r="B459" s="543">
        <v>33405.56</v>
      </c>
      <c r="C459" s="94">
        <v>0</v>
      </c>
      <c r="D459" s="94">
        <v>0</v>
      </c>
      <c r="E459" s="94">
        <v>0</v>
      </c>
      <c r="F459" s="94">
        <f t="shared" si="22"/>
        <v>33405.56</v>
      </c>
      <c r="G459" s="94">
        <v>0</v>
      </c>
      <c r="H459" s="144">
        <v>0</v>
      </c>
      <c r="I459" s="748">
        <f t="shared" si="23"/>
        <v>0</v>
      </c>
      <c r="J459" s="20"/>
    </row>
    <row r="460" spans="1:10" hidden="1" outlineLevel="1">
      <c r="A460" s="418" t="s">
        <v>960</v>
      </c>
      <c r="B460" s="543">
        <v>81824.210000000006</v>
      </c>
      <c r="C460" s="94">
        <v>0</v>
      </c>
      <c r="D460" s="94">
        <v>0</v>
      </c>
      <c r="E460" s="94">
        <v>0</v>
      </c>
      <c r="F460" s="94">
        <f t="shared" si="22"/>
        <v>81824.210000000006</v>
      </c>
      <c r="G460" s="94">
        <v>0</v>
      </c>
      <c r="H460" s="144">
        <v>0</v>
      </c>
      <c r="I460" s="748">
        <f t="shared" si="23"/>
        <v>0</v>
      </c>
      <c r="J460" s="20"/>
    </row>
    <row r="461" spans="1:10" hidden="1" outlineLevel="1">
      <c r="A461" s="418" t="s">
        <v>962</v>
      </c>
      <c r="B461" s="543">
        <v>2310310.1399999992</v>
      </c>
      <c r="C461" s="94">
        <v>0</v>
      </c>
      <c r="D461" s="94">
        <v>0</v>
      </c>
      <c r="E461" s="94">
        <v>0</v>
      </c>
      <c r="F461" s="94">
        <f t="shared" si="22"/>
        <v>2310310.1399999992</v>
      </c>
      <c r="G461" s="94">
        <v>0</v>
      </c>
      <c r="H461" s="144">
        <v>0</v>
      </c>
      <c r="I461" s="748">
        <f t="shared" si="23"/>
        <v>0</v>
      </c>
      <c r="J461" s="20"/>
    </row>
    <row r="462" spans="1:10" hidden="1" outlineLevel="1">
      <c r="A462" s="418" t="s">
        <v>964</v>
      </c>
      <c r="B462" s="543">
        <v>145207.67999999999</v>
      </c>
      <c r="C462" s="94">
        <v>0</v>
      </c>
      <c r="D462" s="94">
        <v>0</v>
      </c>
      <c r="E462" s="94">
        <v>0</v>
      </c>
      <c r="F462" s="94">
        <f t="shared" si="22"/>
        <v>145207.67999999999</v>
      </c>
      <c r="G462" s="94">
        <v>41046.32</v>
      </c>
      <c r="H462" s="144">
        <v>0</v>
      </c>
      <c r="I462" s="748">
        <f t="shared" si="23"/>
        <v>41046.32</v>
      </c>
      <c r="J462" s="20"/>
    </row>
    <row r="463" spans="1:10" hidden="1" outlineLevel="1">
      <c r="A463" s="418" t="s">
        <v>966</v>
      </c>
      <c r="B463" s="543">
        <v>135.88</v>
      </c>
      <c r="C463" s="94">
        <v>0</v>
      </c>
      <c r="D463" s="94">
        <v>0</v>
      </c>
      <c r="E463" s="94">
        <v>0</v>
      </c>
      <c r="F463" s="94">
        <f t="shared" si="22"/>
        <v>135.88</v>
      </c>
      <c r="G463" s="94">
        <v>0</v>
      </c>
      <c r="H463" s="144">
        <v>0</v>
      </c>
      <c r="I463" s="748">
        <f t="shared" si="23"/>
        <v>0</v>
      </c>
      <c r="J463" s="20"/>
    </row>
    <row r="464" spans="1:10" hidden="1" outlineLevel="1">
      <c r="A464" s="418" t="s">
        <v>968</v>
      </c>
      <c r="B464" s="543">
        <v>193933.41000000003</v>
      </c>
      <c r="C464" s="94">
        <v>0</v>
      </c>
      <c r="D464" s="94">
        <v>0</v>
      </c>
      <c r="E464" s="94">
        <v>0</v>
      </c>
      <c r="F464" s="94">
        <f t="shared" si="22"/>
        <v>193933.41000000003</v>
      </c>
      <c r="G464" s="94">
        <v>0</v>
      </c>
      <c r="H464" s="144">
        <v>0</v>
      </c>
      <c r="I464" s="748">
        <f t="shared" si="23"/>
        <v>0</v>
      </c>
      <c r="J464" s="20"/>
    </row>
    <row r="465" spans="1:10" hidden="1" outlineLevel="1">
      <c r="A465" s="418" t="s">
        <v>970</v>
      </c>
      <c r="B465" s="543">
        <v>25342.5</v>
      </c>
      <c r="C465" s="94">
        <v>0</v>
      </c>
      <c r="D465" s="94">
        <v>0</v>
      </c>
      <c r="E465" s="94">
        <v>0</v>
      </c>
      <c r="F465" s="94">
        <f t="shared" si="22"/>
        <v>25342.5</v>
      </c>
      <c r="G465" s="94">
        <v>0</v>
      </c>
      <c r="H465" s="144">
        <v>0</v>
      </c>
      <c r="I465" s="748">
        <f t="shared" si="23"/>
        <v>0</v>
      </c>
      <c r="J465" s="20"/>
    </row>
    <row r="466" spans="1:10" hidden="1" outlineLevel="1">
      <c r="A466" s="418" t="s">
        <v>972</v>
      </c>
      <c r="B466" s="543">
        <v>212032.32</v>
      </c>
      <c r="C466" s="94">
        <v>0</v>
      </c>
      <c r="D466" s="94">
        <v>0</v>
      </c>
      <c r="E466" s="94">
        <v>0</v>
      </c>
      <c r="F466" s="94">
        <f t="shared" si="22"/>
        <v>212032.32</v>
      </c>
      <c r="G466" s="94">
        <v>0</v>
      </c>
      <c r="H466" s="144">
        <v>0</v>
      </c>
      <c r="I466" s="748">
        <f t="shared" si="23"/>
        <v>0</v>
      </c>
      <c r="J466" s="20"/>
    </row>
    <row r="467" spans="1:10" hidden="1" outlineLevel="1">
      <c r="A467" s="418" t="s">
        <v>974</v>
      </c>
      <c r="B467" s="543">
        <v>647004.44000000006</v>
      </c>
      <c r="C467" s="94">
        <v>-264.08</v>
      </c>
      <c r="D467" s="94">
        <v>0</v>
      </c>
      <c r="E467" s="94">
        <v>0</v>
      </c>
      <c r="F467" s="94">
        <f t="shared" si="22"/>
        <v>646740.3600000001</v>
      </c>
      <c r="G467" s="94">
        <v>0</v>
      </c>
      <c r="H467" s="144">
        <v>0</v>
      </c>
      <c r="I467" s="748">
        <f t="shared" si="23"/>
        <v>0</v>
      </c>
      <c r="J467" s="20"/>
    </row>
    <row r="468" spans="1:10" hidden="1" outlineLevel="1">
      <c r="A468" s="418" t="s">
        <v>976</v>
      </c>
      <c r="B468" s="543">
        <v>36929.57</v>
      </c>
      <c r="C468" s="94">
        <v>0</v>
      </c>
      <c r="D468" s="94">
        <v>0</v>
      </c>
      <c r="E468" s="94">
        <v>0</v>
      </c>
      <c r="F468" s="94">
        <f t="shared" si="22"/>
        <v>36929.57</v>
      </c>
      <c r="G468" s="94">
        <v>0</v>
      </c>
      <c r="H468" s="144">
        <v>0</v>
      </c>
      <c r="I468" s="748">
        <f t="shared" si="23"/>
        <v>0</v>
      </c>
      <c r="J468" s="20"/>
    </row>
    <row r="469" spans="1:10" hidden="1" outlineLevel="1">
      <c r="A469" s="418" t="s">
        <v>978</v>
      </c>
      <c r="B469" s="543">
        <v>317962.44000000006</v>
      </c>
      <c r="C469" s="94">
        <v>0</v>
      </c>
      <c r="D469" s="94">
        <v>0</v>
      </c>
      <c r="E469" s="94">
        <v>0</v>
      </c>
      <c r="F469" s="94">
        <f t="shared" si="22"/>
        <v>317962.44000000006</v>
      </c>
      <c r="G469" s="94">
        <v>22578.120000000003</v>
      </c>
      <c r="H469" s="144">
        <v>0</v>
      </c>
      <c r="I469" s="748">
        <f t="shared" si="23"/>
        <v>22578.120000000003</v>
      </c>
      <c r="J469" s="20"/>
    </row>
    <row r="470" spans="1:10" hidden="1" outlineLevel="1">
      <c r="A470" s="418" t="s">
        <v>980</v>
      </c>
      <c r="B470" s="543">
        <v>558243.64</v>
      </c>
      <c r="C470" s="94">
        <v>-108.19</v>
      </c>
      <c r="D470" s="94">
        <v>0</v>
      </c>
      <c r="E470" s="94">
        <v>0</v>
      </c>
      <c r="F470" s="94">
        <f t="shared" si="22"/>
        <v>558135.45000000007</v>
      </c>
      <c r="G470" s="94">
        <v>80112.319999999992</v>
      </c>
      <c r="H470" s="144">
        <v>0</v>
      </c>
      <c r="I470" s="748">
        <f t="shared" si="23"/>
        <v>80112.319999999992</v>
      </c>
      <c r="J470" s="20"/>
    </row>
    <row r="471" spans="1:10" hidden="1" outlineLevel="1">
      <c r="A471" s="418" t="s">
        <v>982</v>
      </c>
      <c r="B471" s="543">
        <v>35268.22</v>
      </c>
      <c r="C471" s="94">
        <v>0</v>
      </c>
      <c r="D471" s="94">
        <v>0</v>
      </c>
      <c r="E471" s="94">
        <v>0</v>
      </c>
      <c r="F471" s="94">
        <f t="shared" si="22"/>
        <v>35268.22</v>
      </c>
      <c r="G471" s="94">
        <v>0</v>
      </c>
      <c r="H471" s="144">
        <v>0</v>
      </c>
      <c r="I471" s="748">
        <f t="shared" si="23"/>
        <v>0</v>
      </c>
      <c r="J471" s="20"/>
    </row>
    <row r="472" spans="1:10" hidden="1" outlineLevel="1">
      <c r="A472" s="418" t="s">
        <v>984</v>
      </c>
      <c r="B472" s="543">
        <v>223368.68</v>
      </c>
      <c r="C472" s="94">
        <v>0</v>
      </c>
      <c r="D472" s="94">
        <v>0</v>
      </c>
      <c r="E472" s="94">
        <v>0</v>
      </c>
      <c r="F472" s="94">
        <f t="shared" ref="F472:F535" si="24">SUM(B472:E472)</f>
        <v>223368.68</v>
      </c>
      <c r="G472" s="94">
        <v>-3693.57</v>
      </c>
      <c r="H472" s="144">
        <v>0</v>
      </c>
      <c r="I472" s="748">
        <f t="shared" ref="I472:I535" si="25">G472+H472</f>
        <v>-3693.57</v>
      </c>
      <c r="J472" s="20"/>
    </row>
    <row r="473" spans="1:10" hidden="1" outlineLevel="1">
      <c r="A473" s="418" t="s">
        <v>986</v>
      </c>
      <c r="B473" s="543">
        <v>8256.32</v>
      </c>
      <c r="C473" s="94">
        <v>0</v>
      </c>
      <c r="D473" s="94">
        <v>0</v>
      </c>
      <c r="E473" s="94">
        <v>0</v>
      </c>
      <c r="F473" s="94">
        <f t="shared" si="24"/>
        <v>8256.32</v>
      </c>
      <c r="G473" s="94">
        <v>0</v>
      </c>
      <c r="H473" s="144">
        <v>0</v>
      </c>
      <c r="I473" s="748">
        <f t="shared" si="25"/>
        <v>0</v>
      </c>
      <c r="J473" s="20"/>
    </row>
    <row r="474" spans="1:10" hidden="1" outlineLevel="1">
      <c r="A474" s="418" t="s">
        <v>988</v>
      </c>
      <c r="B474" s="543">
        <v>392382.01000000007</v>
      </c>
      <c r="C474" s="94">
        <v>0</v>
      </c>
      <c r="D474" s="94">
        <v>0</v>
      </c>
      <c r="E474" s="94">
        <v>0</v>
      </c>
      <c r="F474" s="94">
        <f t="shared" si="24"/>
        <v>392382.01000000007</v>
      </c>
      <c r="G474" s="94">
        <v>0</v>
      </c>
      <c r="H474" s="144">
        <v>0</v>
      </c>
      <c r="I474" s="748">
        <f t="shared" si="25"/>
        <v>0</v>
      </c>
      <c r="J474" s="20"/>
    </row>
    <row r="475" spans="1:10" hidden="1" outlineLevel="1">
      <c r="A475" s="418" t="s">
        <v>990</v>
      </c>
      <c r="B475" s="543">
        <v>48784.609999999993</v>
      </c>
      <c r="C475" s="94">
        <v>0</v>
      </c>
      <c r="D475" s="94">
        <v>0</v>
      </c>
      <c r="E475" s="94">
        <v>0</v>
      </c>
      <c r="F475" s="94">
        <f t="shared" si="24"/>
        <v>48784.609999999993</v>
      </c>
      <c r="G475" s="94">
        <v>0</v>
      </c>
      <c r="H475" s="144">
        <v>0</v>
      </c>
      <c r="I475" s="748">
        <f t="shared" si="25"/>
        <v>0</v>
      </c>
      <c r="J475" s="20"/>
    </row>
    <row r="476" spans="1:10" hidden="1" outlineLevel="1">
      <c r="A476" s="418" t="s">
        <v>992</v>
      </c>
      <c r="B476" s="543">
        <v>60140.93</v>
      </c>
      <c r="C476" s="94">
        <v>0</v>
      </c>
      <c r="D476" s="94">
        <v>0</v>
      </c>
      <c r="E476" s="94">
        <v>0</v>
      </c>
      <c r="F476" s="94">
        <f t="shared" si="24"/>
        <v>60140.93</v>
      </c>
      <c r="G476" s="94">
        <v>0</v>
      </c>
      <c r="H476" s="144">
        <v>0</v>
      </c>
      <c r="I476" s="748">
        <f t="shared" si="25"/>
        <v>0</v>
      </c>
      <c r="J476" s="20"/>
    </row>
    <row r="477" spans="1:10" hidden="1" outlineLevel="1">
      <c r="A477" s="418" t="s">
        <v>994</v>
      </c>
      <c r="B477" s="543">
        <v>3050.99</v>
      </c>
      <c r="C477" s="94">
        <v>0</v>
      </c>
      <c r="D477" s="94">
        <v>0</v>
      </c>
      <c r="E477" s="94">
        <v>0</v>
      </c>
      <c r="F477" s="94">
        <f t="shared" si="24"/>
        <v>3050.99</v>
      </c>
      <c r="G477" s="94">
        <v>0</v>
      </c>
      <c r="H477" s="144">
        <v>0</v>
      </c>
      <c r="I477" s="748">
        <f t="shared" si="25"/>
        <v>0</v>
      </c>
      <c r="J477" s="20"/>
    </row>
    <row r="478" spans="1:10" hidden="1" outlineLevel="1">
      <c r="A478" s="418" t="s">
        <v>996</v>
      </c>
      <c r="B478" s="543">
        <v>1076.6599999999999</v>
      </c>
      <c r="C478" s="94">
        <v>0</v>
      </c>
      <c r="D478" s="94">
        <v>0</v>
      </c>
      <c r="E478" s="94">
        <v>0</v>
      </c>
      <c r="F478" s="94">
        <f t="shared" si="24"/>
        <v>1076.6599999999999</v>
      </c>
      <c r="G478" s="94">
        <v>0</v>
      </c>
      <c r="H478" s="144">
        <v>0</v>
      </c>
      <c r="I478" s="748">
        <f t="shared" si="25"/>
        <v>0</v>
      </c>
      <c r="J478" s="20"/>
    </row>
    <row r="479" spans="1:10" hidden="1" outlineLevel="1">
      <c r="A479" s="418" t="s">
        <v>998</v>
      </c>
      <c r="B479" s="543">
        <v>49755.199999999997</v>
      </c>
      <c r="C479" s="94">
        <v>0</v>
      </c>
      <c r="D479" s="94">
        <v>0</v>
      </c>
      <c r="E479" s="94">
        <v>0</v>
      </c>
      <c r="F479" s="94">
        <f t="shared" si="24"/>
        <v>49755.199999999997</v>
      </c>
      <c r="G479" s="94">
        <v>56702.559999999998</v>
      </c>
      <c r="H479" s="144">
        <v>0</v>
      </c>
      <c r="I479" s="748">
        <f t="shared" si="25"/>
        <v>56702.559999999998</v>
      </c>
      <c r="J479" s="20"/>
    </row>
    <row r="480" spans="1:10" hidden="1" outlineLevel="1">
      <c r="A480" s="418" t="s">
        <v>1000</v>
      </c>
      <c r="B480" s="543">
        <v>12640.44</v>
      </c>
      <c r="C480" s="94">
        <v>0</v>
      </c>
      <c r="D480" s="94">
        <v>0</v>
      </c>
      <c r="E480" s="94">
        <v>0</v>
      </c>
      <c r="F480" s="94">
        <f t="shared" si="24"/>
        <v>12640.44</v>
      </c>
      <c r="G480" s="94">
        <v>0</v>
      </c>
      <c r="H480" s="144">
        <v>0</v>
      </c>
      <c r="I480" s="748">
        <f t="shared" si="25"/>
        <v>0</v>
      </c>
      <c r="J480" s="20"/>
    </row>
    <row r="481" spans="1:10" hidden="1" outlineLevel="1">
      <c r="A481" s="418" t="s">
        <v>1002</v>
      </c>
      <c r="B481" s="543">
        <v>541606.93000000005</v>
      </c>
      <c r="C481" s="94">
        <v>0</v>
      </c>
      <c r="D481" s="94">
        <v>0</v>
      </c>
      <c r="E481" s="94">
        <v>0</v>
      </c>
      <c r="F481" s="94">
        <f t="shared" si="24"/>
        <v>541606.93000000005</v>
      </c>
      <c r="G481" s="94">
        <v>0</v>
      </c>
      <c r="H481" s="144">
        <v>0</v>
      </c>
      <c r="I481" s="748">
        <f t="shared" si="25"/>
        <v>0</v>
      </c>
      <c r="J481" s="20"/>
    </row>
    <row r="482" spans="1:10" hidden="1" outlineLevel="1">
      <c r="A482" s="418" t="s">
        <v>1004</v>
      </c>
      <c r="B482" s="543">
        <v>11889.93</v>
      </c>
      <c r="C482" s="94">
        <v>0</v>
      </c>
      <c r="D482" s="94">
        <v>0</v>
      </c>
      <c r="E482" s="94">
        <v>0</v>
      </c>
      <c r="F482" s="94">
        <f t="shared" si="24"/>
        <v>11889.93</v>
      </c>
      <c r="G482" s="94">
        <v>0</v>
      </c>
      <c r="H482" s="144">
        <v>0</v>
      </c>
      <c r="I482" s="748">
        <f t="shared" si="25"/>
        <v>0</v>
      </c>
      <c r="J482" s="20"/>
    </row>
    <row r="483" spans="1:10" hidden="1" outlineLevel="1">
      <c r="A483" s="418" t="s">
        <v>1006</v>
      </c>
      <c r="B483" s="543">
        <v>51578.570000000007</v>
      </c>
      <c r="C483" s="94">
        <v>0</v>
      </c>
      <c r="D483" s="94">
        <v>0</v>
      </c>
      <c r="E483" s="94">
        <v>0</v>
      </c>
      <c r="F483" s="94">
        <f t="shared" si="24"/>
        <v>51578.570000000007</v>
      </c>
      <c r="G483" s="94">
        <v>0</v>
      </c>
      <c r="H483" s="144">
        <v>0</v>
      </c>
      <c r="I483" s="748">
        <f t="shared" si="25"/>
        <v>0</v>
      </c>
      <c r="J483" s="20"/>
    </row>
    <row r="484" spans="1:10" hidden="1" outlineLevel="1">
      <c r="A484" s="418" t="s">
        <v>1008</v>
      </c>
      <c r="B484" s="543">
        <v>13246.880000000001</v>
      </c>
      <c r="C484" s="94">
        <v>0</v>
      </c>
      <c r="D484" s="94">
        <v>0</v>
      </c>
      <c r="E484" s="94">
        <v>0</v>
      </c>
      <c r="F484" s="94">
        <f t="shared" si="24"/>
        <v>13246.880000000001</v>
      </c>
      <c r="G484" s="94">
        <v>0</v>
      </c>
      <c r="H484" s="144">
        <v>0</v>
      </c>
      <c r="I484" s="748">
        <f t="shared" si="25"/>
        <v>0</v>
      </c>
      <c r="J484" s="20"/>
    </row>
    <row r="485" spans="1:10" hidden="1" outlineLevel="1">
      <c r="A485" s="418" t="s">
        <v>1010</v>
      </c>
      <c r="B485" s="543">
        <v>80812.240000000005</v>
      </c>
      <c r="C485" s="94">
        <v>0</v>
      </c>
      <c r="D485" s="94">
        <v>0</v>
      </c>
      <c r="E485" s="94">
        <v>0</v>
      </c>
      <c r="F485" s="94">
        <f t="shared" si="24"/>
        <v>80812.240000000005</v>
      </c>
      <c r="G485" s="94">
        <v>0</v>
      </c>
      <c r="H485" s="144">
        <v>0</v>
      </c>
      <c r="I485" s="748">
        <f t="shared" si="25"/>
        <v>0</v>
      </c>
      <c r="J485" s="20"/>
    </row>
    <row r="486" spans="1:10" hidden="1" outlineLevel="1">
      <c r="A486" s="418" t="s">
        <v>1012</v>
      </c>
      <c r="B486" s="543">
        <v>12259.48</v>
      </c>
      <c r="C486" s="94">
        <v>0</v>
      </c>
      <c r="D486" s="94">
        <v>0</v>
      </c>
      <c r="E486" s="94">
        <v>0</v>
      </c>
      <c r="F486" s="94">
        <f t="shared" si="24"/>
        <v>12259.48</v>
      </c>
      <c r="G486" s="94">
        <v>0</v>
      </c>
      <c r="H486" s="144">
        <v>0</v>
      </c>
      <c r="I486" s="748">
        <f t="shared" si="25"/>
        <v>0</v>
      </c>
      <c r="J486" s="20"/>
    </row>
    <row r="487" spans="1:10" hidden="1" outlineLevel="1">
      <c r="A487" s="418" t="s">
        <v>1014</v>
      </c>
      <c r="B487" s="543">
        <v>21002.82</v>
      </c>
      <c r="C487" s="94">
        <v>0</v>
      </c>
      <c r="D487" s="94">
        <v>0</v>
      </c>
      <c r="E487" s="94">
        <v>0</v>
      </c>
      <c r="F487" s="94">
        <f t="shared" si="24"/>
        <v>21002.82</v>
      </c>
      <c r="G487" s="94">
        <v>0</v>
      </c>
      <c r="H487" s="144">
        <v>0</v>
      </c>
      <c r="I487" s="748">
        <f t="shared" si="25"/>
        <v>0</v>
      </c>
      <c r="J487" s="20"/>
    </row>
    <row r="488" spans="1:10" hidden="1" outlineLevel="1">
      <c r="A488" s="418" t="s">
        <v>1016</v>
      </c>
      <c r="B488" s="543">
        <v>10587.51</v>
      </c>
      <c r="C488" s="94">
        <v>0</v>
      </c>
      <c r="D488" s="94">
        <v>0</v>
      </c>
      <c r="E488" s="94">
        <v>0</v>
      </c>
      <c r="F488" s="94">
        <f t="shared" si="24"/>
        <v>10587.51</v>
      </c>
      <c r="G488" s="94">
        <v>0</v>
      </c>
      <c r="H488" s="144">
        <v>0</v>
      </c>
      <c r="I488" s="748">
        <f t="shared" si="25"/>
        <v>0</v>
      </c>
      <c r="J488" s="20"/>
    </row>
    <row r="489" spans="1:10" hidden="1" outlineLevel="1">
      <c r="A489" s="418" t="s">
        <v>1018</v>
      </c>
      <c r="B489" s="543">
        <v>111318.28</v>
      </c>
      <c r="C489" s="94">
        <v>0</v>
      </c>
      <c r="D489" s="94">
        <v>0</v>
      </c>
      <c r="E489" s="94">
        <v>0</v>
      </c>
      <c r="F489" s="94">
        <f t="shared" si="24"/>
        <v>111318.28</v>
      </c>
      <c r="G489" s="94">
        <v>0</v>
      </c>
      <c r="H489" s="144">
        <v>0</v>
      </c>
      <c r="I489" s="748">
        <f t="shared" si="25"/>
        <v>0</v>
      </c>
      <c r="J489" s="20"/>
    </row>
    <row r="490" spans="1:10" hidden="1" outlineLevel="1">
      <c r="A490" s="418" t="s">
        <v>1020</v>
      </c>
      <c r="B490" s="543">
        <v>75481.89</v>
      </c>
      <c r="C490" s="94">
        <v>0</v>
      </c>
      <c r="D490" s="94">
        <v>0</v>
      </c>
      <c r="E490" s="94">
        <v>0</v>
      </c>
      <c r="F490" s="94">
        <f t="shared" si="24"/>
        <v>75481.89</v>
      </c>
      <c r="G490" s="94">
        <v>14008.210000000001</v>
      </c>
      <c r="H490" s="144">
        <v>0</v>
      </c>
      <c r="I490" s="748">
        <f t="shared" si="25"/>
        <v>14008.210000000001</v>
      </c>
      <c r="J490" s="20"/>
    </row>
    <row r="491" spans="1:10" hidden="1" outlineLevel="1">
      <c r="A491" s="418" t="s">
        <v>1022</v>
      </c>
      <c r="B491" s="543">
        <v>501712.77999999997</v>
      </c>
      <c r="C491" s="94">
        <v>0</v>
      </c>
      <c r="D491" s="94">
        <v>0</v>
      </c>
      <c r="E491" s="94">
        <v>0</v>
      </c>
      <c r="F491" s="94">
        <f t="shared" si="24"/>
        <v>501712.77999999997</v>
      </c>
      <c r="G491" s="94">
        <v>0</v>
      </c>
      <c r="H491" s="144">
        <v>0</v>
      </c>
      <c r="I491" s="748">
        <f t="shared" si="25"/>
        <v>0</v>
      </c>
      <c r="J491" s="20"/>
    </row>
    <row r="492" spans="1:10" hidden="1" outlineLevel="1">
      <c r="A492" s="418" t="s">
        <v>1024</v>
      </c>
      <c r="B492" s="543">
        <v>2446031.61</v>
      </c>
      <c r="C492" s="94">
        <v>0</v>
      </c>
      <c r="D492" s="94">
        <v>0</v>
      </c>
      <c r="E492" s="94">
        <v>0</v>
      </c>
      <c r="F492" s="94">
        <f t="shared" si="24"/>
        <v>2446031.61</v>
      </c>
      <c r="G492" s="94">
        <v>30684.52</v>
      </c>
      <c r="H492" s="144">
        <v>0</v>
      </c>
      <c r="I492" s="748">
        <f t="shared" si="25"/>
        <v>30684.52</v>
      </c>
      <c r="J492" s="20"/>
    </row>
    <row r="493" spans="1:10" hidden="1" outlineLevel="1">
      <c r="A493" s="418" t="s">
        <v>1026</v>
      </c>
      <c r="B493" s="543">
        <v>152747.78999999998</v>
      </c>
      <c r="C493" s="94">
        <v>0</v>
      </c>
      <c r="D493" s="94">
        <v>0</v>
      </c>
      <c r="E493" s="94">
        <v>0</v>
      </c>
      <c r="F493" s="94">
        <f t="shared" si="24"/>
        <v>152747.78999999998</v>
      </c>
      <c r="G493" s="94">
        <v>0</v>
      </c>
      <c r="H493" s="144">
        <v>0</v>
      </c>
      <c r="I493" s="748">
        <f t="shared" si="25"/>
        <v>0</v>
      </c>
      <c r="J493" s="20"/>
    </row>
    <row r="494" spans="1:10" hidden="1" outlineLevel="1">
      <c r="A494" s="418" t="s">
        <v>1028</v>
      </c>
      <c r="B494" s="543">
        <v>17257.649999999998</v>
      </c>
      <c r="C494" s="94">
        <v>-443.06</v>
      </c>
      <c r="D494" s="94">
        <v>0</v>
      </c>
      <c r="E494" s="94">
        <v>0</v>
      </c>
      <c r="F494" s="94">
        <f t="shared" si="24"/>
        <v>16814.589999999997</v>
      </c>
      <c r="G494" s="94">
        <v>0</v>
      </c>
      <c r="H494" s="144">
        <v>0</v>
      </c>
      <c r="I494" s="748">
        <f t="shared" si="25"/>
        <v>0</v>
      </c>
      <c r="J494" s="20"/>
    </row>
    <row r="495" spans="1:10" hidden="1" outlineLevel="1">
      <c r="A495" s="418" t="s">
        <v>1030</v>
      </c>
      <c r="B495" s="543">
        <v>3396110.6500000004</v>
      </c>
      <c r="C495" s="94">
        <v>0</v>
      </c>
      <c r="D495" s="94">
        <v>0</v>
      </c>
      <c r="E495" s="94">
        <v>0</v>
      </c>
      <c r="F495" s="94">
        <f t="shared" si="24"/>
        <v>3396110.6500000004</v>
      </c>
      <c r="G495" s="94">
        <v>5145.1200000000008</v>
      </c>
      <c r="H495" s="144">
        <v>0</v>
      </c>
      <c r="I495" s="748">
        <f t="shared" si="25"/>
        <v>5145.1200000000008</v>
      </c>
      <c r="J495" s="20"/>
    </row>
    <row r="496" spans="1:10" hidden="1" outlineLevel="1">
      <c r="A496" s="418" t="s">
        <v>1032</v>
      </c>
      <c r="B496" s="543">
        <v>29964.570000000003</v>
      </c>
      <c r="C496" s="94">
        <v>0</v>
      </c>
      <c r="D496" s="94">
        <v>0</v>
      </c>
      <c r="E496" s="94">
        <v>0</v>
      </c>
      <c r="F496" s="94">
        <f t="shared" si="24"/>
        <v>29964.570000000003</v>
      </c>
      <c r="G496" s="94">
        <v>0</v>
      </c>
      <c r="H496" s="144">
        <v>0</v>
      </c>
      <c r="I496" s="748">
        <f t="shared" si="25"/>
        <v>0</v>
      </c>
      <c r="J496" s="20"/>
    </row>
    <row r="497" spans="1:10" hidden="1" outlineLevel="1">
      <c r="A497" s="418" t="s">
        <v>1034</v>
      </c>
      <c r="B497" s="543">
        <v>32561.65</v>
      </c>
      <c r="C497" s="94">
        <v>0</v>
      </c>
      <c r="D497" s="94">
        <v>0</v>
      </c>
      <c r="E497" s="94">
        <v>0</v>
      </c>
      <c r="F497" s="94">
        <f t="shared" si="24"/>
        <v>32561.65</v>
      </c>
      <c r="G497" s="94">
        <v>1739.68</v>
      </c>
      <c r="H497" s="144">
        <v>0</v>
      </c>
      <c r="I497" s="748">
        <f t="shared" si="25"/>
        <v>1739.68</v>
      </c>
      <c r="J497" s="20"/>
    </row>
    <row r="498" spans="1:10" hidden="1" outlineLevel="1">
      <c r="A498" s="418" t="s">
        <v>1036</v>
      </c>
      <c r="B498" s="543">
        <v>41956.25</v>
      </c>
      <c r="C498" s="94">
        <v>0</v>
      </c>
      <c r="D498" s="94">
        <v>0</v>
      </c>
      <c r="E498" s="94">
        <v>0</v>
      </c>
      <c r="F498" s="94">
        <f t="shared" si="24"/>
        <v>41956.25</v>
      </c>
      <c r="G498" s="94">
        <v>0</v>
      </c>
      <c r="H498" s="144">
        <v>0</v>
      </c>
      <c r="I498" s="748">
        <f t="shared" si="25"/>
        <v>0</v>
      </c>
      <c r="J498" s="20"/>
    </row>
    <row r="499" spans="1:10" hidden="1" outlineLevel="1">
      <c r="A499" s="418" t="s">
        <v>1038</v>
      </c>
      <c r="B499" s="543">
        <v>34631.760000000002</v>
      </c>
      <c r="C499" s="94">
        <v>0</v>
      </c>
      <c r="D499" s="94">
        <v>0</v>
      </c>
      <c r="E499" s="94">
        <v>0</v>
      </c>
      <c r="F499" s="94">
        <f t="shared" si="24"/>
        <v>34631.760000000002</v>
      </c>
      <c r="G499" s="94">
        <v>0</v>
      </c>
      <c r="H499" s="144">
        <v>0</v>
      </c>
      <c r="I499" s="748">
        <f t="shared" si="25"/>
        <v>0</v>
      </c>
      <c r="J499" s="20"/>
    </row>
    <row r="500" spans="1:10" hidden="1" outlineLevel="1">
      <c r="A500" s="418" t="s">
        <v>1040</v>
      </c>
      <c r="B500" s="543">
        <v>60268.729999999996</v>
      </c>
      <c r="C500" s="94">
        <v>0</v>
      </c>
      <c r="D500" s="94">
        <v>0</v>
      </c>
      <c r="E500" s="94">
        <v>0</v>
      </c>
      <c r="F500" s="94">
        <f t="shared" si="24"/>
        <v>60268.729999999996</v>
      </c>
      <c r="G500" s="94">
        <v>0</v>
      </c>
      <c r="H500" s="144">
        <v>0</v>
      </c>
      <c r="I500" s="748">
        <f t="shared" si="25"/>
        <v>0</v>
      </c>
      <c r="J500" s="20"/>
    </row>
    <row r="501" spans="1:10" hidden="1" outlineLevel="1">
      <c r="A501" s="418" t="s">
        <v>1042</v>
      </c>
      <c r="B501" s="543">
        <v>28025.87</v>
      </c>
      <c r="C501" s="94">
        <v>0</v>
      </c>
      <c r="D501" s="94">
        <v>0</v>
      </c>
      <c r="E501" s="94">
        <v>0</v>
      </c>
      <c r="F501" s="94">
        <f t="shared" si="24"/>
        <v>28025.87</v>
      </c>
      <c r="G501" s="94">
        <v>0</v>
      </c>
      <c r="H501" s="144">
        <v>0</v>
      </c>
      <c r="I501" s="748">
        <f t="shared" si="25"/>
        <v>0</v>
      </c>
      <c r="J501" s="20"/>
    </row>
    <row r="502" spans="1:10" hidden="1" outlineLevel="1">
      <c r="A502" s="418" t="s">
        <v>1044</v>
      </c>
      <c r="B502" s="543">
        <v>47013.39</v>
      </c>
      <c r="C502" s="94">
        <v>0</v>
      </c>
      <c r="D502" s="94">
        <v>0</v>
      </c>
      <c r="E502" s="94">
        <v>0</v>
      </c>
      <c r="F502" s="94">
        <f t="shared" si="24"/>
        <v>47013.39</v>
      </c>
      <c r="G502" s="94">
        <v>0</v>
      </c>
      <c r="H502" s="144">
        <v>0</v>
      </c>
      <c r="I502" s="748">
        <f t="shared" si="25"/>
        <v>0</v>
      </c>
      <c r="J502" s="20"/>
    </row>
    <row r="503" spans="1:10" hidden="1" outlineLevel="1">
      <c r="A503" s="418" t="s">
        <v>1046</v>
      </c>
      <c r="B503" s="543">
        <v>14740.64</v>
      </c>
      <c r="C503" s="94">
        <v>0</v>
      </c>
      <c r="D503" s="94">
        <v>0</v>
      </c>
      <c r="E503" s="94">
        <v>0</v>
      </c>
      <c r="F503" s="94">
        <f t="shared" si="24"/>
        <v>14740.64</v>
      </c>
      <c r="G503" s="94">
        <v>0</v>
      </c>
      <c r="H503" s="144">
        <v>0</v>
      </c>
      <c r="I503" s="748">
        <f t="shared" si="25"/>
        <v>0</v>
      </c>
      <c r="J503" s="20"/>
    </row>
    <row r="504" spans="1:10" hidden="1" outlineLevel="1">
      <c r="A504" s="418" t="s">
        <v>1048</v>
      </c>
      <c r="B504" s="543">
        <v>1318.6</v>
      </c>
      <c r="C504" s="94">
        <v>0</v>
      </c>
      <c r="D504" s="94">
        <v>0</v>
      </c>
      <c r="E504" s="94">
        <v>0</v>
      </c>
      <c r="F504" s="94">
        <f t="shared" si="24"/>
        <v>1318.6</v>
      </c>
      <c r="G504" s="94">
        <v>0</v>
      </c>
      <c r="H504" s="144">
        <v>0</v>
      </c>
      <c r="I504" s="748">
        <f t="shared" si="25"/>
        <v>0</v>
      </c>
      <c r="J504" s="20"/>
    </row>
    <row r="505" spans="1:10" hidden="1" outlineLevel="1">
      <c r="A505" s="418" t="s">
        <v>1050</v>
      </c>
      <c r="B505" s="543">
        <v>90605.53</v>
      </c>
      <c r="C505" s="94">
        <v>0</v>
      </c>
      <c r="D505" s="94">
        <v>0</v>
      </c>
      <c r="E505" s="94">
        <v>0</v>
      </c>
      <c r="F505" s="94">
        <f t="shared" si="24"/>
        <v>90605.53</v>
      </c>
      <c r="G505" s="94">
        <v>-7592.28</v>
      </c>
      <c r="H505" s="144">
        <v>0</v>
      </c>
      <c r="I505" s="748">
        <f t="shared" si="25"/>
        <v>-7592.28</v>
      </c>
      <c r="J505" s="20"/>
    </row>
    <row r="506" spans="1:10" hidden="1" outlineLevel="1">
      <c r="A506" s="418" t="s">
        <v>1052</v>
      </c>
      <c r="B506" s="543">
        <v>101601.20999999999</v>
      </c>
      <c r="C506" s="94">
        <v>0</v>
      </c>
      <c r="D506" s="94">
        <v>0</v>
      </c>
      <c r="E506" s="94">
        <v>0</v>
      </c>
      <c r="F506" s="94">
        <f t="shared" si="24"/>
        <v>101601.20999999999</v>
      </c>
      <c r="G506" s="94">
        <v>0</v>
      </c>
      <c r="H506" s="144">
        <v>0</v>
      </c>
      <c r="I506" s="748">
        <f t="shared" si="25"/>
        <v>0</v>
      </c>
      <c r="J506" s="20"/>
    </row>
    <row r="507" spans="1:10" hidden="1" outlineLevel="1">
      <c r="A507" s="418" t="s">
        <v>1054</v>
      </c>
      <c r="B507" s="543">
        <v>219919.72000000003</v>
      </c>
      <c r="C507" s="94">
        <v>0</v>
      </c>
      <c r="D507" s="94">
        <v>0</v>
      </c>
      <c r="E507" s="94">
        <v>0</v>
      </c>
      <c r="F507" s="94">
        <f t="shared" si="24"/>
        <v>219919.72000000003</v>
      </c>
      <c r="G507" s="94">
        <v>4242.72</v>
      </c>
      <c r="H507" s="144">
        <v>0</v>
      </c>
      <c r="I507" s="748">
        <f t="shared" si="25"/>
        <v>4242.72</v>
      </c>
      <c r="J507" s="20"/>
    </row>
    <row r="508" spans="1:10" hidden="1" outlineLevel="1">
      <c r="A508" s="418" t="s">
        <v>1056</v>
      </c>
      <c r="B508" s="543">
        <v>9980.4500000000007</v>
      </c>
      <c r="C508" s="94">
        <v>0</v>
      </c>
      <c r="D508" s="94">
        <v>0</v>
      </c>
      <c r="E508" s="94">
        <v>0</v>
      </c>
      <c r="F508" s="94">
        <f t="shared" si="24"/>
        <v>9980.4500000000007</v>
      </c>
      <c r="G508" s="94">
        <v>0</v>
      </c>
      <c r="H508" s="144">
        <v>0</v>
      </c>
      <c r="I508" s="748">
        <f t="shared" si="25"/>
        <v>0</v>
      </c>
      <c r="J508" s="20"/>
    </row>
    <row r="509" spans="1:10" hidden="1" outlineLevel="1">
      <c r="A509" s="418" t="s">
        <v>1058</v>
      </c>
      <c r="B509" s="543">
        <v>237789.75999999998</v>
      </c>
      <c r="C509" s="94">
        <v>0</v>
      </c>
      <c r="D509" s="94">
        <v>0</v>
      </c>
      <c r="E509" s="94">
        <v>0</v>
      </c>
      <c r="F509" s="94">
        <f t="shared" si="24"/>
        <v>237789.75999999998</v>
      </c>
      <c r="G509" s="94">
        <v>0</v>
      </c>
      <c r="H509" s="144">
        <v>0</v>
      </c>
      <c r="I509" s="748">
        <f t="shared" si="25"/>
        <v>0</v>
      </c>
      <c r="J509" s="20"/>
    </row>
    <row r="510" spans="1:10" hidden="1" outlineLevel="1">
      <c r="A510" s="418" t="s">
        <v>1060</v>
      </c>
      <c r="B510" s="543">
        <v>60653.61</v>
      </c>
      <c r="C510" s="94">
        <v>0</v>
      </c>
      <c r="D510" s="94">
        <v>0</v>
      </c>
      <c r="E510" s="94">
        <v>0</v>
      </c>
      <c r="F510" s="94">
        <f t="shared" si="24"/>
        <v>60653.61</v>
      </c>
      <c r="G510" s="94">
        <v>0</v>
      </c>
      <c r="H510" s="144">
        <v>0</v>
      </c>
      <c r="I510" s="748">
        <f t="shared" si="25"/>
        <v>0</v>
      </c>
      <c r="J510" s="20"/>
    </row>
    <row r="511" spans="1:10" hidden="1" outlineLevel="1">
      <c r="A511" s="418" t="s">
        <v>1062</v>
      </c>
      <c r="B511" s="543">
        <v>2718.16</v>
      </c>
      <c r="C511" s="94">
        <v>0</v>
      </c>
      <c r="D511" s="94">
        <v>0</v>
      </c>
      <c r="E511" s="94">
        <v>0</v>
      </c>
      <c r="F511" s="94">
        <f t="shared" si="24"/>
        <v>2718.16</v>
      </c>
      <c r="G511" s="94">
        <v>0</v>
      </c>
      <c r="H511" s="144">
        <v>0</v>
      </c>
      <c r="I511" s="748">
        <f t="shared" si="25"/>
        <v>0</v>
      </c>
      <c r="J511" s="20"/>
    </row>
    <row r="512" spans="1:10" hidden="1" outlineLevel="1">
      <c r="A512" s="418" t="s">
        <v>1064</v>
      </c>
      <c r="B512" s="543">
        <v>121408.33999999998</v>
      </c>
      <c r="C512" s="94">
        <v>0</v>
      </c>
      <c r="D512" s="94">
        <v>2.72</v>
      </c>
      <c r="E512" s="94">
        <v>0</v>
      </c>
      <c r="F512" s="94">
        <f t="shared" si="24"/>
        <v>121411.05999999998</v>
      </c>
      <c r="G512" s="94">
        <v>7100.96</v>
      </c>
      <c r="H512" s="144">
        <v>0</v>
      </c>
      <c r="I512" s="748">
        <f t="shared" si="25"/>
        <v>7100.96</v>
      </c>
      <c r="J512" s="20"/>
    </row>
    <row r="513" spans="1:10" hidden="1" outlineLevel="1">
      <c r="A513" s="418" t="s">
        <v>1066</v>
      </c>
      <c r="B513" s="543">
        <v>1300.56</v>
      </c>
      <c r="C513" s="94">
        <v>0</v>
      </c>
      <c r="D513" s="94">
        <v>0</v>
      </c>
      <c r="E513" s="94">
        <v>0</v>
      </c>
      <c r="F513" s="94">
        <f t="shared" si="24"/>
        <v>1300.56</v>
      </c>
      <c r="G513" s="94">
        <v>0</v>
      </c>
      <c r="H513" s="144">
        <v>0</v>
      </c>
      <c r="I513" s="748">
        <f t="shared" si="25"/>
        <v>0</v>
      </c>
      <c r="J513" s="20"/>
    </row>
    <row r="514" spans="1:10" hidden="1" outlineLevel="1">
      <c r="A514" s="418" t="s">
        <v>1068</v>
      </c>
      <c r="B514" s="543">
        <v>65026.909999999996</v>
      </c>
      <c r="C514" s="94">
        <v>0</v>
      </c>
      <c r="D514" s="94">
        <v>0</v>
      </c>
      <c r="E514" s="94">
        <v>0</v>
      </c>
      <c r="F514" s="94">
        <f t="shared" si="24"/>
        <v>65026.909999999996</v>
      </c>
      <c r="G514" s="94">
        <v>6489.76</v>
      </c>
      <c r="H514" s="144">
        <v>0</v>
      </c>
      <c r="I514" s="748">
        <f t="shared" si="25"/>
        <v>6489.76</v>
      </c>
      <c r="J514" s="20"/>
    </row>
    <row r="515" spans="1:10" hidden="1" outlineLevel="1">
      <c r="A515" s="418" t="s">
        <v>1070</v>
      </c>
      <c r="B515" s="543">
        <v>23887.219999999998</v>
      </c>
      <c r="C515" s="94">
        <v>0</v>
      </c>
      <c r="D515" s="94">
        <v>0</v>
      </c>
      <c r="E515" s="94">
        <v>0</v>
      </c>
      <c r="F515" s="94">
        <f t="shared" si="24"/>
        <v>23887.219999999998</v>
      </c>
      <c r="G515" s="94">
        <v>0</v>
      </c>
      <c r="H515" s="144">
        <v>0</v>
      </c>
      <c r="I515" s="748">
        <f t="shared" si="25"/>
        <v>0</v>
      </c>
      <c r="J515" s="20"/>
    </row>
    <row r="516" spans="1:10" hidden="1" outlineLevel="1">
      <c r="A516" s="418" t="s">
        <v>1072</v>
      </c>
      <c r="B516" s="543">
        <v>35082.410000000003</v>
      </c>
      <c r="C516" s="94">
        <v>0</v>
      </c>
      <c r="D516" s="94">
        <v>0</v>
      </c>
      <c r="E516" s="94">
        <v>0</v>
      </c>
      <c r="F516" s="94">
        <f t="shared" si="24"/>
        <v>35082.410000000003</v>
      </c>
      <c r="G516" s="94">
        <v>0</v>
      </c>
      <c r="H516" s="144">
        <v>0</v>
      </c>
      <c r="I516" s="748">
        <f t="shared" si="25"/>
        <v>0</v>
      </c>
      <c r="J516" s="20"/>
    </row>
    <row r="517" spans="1:10" hidden="1" outlineLevel="1">
      <c r="A517" s="418" t="s">
        <v>1074</v>
      </c>
      <c r="B517" s="543">
        <v>65115.159999999989</v>
      </c>
      <c r="C517" s="94">
        <v>0</v>
      </c>
      <c r="D517" s="94">
        <v>0</v>
      </c>
      <c r="E517" s="94">
        <v>0</v>
      </c>
      <c r="F517" s="94">
        <f t="shared" si="24"/>
        <v>65115.159999999989</v>
      </c>
      <c r="G517" s="94">
        <v>0</v>
      </c>
      <c r="H517" s="144">
        <v>0</v>
      </c>
      <c r="I517" s="748">
        <f t="shared" si="25"/>
        <v>0</v>
      </c>
      <c r="J517" s="20"/>
    </row>
    <row r="518" spans="1:10" hidden="1" outlineLevel="1">
      <c r="A518" s="418" t="s">
        <v>1076</v>
      </c>
      <c r="B518" s="543">
        <v>93617.07</v>
      </c>
      <c r="C518" s="94">
        <v>0</v>
      </c>
      <c r="D518" s="94">
        <v>0</v>
      </c>
      <c r="E518" s="94">
        <v>0</v>
      </c>
      <c r="F518" s="94">
        <f t="shared" si="24"/>
        <v>93617.07</v>
      </c>
      <c r="G518" s="94">
        <v>0</v>
      </c>
      <c r="H518" s="144">
        <v>0</v>
      </c>
      <c r="I518" s="748">
        <f t="shared" si="25"/>
        <v>0</v>
      </c>
      <c r="J518" s="20"/>
    </row>
    <row r="519" spans="1:10" hidden="1" outlineLevel="1">
      <c r="A519" s="418" t="s">
        <v>1078</v>
      </c>
      <c r="B519" s="543">
        <v>75448.08</v>
      </c>
      <c r="C519" s="94">
        <v>0</v>
      </c>
      <c r="D519" s="94">
        <v>0</v>
      </c>
      <c r="E519" s="94">
        <v>0</v>
      </c>
      <c r="F519" s="94">
        <f t="shared" si="24"/>
        <v>75448.08</v>
      </c>
      <c r="G519" s="94">
        <v>0</v>
      </c>
      <c r="H519" s="144">
        <v>0</v>
      </c>
      <c r="I519" s="748">
        <f t="shared" si="25"/>
        <v>0</v>
      </c>
      <c r="J519" s="20"/>
    </row>
    <row r="520" spans="1:10" hidden="1" outlineLevel="1">
      <c r="A520" s="418" t="s">
        <v>1080</v>
      </c>
      <c r="B520" s="543">
        <v>108993.2</v>
      </c>
      <c r="C520" s="94">
        <v>0</v>
      </c>
      <c r="D520" s="94">
        <v>0</v>
      </c>
      <c r="E520" s="94">
        <v>0</v>
      </c>
      <c r="F520" s="94">
        <f t="shared" si="24"/>
        <v>108993.2</v>
      </c>
      <c r="G520" s="94">
        <v>0</v>
      </c>
      <c r="H520" s="144">
        <v>0</v>
      </c>
      <c r="I520" s="748">
        <f t="shared" si="25"/>
        <v>0</v>
      </c>
      <c r="J520" s="20"/>
    </row>
    <row r="521" spans="1:10" hidden="1" outlineLevel="1">
      <c r="A521" s="418" t="s">
        <v>1082</v>
      </c>
      <c r="B521" s="543">
        <v>10776.070000000002</v>
      </c>
      <c r="C521" s="94">
        <v>0</v>
      </c>
      <c r="D521" s="94">
        <v>0</v>
      </c>
      <c r="E521" s="94">
        <v>0</v>
      </c>
      <c r="F521" s="94">
        <f t="shared" si="24"/>
        <v>10776.070000000002</v>
      </c>
      <c r="G521" s="94">
        <v>0</v>
      </c>
      <c r="H521" s="144">
        <v>0</v>
      </c>
      <c r="I521" s="748">
        <f t="shared" si="25"/>
        <v>0</v>
      </c>
      <c r="J521" s="20"/>
    </row>
    <row r="522" spans="1:10" hidden="1" outlineLevel="1">
      <c r="A522" s="418" t="s">
        <v>1084</v>
      </c>
      <c r="B522" s="543">
        <v>171878.83000000002</v>
      </c>
      <c r="C522" s="94">
        <v>0</v>
      </c>
      <c r="D522" s="94">
        <v>0</v>
      </c>
      <c r="E522" s="94">
        <v>0</v>
      </c>
      <c r="F522" s="94">
        <f t="shared" si="24"/>
        <v>171878.83000000002</v>
      </c>
      <c r="G522" s="94">
        <v>0</v>
      </c>
      <c r="H522" s="144">
        <v>0</v>
      </c>
      <c r="I522" s="748">
        <f t="shared" si="25"/>
        <v>0</v>
      </c>
      <c r="J522" s="20"/>
    </row>
    <row r="523" spans="1:10" hidden="1" outlineLevel="1">
      <c r="A523" s="418" t="s">
        <v>1086</v>
      </c>
      <c r="B523" s="543">
        <v>169933.11</v>
      </c>
      <c r="C523" s="94">
        <v>0</v>
      </c>
      <c r="D523" s="94">
        <v>0</v>
      </c>
      <c r="E523" s="94">
        <v>0</v>
      </c>
      <c r="F523" s="94">
        <f t="shared" si="24"/>
        <v>169933.11</v>
      </c>
      <c r="G523" s="94">
        <v>0</v>
      </c>
      <c r="H523" s="144">
        <v>0</v>
      </c>
      <c r="I523" s="748">
        <f t="shared" si="25"/>
        <v>0</v>
      </c>
      <c r="J523" s="20"/>
    </row>
    <row r="524" spans="1:10" hidden="1" outlineLevel="1">
      <c r="A524" s="418" t="s">
        <v>1088</v>
      </c>
      <c r="B524" s="543">
        <v>182369.81999999998</v>
      </c>
      <c r="C524" s="94">
        <v>0</v>
      </c>
      <c r="D524" s="94">
        <v>0</v>
      </c>
      <c r="E524" s="94">
        <v>0</v>
      </c>
      <c r="F524" s="94">
        <f t="shared" si="24"/>
        <v>182369.81999999998</v>
      </c>
      <c r="G524" s="94">
        <v>0</v>
      </c>
      <c r="H524" s="144">
        <v>0</v>
      </c>
      <c r="I524" s="748">
        <f t="shared" si="25"/>
        <v>0</v>
      </c>
      <c r="J524" s="20"/>
    </row>
    <row r="525" spans="1:10" hidden="1" outlineLevel="1">
      <c r="A525" s="418" t="s">
        <v>1090</v>
      </c>
      <c r="B525" s="543">
        <v>103208.81</v>
      </c>
      <c r="C525" s="94">
        <v>0</v>
      </c>
      <c r="D525" s="94">
        <v>0</v>
      </c>
      <c r="E525" s="94">
        <v>0</v>
      </c>
      <c r="F525" s="94">
        <f t="shared" si="24"/>
        <v>103208.81</v>
      </c>
      <c r="G525" s="94">
        <v>0</v>
      </c>
      <c r="H525" s="144">
        <v>0</v>
      </c>
      <c r="I525" s="748">
        <f t="shared" si="25"/>
        <v>0</v>
      </c>
      <c r="J525" s="20"/>
    </row>
    <row r="526" spans="1:10" hidden="1" outlineLevel="1">
      <c r="A526" s="418" t="s">
        <v>1092</v>
      </c>
      <c r="B526" s="543">
        <v>326559.68</v>
      </c>
      <c r="C526" s="94">
        <v>0</v>
      </c>
      <c r="D526" s="94">
        <v>0</v>
      </c>
      <c r="E526" s="94">
        <v>0</v>
      </c>
      <c r="F526" s="94">
        <f t="shared" si="24"/>
        <v>326559.68</v>
      </c>
      <c r="G526" s="94">
        <v>0</v>
      </c>
      <c r="H526" s="144">
        <v>0</v>
      </c>
      <c r="I526" s="748">
        <f t="shared" si="25"/>
        <v>0</v>
      </c>
      <c r="J526" s="20"/>
    </row>
    <row r="527" spans="1:10" hidden="1" outlineLevel="1">
      <c r="A527" s="418" t="s">
        <v>1094</v>
      </c>
      <c r="B527" s="543">
        <v>51439.369999999995</v>
      </c>
      <c r="C527" s="94">
        <v>0</v>
      </c>
      <c r="D527" s="94">
        <v>0</v>
      </c>
      <c r="E527" s="94">
        <v>0</v>
      </c>
      <c r="F527" s="94">
        <f t="shared" si="24"/>
        <v>51439.369999999995</v>
      </c>
      <c r="G527" s="94">
        <v>0</v>
      </c>
      <c r="H527" s="144">
        <v>0</v>
      </c>
      <c r="I527" s="748">
        <f t="shared" si="25"/>
        <v>0</v>
      </c>
      <c r="J527" s="20"/>
    </row>
    <row r="528" spans="1:10" hidden="1" outlineLevel="1">
      <c r="A528" s="418" t="s">
        <v>1096</v>
      </c>
      <c r="B528" s="543">
        <v>74268.490000000005</v>
      </c>
      <c r="C528" s="94">
        <v>0</v>
      </c>
      <c r="D528" s="94">
        <v>0</v>
      </c>
      <c r="E528" s="94">
        <v>0</v>
      </c>
      <c r="F528" s="94">
        <f t="shared" si="24"/>
        <v>74268.490000000005</v>
      </c>
      <c r="G528" s="94">
        <v>0</v>
      </c>
      <c r="H528" s="144">
        <v>0</v>
      </c>
      <c r="I528" s="748">
        <f t="shared" si="25"/>
        <v>0</v>
      </c>
      <c r="J528" s="20"/>
    </row>
    <row r="529" spans="1:10" hidden="1" outlineLevel="1">
      <c r="A529" s="418" t="s">
        <v>1098</v>
      </c>
      <c r="B529" s="543">
        <v>23456.27</v>
      </c>
      <c r="C529" s="94">
        <v>0</v>
      </c>
      <c r="D529" s="94">
        <v>0</v>
      </c>
      <c r="E529" s="94">
        <v>0</v>
      </c>
      <c r="F529" s="94">
        <f t="shared" si="24"/>
        <v>23456.27</v>
      </c>
      <c r="G529" s="94">
        <v>0</v>
      </c>
      <c r="H529" s="144">
        <v>0</v>
      </c>
      <c r="I529" s="748">
        <f t="shared" si="25"/>
        <v>0</v>
      </c>
      <c r="J529" s="20"/>
    </row>
    <row r="530" spans="1:10" hidden="1" outlineLevel="1">
      <c r="A530" s="418" t="s">
        <v>1100</v>
      </c>
      <c r="B530" s="543">
        <v>1538308.83</v>
      </c>
      <c r="C530" s="94">
        <v>0</v>
      </c>
      <c r="D530" s="94">
        <v>0</v>
      </c>
      <c r="E530" s="94">
        <v>0</v>
      </c>
      <c r="F530" s="94">
        <f t="shared" si="24"/>
        <v>1538308.83</v>
      </c>
      <c r="G530" s="94">
        <v>189962.77</v>
      </c>
      <c r="H530" s="144">
        <v>0</v>
      </c>
      <c r="I530" s="748">
        <f t="shared" si="25"/>
        <v>189962.77</v>
      </c>
      <c r="J530" s="20"/>
    </row>
    <row r="531" spans="1:10" hidden="1" outlineLevel="1">
      <c r="A531" s="418" t="s">
        <v>521</v>
      </c>
      <c r="B531" s="543">
        <v>7983.92</v>
      </c>
      <c r="C531" s="94">
        <v>0</v>
      </c>
      <c r="D531" s="94">
        <v>0</v>
      </c>
      <c r="E531" s="94">
        <v>0</v>
      </c>
      <c r="F531" s="94">
        <f t="shared" si="24"/>
        <v>7983.92</v>
      </c>
      <c r="G531" s="94">
        <v>477.63</v>
      </c>
      <c r="H531" s="144">
        <v>0</v>
      </c>
      <c r="I531" s="748">
        <f t="shared" si="25"/>
        <v>477.63</v>
      </c>
      <c r="J531" s="20"/>
    </row>
    <row r="532" spans="1:10" hidden="1" outlineLevel="1">
      <c r="A532" s="418" t="s">
        <v>1102</v>
      </c>
      <c r="B532" s="543">
        <v>70160.069999999992</v>
      </c>
      <c r="C532" s="94">
        <v>0</v>
      </c>
      <c r="D532" s="94">
        <v>0</v>
      </c>
      <c r="E532" s="94">
        <v>0</v>
      </c>
      <c r="F532" s="94">
        <f t="shared" si="24"/>
        <v>70160.069999999992</v>
      </c>
      <c r="G532" s="94">
        <v>0</v>
      </c>
      <c r="H532" s="144">
        <v>0</v>
      </c>
      <c r="I532" s="748">
        <f t="shared" si="25"/>
        <v>0</v>
      </c>
      <c r="J532" s="20"/>
    </row>
    <row r="533" spans="1:10" hidden="1" outlineLevel="1">
      <c r="A533" s="418" t="s">
        <v>1104</v>
      </c>
      <c r="B533" s="543">
        <v>44318.880000000005</v>
      </c>
      <c r="C533" s="94">
        <v>0</v>
      </c>
      <c r="D533" s="94">
        <v>0</v>
      </c>
      <c r="E533" s="94">
        <v>0</v>
      </c>
      <c r="F533" s="94">
        <f t="shared" si="24"/>
        <v>44318.880000000005</v>
      </c>
      <c r="G533" s="94">
        <v>0</v>
      </c>
      <c r="H533" s="144">
        <v>0</v>
      </c>
      <c r="I533" s="748">
        <f t="shared" si="25"/>
        <v>0</v>
      </c>
      <c r="J533" s="20"/>
    </row>
    <row r="534" spans="1:10" hidden="1" outlineLevel="1">
      <c r="A534" s="418" t="s">
        <v>1106</v>
      </c>
      <c r="B534" s="543">
        <v>675669.75999999989</v>
      </c>
      <c r="C534" s="94">
        <v>0</v>
      </c>
      <c r="D534" s="94">
        <v>0</v>
      </c>
      <c r="E534" s="94">
        <v>0</v>
      </c>
      <c r="F534" s="94">
        <f t="shared" si="24"/>
        <v>675669.75999999989</v>
      </c>
      <c r="G534" s="94">
        <v>0</v>
      </c>
      <c r="H534" s="144">
        <v>0</v>
      </c>
      <c r="I534" s="748">
        <f t="shared" si="25"/>
        <v>0</v>
      </c>
      <c r="J534" s="20"/>
    </row>
    <row r="535" spans="1:10" hidden="1" outlineLevel="1">
      <c r="A535" s="418" t="s">
        <v>1108</v>
      </c>
      <c r="B535" s="543">
        <v>80452.31</v>
      </c>
      <c r="C535" s="94">
        <v>0</v>
      </c>
      <c r="D535" s="94">
        <v>0</v>
      </c>
      <c r="E535" s="94">
        <v>0</v>
      </c>
      <c r="F535" s="94">
        <f t="shared" si="24"/>
        <v>80452.31</v>
      </c>
      <c r="G535" s="94">
        <v>0</v>
      </c>
      <c r="H535" s="144">
        <v>0</v>
      </c>
      <c r="I535" s="748">
        <f t="shared" si="25"/>
        <v>0</v>
      </c>
      <c r="J535" s="20"/>
    </row>
    <row r="536" spans="1:10" hidden="1" outlineLevel="1">
      <c r="A536" s="418" t="s">
        <v>1110</v>
      </c>
      <c r="B536" s="543">
        <v>42117.57</v>
      </c>
      <c r="C536" s="94">
        <v>0</v>
      </c>
      <c r="D536" s="94">
        <v>0</v>
      </c>
      <c r="E536" s="94">
        <v>0</v>
      </c>
      <c r="F536" s="94">
        <f t="shared" ref="F536:F599" si="26">SUM(B536:E536)</f>
        <v>42117.57</v>
      </c>
      <c r="G536" s="94">
        <v>0</v>
      </c>
      <c r="H536" s="144">
        <v>0</v>
      </c>
      <c r="I536" s="748">
        <f t="shared" ref="I536:I599" si="27">G536+H536</f>
        <v>0</v>
      </c>
      <c r="J536" s="20"/>
    </row>
    <row r="537" spans="1:10" hidden="1" outlineLevel="1">
      <c r="A537" s="418" t="s">
        <v>1112</v>
      </c>
      <c r="B537" s="543">
        <v>150145.84000000003</v>
      </c>
      <c r="C537" s="94">
        <v>0</v>
      </c>
      <c r="D537" s="94">
        <v>0</v>
      </c>
      <c r="E537" s="94">
        <v>0</v>
      </c>
      <c r="F537" s="94">
        <f t="shared" si="26"/>
        <v>150145.84000000003</v>
      </c>
      <c r="G537" s="94">
        <v>117.44</v>
      </c>
      <c r="H537" s="144">
        <v>0</v>
      </c>
      <c r="I537" s="748">
        <f t="shared" si="27"/>
        <v>117.44</v>
      </c>
      <c r="J537" s="20"/>
    </row>
    <row r="538" spans="1:10" hidden="1" outlineLevel="1">
      <c r="A538" s="418" t="s">
        <v>1114</v>
      </c>
      <c r="B538" s="543">
        <v>1283947.67</v>
      </c>
      <c r="C538" s="94">
        <v>0</v>
      </c>
      <c r="D538" s="94">
        <v>0</v>
      </c>
      <c r="E538" s="94">
        <v>0</v>
      </c>
      <c r="F538" s="94">
        <f t="shared" si="26"/>
        <v>1283947.67</v>
      </c>
      <c r="G538" s="94">
        <v>-444.57</v>
      </c>
      <c r="H538" s="144">
        <v>0</v>
      </c>
      <c r="I538" s="748">
        <f t="shared" si="27"/>
        <v>-444.57</v>
      </c>
      <c r="J538" s="20"/>
    </row>
    <row r="539" spans="1:10" hidden="1" outlineLevel="1">
      <c r="A539" s="418" t="s">
        <v>1116</v>
      </c>
      <c r="B539" s="543">
        <v>113585.84000000001</v>
      </c>
      <c r="C539" s="94">
        <v>0</v>
      </c>
      <c r="D539" s="94">
        <v>0</v>
      </c>
      <c r="E539" s="94">
        <v>0</v>
      </c>
      <c r="F539" s="94">
        <f t="shared" si="26"/>
        <v>113585.84000000001</v>
      </c>
      <c r="G539" s="94">
        <v>0</v>
      </c>
      <c r="H539" s="144">
        <v>0</v>
      </c>
      <c r="I539" s="748">
        <f t="shared" si="27"/>
        <v>0</v>
      </c>
      <c r="J539" s="20"/>
    </row>
    <row r="540" spans="1:10" hidden="1" outlineLevel="1">
      <c r="A540" s="418" t="s">
        <v>1118</v>
      </c>
      <c r="B540" s="543">
        <v>10834.08</v>
      </c>
      <c r="C540" s="94">
        <v>0</v>
      </c>
      <c r="D540" s="94">
        <v>0</v>
      </c>
      <c r="E540" s="94">
        <v>0</v>
      </c>
      <c r="F540" s="94">
        <f t="shared" si="26"/>
        <v>10834.08</v>
      </c>
      <c r="G540" s="94">
        <v>0</v>
      </c>
      <c r="H540" s="144">
        <v>0</v>
      </c>
      <c r="I540" s="748">
        <f t="shared" si="27"/>
        <v>0</v>
      </c>
      <c r="J540" s="20"/>
    </row>
    <row r="541" spans="1:10" hidden="1" outlineLevel="1">
      <c r="A541" s="418" t="s">
        <v>1120</v>
      </c>
      <c r="B541" s="543">
        <v>7737681.8999999994</v>
      </c>
      <c r="C541" s="94">
        <v>-163.31</v>
      </c>
      <c r="D541" s="94">
        <v>0</v>
      </c>
      <c r="E541" s="94">
        <v>0</v>
      </c>
      <c r="F541" s="94">
        <f t="shared" si="26"/>
        <v>7737518.5899999999</v>
      </c>
      <c r="G541" s="94">
        <v>973589.46</v>
      </c>
      <c r="H541" s="144">
        <v>0</v>
      </c>
      <c r="I541" s="748">
        <f t="shared" si="27"/>
        <v>973589.46</v>
      </c>
      <c r="J541" s="20"/>
    </row>
    <row r="542" spans="1:10" hidden="1" outlineLevel="1">
      <c r="A542" s="418" t="s">
        <v>1122</v>
      </c>
      <c r="B542" s="543">
        <v>256892.7</v>
      </c>
      <c r="C542" s="94">
        <v>0</v>
      </c>
      <c r="D542" s="94">
        <v>0</v>
      </c>
      <c r="E542" s="94">
        <v>0</v>
      </c>
      <c r="F542" s="94">
        <f t="shared" si="26"/>
        <v>256892.7</v>
      </c>
      <c r="G542" s="94">
        <v>0</v>
      </c>
      <c r="H542" s="144">
        <v>0</v>
      </c>
      <c r="I542" s="748">
        <f t="shared" si="27"/>
        <v>0</v>
      </c>
      <c r="J542" s="20"/>
    </row>
    <row r="543" spans="1:10" hidden="1" outlineLevel="1">
      <c r="A543" s="418" t="s">
        <v>1124</v>
      </c>
      <c r="B543" s="543">
        <v>18036.47</v>
      </c>
      <c r="C543" s="94">
        <v>0</v>
      </c>
      <c r="D543" s="94">
        <v>0</v>
      </c>
      <c r="E543" s="94">
        <v>0</v>
      </c>
      <c r="F543" s="94">
        <f t="shared" si="26"/>
        <v>18036.47</v>
      </c>
      <c r="G543" s="94">
        <v>0</v>
      </c>
      <c r="H543" s="144">
        <v>0</v>
      </c>
      <c r="I543" s="748">
        <f t="shared" si="27"/>
        <v>0</v>
      </c>
      <c r="J543" s="20"/>
    </row>
    <row r="544" spans="1:10" hidden="1" outlineLevel="1">
      <c r="A544" s="418" t="s">
        <v>1126</v>
      </c>
      <c r="B544" s="543">
        <v>42910.7</v>
      </c>
      <c r="C544" s="94">
        <v>0</v>
      </c>
      <c r="D544" s="94">
        <v>0</v>
      </c>
      <c r="E544" s="94">
        <v>0</v>
      </c>
      <c r="F544" s="94">
        <f t="shared" si="26"/>
        <v>42910.7</v>
      </c>
      <c r="G544" s="94">
        <v>-5320.67</v>
      </c>
      <c r="H544" s="144">
        <v>0</v>
      </c>
      <c r="I544" s="748">
        <f t="shared" si="27"/>
        <v>-5320.67</v>
      </c>
      <c r="J544" s="20"/>
    </row>
    <row r="545" spans="1:10" hidden="1" outlineLevel="1">
      <c r="A545" s="418" t="s">
        <v>1128</v>
      </c>
      <c r="B545" s="543">
        <v>47057.65</v>
      </c>
      <c r="C545" s="94">
        <v>0</v>
      </c>
      <c r="D545" s="94">
        <v>0</v>
      </c>
      <c r="E545" s="94">
        <v>0</v>
      </c>
      <c r="F545" s="94">
        <f t="shared" si="26"/>
        <v>47057.65</v>
      </c>
      <c r="G545" s="94">
        <v>0</v>
      </c>
      <c r="H545" s="144">
        <v>0</v>
      </c>
      <c r="I545" s="748">
        <f t="shared" si="27"/>
        <v>0</v>
      </c>
      <c r="J545" s="20"/>
    </row>
    <row r="546" spans="1:10" hidden="1" outlineLevel="1">
      <c r="A546" s="418" t="s">
        <v>1130</v>
      </c>
      <c r="B546" s="543">
        <v>89528.38</v>
      </c>
      <c r="C546" s="94">
        <v>0</v>
      </c>
      <c r="D546" s="94">
        <v>0</v>
      </c>
      <c r="E546" s="94">
        <v>0</v>
      </c>
      <c r="F546" s="94">
        <f t="shared" si="26"/>
        <v>89528.38</v>
      </c>
      <c r="G546" s="94">
        <v>0</v>
      </c>
      <c r="H546" s="144">
        <v>0</v>
      </c>
      <c r="I546" s="748">
        <f t="shared" si="27"/>
        <v>0</v>
      </c>
      <c r="J546" s="20"/>
    </row>
    <row r="547" spans="1:10" hidden="1" outlineLevel="1">
      <c r="A547" s="418" t="s">
        <v>1132</v>
      </c>
      <c r="B547" s="543">
        <v>901.36</v>
      </c>
      <c r="C547" s="94">
        <v>0</v>
      </c>
      <c r="D547" s="94">
        <v>0</v>
      </c>
      <c r="E547" s="94">
        <v>0</v>
      </c>
      <c r="F547" s="94">
        <f t="shared" si="26"/>
        <v>901.36</v>
      </c>
      <c r="G547" s="94">
        <v>0</v>
      </c>
      <c r="H547" s="144">
        <v>0</v>
      </c>
      <c r="I547" s="748">
        <f t="shared" si="27"/>
        <v>0</v>
      </c>
      <c r="J547" s="20"/>
    </row>
    <row r="548" spans="1:10" hidden="1" outlineLevel="1">
      <c r="A548" s="418" t="s">
        <v>1134</v>
      </c>
      <c r="B548" s="543">
        <v>52426.350000000006</v>
      </c>
      <c r="C548" s="94">
        <v>0</v>
      </c>
      <c r="D548" s="94">
        <v>0</v>
      </c>
      <c r="E548" s="94">
        <v>0</v>
      </c>
      <c r="F548" s="94">
        <f t="shared" si="26"/>
        <v>52426.350000000006</v>
      </c>
      <c r="G548" s="94">
        <v>2692.35</v>
      </c>
      <c r="H548" s="144">
        <v>0</v>
      </c>
      <c r="I548" s="748">
        <f t="shared" si="27"/>
        <v>2692.35</v>
      </c>
      <c r="J548" s="20"/>
    </row>
    <row r="549" spans="1:10" hidden="1" outlineLevel="1">
      <c r="A549" s="418" t="s">
        <v>1136</v>
      </c>
      <c r="B549" s="543">
        <v>7765.6399999999994</v>
      </c>
      <c r="C549" s="94">
        <v>0</v>
      </c>
      <c r="D549" s="94">
        <v>0</v>
      </c>
      <c r="E549" s="94">
        <v>0</v>
      </c>
      <c r="F549" s="94">
        <f t="shared" si="26"/>
        <v>7765.6399999999994</v>
      </c>
      <c r="G549" s="94">
        <v>0</v>
      </c>
      <c r="H549" s="144">
        <v>0</v>
      </c>
      <c r="I549" s="748">
        <f t="shared" si="27"/>
        <v>0</v>
      </c>
      <c r="J549" s="20"/>
    </row>
    <row r="550" spans="1:10" hidden="1" outlineLevel="1">
      <c r="A550" s="418" t="s">
        <v>1138</v>
      </c>
      <c r="B550" s="543">
        <v>8300.630000000001</v>
      </c>
      <c r="C550" s="94">
        <v>0</v>
      </c>
      <c r="D550" s="94">
        <v>0</v>
      </c>
      <c r="E550" s="94">
        <v>0</v>
      </c>
      <c r="F550" s="94">
        <f t="shared" si="26"/>
        <v>8300.630000000001</v>
      </c>
      <c r="G550" s="94">
        <v>0</v>
      </c>
      <c r="H550" s="144">
        <v>0</v>
      </c>
      <c r="I550" s="748">
        <f t="shared" si="27"/>
        <v>0</v>
      </c>
      <c r="J550" s="20"/>
    </row>
    <row r="551" spans="1:10" hidden="1" outlineLevel="1">
      <c r="A551" s="418" t="s">
        <v>1140</v>
      </c>
      <c r="B551" s="543">
        <v>108384.95999999999</v>
      </c>
      <c r="C551" s="94">
        <v>0</v>
      </c>
      <c r="D551" s="94">
        <v>0</v>
      </c>
      <c r="E551" s="94">
        <v>0</v>
      </c>
      <c r="F551" s="94">
        <f t="shared" si="26"/>
        <v>108384.95999999999</v>
      </c>
      <c r="G551" s="94">
        <v>0</v>
      </c>
      <c r="H551" s="144">
        <v>0</v>
      </c>
      <c r="I551" s="748">
        <f t="shared" si="27"/>
        <v>0</v>
      </c>
      <c r="J551" s="20"/>
    </row>
    <row r="552" spans="1:10" hidden="1" outlineLevel="1">
      <c r="A552" s="418" t="s">
        <v>1142</v>
      </c>
      <c r="B552" s="543">
        <v>8118.75</v>
      </c>
      <c r="C552" s="94">
        <v>0</v>
      </c>
      <c r="D552" s="94">
        <v>0</v>
      </c>
      <c r="E552" s="94">
        <v>0</v>
      </c>
      <c r="F552" s="94">
        <f t="shared" si="26"/>
        <v>8118.75</v>
      </c>
      <c r="G552" s="94">
        <v>0</v>
      </c>
      <c r="H552" s="144">
        <v>0</v>
      </c>
      <c r="I552" s="748">
        <f t="shared" si="27"/>
        <v>0</v>
      </c>
      <c r="J552" s="20"/>
    </row>
    <row r="553" spans="1:10" hidden="1" outlineLevel="1">
      <c r="A553" s="418" t="s">
        <v>1144</v>
      </c>
      <c r="B553" s="543">
        <v>9786.61</v>
      </c>
      <c r="C553" s="94">
        <v>0</v>
      </c>
      <c r="D553" s="94">
        <v>0</v>
      </c>
      <c r="E553" s="94">
        <v>0</v>
      </c>
      <c r="F553" s="94">
        <f t="shared" si="26"/>
        <v>9786.61</v>
      </c>
      <c r="G553" s="94">
        <v>0</v>
      </c>
      <c r="H553" s="144">
        <v>0</v>
      </c>
      <c r="I553" s="748">
        <f t="shared" si="27"/>
        <v>0</v>
      </c>
      <c r="J553" s="20"/>
    </row>
    <row r="554" spans="1:10" hidden="1" outlineLevel="1">
      <c r="A554" s="418" t="s">
        <v>1146</v>
      </c>
      <c r="B554" s="543">
        <v>122668.81999999999</v>
      </c>
      <c r="C554" s="94">
        <v>0</v>
      </c>
      <c r="D554" s="94">
        <v>0</v>
      </c>
      <c r="E554" s="94">
        <v>0</v>
      </c>
      <c r="F554" s="94">
        <f t="shared" si="26"/>
        <v>122668.81999999999</v>
      </c>
      <c r="G554" s="94">
        <v>0</v>
      </c>
      <c r="H554" s="144">
        <v>0</v>
      </c>
      <c r="I554" s="748">
        <f t="shared" si="27"/>
        <v>0</v>
      </c>
      <c r="J554" s="20"/>
    </row>
    <row r="555" spans="1:10" hidden="1" outlineLevel="1">
      <c r="A555" s="418" t="s">
        <v>1148</v>
      </c>
      <c r="B555" s="543">
        <v>3854.6000000000004</v>
      </c>
      <c r="C555" s="94">
        <v>0</v>
      </c>
      <c r="D555" s="94">
        <v>0</v>
      </c>
      <c r="E555" s="94">
        <v>0</v>
      </c>
      <c r="F555" s="94">
        <f t="shared" si="26"/>
        <v>3854.6000000000004</v>
      </c>
      <c r="G555" s="94">
        <v>0</v>
      </c>
      <c r="H555" s="144">
        <v>0</v>
      </c>
      <c r="I555" s="748">
        <f t="shared" si="27"/>
        <v>0</v>
      </c>
      <c r="J555" s="20"/>
    </row>
    <row r="556" spans="1:10" hidden="1" outlineLevel="1">
      <c r="A556" s="418" t="s">
        <v>1150</v>
      </c>
      <c r="B556" s="543">
        <v>23059.319999999996</v>
      </c>
      <c r="C556" s="94">
        <v>0</v>
      </c>
      <c r="D556" s="94">
        <v>0</v>
      </c>
      <c r="E556" s="94">
        <v>0</v>
      </c>
      <c r="F556" s="94">
        <f t="shared" si="26"/>
        <v>23059.319999999996</v>
      </c>
      <c r="G556" s="94">
        <v>0</v>
      </c>
      <c r="H556" s="144">
        <v>0</v>
      </c>
      <c r="I556" s="748">
        <f t="shared" si="27"/>
        <v>0</v>
      </c>
      <c r="J556" s="20"/>
    </row>
    <row r="557" spans="1:10" hidden="1" outlineLevel="1">
      <c r="A557" s="418" t="s">
        <v>1152</v>
      </c>
      <c r="B557" s="543">
        <v>201825.08</v>
      </c>
      <c r="C557" s="94">
        <v>0</v>
      </c>
      <c r="D557" s="94">
        <v>0</v>
      </c>
      <c r="E557" s="94">
        <v>0</v>
      </c>
      <c r="F557" s="94">
        <f t="shared" si="26"/>
        <v>201825.08</v>
      </c>
      <c r="G557" s="94">
        <v>0</v>
      </c>
      <c r="H557" s="144">
        <v>0</v>
      </c>
      <c r="I557" s="748">
        <f t="shared" si="27"/>
        <v>0</v>
      </c>
      <c r="J557" s="20"/>
    </row>
    <row r="558" spans="1:10" hidden="1" outlineLevel="1">
      <c r="A558" s="418" t="s">
        <v>1154</v>
      </c>
      <c r="B558" s="543">
        <v>24944.99</v>
      </c>
      <c r="C558" s="94">
        <v>0</v>
      </c>
      <c r="D558" s="94">
        <v>0</v>
      </c>
      <c r="E558" s="94">
        <v>0</v>
      </c>
      <c r="F558" s="94">
        <f t="shared" si="26"/>
        <v>24944.99</v>
      </c>
      <c r="G558" s="94">
        <v>0</v>
      </c>
      <c r="H558" s="144">
        <v>0</v>
      </c>
      <c r="I558" s="748">
        <f t="shared" si="27"/>
        <v>0</v>
      </c>
      <c r="J558" s="20"/>
    </row>
    <row r="559" spans="1:10" hidden="1" outlineLevel="1">
      <c r="A559" s="418" t="s">
        <v>1156</v>
      </c>
      <c r="B559" s="543">
        <v>15395.810000000001</v>
      </c>
      <c r="C559" s="94">
        <v>0</v>
      </c>
      <c r="D559" s="94">
        <v>0</v>
      </c>
      <c r="E559" s="94">
        <v>0</v>
      </c>
      <c r="F559" s="94">
        <f t="shared" si="26"/>
        <v>15395.810000000001</v>
      </c>
      <c r="G559" s="94">
        <v>0</v>
      </c>
      <c r="H559" s="144">
        <v>0</v>
      </c>
      <c r="I559" s="748">
        <f t="shared" si="27"/>
        <v>0</v>
      </c>
      <c r="J559" s="20"/>
    </row>
    <row r="560" spans="1:10" hidden="1" outlineLevel="1">
      <c r="A560" s="418" t="s">
        <v>1158</v>
      </c>
      <c r="B560" s="543">
        <v>29229.52</v>
      </c>
      <c r="C560" s="94">
        <v>0</v>
      </c>
      <c r="D560" s="94">
        <v>0</v>
      </c>
      <c r="E560" s="94">
        <v>0</v>
      </c>
      <c r="F560" s="94">
        <f t="shared" si="26"/>
        <v>29229.52</v>
      </c>
      <c r="G560" s="94">
        <v>0</v>
      </c>
      <c r="H560" s="144">
        <v>0</v>
      </c>
      <c r="I560" s="748">
        <f t="shared" si="27"/>
        <v>0</v>
      </c>
      <c r="J560" s="20"/>
    </row>
    <row r="561" spans="1:10" hidden="1" outlineLevel="1">
      <c r="A561" s="418" t="s">
        <v>1160</v>
      </c>
      <c r="B561" s="543">
        <v>15099188.630000001</v>
      </c>
      <c r="C561" s="94">
        <v>0</v>
      </c>
      <c r="D561" s="94">
        <v>0</v>
      </c>
      <c r="E561" s="94">
        <v>9090000</v>
      </c>
      <c r="F561" s="94">
        <f t="shared" si="26"/>
        <v>24189188.630000003</v>
      </c>
      <c r="G561" s="94">
        <v>0</v>
      </c>
      <c r="H561" s="144">
        <v>0</v>
      </c>
      <c r="I561" s="748">
        <f t="shared" si="27"/>
        <v>0</v>
      </c>
      <c r="J561" s="20"/>
    </row>
    <row r="562" spans="1:10" hidden="1" outlineLevel="1">
      <c r="A562" s="418" t="s">
        <v>1162</v>
      </c>
      <c r="B562" s="543">
        <v>57713.770000000004</v>
      </c>
      <c r="C562" s="94">
        <v>0</v>
      </c>
      <c r="D562" s="94">
        <v>0</v>
      </c>
      <c r="E562" s="94">
        <v>0</v>
      </c>
      <c r="F562" s="94">
        <f t="shared" si="26"/>
        <v>57713.770000000004</v>
      </c>
      <c r="G562" s="94">
        <v>14169.39</v>
      </c>
      <c r="H562" s="144">
        <v>0</v>
      </c>
      <c r="I562" s="748">
        <f t="shared" si="27"/>
        <v>14169.39</v>
      </c>
      <c r="J562" s="20"/>
    </row>
    <row r="563" spans="1:10" hidden="1" outlineLevel="1">
      <c r="A563" s="418" t="s">
        <v>1164</v>
      </c>
      <c r="B563" s="543">
        <v>68635.05</v>
      </c>
      <c r="C563" s="94">
        <v>0</v>
      </c>
      <c r="D563" s="94">
        <v>0</v>
      </c>
      <c r="E563" s="94">
        <v>0</v>
      </c>
      <c r="F563" s="94">
        <f t="shared" si="26"/>
        <v>68635.05</v>
      </c>
      <c r="G563" s="94">
        <v>0</v>
      </c>
      <c r="H563" s="144">
        <v>0</v>
      </c>
      <c r="I563" s="748">
        <f t="shared" si="27"/>
        <v>0</v>
      </c>
      <c r="J563" s="20"/>
    </row>
    <row r="564" spans="1:10" hidden="1" outlineLevel="1">
      <c r="A564" s="418" t="s">
        <v>1166</v>
      </c>
      <c r="B564" s="543">
        <v>0</v>
      </c>
      <c r="C564" s="94">
        <v>0</v>
      </c>
      <c r="D564" s="94">
        <v>0</v>
      </c>
      <c r="E564" s="94">
        <v>0</v>
      </c>
      <c r="F564" s="94">
        <f t="shared" si="26"/>
        <v>0</v>
      </c>
      <c r="G564" s="94">
        <v>1800</v>
      </c>
      <c r="H564" s="144">
        <v>0</v>
      </c>
      <c r="I564" s="748">
        <f t="shared" si="27"/>
        <v>1800</v>
      </c>
      <c r="J564" s="20"/>
    </row>
    <row r="565" spans="1:10" hidden="1" outlineLevel="1">
      <c r="A565" s="418" t="s">
        <v>1168</v>
      </c>
      <c r="B565" s="543">
        <v>18281.099999999999</v>
      </c>
      <c r="C565" s="94">
        <v>0</v>
      </c>
      <c r="D565" s="94">
        <v>0</v>
      </c>
      <c r="E565" s="94">
        <v>0</v>
      </c>
      <c r="F565" s="94">
        <f t="shared" si="26"/>
        <v>18281.099999999999</v>
      </c>
      <c r="G565" s="94">
        <v>0</v>
      </c>
      <c r="H565" s="144">
        <v>0</v>
      </c>
      <c r="I565" s="748">
        <f t="shared" si="27"/>
        <v>0</v>
      </c>
      <c r="J565" s="20"/>
    </row>
    <row r="566" spans="1:10" hidden="1" outlineLevel="1">
      <c r="A566" s="418" t="s">
        <v>1170</v>
      </c>
      <c r="B566" s="543">
        <v>21854.78</v>
      </c>
      <c r="C566" s="94">
        <v>0</v>
      </c>
      <c r="D566" s="94">
        <v>0</v>
      </c>
      <c r="E566" s="94">
        <v>0</v>
      </c>
      <c r="F566" s="94">
        <f t="shared" si="26"/>
        <v>21854.78</v>
      </c>
      <c r="G566" s="94">
        <v>0</v>
      </c>
      <c r="H566" s="144">
        <v>0</v>
      </c>
      <c r="I566" s="748">
        <f t="shared" si="27"/>
        <v>0</v>
      </c>
      <c r="J566" s="20"/>
    </row>
    <row r="567" spans="1:10" hidden="1" outlineLevel="1">
      <c r="A567" s="418" t="s">
        <v>1172</v>
      </c>
      <c r="B567" s="543">
        <v>8811</v>
      </c>
      <c r="C567" s="94">
        <v>0</v>
      </c>
      <c r="D567" s="94">
        <v>0</v>
      </c>
      <c r="E567" s="94">
        <v>0</v>
      </c>
      <c r="F567" s="94">
        <f t="shared" si="26"/>
        <v>8811</v>
      </c>
      <c r="G567" s="94">
        <v>0</v>
      </c>
      <c r="H567" s="144">
        <v>0</v>
      </c>
      <c r="I567" s="748">
        <f t="shared" si="27"/>
        <v>0</v>
      </c>
      <c r="J567" s="20"/>
    </row>
    <row r="568" spans="1:10" hidden="1" outlineLevel="1">
      <c r="A568" s="418" t="s">
        <v>1174</v>
      </c>
      <c r="B568" s="543">
        <v>1509677.54</v>
      </c>
      <c r="C568" s="94">
        <v>0</v>
      </c>
      <c r="D568" s="94">
        <v>0</v>
      </c>
      <c r="E568" s="94">
        <v>0</v>
      </c>
      <c r="F568" s="94">
        <f t="shared" si="26"/>
        <v>1509677.54</v>
      </c>
      <c r="G568" s="94">
        <v>347824.07999999996</v>
      </c>
      <c r="H568" s="144">
        <v>0</v>
      </c>
      <c r="I568" s="748">
        <f t="shared" si="27"/>
        <v>347824.07999999996</v>
      </c>
      <c r="J568" s="20"/>
    </row>
    <row r="569" spans="1:10" hidden="1" outlineLevel="1">
      <c r="A569" s="418" t="s">
        <v>1176</v>
      </c>
      <c r="B569" s="543">
        <v>1200527.71</v>
      </c>
      <c r="C569" s="94">
        <v>-893.75</v>
      </c>
      <c r="D569" s="94">
        <v>0</v>
      </c>
      <c r="E569" s="94">
        <v>0</v>
      </c>
      <c r="F569" s="94">
        <f t="shared" si="26"/>
        <v>1199633.96</v>
      </c>
      <c r="G569" s="94">
        <v>-8040.7000000000007</v>
      </c>
      <c r="H569" s="144">
        <v>0</v>
      </c>
      <c r="I569" s="748">
        <f t="shared" si="27"/>
        <v>-8040.7000000000007</v>
      </c>
      <c r="J569" s="20"/>
    </row>
    <row r="570" spans="1:10" hidden="1" outlineLevel="1">
      <c r="A570" s="418" t="s">
        <v>1178</v>
      </c>
      <c r="B570" s="543">
        <v>7425.03</v>
      </c>
      <c r="C570" s="94">
        <v>0</v>
      </c>
      <c r="D570" s="94">
        <v>0</v>
      </c>
      <c r="E570" s="94">
        <v>0</v>
      </c>
      <c r="F570" s="94">
        <f t="shared" si="26"/>
        <v>7425.03</v>
      </c>
      <c r="G570" s="94">
        <v>0</v>
      </c>
      <c r="H570" s="144">
        <v>0</v>
      </c>
      <c r="I570" s="748">
        <f t="shared" si="27"/>
        <v>0</v>
      </c>
      <c r="J570" s="20"/>
    </row>
    <row r="571" spans="1:10" hidden="1" outlineLevel="1">
      <c r="A571" s="418" t="s">
        <v>1180</v>
      </c>
      <c r="B571" s="543">
        <v>38279.58</v>
      </c>
      <c r="C571" s="94">
        <v>0</v>
      </c>
      <c r="D571" s="94">
        <v>0</v>
      </c>
      <c r="E571" s="94">
        <v>0</v>
      </c>
      <c r="F571" s="94">
        <f t="shared" si="26"/>
        <v>38279.58</v>
      </c>
      <c r="G571" s="94">
        <v>0</v>
      </c>
      <c r="H571" s="144">
        <v>0</v>
      </c>
      <c r="I571" s="748">
        <f t="shared" si="27"/>
        <v>0</v>
      </c>
      <c r="J571" s="20"/>
    </row>
    <row r="572" spans="1:10" hidden="1" outlineLevel="1">
      <c r="A572" s="418" t="s">
        <v>1182</v>
      </c>
      <c r="B572" s="543">
        <v>41019.479999999996</v>
      </c>
      <c r="C572" s="94">
        <v>0</v>
      </c>
      <c r="D572" s="94">
        <v>0</v>
      </c>
      <c r="E572" s="94">
        <v>0</v>
      </c>
      <c r="F572" s="94">
        <f t="shared" si="26"/>
        <v>41019.479999999996</v>
      </c>
      <c r="G572" s="94">
        <v>0</v>
      </c>
      <c r="H572" s="144">
        <v>0</v>
      </c>
      <c r="I572" s="748">
        <f t="shared" si="27"/>
        <v>0</v>
      </c>
      <c r="J572" s="20"/>
    </row>
    <row r="573" spans="1:10" hidden="1" outlineLevel="1">
      <c r="A573" s="418" t="s">
        <v>1184</v>
      </c>
      <c r="B573" s="543">
        <v>94567.6</v>
      </c>
      <c r="C573" s="94">
        <v>0</v>
      </c>
      <c r="D573" s="94">
        <v>0</v>
      </c>
      <c r="E573" s="94">
        <v>0</v>
      </c>
      <c r="F573" s="94">
        <f t="shared" si="26"/>
        <v>94567.6</v>
      </c>
      <c r="G573" s="94">
        <v>0</v>
      </c>
      <c r="H573" s="144">
        <v>0</v>
      </c>
      <c r="I573" s="748">
        <f t="shared" si="27"/>
        <v>0</v>
      </c>
      <c r="J573" s="20"/>
    </row>
    <row r="574" spans="1:10" hidden="1" outlineLevel="1">
      <c r="A574" s="418" t="s">
        <v>1186</v>
      </c>
      <c r="B574" s="543">
        <v>86089.18</v>
      </c>
      <c r="C574" s="94">
        <v>0</v>
      </c>
      <c r="D574" s="94">
        <v>0</v>
      </c>
      <c r="E574" s="94">
        <v>0</v>
      </c>
      <c r="F574" s="94">
        <f t="shared" si="26"/>
        <v>86089.18</v>
      </c>
      <c r="G574" s="94">
        <v>0</v>
      </c>
      <c r="H574" s="144">
        <v>0</v>
      </c>
      <c r="I574" s="748">
        <f t="shared" si="27"/>
        <v>0</v>
      </c>
      <c r="J574" s="20"/>
    </row>
    <row r="575" spans="1:10" hidden="1" outlineLevel="1">
      <c r="A575" s="418" t="s">
        <v>1188</v>
      </c>
      <c r="B575" s="543">
        <v>105786.65</v>
      </c>
      <c r="C575" s="94">
        <v>0</v>
      </c>
      <c r="D575" s="94">
        <v>0</v>
      </c>
      <c r="E575" s="94">
        <v>0</v>
      </c>
      <c r="F575" s="94">
        <f t="shared" si="26"/>
        <v>105786.65</v>
      </c>
      <c r="G575" s="94">
        <v>0</v>
      </c>
      <c r="H575" s="144">
        <v>0</v>
      </c>
      <c r="I575" s="748">
        <f t="shared" si="27"/>
        <v>0</v>
      </c>
      <c r="J575" s="20"/>
    </row>
    <row r="576" spans="1:10" hidden="1" outlineLevel="1">
      <c r="A576" s="418" t="s">
        <v>1190</v>
      </c>
      <c r="B576" s="543">
        <v>25029.69</v>
      </c>
      <c r="C576" s="94">
        <v>0</v>
      </c>
      <c r="D576" s="94">
        <v>0</v>
      </c>
      <c r="E576" s="94">
        <v>0</v>
      </c>
      <c r="F576" s="94">
        <f t="shared" si="26"/>
        <v>25029.69</v>
      </c>
      <c r="G576" s="94">
        <v>-426.69</v>
      </c>
      <c r="H576" s="144">
        <v>0</v>
      </c>
      <c r="I576" s="748">
        <f t="shared" si="27"/>
        <v>-426.69</v>
      </c>
      <c r="J576" s="20"/>
    </row>
    <row r="577" spans="1:10" hidden="1" outlineLevel="1">
      <c r="A577" s="418" t="s">
        <v>1192</v>
      </c>
      <c r="B577" s="543">
        <v>7213.880000000001</v>
      </c>
      <c r="C577" s="94">
        <v>0</v>
      </c>
      <c r="D577" s="94">
        <v>0</v>
      </c>
      <c r="E577" s="94">
        <v>0</v>
      </c>
      <c r="F577" s="94">
        <f t="shared" si="26"/>
        <v>7213.880000000001</v>
      </c>
      <c r="G577" s="94">
        <v>0</v>
      </c>
      <c r="H577" s="144">
        <v>0</v>
      </c>
      <c r="I577" s="748">
        <f t="shared" si="27"/>
        <v>0</v>
      </c>
      <c r="J577" s="20"/>
    </row>
    <row r="578" spans="1:10" hidden="1" outlineLevel="1">
      <c r="A578" s="418" t="s">
        <v>1194</v>
      </c>
      <c r="B578" s="543">
        <v>102989.09</v>
      </c>
      <c r="C578" s="94">
        <v>0</v>
      </c>
      <c r="D578" s="94">
        <v>0</v>
      </c>
      <c r="E578" s="94">
        <v>0</v>
      </c>
      <c r="F578" s="94">
        <f t="shared" si="26"/>
        <v>102989.09</v>
      </c>
      <c r="G578" s="94">
        <v>0</v>
      </c>
      <c r="H578" s="144">
        <v>0</v>
      </c>
      <c r="I578" s="748">
        <f t="shared" si="27"/>
        <v>0</v>
      </c>
      <c r="J578" s="20"/>
    </row>
    <row r="579" spans="1:10" hidden="1" outlineLevel="1">
      <c r="A579" s="418" t="s">
        <v>1196</v>
      </c>
      <c r="B579" s="543">
        <v>140276.94</v>
      </c>
      <c r="C579" s="94">
        <v>-2104.35</v>
      </c>
      <c r="D579" s="94">
        <v>0</v>
      </c>
      <c r="E579" s="94">
        <v>0</v>
      </c>
      <c r="F579" s="94">
        <f t="shared" si="26"/>
        <v>138172.59</v>
      </c>
      <c r="G579" s="94">
        <v>0</v>
      </c>
      <c r="H579" s="144">
        <v>0</v>
      </c>
      <c r="I579" s="748">
        <f t="shared" si="27"/>
        <v>0</v>
      </c>
      <c r="J579" s="20"/>
    </row>
    <row r="580" spans="1:10" hidden="1" outlineLevel="1">
      <c r="A580" s="418" t="s">
        <v>1198</v>
      </c>
      <c r="B580" s="543">
        <v>9122611.5800000001</v>
      </c>
      <c r="C580" s="94">
        <v>0</v>
      </c>
      <c r="D580" s="94">
        <v>0</v>
      </c>
      <c r="E580" s="94">
        <v>0</v>
      </c>
      <c r="F580" s="94">
        <f t="shared" si="26"/>
        <v>9122611.5800000001</v>
      </c>
      <c r="G580" s="94">
        <v>1856898.96</v>
      </c>
      <c r="H580" s="144">
        <v>0</v>
      </c>
      <c r="I580" s="748">
        <f t="shared" si="27"/>
        <v>1856898.96</v>
      </c>
      <c r="J580" s="20"/>
    </row>
    <row r="581" spans="1:10" hidden="1" outlineLevel="1">
      <c r="A581" s="418" t="s">
        <v>1200</v>
      </c>
      <c r="B581" s="543">
        <v>201224.03999999998</v>
      </c>
      <c r="C581" s="94">
        <v>0</v>
      </c>
      <c r="D581" s="94">
        <v>0</v>
      </c>
      <c r="E581" s="94">
        <v>0</v>
      </c>
      <c r="F581" s="94">
        <f t="shared" si="26"/>
        <v>201224.03999999998</v>
      </c>
      <c r="G581" s="94">
        <v>0</v>
      </c>
      <c r="H581" s="144">
        <v>0</v>
      </c>
      <c r="I581" s="748">
        <f t="shared" si="27"/>
        <v>0</v>
      </c>
      <c r="J581" s="20"/>
    </row>
    <row r="582" spans="1:10" hidden="1" outlineLevel="1">
      <c r="A582" s="418" t="s">
        <v>1202</v>
      </c>
      <c r="B582" s="543">
        <v>26497.94</v>
      </c>
      <c r="C582" s="94">
        <v>0</v>
      </c>
      <c r="D582" s="94">
        <v>0</v>
      </c>
      <c r="E582" s="94">
        <v>0</v>
      </c>
      <c r="F582" s="94">
        <f t="shared" si="26"/>
        <v>26497.94</v>
      </c>
      <c r="G582" s="94">
        <v>0</v>
      </c>
      <c r="H582" s="144">
        <v>0</v>
      </c>
      <c r="I582" s="748">
        <f t="shared" si="27"/>
        <v>0</v>
      </c>
      <c r="J582" s="20"/>
    </row>
    <row r="583" spans="1:10" hidden="1" outlineLevel="1">
      <c r="A583" s="418" t="s">
        <v>1204</v>
      </c>
      <c r="B583" s="543">
        <v>43502690.68</v>
      </c>
      <c r="C583" s="94">
        <v>0</v>
      </c>
      <c r="D583" s="94">
        <v>0</v>
      </c>
      <c r="E583" s="94">
        <v>13577542.23</v>
      </c>
      <c r="F583" s="94">
        <f t="shared" si="26"/>
        <v>57080232.909999996</v>
      </c>
      <c r="G583" s="94">
        <v>286062.24</v>
      </c>
      <c r="H583" s="144">
        <v>0</v>
      </c>
      <c r="I583" s="748">
        <f t="shared" si="27"/>
        <v>286062.24</v>
      </c>
      <c r="J583" s="20"/>
    </row>
    <row r="584" spans="1:10" hidden="1" outlineLevel="1">
      <c r="A584" s="418" t="s">
        <v>1206</v>
      </c>
      <c r="B584" s="543">
        <v>76202.11</v>
      </c>
      <c r="C584" s="94">
        <v>0</v>
      </c>
      <c r="D584" s="94">
        <v>0</v>
      </c>
      <c r="E584" s="94">
        <v>0</v>
      </c>
      <c r="F584" s="94">
        <f t="shared" si="26"/>
        <v>76202.11</v>
      </c>
      <c r="G584" s="94">
        <v>0</v>
      </c>
      <c r="H584" s="144">
        <v>0</v>
      </c>
      <c r="I584" s="748">
        <f t="shared" si="27"/>
        <v>0</v>
      </c>
      <c r="J584" s="20"/>
    </row>
    <row r="585" spans="1:10" hidden="1" outlineLevel="1">
      <c r="A585" s="418" t="s">
        <v>1208</v>
      </c>
      <c r="B585" s="543">
        <v>955079.22</v>
      </c>
      <c r="C585" s="94">
        <v>0</v>
      </c>
      <c r="D585" s="94">
        <v>0</v>
      </c>
      <c r="E585" s="94">
        <v>0</v>
      </c>
      <c r="F585" s="94">
        <f t="shared" si="26"/>
        <v>955079.22</v>
      </c>
      <c r="G585" s="94">
        <v>0</v>
      </c>
      <c r="H585" s="144">
        <v>0</v>
      </c>
      <c r="I585" s="748">
        <f t="shared" si="27"/>
        <v>0</v>
      </c>
      <c r="J585" s="20"/>
    </row>
    <row r="586" spans="1:10" hidden="1" outlineLevel="1">
      <c r="A586" s="418" t="s">
        <v>1210</v>
      </c>
      <c r="B586" s="543">
        <v>894747.16999999993</v>
      </c>
      <c r="C586" s="94">
        <v>-1281.5899999999999</v>
      </c>
      <c r="D586" s="94">
        <v>0</v>
      </c>
      <c r="E586" s="94">
        <v>0</v>
      </c>
      <c r="F586" s="94">
        <f t="shared" si="26"/>
        <v>893465.58</v>
      </c>
      <c r="G586" s="94">
        <v>0</v>
      </c>
      <c r="H586" s="144">
        <v>0</v>
      </c>
      <c r="I586" s="748">
        <f t="shared" si="27"/>
        <v>0</v>
      </c>
      <c r="J586" s="20"/>
    </row>
    <row r="587" spans="1:10" hidden="1" outlineLevel="1">
      <c r="A587" s="418" t="s">
        <v>1212</v>
      </c>
      <c r="B587" s="543">
        <v>120782.76999999999</v>
      </c>
      <c r="C587" s="94">
        <v>0</v>
      </c>
      <c r="D587" s="94">
        <v>0</v>
      </c>
      <c r="E587" s="94">
        <v>0</v>
      </c>
      <c r="F587" s="94">
        <f t="shared" si="26"/>
        <v>120782.76999999999</v>
      </c>
      <c r="G587" s="94">
        <v>0</v>
      </c>
      <c r="H587" s="144">
        <v>0</v>
      </c>
      <c r="I587" s="748">
        <f t="shared" si="27"/>
        <v>0</v>
      </c>
      <c r="J587" s="20"/>
    </row>
    <row r="588" spans="1:10" hidden="1" outlineLevel="1">
      <c r="A588" s="418" t="s">
        <v>1214</v>
      </c>
      <c r="B588" s="543">
        <v>77423.87</v>
      </c>
      <c r="C588" s="94">
        <v>0</v>
      </c>
      <c r="D588" s="94">
        <v>0</v>
      </c>
      <c r="E588" s="94">
        <v>0</v>
      </c>
      <c r="F588" s="94">
        <f t="shared" si="26"/>
        <v>77423.87</v>
      </c>
      <c r="G588" s="94">
        <v>0</v>
      </c>
      <c r="H588" s="144">
        <v>0</v>
      </c>
      <c r="I588" s="748">
        <f t="shared" si="27"/>
        <v>0</v>
      </c>
      <c r="J588" s="20"/>
    </row>
    <row r="589" spans="1:10" hidden="1" outlineLevel="1">
      <c r="A589" s="418" t="s">
        <v>1216</v>
      </c>
      <c r="B589" s="543">
        <v>12041.520000000002</v>
      </c>
      <c r="C589" s="94">
        <v>0</v>
      </c>
      <c r="D589" s="94">
        <v>0</v>
      </c>
      <c r="E589" s="94">
        <v>0</v>
      </c>
      <c r="F589" s="94">
        <f t="shared" si="26"/>
        <v>12041.520000000002</v>
      </c>
      <c r="G589" s="94">
        <v>0</v>
      </c>
      <c r="H589" s="144">
        <v>0</v>
      </c>
      <c r="I589" s="748">
        <f t="shared" si="27"/>
        <v>0</v>
      </c>
      <c r="J589" s="20"/>
    </row>
    <row r="590" spans="1:10" hidden="1" outlineLevel="1">
      <c r="A590" s="418" t="s">
        <v>1218</v>
      </c>
      <c r="B590" s="543">
        <v>66487.34</v>
      </c>
      <c r="C590" s="94">
        <v>0</v>
      </c>
      <c r="D590" s="94">
        <v>0</v>
      </c>
      <c r="E590" s="94">
        <v>0</v>
      </c>
      <c r="F590" s="94">
        <f t="shared" si="26"/>
        <v>66487.34</v>
      </c>
      <c r="G590" s="94">
        <v>0</v>
      </c>
      <c r="H590" s="144">
        <v>0</v>
      </c>
      <c r="I590" s="748">
        <f t="shared" si="27"/>
        <v>0</v>
      </c>
      <c r="J590" s="20"/>
    </row>
    <row r="591" spans="1:10" hidden="1" outlineLevel="1">
      <c r="A591" s="418" t="s">
        <v>1220</v>
      </c>
      <c r="B591" s="543">
        <v>38957.18</v>
      </c>
      <c r="C591" s="94">
        <v>0</v>
      </c>
      <c r="D591" s="94">
        <v>0</v>
      </c>
      <c r="E591" s="94">
        <v>0</v>
      </c>
      <c r="F591" s="94">
        <f t="shared" si="26"/>
        <v>38957.18</v>
      </c>
      <c r="G591" s="94">
        <v>0</v>
      </c>
      <c r="H591" s="144">
        <v>0</v>
      </c>
      <c r="I591" s="748">
        <f t="shared" si="27"/>
        <v>0</v>
      </c>
      <c r="J591" s="20"/>
    </row>
    <row r="592" spans="1:10" hidden="1" outlineLevel="1">
      <c r="A592" s="418" t="s">
        <v>1222</v>
      </c>
      <c r="B592" s="543">
        <v>81250.48</v>
      </c>
      <c r="C592" s="94">
        <v>0</v>
      </c>
      <c r="D592" s="94">
        <v>0</v>
      </c>
      <c r="E592" s="94">
        <v>0</v>
      </c>
      <c r="F592" s="94">
        <f t="shared" si="26"/>
        <v>81250.48</v>
      </c>
      <c r="G592" s="94">
        <v>0</v>
      </c>
      <c r="H592" s="144">
        <v>0</v>
      </c>
      <c r="I592" s="748">
        <f t="shared" si="27"/>
        <v>0</v>
      </c>
      <c r="J592" s="20"/>
    </row>
    <row r="593" spans="1:10" hidden="1" outlineLevel="1">
      <c r="A593" s="418" t="s">
        <v>1224</v>
      </c>
      <c r="B593" s="543">
        <v>92322.44</v>
      </c>
      <c r="C593" s="94">
        <v>0</v>
      </c>
      <c r="D593" s="94">
        <v>0</v>
      </c>
      <c r="E593" s="94">
        <v>0</v>
      </c>
      <c r="F593" s="94">
        <f t="shared" si="26"/>
        <v>92322.44</v>
      </c>
      <c r="G593" s="94">
        <v>0</v>
      </c>
      <c r="H593" s="144">
        <v>0</v>
      </c>
      <c r="I593" s="748">
        <f t="shared" si="27"/>
        <v>0</v>
      </c>
      <c r="J593" s="20"/>
    </row>
    <row r="594" spans="1:10" hidden="1" outlineLevel="1">
      <c r="A594" s="418" t="s">
        <v>1226</v>
      </c>
      <c r="B594" s="543">
        <v>38938.590000000004</v>
      </c>
      <c r="C594" s="94">
        <v>0</v>
      </c>
      <c r="D594" s="94">
        <v>0</v>
      </c>
      <c r="E594" s="94">
        <v>0</v>
      </c>
      <c r="F594" s="94">
        <f t="shared" si="26"/>
        <v>38938.590000000004</v>
      </c>
      <c r="G594" s="94">
        <v>0</v>
      </c>
      <c r="H594" s="144">
        <v>0</v>
      </c>
      <c r="I594" s="748">
        <f t="shared" si="27"/>
        <v>0</v>
      </c>
      <c r="J594" s="20"/>
    </row>
    <row r="595" spans="1:10" hidden="1" outlineLevel="1">
      <c r="A595" s="418" t="s">
        <v>1228</v>
      </c>
      <c r="B595" s="543">
        <v>299822.78000000003</v>
      </c>
      <c r="C595" s="94">
        <v>0</v>
      </c>
      <c r="D595" s="94">
        <v>0</v>
      </c>
      <c r="E595" s="94">
        <v>0</v>
      </c>
      <c r="F595" s="94">
        <f t="shared" si="26"/>
        <v>299822.78000000003</v>
      </c>
      <c r="G595" s="94">
        <v>-375.89</v>
      </c>
      <c r="H595" s="144">
        <v>0</v>
      </c>
      <c r="I595" s="748">
        <f t="shared" si="27"/>
        <v>-375.89</v>
      </c>
      <c r="J595" s="20"/>
    </row>
    <row r="596" spans="1:10" hidden="1" outlineLevel="1">
      <c r="A596" s="418" t="s">
        <v>1230</v>
      </c>
      <c r="B596" s="543">
        <v>22499.84</v>
      </c>
      <c r="C596" s="94">
        <v>0</v>
      </c>
      <c r="D596" s="94">
        <v>0</v>
      </c>
      <c r="E596" s="94">
        <v>0</v>
      </c>
      <c r="F596" s="94">
        <f t="shared" si="26"/>
        <v>22499.84</v>
      </c>
      <c r="G596" s="94">
        <v>0</v>
      </c>
      <c r="H596" s="144">
        <v>0</v>
      </c>
      <c r="I596" s="748">
        <f t="shared" si="27"/>
        <v>0</v>
      </c>
      <c r="J596" s="20"/>
    </row>
    <row r="597" spans="1:10" hidden="1" outlineLevel="1">
      <c r="A597" s="418" t="s">
        <v>1232</v>
      </c>
      <c r="B597" s="543">
        <v>8061.76</v>
      </c>
      <c r="C597" s="94">
        <v>0</v>
      </c>
      <c r="D597" s="94">
        <v>0</v>
      </c>
      <c r="E597" s="94">
        <v>0</v>
      </c>
      <c r="F597" s="94">
        <f t="shared" si="26"/>
        <v>8061.76</v>
      </c>
      <c r="G597" s="94">
        <v>0</v>
      </c>
      <c r="H597" s="144">
        <v>0</v>
      </c>
      <c r="I597" s="748">
        <f t="shared" si="27"/>
        <v>0</v>
      </c>
      <c r="J597" s="20"/>
    </row>
    <row r="598" spans="1:10" hidden="1" outlineLevel="1">
      <c r="A598" s="418" t="s">
        <v>1234</v>
      </c>
      <c r="B598" s="543">
        <v>1867.49</v>
      </c>
      <c r="C598" s="94">
        <v>0</v>
      </c>
      <c r="D598" s="94">
        <v>0</v>
      </c>
      <c r="E598" s="94">
        <v>0</v>
      </c>
      <c r="F598" s="94">
        <f t="shared" si="26"/>
        <v>1867.49</v>
      </c>
      <c r="G598" s="94">
        <v>0</v>
      </c>
      <c r="H598" s="144">
        <v>0</v>
      </c>
      <c r="I598" s="748">
        <f t="shared" si="27"/>
        <v>0</v>
      </c>
      <c r="J598" s="20"/>
    </row>
    <row r="599" spans="1:10" hidden="1" outlineLevel="1">
      <c r="A599" s="418" t="s">
        <v>1236</v>
      </c>
      <c r="B599" s="543">
        <v>97136.739999999991</v>
      </c>
      <c r="C599" s="94">
        <v>0</v>
      </c>
      <c r="D599" s="94">
        <v>0</v>
      </c>
      <c r="E599" s="94">
        <v>0</v>
      </c>
      <c r="F599" s="94">
        <f t="shared" si="26"/>
        <v>97136.739999999991</v>
      </c>
      <c r="G599" s="94">
        <v>0</v>
      </c>
      <c r="H599" s="144">
        <v>0</v>
      </c>
      <c r="I599" s="748">
        <f t="shared" si="27"/>
        <v>0</v>
      </c>
      <c r="J599" s="20"/>
    </row>
    <row r="600" spans="1:10" hidden="1" outlineLevel="1">
      <c r="A600" s="418" t="s">
        <v>1238</v>
      </c>
      <c r="B600" s="543">
        <v>25463843.130000003</v>
      </c>
      <c r="C600" s="94">
        <v>-129391.44</v>
      </c>
      <c r="D600" s="94">
        <v>0</v>
      </c>
      <c r="E600" s="94">
        <v>0</v>
      </c>
      <c r="F600" s="94">
        <f t="shared" ref="F600:F663" si="28">SUM(B600:E600)</f>
        <v>25334451.690000001</v>
      </c>
      <c r="G600" s="94">
        <v>-139903.44000000003</v>
      </c>
      <c r="H600" s="144">
        <v>0</v>
      </c>
      <c r="I600" s="748">
        <f t="shared" ref="I600:I663" si="29">G600+H600</f>
        <v>-139903.44000000003</v>
      </c>
      <c r="J600" s="20"/>
    </row>
    <row r="601" spans="1:10" hidden="1" outlineLevel="1">
      <c r="A601" s="418" t="s">
        <v>1240</v>
      </c>
      <c r="B601" s="543">
        <v>25700.21</v>
      </c>
      <c r="C601" s="94">
        <v>0</v>
      </c>
      <c r="D601" s="94">
        <v>0</v>
      </c>
      <c r="E601" s="94">
        <v>0</v>
      </c>
      <c r="F601" s="94">
        <f t="shared" si="28"/>
        <v>25700.21</v>
      </c>
      <c r="G601" s="94">
        <v>0</v>
      </c>
      <c r="H601" s="144">
        <v>0</v>
      </c>
      <c r="I601" s="748">
        <f t="shared" si="29"/>
        <v>0</v>
      </c>
      <c r="J601" s="20"/>
    </row>
    <row r="602" spans="1:10" hidden="1" outlineLevel="1">
      <c r="A602" s="418" t="s">
        <v>1242</v>
      </c>
      <c r="B602" s="543">
        <v>45159.23</v>
      </c>
      <c r="C602" s="94">
        <v>0</v>
      </c>
      <c r="D602" s="94">
        <v>0</v>
      </c>
      <c r="E602" s="94">
        <v>0</v>
      </c>
      <c r="F602" s="94">
        <f t="shared" si="28"/>
        <v>45159.23</v>
      </c>
      <c r="G602" s="94">
        <v>1905.56</v>
      </c>
      <c r="H602" s="144">
        <v>0</v>
      </c>
      <c r="I602" s="748">
        <f t="shared" si="29"/>
        <v>1905.56</v>
      </c>
      <c r="J602" s="20"/>
    </row>
    <row r="603" spans="1:10" hidden="1" outlineLevel="1">
      <c r="A603" s="418" t="s">
        <v>1244</v>
      </c>
      <c r="B603" s="543">
        <v>4519.2800000000007</v>
      </c>
      <c r="C603" s="94">
        <v>0</v>
      </c>
      <c r="D603" s="94">
        <v>0</v>
      </c>
      <c r="E603" s="94">
        <v>0</v>
      </c>
      <c r="F603" s="94">
        <f t="shared" si="28"/>
        <v>4519.2800000000007</v>
      </c>
      <c r="G603" s="94">
        <v>0</v>
      </c>
      <c r="H603" s="144">
        <v>0</v>
      </c>
      <c r="I603" s="748">
        <f t="shared" si="29"/>
        <v>0</v>
      </c>
      <c r="J603" s="20"/>
    </row>
    <row r="604" spans="1:10" hidden="1" outlineLevel="1">
      <c r="A604" s="418" t="s">
        <v>1246</v>
      </c>
      <c r="B604" s="543">
        <v>593196.93999999994</v>
      </c>
      <c r="C604" s="94">
        <v>0</v>
      </c>
      <c r="D604" s="94">
        <v>0</v>
      </c>
      <c r="E604" s="94">
        <v>0</v>
      </c>
      <c r="F604" s="94">
        <f t="shared" si="28"/>
        <v>593196.93999999994</v>
      </c>
      <c r="G604" s="94">
        <v>-115.81000000000006</v>
      </c>
      <c r="H604" s="144">
        <v>0</v>
      </c>
      <c r="I604" s="748">
        <f t="shared" si="29"/>
        <v>-115.81000000000006</v>
      </c>
      <c r="J604" s="20"/>
    </row>
    <row r="605" spans="1:10" hidden="1" outlineLevel="1">
      <c r="A605" s="418" t="s">
        <v>1248</v>
      </c>
      <c r="B605" s="543">
        <v>1996.79</v>
      </c>
      <c r="C605" s="94">
        <v>0</v>
      </c>
      <c r="D605" s="94">
        <v>0</v>
      </c>
      <c r="E605" s="94">
        <v>0</v>
      </c>
      <c r="F605" s="94">
        <f t="shared" si="28"/>
        <v>1996.79</v>
      </c>
      <c r="G605" s="94">
        <v>0</v>
      </c>
      <c r="H605" s="144">
        <v>0</v>
      </c>
      <c r="I605" s="748">
        <f t="shared" si="29"/>
        <v>0</v>
      </c>
      <c r="J605" s="20"/>
    </row>
    <row r="606" spans="1:10" hidden="1" outlineLevel="1">
      <c r="A606" s="418" t="s">
        <v>1250</v>
      </c>
      <c r="B606" s="543">
        <v>268994.99</v>
      </c>
      <c r="C606" s="94">
        <v>-633.02</v>
      </c>
      <c r="D606" s="94">
        <v>0</v>
      </c>
      <c r="E606" s="94">
        <v>0</v>
      </c>
      <c r="F606" s="94">
        <f t="shared" si="28"/>
        <v>268361.96999999997</v>
      </c>
      <c r="G606" s="94">
        <v>-1591.9700000000003</v>
      </c>
      <c r="H606" s="144">
        <v>0</v>
      </c>
      <c r="I606" s="748">
        <f t="shared" si="29"/>
        <v>-1591.9700000000003</v>
      </c>
      <c r="J606" s="20"/>
    </row>
    <row r="607" spans="1:10" hidden="1" outlineLevel="1">
      <c r="A607" s="418" t="s">
        <v>1252</v>
      </c>
      <c r="B607" s="543">
        <v>34961.919999999998</v>
      </c>
      <c r="C607" s="94">
        <v>0</v>
      </c>
      <c r="D607" s="94">
        <v>0</v>
      </c>
      <c r="E607" s="94">
        <v>0</v>
      </c>
      <c r="F607" s="94">
        <f t="shared" si="28"/>
        <v>34961.919999999998</v>
      </c>
      <c r="G607" s="94">
        <v>0</v>
      </c>
      <c r="H607" s="144">
        <v>0</v>
      </c>
      <c r="I607" s="748">
        <f t="shared" si="29"/>
        <v>0</v>
      </c>
      <c r="J607" s="20"/>
    </row>
    <row r="608" spans="1:10" hidden="1" outlineLevel="1">
      <c r="A608" s="418" t="s">
        <v>1254</v>
      </c>
      <c r="B608" s="543">
        <v>40508.470000000008</v>
      </c>
      <c r="C608" s="94">
        <v>0</v>
      </c>
      <c r="D608" s="94">
        <v>0</v>
      </c>
      <c r="E608" s="94">
        <v>0</v>
      </c>
      <c r="F608" s="94">
        <f t="shared" si="28"/>
        <v>40508.470000000008</v>
      </c>
      <c r="G608" s="94">
        <v>0</v>
      </c>
      <c r="H608" s="144">
        <v>0</v>
      </c>
      <c r="I608" s="748">
        <f t="shared" si="29"/>
        <v>0</v>
      </c>
      <c r="J608" s="20"/>
    </row>
    <row r="609" spans="1:10" hidden="1" outlineLevel="1">
      <c r="A609" s="418" t="s">
        <v>1256</v>
      </c>
      <c r="B609" s="543">
        <v>14261.38</v>
      </c>
      <c r="C609" s="94">
        <v>0</v>
      </c>
      <c r="D609" s="94">
        <v>0</v>
      </c>
      <c r="E609" s="94">
        <v>0</v>
      </c>
      <c r="F609" s="94">
        <f t="shared" si="28"/>
        <v>14261.38</v>
      </c>
      <c r="G609" s="94">
        <v>0</v>
      </c>
      <c r="H609" s="144">
        <v>0</v>
      </c>
      <c r="I609" s="748">
        <f t="shared" si="29"/>
        <v>0</v>
      </c>
      <c r="J609" s="20"/>
    </row>
    <row r="610" spans="1:10" hidden="1" outlineLevel="1">
      <c r="A610" s="418" t="s">
        <v>1258</v>
      </c>
      <c r="B610" s="543">
        <v>8264.630000000001</v>
      </c>
      <c r="C610" s="94">
        <v>0</v>
      </c>
      <c r="D610" s="94">
        <v>0</v>
      </c>
      <c r="E610" s="94">
        <v>0</v>
      </c>
      <c r="F610" s="94">
        <f t="shared" si="28"/>
        <v>8264.630000000001</v>
      </c>
      <c r="G610" s="94">
        <v>0</v>
      </c>
      <c r="H610" s="144">
        <v>0</v>
      </c>
      <c r="I610" s="748">
        <f t="shared" si="29"/>
        <v>0</v>
      </c>
      <c r="J610" s="20"/>
    </row>
    <row r="611" spans="1:10" hidden="1" outlineLevel="1">
      <c r="A611" s="418" t="s">
        <v>1260</v>
      </c>
      <c r="B611" s="543">
        <v>372743.8</v>
      </c>
      <c r="C611" s="94">
        <v>0</v>
      </c>
      <c r="D611" s="94">
        <v>0</v>
      </c>
      <c r="E611" s="94">
        <v>0</v>
      </c>
      <c r="F611" s="94">
        <f t="shared" si="28"/>
        <v>372743.8</v>
      </c>
      <c r="G611" s="94">
        <v>56100.509999999995</v>
      </c>
      <c r="H611" s="144">
        <v>0</v>
      </c>
      <c r="I611" s="748">
        <f t="shared" si="29"/>
        <v>56100.509999999995</v>
      </c>
      <c r="J611" s="20"/>
    </row>
    <row r="612" spans="1:10" hidden="1" outlineLevel="1">
      <c r="A612" s="418" t="s">
        <v>1262</v>
      </c>
      <c r="B612" s="543">
        <v>111363.91999999998</v>
      </c>
      <c r="C612" s="94">
        <v>0</v>
      </c>
      <c r="D612" s="94">
        <v>0</v>
      </c>
      <c r="E612" s="94">
        <v>0</v>
      </c>
      <c r="F612" s="94">
        <f t="shared" si="28"/>
        <v>111363.91999999998</v>
      </c>
      <c r="G612" s="94">
        <v>0</v>
      </c>
      <c r="H612" s="144">
        <v>0</v>
      </c>
      <c r="I612" s="748">
        <f t="shared" si="29"/>
        <v>0</v>
      </c>
      <c r="J612" s="20"/>
    </row>
    <row r="613" spans="1:10" hidden="1" outlineLevel="1">
      <c r="A613" s="418" t="s">
        <v>1264</v>
      </c>
      <c r="B613" s="543">
        <v>14454.79</v>
      </c>
      <c r="C613" s="94">
        <v>0</v>
      </c>
      <c r="D613" s="94">
        <v>0</v>
      </c>
      <c r="E613" s="94">
        <v>0</v>
      </c>
      <c r="F613" s="94">
        <f t="shared" si="28"/>
        <v>14454.79</v>
      </c>
      <c r="G613" s="94">
        <v>0</v>
      </c>
      <c r="H613" s="144">
        <v>0</v>
      </c>
      <c r="I613" s="748">
        <f t="shared" si="29"/>
        <v>0</v>
      </c>
      <c r="J613" s="20"/>
    </row>
    <row r="614" spans="1:10" hidden="1" outlineLevel="1">
      <c r="A614" s="418" t="s">
        <v>1266</v>
      </c>
      <c r="B614" s="543">
        <v>32799.72</v>
      </c>
      <c r="C614" s="94">
        <v>0</v>
      </c>
      <c r="D614" s="94">
        <v>0</v>
      </c>
      <c r="E614" s="94">
        <v>0</v>
      </c>
      <c r="F614" s="94">
        <f t="shared" si="28"/>
        <v>32799.72</v>
      </c>
      <c r="G614" s="94">
        <v>1058.4100000000001</v>
      </c>
      <c r="H614" s="144">
        <v>0</v>
      </c>
      <c r="I614" s="748">
        <f t="shared" si="29"/>
        <v>1058.4100000000001</v>
      </c>
      <c r="J614" s="20"/>
    </row>
    <row r="615" spans="1:10" hidden="1" outlineLevel="1">
      <c r="A615" s="418" t="s">
        <v>1268</v>
      </c>
      <c r="B615" s="543">
        <v>330241.11</v>
      </c>
      <c r="C615" s="94">
        <v>0</v>
      </c>
      <c r="D615" s="94">
        <v>0</v>
      </c>
      <c r="E615" s="94">
        <v>0</v>
      </c>
      <c r="F615" s="94">
        <f t="shared" si="28"/>
        <v>330241.11</v>
      </c>
      <c r="G615" s="94">
        <v>0</v>
      </c>
      <c r="H615" s="144">
        <v>0</v>
      </c>
      <c r="I615" s="748">
        <f t="shared" si="29"/>
        <v>0</v>
      </c>
      <c r="J615" s="20"/>
    </row>
    <row r="616" spans="1:10" hidden="1" outlineLevel="1">
      <c r="A616" s="418" t="s">
        <v>1270</v>
      </c>
      <c r="B616" s="543">
        <v>36547.449999999997</v>
      </c>
      <c r="C616" s="94">
        <v>0</v>
      </c>
      <c r="D616" s="94">
        <v>0</v>
      </c>
      <c r="E616" s="94">
        <v>0</v>
      </c>
      <c r="F616" s="94">
        <f t="shared" si="28"/>
        <v>36547.449999999997</v>
      </c>
      <c r="G616" s="94">
        <v>0</v>
      </c>
      <c r="H616" s="144">
        <v>0</v>
      </c>
      <c r="I616" s="748">
        <f t="shared" si="29"/>
        <v>0</v>
      </c>
      <c r="J616" s="20"/>
    </row>
    <row r="617" spans="1:10" hidden="1" outlineLevel="1">
      <c r="A617" s="418" t="s">
        <v>1272</v>
      </c>
      <c r="B617" s="543">
        <v>40031.33</v>
      </c>
      <c r="C617" s="94">
        <v>0</v>
      </c>
      <c r="D617" s="94">
        <v>0</v>
      </c>
      <c r="E617" s="94">
        <v>0</v>
      </c>
      <c r="F617" s="94">
        <f t="shared" si="28"/>
        <v>40031.33</v>
      </c>
      <c r="G617" s="94">
        <v>0</v>
      </c>
      <c r="H617" s="144">
        <v>0</v>
      </c>
      <c r="I617" s="748">
        <f t="shared" si="29"/>
        <v>0</v>
      </c>
      <c r="J617" s="20"/>
    </row>
    <row r="618" spans="1:10" hidden="1" outlineLevel="1">
      <c r="A618" s="418" t="s">
        <v>1274</v>
      </c>
      <c r="B618" s="543">
        <v>544515.28</v>
      </c>
      <c r="C618" s="94">
        <v>0</v>
      </c>
      <c r="D618" s="94">
        <v>0</v>
      </c>
      <c r="E618" s="94">
        <v>0</v>
      </c>
      <c r="F618" s="94">
        <f t="shared" si="28"/>
        <v>544515.28</v>
      </c>
      <c r="G618" s="94">
        <v>0</v>
      </c>
      <c r="H618" s="144">
        <v>0</v>
      </c>
      <c r="I618" s="748">
        <f t="shared" si="29"/>
        <v>0</v>
      </c>
      <c r="J618" s="20"/>
    </row>
    <row r="619" spans="1:10" hidden="1" outlineLevel="1">
      <c r="A619" s="418" t="s">
        <v>1276</v>
      </c>
      <c r="B619" s="543">
        <v>89736.11</v>
      </c>
      <c r="C619" s="94">
        <v>0</v>
      </c>
      <c r="D619" s="94">
        <v>0</v>
      </c>
      <c r="E619" s="94">
        <v>0</v>
      </c>
      <c r="F619" s="94">
        <f t="shared" si="28"/>
        <v>89736.11</v>
      </c>
      <c r="G619" s="94">
        <v>0</v>
      </c>
      <c r="H619" s="144">
        <v>0</v>
      </c>
      <c r="I619" s="748">
        <f t="shared" si="29"/>
        <v>0</v>
      </c>
      <c r="J619" s="20"/>
    </row>
    <row r="620" spans="1:10" hidden="1" outlineLevel="1">
      <c r="A620" s="418" t="s">
        <v>1278</v>
      </c>
      <c r="B620" s="543">
        <v>2970.12</v>
      </c>
      <c r="C620" s="94">
        <v>0</v>
      </c>
      <c r="D620" s="94">
        <v>0</v>
      </c>
      <c r="E620" s="94">
        <v>0</v>
      </c>
      <c r="F620" s="94">
        <f t="shared" si="28"/>
        <v>2970.12</v>
      </c>
      <c r="G620" s="94">
        <v>0</v>
      </c>
      <c r="H620" s="144">
        <v>0</v>
      </c>
      <c r="I620" s="748">
        <f t="shared" si="29"/>
        <v>0</v>
      </c>
      <c r="J620" s="20"/>
    </row>
    <row r="621" spans="1:10" hidden="1" outlineLevel="1">
      <c r="A621" s="418" t="s">
        <v>1280</v>
      </c>
      <c r="B621" s="543">
        <v>80321.079999999987</v>
      </c>
      <c r="C621" s="94">
        <v>0</v>
      </c>
      <c r="D621" s="94">
        <v>0</v>
      </c>
      <c r="E621" s="94">
        <v>0</v>
      </c>
      <c r="F621" s="94">
        <f t="shared" si="28"/>
        <v>80321.079999999987</v>
      </c>
      <c r="G621" s="94">
        <v>0</v>
      </c>
      <c r="H621" s="144">
        <v>0</v>
      </c>
      <c r="I621" s="748">
        <f t="shared" si="29"/>
        <v>0</v>
      </c>
      <c r="J621" s="20"/>
    </row>
    <row r="622" spans="1:10" hidden="1" outlineLevel="1">
      <c r="A622" s="418" t="s">
        <v>1282</v>
      </c>
      <c r="B622" s="543">
        <v>6194100.8700000001</v>
      </c>
      <c r="C622" s="94">
        <v>0</v>
      </c>
      <c r="D622" s="94">
        <v>0</v>
      </c>
      <c r="E622" s="94">
        <v>0</v>
      </c>
      <c r="F622" s="94">
        <f t="shared" si="28"/>
        <v>6194100.8700000001</v>
      </c>
      <c r="G622" s="94">
        <v>47531.18</v>
      </c>
      <c r="H622" s="144">
        <v>0</v>
      </c>
      <c r="I622" s="748">
        <f t="shared" si="29"/>
        <v>47531.18</v>
      </c>
      <c r="J622" s="20"/>
    </row>
    <row r="623" spans="1:10" hidden="1" outlineLevel="1">
      <c r="A623" s="418" t="s">
        <v>1284</v>
      </c>
      <c r="B623" s="543">
        <v>120389.16</v>
      </c>
      <c r="C623" s="94">
        <v>0</v>
      </c>
      <c r="D623" s="94">
        <v>0</v>
      </c>
      <c r="E623" s="94">
        <v>0</v>
      </c>
      <c r="F623" s="94">
        <f t="shared" si="28"/>
        <v>120389.16</v>
      </c>
      <c r="G623" s="94">
        <v>1991.7200000000003</v>
      </c>
      <c r="H623" s="144">
        <v>0</v>
      </c>
      <c r="I623" s="748">
        <f t="shared" si="29"/>
        <v>1991.7200000000003</v>
      </c>
      <c r="J623" s="20"/>
    </row>
    <row r="624" spans="1:10" hidden="1" outlineLevel="1">
      <c r="A624" s="418" t="s">
        <v>1286</v>
      </c>
      <c r="B624" s="543">
        <v>290824.02</v>
      </c>
      <c r="C624" s="94">
        <v>0</v>
      </c>
      <c r="D624" s="94">
        <v>0</v>
      </c>
      <c r="E624" s="94">
        <v>0</v>
      </c>
      <c r="F624" s="94">
        <f t="shared" si="28"/>
        <v>290824.02</v>
      </c>
      <c r="G624" s="94">
        <v>-5569.6</v>
      </c>
      <c r="H624" s="144">
        <v>0</v>
      </c>
      <c r="I624" s="748">
        <f t="shared" si="29"/>
        <v>-5569.6</v>
      </c>
      <c r="J624" s="20"/>
    </row>
    <row r="625" spans="1:10" hidden="1" outlineLevel="1">
      <c r="A625" s="418" t="s">
        <v>1288</v>
      </c>
      <c r="B625" s="543">
        <v>384171.14999999997</v>
      </c>
      <c r="C625" s="94">
        <v>-1619.33</v>
      </c>
      <c r="D625" s="94">
        <v>0</v>
      </c>
      <c r="E625" s="94">
        <v>0</v>
      </c>
      <c r="F625" s="94">
        <f t="shared" si="28"/>
        <v>382551.81999999995</v>
      </c>
      <c r="G625" s="94">
        <v>102482.98</v>
      </c>
      <c r="H625" s="144">
        <v>0</v>
      </c>
      <c r="I625" s="748">
        <f t="shared" si="29"/>
        <v>102482.98</v>
      </c>
      <c r="J625" s="20"/>
    </row>
    <row r="626" spans="1:10" hidden="1" outlineLevel="1">
      <c r="A626" s="418" t="s">
        <v>1290</v>
      </c>
      <c r="B626" s="543">
        <v>53908.59</v>
      </c>
      <c r="C626" s="94">
        <v>0</v>
      </c>
      <c r="D626" s="94">
        <v>0</v>
      </c>
      <c r="E626" s="94">
        <v>0</v>
      </c>
      <c r="F626" s="94">
        <f t="shared" si="28"/>
        <v>53908.59</v>
      </c>
      <c r="G626" s="94">
        <v>-47.01</v>
      </c>
      <c r="H626" s="144">
        <v>0</v>
      </c>
      <c r="I626" s="748">
        <f t="shared" si="29"/>
        <v>-47.01</v>
      </c>
      <c r="J626" s="20"/>
    </row>
    <row r="627" spans="1:10" hidden="1" outlineLevel="1">
      <c r="A627" s="418" t="s">
        <v>1292</v>
      </c>
      <c r="B627" s="543">
        <v>11793.92</v>
      </c>
      <c r="C627" s="94">
        <v>0</v>
      </c>
      <c r="D627" s="94">
        <v>0</v>
      </c>
      <c r="E627" s="94">
        <v>0</v>
      </c>
      <c r="F627" s="94">
        <f t="shared" si="28"/>
        <v>11793.92</v>
      </c>
      <c r="G627" s="94">
        <v>0</v>
      </c>
      <c r="H627" s="144">
        <v>0</v>
      </c>
      <c r="I627" s="748">
        <f t="shared" si="29"/>
        <v>0</v>
      </c>
      <c r="J627" s="20"/>
    </row>
    <row r="628" spans="1:10" hidden="1" outlineLevel="1">
      <c r="A628" s="418" t="s">
        <v>1294</v>
      </c>
      <c r="B628" s="543">
        <v>30402.800000000003</v>
      </c>
      <c r="C628" s="94">
        <v>0</v>
      </c>
      <c r="D628" s="94">
        <v>0</v>
      </c>
      <c r="E628" s="94">
        <v>0</v>
      </c>
      <c r="F628" s="94">
        <f t="shared" si="28"/>
        <v>30402.800000000003</v>
      </c>
      <c r="G628" s="94">
        <v>0</v>
      </c>
      <c r="H628" s="144">
        <v>0</v>
      </c>
      <c r="I628" s="748">
        <f t="shared" si="29"/>
        <v>0</v>
      </c>
      <c r="J628" s="20"/>
    </row>
    <row r="629" spans="1:10" hidden="1" outlineLevel="1">
      <c r="A629" s="418" t="s">
        <v>1296</v>
      </c>
      <c r="B629" s="543">
        <v>9039.44</v>
      </c>
      <c r="C629" s="94">
        <v>0</v>
      </c>
      <c r="D629" s="94">
        <v>0</v>
      </c>
      <c r="E629" s="94">
        <v>0</v>
      </c>
      <c r="F629" s="94">
        <f t="shared" si="28"/>
        <v>9039.44</v>
      </c>
      <c r="G629" s="94">
        <v>0</v>
      </c>
      <c r="H629" s="144">
        <v>0</v>
      </c>
      <c r="I629" s="748">
        <f t="shared" si="29"/>
        <v>0</v>
      </c>
      <c r="J629" s="20"/>
    </row>
    <row r="630" spans="1:10" hidden="1" outlineLevel="1">
      <c r="A630" s="418" t="s">
        <v>1298</v>
      </c>
      <c r="B630" s="543">
        <v>1803.76</v>
      </c>
      <c r="C630" s="94">
        <v>0</v>
      </c>
      <c r="D630" s="94">
        <v>0</v>
      </c>
      <c r="E630" s="94">
        <v>0</v>
      </c>
      <c r="F630" s="94">
        <f t="shared" si="28"/>
        <v>1803.76</v>
      </c>
      <c r="G630" s="94">
        <v>0</v>
      </c>
      <c r="H630" s="144">
        <v>0</v>
      </c>
      <c r="I630" s="748">
        <f t="shared" si="29"/>
        <v>0</v>
      </c>
      <c r="J630" s="20"/>
    </row>
    <row r="631" spans="1:10" hidden="1" outlineLevel="1">
      <c r="A631" s="418" t="s">
        <v>1300</v>
      </c>
      <c r="B631" s="543">
        <v>5697.24</v>
      </c>
      <c r="C631" s="94">
        <v>0</v>
      </c>
      <c r="D631" s="94">
        <v>0</v>
      </c>
      <c r="E631" s="94">
        <v>0</v>
      </c>
      <c r="F631" s="94">
        <f t="shared" si="28"/>
        <v>5697.24</v>
      </c>
      <c r="G631" s="94">
        <v>0</v>
      </c>
      <c r="H631" s="144">
        <v>0</v>
      </c>
      <c r="I631" s="748">
        <f t="shared" si="29"/>
        <v>0</v>
      </c>
      <c r="J631" s="20"/>
    </row>
    <row r="632" spans="1:10" hidden="1" outlineLevel="1">
      <c r="A632" s="418" t="s">
        <v>1302</v>
      </c>
      <c r="B632" s="543">
        <v>20519.36</v>
      </c>
      <c r="C632" s="94">
        <v>0</v>
      </c>
      <c r="D632" s="94">
        <v>0</v>
      </c>
      <c r="E632" s="94">
        <v>0</v>
      </c>
      <c r="F632" s="94">
        <f t="shared" si="28"/>
        <v>20519.36</v>
      </c>
      <c r="G632" s="94">
        <v>0</v>
      </c>
      <c r="H632" s="144">
        <v>0</v>
      </c>
      <c r="I632" s="748">
        <f t="shared" si="29"/>
        <v>0</v>
      </c>
      <c r="J632" s="20"/>
    </row>
    <row r="633" spans="1:10" hidden="1" outlineLevel="1">
      <c r="A633" s="418" t="s">
        <v>1304</v>
      </c>
      <c r="B633" s="543">
        <v>321998.15000000002</v>
      </c>
      <c r="C633" s="94">
        <v>0</v>
      </c>
      <c r="D633" s="94">
        <v>0</v>
      </c>
      <c r="E633" s="94">
        <v>0</v>
      </c>
      <c r="F633" s="94">
        <f t="shared" si="28"/>
        <v>321998.15000000002</v>
      </c>
      <c r="G633" s="94">
        <v>0</v>
      </c>
      <c r="H633" s="144">
        <v>0</v>
      </c>
      <c r="I633" s="748">
        <f t="shared" si="29"/>
        <v>0</v>
      </c>
      <c r="J633" s="20"/>
    </row>
    <row r="634" spans="1:10" hidden="1" outlineLevel="1">
      <c r="A634" s="418" t="s">
        <v>1306</v>
      </c>
      <c r="B634" s="543">
        <v>47210.64</v>
      </c>
      <c r="C634" s="94">
        <v>0</v>
      </c>
      <c r="D634" s="94">
        <v>0</v>
      </c>
      <c r="E634" s="94">
        <v>0</v>
      </c>
      <c r="F634" s="94">
        <f t="shared" si="28"/>
        <v>47210.64</v>
      </c>
      <c r="G634" s="94">
        <v>0</v>
      </c>
      <c r="H634" s="144">
        <v>0</v>
      </c>
      <c r="I634" s="748">
        <f t="shared" si="29"/>
        <v>0</v>
      </c>
      <c r="J634" s="20"/>
    </row>
    <row r="635" spans="1:10" hidden="1" outlineLevel="1">
      <c r="A635" s="418" t="s">
        <v>1308</v>
      </c>
      <c r="B635" s="543">
        <v>25778.37</v>
      </c>
      <c r="C635" s="94">
        <v>0</v>
      </c>
      <c r="D635" s="94">
        <v>0</v>
      </c>
      <c r="E635" s="94">
        <v>0</v>
      </c>
      <c r="F635" s="94">
        <f t="shared" si="28"/>
        <v>25778.37</v>
      </c>
      <c r="G635" s="94">
        <v>0</v>
      </c>
      <c r="H635" s="144">
        <v>0</v>
      </c>
      <c r="I635" s="748">
        <f t="shared" si="29"/>
        <v>0</v>
      </c>
      <c r="J635" s="20"/>
    </row>
    <row r="636" spans="1:10" hidden="1" outlineLevel="1">
      <c r="A636" s="418" t="s">
        <v>1310</v>
      </c>
      <c r="B636" s="543">
        <v>142203.62</v>
      </c>
      <c r="C636" s="94">
        <v>0</v>
      </c>
      <c r="D636" s="94">
        <v>0</v>
      </c>
      <c r="E636" s="94">
        <v>0</v>
      </c>
      <c r="F636" s="94">
        <f t="shared" si="28"/>
        <v>142203.62</v>
      </c>
      <c r="G636" s="94">
        <v>0</v>
      </c>
      <c r="H636" s="144">
        <v>0</v>
      </c>
      <c r="I636" s="748">
        <f t="shared" si="29"/>
        <v>0</v>
      </c>
      <c r="J636" s="20"/>
    </row>
    <row r="637" spans="1:10" hidden="1" outlineLevel="1">
      <c r="A637" s="418" t="s">
        <v>1312</v>
      </c>
      <c r="B637" s="543">
        <v>19065.600000000002</v>
      </c>
      <c r="C637" s="94">
        <v>0</v>
      </c>
      <c r="D637" s="94">
        <v>0</v>
      </c>
      <c r="E637" s="94">
        <v>0</v>
      </c>
      <c r="F637" s="94">
        <f t="shared" si="28"/>
        <v>19065.600000000002</v>
      </c>
      <c r="G637" s="94">
        <v>0</v>
      </c>
      <c r="H637" s="144">
        <v>0</v>
      </c>
      <c r="I637" s="748">
        <f t="shared" si="29"/>
        <v>0</v>
      </c>
      <c r="J637" s="20"/>
    </row>
    <row r="638" spans="1:10" hidden="1" outlineLevel="1">
      <c r="A638" s="418" t="s">
        <v>1314</v>
      </c>
      <c r="B638" s="543">
        <v>144742.66</v>
      </c>
      <c r="C638" s="94">
        <v>0</v>
      </c>
      <c r="D638" s="94">
        <v>0</v>
      </c>
      <c r="E638" s="94">
        <v>0</v>
      </c>
      <c r="F638" s="94">
        <f t="shared" si="28"/>
        <v>144742.66</v>
      </c>
      <c r="G638" s="94">
        <v>0</v>
      </c>
      <c r="H638" s="144">
        <v>0</v>
      </c>
      <c r="I638" s="748">
        <f t="shared" si="29"/>
        <v>0</v>
      </c>
      <c r="J638" s="20"/>
    </row>
    <row r="639" spans="1:10" hidden="1" outlineLevel="1">
      <c r="A639" s="418" t="s">
        <v>1316</v>
      </c>
      <c r="B639" s="543">
        <v>268507.94999999995</v>
      </c>
      <c r="C639" s="94">
        <v>0</v>
      </c>
      <c r="D639" s="94">
        <v>0</v>
      </c>
      <c r="E639" s="94">
        <v>0</v>
      </c>
      <c r="F639" s="94">
        <f t="shared" si="28"/>
        <v>268507.94999999995</v>
      </c>
      <c r="G639" s="94">
        <v>52558.3</v>
      </c>
      <c r="H639" s="144">
        <v>0</v>
      </c>
      <c r="I639" s="748">
        <f t="shared" si="29"/>
        <v>52558.3</v>
      </c>
      <c r="J639" s="20"/>
    </row>
    <row r="640" spans="1:10" hidden="1" outlineLevel="1">
      <c r="A640" s="418" t="s">
        <v>1318</v>
      </c>
      <c r="B640" s="543">
        <v>66269.03</v>
      </c>
      <c r="C640" s="94">
        <v>0</v>
      </c>
      <c r="D640" s="94">
        <v>0</v>
      </c>
      <c r="E640" s="94">
        <v>0</v>
      </c>
      <c r="F640" s="94">
        <f t="shared" si="28"/>
        <v>66269.03</v>
      </c>
      <c r="G640" s="94">
        <v>0</v>
      </c>
      <c r="H640" s="144">
        <v>0</v>
      </c>
      <c r="I640" s="748">
        <f t="shared" si="29"/>
        <v>0</v>
      </c>
      <c r="J640" s="20"/>
    </row>
    <row r="641" spans="1:10" hidden="1" outlineLevel="1">
      <c r="A641" s="418" t="s">
        <v>1320</v>
      </c>
      <c r="B641" s="543">
        <v>284068.96000000002</v>
      </c>
      <c r="C641" s="94">
        <v>-80401.990000000005</v>
      </c>
      <c r="D641" s="94">
        <v>0</v>
      </c>
      <c r="E641" s="94">
        <v>0</v>
      </c>
      <c r="F641" s="94">
        <f t="shared" si="28"/>
        <v>203666.97000000003</v>
      </c>
      <c r="G641" s="94">
        <v>0</v>
      </c>
      <c r="H641" s="144">
        <v>0</v>
      </c>
      <c r="I641" s="748">
        <f t="shared" si="29"/>
        <v>0</v>
      </c>
      <c r="J641" s="20"/>
    </row>
    <row r="642" spans="1:10" hidden="1" outlineLevel="1">
      <c r="A642" s="418" t="s">
        <v>1322</v>
      </c>
      <c r="B642" s="543">
        <v>41831.49</v>
      </c>
      <c r="C642" s="94">
        <v>0</v>
      </c>
      <c r="D642" s="94">
        <v>0</v>
      </c>
      <c r="E642" s="94">
        <v>0</v>
      </c>
      <c r="F642" s="94">
        <f t="shared" si="28"/>
        <v>41831.49</v>
      </c>
      <c r="G642" s="94">
        <v>0</v>
      </c>
      <c r="H642" s="144">
        <v>0</v>
      </c>
      <c r="I642" s="748">
        <f t="shared" si="29"/>
        <v>0</v>
      </c>
      <c r="J642" s="20"/>
    </row>
    <row r="643" spans="1:10" hidden="1" outlineLevel="1">
      <c r="A643" s="418" t="s">
        <v>1324</v>
      </c>
      <c r="B643" s="543">
        <v>8456.7000000000007</v>
      </c>
      <c r="C643" s="94">
        <v>0</v>
      </c>
      <c r="D643" s="94">
        <v>0</v>
      </c>
      <c r="E643" s="94">
        <v>0</v>
      </c>
      <c r="F643" s="94">
        <f t="shared" si="28"/>
        <v>8456.7000000000007</v>
      </c>
      <c r="G643" s="94">
        <v>0</v>
      </c>
      <c r="H643" s="144">
        <v>0</v>
      </c>
      <c r="I643" s="748">
        <f t="shared" si="29"/>
        <v>0</v>
      </c>
      <c r="J643" s="20"/>
    </row>
    <row r="644" spans="1:10" hidden="1" outlineLevel="1">
      <c r="A644" s="418" t="s">
        <v>1326</v>
      </c>
      <c r="B644" s="543">
        <v>2017279.77</v>
      </c>
      <c r="C644" s="94">
        <v>0</v>
      </c>
      <c r="D644" s="94">
        <v>0</v>
      </c>
      <c r="E644" s="94">
        <v>0</v>
      </c>
      <c r="F644" s="94">
        <f t="shared" si="28"/>
        <v>2017279.77</v>
      </c>
      <c r="G644" s="94">
        <v>2479.6</v>
      </c>
      <c r="H644" s="144">
        <v>0</v>
      </c>
      <c r="I644" s="748">
        <f t="shared" si="29"/>
        <v>2479.6</v>
      </c>
      <c r="J644" s="20"/>
    </row>
    <row r="645" spans="1:10" hidden="1" outlineLevel="1">
      <c r="A645" s="418" t="s">
        <v>1328</v>
      </c>
      <c r="B645" s="543">
        <v>904719.58</v>
      </c>
      <c r="C645" s="94">
        <v>0</v>
      </c>
      <c r="D645" s="94">
        <v>0</v>
      </c>
      <c r="E645" s="94">
        <v>0</v>
      </c>
      <c r="F645" s="94">
        <f t="shared" si="28"/>
        <v>904719.58</v>
      </c>
      <c r="G645" s="94">
        <v>0</v>
      </c>
      <c r="H645" s="144">
        <v>0</v>
      </c>
      <c r="I645" s="748">
        <f t="shared" si="29"/>
        <v>0</v>
      </c>
      <c r="J645" s="20"/>
    </row>
    <row r="646" spans="1:10" hidden="1" outlineLevel="1">
      <c r="A646" s="418" t="s">
        <v>1330</v>
      </c>
      <c r="B646" s="543">
        <v>17552420</v>
      </c>
      <c r="C646" s="94">
        <v>0</v>
      </c>
      <c r="D646" s="94">
        <v>0</v>
      </c>
      <c r="E646" s="94">
        <v>9852750</v>
      </c>
      <c r="F646" s="94">
        <f t="shared" si="28"/>
        <v>27405170</v>
      </c>
      <c r="G646" s="94">
        <v>38783417</v>
      </c>
      <c r="H646" s="144">
        <v>0</v>
      </c>
      <c r="I646" s="748">
        <f t="shared" si="29"/>
        <v>38783417</v>
      </c>
      <c r="J646" s="20"/>
    </row>
    <row r="647" spans="1:10" hidden="1" outlineLevel="1">
      <c r="A647" s="418" t="s">
        <v>1332</v>
      </c>
      <c r="B647" s="543">
        <v>2515808.5500000007</v>
      </c>
      <c r="C647" s="94">
        <v>0</v>
      </c>
      <c r="D647" s="94">
        <v>0</v>
      </c>
      <c r="E647" s="94">
        <v>0</v>
      </c>
      <c r="F647" s="94">
        <f t="shared" si="28"/>
        <v>2515808.5500000007</v>
      </c>
      <c r="G647" s="94">
        <v>4788.32</v>
      </c>
      <c r="H647" s="144">
        <v>0</v>
      </c>
      <c r="I647" s="748">
        <f t="shared" si="29"/>
        <v>4788.32</v>
      </c>
      <c r="J647" s="20"/>
    </row>
    <row r="648" spans="1:10" hidden="1" outlineLevel="1">
      <c r="A648" s="418" t="s">
        <v>499</v>
      </c>
      <c r="B648" s="543">
        <v>40885.480000000003</v>
      </c>
      <c r="C648" s="94">
        <v>0</v>
      </c>
      <c r="D648" s="94">
        <v>0</v>
      </c>
      <c r="E648" s="94">
        <v>1305.51</v>
      </c>
      <c r="F648" s="94">
        <f t="shared" si="28"/>
        <v>42190.990000000005</v>
      </c>
      <c r="G648" s="94">
        <v>-13111.3</v>
      </c>
      <c r="H648" s="144">
        <v>0</v>
      </c>
      <c r="I648" s="748">
        <f t="shared" si="29"/>
        <v>-13111.3</v>
      </c>
      <c r="J648" s="20"/>
    </row>
    <row r="649" spans="1:10" hidden="1" outlineLevel="1">
      <c r="A649" s="418" t="s">
        <v>1334</v>
      </c>
      <c r="B649" s="543">
        <v>252652.32</v>
      </c>
      <c r="C649" s="94">
        <v>0</v>
      </c>
      <c r="D649" s="94">
        <v>0</v>
      </c>
      <c r="E649" s="94">
        <v>0</v>
      </c>
      <c r="F649" s="94">
        <f t="shared" si="28"/>
        <v>252652.32</v>
      </c>
      <c r="G649" s="94">
        <v>8280.66</v>
      </c>
      <c r="H649" s="144">
        <v>0</v>
      </c>
      <c r="I649" s="748">
        <f t="shared" si="29"/>
        <v>8280.66</v>
      </c>
      <c r="J649" s="20"/>
    </row>
    <row r="650" spans="1:10" hidden="1" outlineLevel="1">
      <c r="A650" s="418" t="s">
        <v>1336</v>
      </c>
      <c r="B650" s="543">
        <v>72335.040000000008</v>
      </c>
      <c r="C650" s="94">
        <v>0</v>
      </c>
      <c r="D650" s="94">
        <v>0</v>
      </c>
      <c r="E650" s="94">
        <v>0</v>
      </c>
      <c r="F650" s="94">
        <f t="shared" si="28"/>
        <v>72335.040000000008</v>
      </c>
      <c r="G650" s="94">
        <v>0</v>
      </c>
      <c r="H650" s="144">
        <v>0</v>
      </c>
      <c r="I650" s="748">
        <f t="shared" si="29"/>
        <v>0</v>
      </c>
      <c r="J650" s="20"/>
    </row>
    <row r="651" spans="1:10" hidden="1" outlineLevel="1">
      <c r="A651" s="418" t="s">
        <v>748</v>
      </c>
      <c r="B651" s="543">
        <v>50773</v>
      </c>
      <c r="C651" s="94">
        <v>0</v>
      </c>
      <c r="D651" s="94">
        <v>0</v>
      </c>
      <c r="E651" s="94">
        <v>0</v>
      </c>
      <c r="F651" s="94">
        <f t="shared" si="28"/>
        <v>50773</v>
      </c>
      <c r="G651" s="94">
        <v>0</v>
      </c>
      <c r="H651" s="144">
        <v>0</v>
      </c>
      <c r="I651" s="748">
        <f t="shared" si="29"/>
        <v>0</v>
      </c>
      <c r="J651" s="20"/>
    </row>
    <row r="652" spans="1:10" hidden="1" outlineLevel="1">
      <c r="A652" s="418" t="s">
        <v>1339</v>
      </c>
      <c r="B652" s="543">
        <v>19451.939999999999</v>
      </c>
      <c r="C652" s="94">
        <v>0</v>
      </c>
      <c r="D652" s="94">
        <v>0</v>
      </c>
      <c r="E652" s="94">
        <v>0</v>
      </c>
      <c r="F652" s="94">
        <f t="shared" si="28"/>
        <v>19451.939999999999</v>
      </c>
      <c r="G652" s="94">
        <v>392.93</v>
      </c>
      <c r="H652" s="144">
        <v>0</v>
      </c>
      <c r="I652" s="748">
        <f t="shared" si="29"/>
        <v>392.93</v>
      </c>
      <c r="J652" s="20"/>
    </row>
    <row r="653" spans="1:10" hidden="1" outlineLevel="1">
      <c r="A653" s="418" t="s">
        <v>1341</v>
      </c>
      <c r="B653" s="543">
        <v>111491.16999999998</v>
      </c>
      <c r="C653" s="94">
        <v>0</v>
      </c>
      <c r="D653" s="94">
        <v>0</v>
      </c>
      <c r="E653" s="94">
        <v>0</v>
      </c>
      <c r="F653" s="94">
        <f t="shared" si="28"/>
        <v>111491.16999999998</v>
      </c>
      <c r="G653" s="94">
        <v>5075.8600000000006</v>
      </c>
      <c r="H653" s="144">
        <v>0</v>
      </c>
      <c r="I653" s="748">
        <f t="shared" si="29"/>
        <v>5075.8600000000006</v>
      </c>
      <c r="J653" s="20"/>
    </row>
    <row r="654" spans="1:10" hidden="1" outlineLevel="1">
      <c r="A654" s="418" t="s">
        <v>1343</v>
      </c>
      <c r="B654" s="543">
        <v>20823.93</v>
      </c>
      <c r="C654" s="94">
        <v>0</v>
      </c>
      <c r="D654" s="94">
        <v>0</v>
      </c>
      <c r="E654" s="94">
        <v>0</v>
      </c>
      <c r="F654" s="94">
        <f t="shared" si="28"/>
        <v>20823.93</v>
      </c>
      <c r="G654" s="94">
        <v>0</v>
      </c>
      <c r="H654" s="144">
        <v>0</v>
      </c>
      <c r="I654" s="748">
        <f t="shared" si="29"/>
        <v>0</v>
      </c>
      <c r="J654" s="20"/>
    </row>
    <row r="655" spans="1:10" hidden="1" outlineLevel="1">
      <c r="A655" s="418" t="s">
        <v>1345</v>
      </c>
      <c r="B655" s="543">
        <v>26844.18</v>
      </c>
      <c r="C655" s="94">
        <v>0</v>
      </c>
      <c r="D655" s="94">
        <v>0</v>
      </c>
      <c r="E655" s="94">
        <v>0</v>
      </c>
      <c r="F655" s="94">
        <f t="shared" si="28"/>
        <v>26844.18</v>
      </c>
      <c r="G655" s="94">
        <v>0</v>
      </c>
      <c r="H655" s="144">
        <v>0</v>
      </c>
      <c r="I655" s="748">
        <f t="shared" si="29"/>
        <v>0</v>
      </c>
      <c r="J655" s="20"/>
    </row>
    <row r="656" spans="1:10" hidden="1" outlineLevel="1">
      <c r="A656" s="418" t="s">
        <v>1347</v>
      </c>
      <c r="B656" s="543">
        <v>40631.339999999997</v>
      </c>
      <c r="C656" s="94">
        <v>0</v>
      </c>
      <c r="D656" s="94">
        <v>0</v>
      </c>
      <c r="E656" s="94">
        <v>0</v>
      </c>
      <c r="F656" s="94">
        <f t="shared" si="28"/>
        <v>40631.339999999997</v>
      </c>
      <c r="G656" s="94">
        <v>0</v>
      </c>
      <c r="H656" s="144">
        <v>0</v>
      </c>
      <c r="I656" s="748">
        <f t="shared" si="29"/>
        <v>0</v>
      </c>
      <c r="J656" s="20"/>
    </row>
    <row r="657" spans="1:10" hidden="1" outlineLevel="1">
      <c r="A657" s="418" t="s">
        <v>1349</v>
      </c>
      <c r="B657" s="543">
        <v>2438.71</v>
      </c>
      <c r="C657" s="94">
        <v>0</v>
      </c>
      <c r="D657" s="94">
        <v>0</v>
      </c>
      <c r="E657" s="94">
        <v>0</v>
      </c>
      <c r="F657" s="94">
        <f t="shared" si="28"/>
        <v>2438.71</v>
      </c>
      <c r="G657" s="94">
        <v>0</v>
      </c>
      <c r="H657" s="144">
        <v>0</v>
      </c>
      <c r="I657" s="748">
        <f t="shared" si="29"/>
        <v>0</v>
      </c>
      <c r="J657" s="20"/>
    </row>
    <row r="658" spans="1:10" hidden="1" outlineLevel="1">
      <c r="A658" s="418" t="s">
        <v>1351</v>
      </c>
      <c r="B658" s="543">
        <v>587396.39000000013</v>
      </c>
      <c r="C658" s="94">
        <v>0</v>
      </c>
      <c r="D658" s="94">
        <v>0</v>
      </c>
      <c r="E658" s="94">
        <v>0</v>
      </c>
      <c r="F658" s="94">
        <f t="shared" si="28"/>
        <v>587396.39000000013</v>
      </c>
      <c r="G658" s="94">
        <v>0</v>
      </c>
      <c r="H658" s="144">
        <v>0</v>
      </c>
      <c r="I658" s="748">
        <f t="shared" si="29"/>
        <v>0</v>
      </c>
      <c r="J658" s="20"/>
    </row>
    <row r="659" spans="1:10" hidden="1" outlineLevel="1">
      <c r="A659" s="418" t="s">
        <v>1353</v>
      </c>
      <c r="B659" s="543">
        <v>15690.990000000002</v>
      </c>
      <c r="C659" s="94">
        <v>0</v>
      </c>
      <c r="D659" s="94">
        <v>0</v>
      </c>
      <c r="E659" s="94">
        <v>0</v>
      </c>
      <c r="F659" s="94">
        <f t="shared" si="28"/>
        <v>15690.990000000002</v>
      </c>
      <c r="G659" s="94">
        <v>0</v>
      </c>
      <c r="H659" s="144">
        <v>0</v>
      </c>
      <c r="I659" s="748">
        <f t="shared" si="29"/>
        <v>0</v>
      </c>
      <c r="J659" s="20"/>
    </row>
    <row r="660" spans="1:10" hidden="1" outlineLevel="1">
      <c r="A660" s="418" t="s">
        <v>1355</v>
      </c>
      <c r="B660" s="543">
        <v>30424.48</v>
      </c>
      <c r="C660" s="94">
        <v>-1168.1500000000001</v>
      </c>
      <c r="D660" s="94">
        <v>0</v>
      </c>
      <c r="E660" s="94">
        <v>0</v>
      </c>
      <c r="F660" s="94">
        <f t="shared" si="28"/>
        <v>29256.329999999998</v>
      </c>
      <c r="G660" s="94">
        <v>0</v>
      </c>
      <c r="H660" s="144">
        <v>0</v>
      </c>
      <c r="I660" s="748">
        <f t="shared" si="29"/>
        <v>0</v>
      </c>
      <c r="J660" s="20"/>
    </row>
    <row r="661" spans="1:10" hidden="1" outlineLevel="1">
      <c r="A661" s="418" t="s">
        <v>1357</v>
      </c>
      <c r="B661" s="543">
        <v>45183.200000000004</v>
      </c>
      <c r="C661" s="94">
        <v>0</v>
      </c>
      <c r="D661" s="94">
        <v>0</v>
      </c>
      <c r="E661" s="94">
        <v>0</v>
      </c>
      <c r="F661" s="94">
        <f t="shared" si="28"/>
        <v>45183.200000000004</v>
      </c>
      <c r="G661" s="94">
        <v>0</v>
      </c>
      <c r="H661" s="144">
        <v>0</v>
      </c>
      <c r="I661" s="748">
        <f t="shared" si="29"/>
        <v>0</v>
      </c>
      <c r="J661" s="20"/>
    </row>
    <row r="662" spans="1:10" hidden="1" outlineLevel="1">
      <c r="A662" s="418" t="s">
        <v>1359</v>
      </c>
      <c r="B662" s="543">
        <v>17011.28</v>
      </c>
      <c r="C662" s="94">
        <v>0</v>
      </c>
      <c r="D662" s="94">
        <v>0</v>
      </c>
      <c r="E662" s="94">
        <v>0</v>
      </c>
      <c r="F662" s="94">
        <f t="shared" si="28"/>
        <v>17011.28</v>
      </c>
      <c r="G662" s="94">
        <v>0</v>
      </c>
      <c r="H662" s="144">
        <v>0</v>
      </c>
      <c r="I662" s="748">
        <f t="shared" si="29"/>
        <v>0</v>
      </c>
      <c r="J662" s="20"/>
    </row>
    <row r="663" spans="1:10" hidden="1" outlineLevel="1">
      <c r="A663" s="418" t="s">
        <v>1361</v>
      </c>
      <c r="B663" s="543">
        <v>218406.52000000002</v>
      </c>
      <c r="C663" s="94">
        <v>0</v>
      </c>
      <c r="D663" s="94">
        <v>0</v>
      </c>
      <c r="E663" s="94">
        <v>0</v>
      </c>
      <c r="F663" s="94">
        <f t="shared" si="28"/>
        <v>218406.52000000002</v>
      </c>
      <c r="G663" s="94">
        <v>4961.41</v>
      </c>
      <c r="H663" s="144">
        <v>0</v>
      </c>
      <c r="I663" s="748">
        <f t="shared" si="29"/>
        <v>4961.41</v>
      </c>
      <c r="J663" s="20"/>
    </row>
    <row r="664" spans="1:10" hidden="1" outlineLevel="1">
      <c r="A664" s="418" t="s">
        <v>1363</v>
      </c>
      <c r="B664" s="543">
        <v>29268.59</v>
      </c>
      <c r="C664" s="94">
        <v>0</v>
      </c>
      <c r="D664" s="94">
        <v>0</v>
      </c>
      <c r="E664" s="94">
        <v>0</v>
      </c>
      <c r="F664" s="94">
        <f t="shared" ref="F664:F727" si="30">SUM(B664:E664)</f>
        <v>29268.59</v>
      </c>
      <c r="G664" s="94">
        <v>0</v>
      </c>
      <c r="H664" s="144">
        <v>0</v>
      </c>
      <c r="I664" s="748">
        <f t="shared" ref="I664:I727" si="31">G664+H664</f>
        <v>0</v>
      </c>
      <c r="J664" s="20"/>
    </row>
    <row r="665" spans="1:10" hidden="1" outlineLevel="1">
      <c r="A665" s="418" t="s">
        <v>1365</v>
      </c>
      <c r="B665" s="543">
        <v>19531.45</v>
      </c>
      <c r="C665" s="94">
        <v>0</v>
      </c>
      <c r="D665" s="94">
        <v>0</v>
      </c>
      <c r="E665" s="94">
        <v>0</v>
      </c>
      <c r="F665" s="94">
        <f t="shared" si="30"/>
        <v>19531.45</v>
      </c>
      <c r="G665" s="94">
        <v>0</v>
      </c>
      <c r="H665" s="144">
        <v>0</v>
      </c>
      <c r="I665" s="748">
        <f t="shared" si="31"/>
        <v>0</v>
      </c>
      <c r="J665" s="20"/>
    </row>
    <row r="666" spans="1:10" hidden="1" outlineLevel="1">
      <c r="A666" s="418" t="s">
        <v>1367</v>
      </c>
      <c r="B666" s="543">
        <v>3966.9900000000002</v>
      </c>
      <c r="C666" s="94">
        <v>0</v>
      </c>
      <c r="D666" s="94">
        <v>0</v>
      </c>
      <c r="E666" s="94">
        <v>0</v>
      </c>
      <c r="F666" s="94">
        <f t="shared" si="30"/>
        <v>3966.9900000000002</v>
      </c>
      <c r="G666" s="94">
        <v>0</v>
      </c>
      <c r="H666" s="144">
        <v>0</v>
      </c>
      <c r="I666" s="748">
        <f t="shared" si="31"/>
        <v>0</v>
      </c>
      <c r="J666" s="20"/>
    </row>
    <row r="667" spans="1:10" hidden="1" outlineLevel="1">
      <c r="A667" s="418" t="s">
        <v>1369</v>
      </c>
      <c r="B667" s="543">
        <v>1637.56</v>
      </c>
      <c r="C667" s="94">
        <v>0</v>
      </c>
      <c r="D667" s="94">
        <v>0</v>
      </c>
      <c r="E667" s="94">
        <v>0</v>
      </c>
      <c r="F667" s="94">
        <f t="shared" si="30"/>
        <v>1637.56</v>
      </c>
      <c r="G667" s="94">
        <v>0</v>
      </c>
      <c r="H667" s="144">
        <v>0</v>
      </c>
      <c r="I667" s="748">
        <f t="shared" si="31"/>
        <v>0</v>
      </c>
      <c r="J667" s="20"/>
    </row>
    <row r="668" spans="1:10" hidden="1" outlineLevel="1">
      <c r="A668" s="418" t="s">
        <v>409</v>
      </c>
      <c r="B668" s="543">
        <v>8858.66</v>
      </c>
      <c r="C668" s="94">
        <v>0</v>
      </c>
      <c r="D668" s="94">
        <v>0</v>
      </c>
      <c r="E668" s="94">
        <v>0</v>
      </c>
      <c r="F668" s="94">
        <f t="shared" si="30"/>
        <v>8858.66</v>
      </c>
      <c r="G668" s="94">
        <v>0</v>
      </c>
      <c r="H668" s="144">
        <v>0</v>
      </c>
      <c r="I668" s="748">
        <f t="shared" si="31"/>
        <v>0</v>
      </c>
      <c r="J668" s="20"/>
    </row>
    <row r="669" spans="1:10" hidden="1" outlineLevel="1">
      <c r="A669" s="418" t="s">
        <v>1371</v>
      </c>
      <c r="B669" s="543">
        <v>13556.689999999999</v>
      </c>
      <c r="C669" s="94">
        <v>0</v>
      </c>
      <c r="D669" s="94">
        <v>0</v>
      </c>
      <c r="E669" s="94">
        <v>0</v>
      </c>
      <c r="F669" s="94">
        <f t="shared" si="30"/>
        <v>13556.689999999999</v>
      </c>
      <c r="G669" s="94">
        <v>0</v>
      </c>
      <c r="H669" s="144">
        <v>0</v>
      </c>
      <c r="I669" s="748">
        <f t="shared" si="31"/>
        <v>0</v>
      </c>
      <c r="J669" s="20"/>
    </row>
    <row r="670" spans="1:10" hidden="1" outlineLevel="1">
      <c r="A670" s="418" t="s">
        <v>1373</v>
      </c>
      <c r="B670" s="543">
        <v>4800</v>
      </c>
      <c r="C670" s="94">
        <v>0</v>
      </c>
      <c r="D670" s="94">
        <v>0</v>
      </c>
      <c r="E670" s="94">
        <v>0</v>
      </c>
      <c r="F670" s="94">
        <f t="shared" si="30"/>
        <v>4800</v>
      </c>
      <c r="G670" s="94">
        <v>0</v>
      </c>
      <c r="H670" s="144">
        <v>0</v>
      </c>
      <c r="I670" s="748">
        <f t="shared" si="31"/>
        <v>0</v>
      </c>
      <c r="J670" s="20"/>
    </row>
    <row r="671" spans="1:10" hidden="1" outlineLevel="1">
      <c r="A671" s="418" t="s">
        <v>1375</v>
      </c>
      <c r="B671" s="543">
        <v>157655.4</v>
      </c>
      <c r="C671" s="94">
        <v>0</v>
      </c>
      <c r="D671" s="94">
        <v>0</v>
      </c>
      <c r="E671" s="94">
        <v>0</v>
      </c>
      <c r="F671" s="94">
        <f t="shared" si="30"/>
        <v>157655.4</v>
      </c>
      <c r="G671" s="94">
        <v>1816.08</v>
      </c>
      <c r="H671" s="144">
        <v>0</v>
      </c>
      <c r="I671" s="748">
        <f t="shared" si="31"/>
        <v>1816.08</v>
      </c>
      <c r="J671" s="20"/>
    </row>
    <row r="672" spans="1:10" hidden="1" outlineLevel="1">
      <c r="A672" s="418" t="s">
        <v>86</v>
      </c>
      <c r="B672" s="543">
        <v>26191.89</v>
      </c>
      <c r="C672" s="94">
        <v>0</v>
      </c>
      <c r="D672" s="94">
        <v>0</v>
      </c>
      <c r="E672" s="94">
        <v>0</v>
      </c>
      <c r="F672" s="94">
        <f t="shared" si="30"/>
        <v>26191.89</v>
      </c>
      <c r="G672" s="94">
        <v>0</v>
      </c>
      <c r="H672" s="144">
        <v>0</v>
      </c>
      <c r="I672" s="748">
        <f t="shared" si="31"/>
        <v>0</v>
      </c>
      <c r="J672" s="20"/>
    </row>
    <row r="673" spans="1:10" hidden="1" outlineLevel="1">
      <c r="A673" s="418" t="s">
        <v>1377</v>
      </c>
      <c r="B673" s="543">
        <v>11541.15</v>
      </c>
      <c r="C673" s="94">
        <v>0</v>
      </c>
      <c r="D673" s="94">
        <v>0</v>
      </c>
      <c r="E673" s="94">
        <v>0</v>
      </c>
      <c r="F673" s="94">
        <f t="shared" si="30"/>
        <v>11541.15</v>
      </c>
      <c r="G673" s="94">
        <v>0</v>
      </c>
      <c r="H673" s="144">
        <v>0</v>
      </c>
      <c r="I673" s="748">
        <f t="shared" si="31"/>
        <v>0</v>
      </c>
      <c r="J673" s="20"/>
    </row>
    <row r="674" spans="1:10" hidden="1" outlineLevel="1">
      <c r="A674" s="418" t="s">
        <v>1379</v>
      </c>
      <c r="B674" s="543">
        <v>1597.76</v>
      </c>
      <c r="C674" s="94">
        <v>0</v>
      </c>
      <c r="D674" s="94">
        <v>0</v>
      </c>
      <c r="E674" s="94">
        <v>0</v>
      </c>
      <c r="F674" s="94">
        <f t="shared" si="30"/>
        <v>1597.76</v>
      </c>
      <c r="G674" s="94">
        <v>0</v>
      </c>
      <c r="H674" s="144">
        <v>0</v>
      </c>
      <c r="I674" s="748">
        <f t="shared" si="31"/>
        <v>0</v>
      </c>
      <c r="J674" s="20"/>
    </row>
    <row r="675" spans="1:10" hidden="1" outlineLevel="1">
      <c r="A675" s="418" t="s">
        <v>1381</v>
      </c>
      <c r="B675" s="543">
        <v>4731.7299999999996</v>
      </c>
      <c r="C675" s="94">
        <v>0</v>
      </c>
      <c r="D675" s="94">
        <v>0</v>
      </c>
      <c r="E675" s="94">
        <v>0</v>
      </c>
      <c r="F675" s="94">
        <f t="shared" si="30"/>
        <v>4731.7299999999996</v>
      </c>
      <c r="G675" s="94">
        <v>0</v>
      </c>
      <c r="H675" s="144">
        <v>0</v>
      </c>
      <c r="I675" s="748">
        <f t="shared" si="31"/>
        <v>0</v>
      </c>
      <c r="J675" s="20"/>
    </row>
    <row r="676" spans="1:10" hidden="1" outlineLevel="1">
      <c r="A676" s="418" t="s">
        <v>1383</v>
      </c>
      <c r="B676" s="543">
        <v>105288.56</v>
      </c>
      <c r="C676" s="94">
        <v>0</v>
      </c>
      <c r="D676" s="94">
        <v>0</v>
      </c>
      <c r="E676" s="94">
        <v>0</v>
      </c>
      <c r="F676" s="94">
        <f t="shared" si="30"/>
        <v>105288.56</v>
      </c>
      <c r="G676" s="94">
        <v>0</v>
      </c>
      <c r="H676" s="144">
        <v>0</v>
      </c>
      <c r="I676" s="748">
        <f t="shared" si="31"/>
        <v>0</v>
      </c>
      <c r="J676" s="20"/>
    </row>
    <row r="677" spans="1:10" hidden="1" outlineLevel="1">
      <c r="A677" s="418" t="s">
        <v>1385</v>
      </c>
      <c r="B677" s="543">
        <v>412930.82999999996</v>
      </c>
      <c r="C677" s="94">
        <v>-435.55</v>
      </c>
      <c r="D677" s="94">
        <v>0</v>
      </c>
      <c r="E677" s="94">
        <v>0</v>
      </c>
      <c r="F677" s="94">
        <f t="shared" si="30"/>
        <v>412495.27999999997</v>
      </c>
      <c r="G677" s="94">
        <v>0</v>
      </c>
      <c r="H677" s="144">
        <v>0</v>
      </c>
      <c r="I677" s="748">
        <f t="shared" si="31"/>
        <v>0</v>
      </c>
      <c r="J677" s="20"/>
    </row>
    <row r="678" spans="1:10" hidden="1" outlineLevel="1">
      <c r="A678" s="418" t="s">
        <v>1387</v>
      </c>
      <c r="B678" s="543">
        <v>17166.599999999999</v>
      </c>
      <c r="C678" s="94">
        <v>0</v>
      </c>
      <c r="D678" s="94">
        <v>0</v>
      </c>
      <c r="E678" s="94">
        <v>0</v>
      </c>
      <c r="F678" s="94">
        <f t="shared" si="30"/>
        <v>17166.599999999999</v>
      </c>
      <c r="G678" s="94">
        <v>0</v>
      </c>
      <c r="H678" s="144">
        <v>0</v>
      </c>
      <c r="I678" s="748">
        <f t="shared" si="31"/>
        <v>0</v>
      </c>
      <c r="J678" s="20"/>
    </row>
    <row r="679" spans="1:10" hidden="1" outlineLevel="1">
      <c r="A679" s="418" t="s">
        <v>1389</v>
      </c>
      <c r="B679" s="543">
        <v>83187.67</v>
      </c>
      <c r="C679" s="94">
        <v>0</v>
      </c>
      <c r="D679" s="94">
        <v>0</v>
      </c>
      <c r="E679" s="94">
        <v>0</v>
      </c>
      <c r="F679" s="94">
        <f t="shared" si="30"/>
        <v>83187.67</v>
      </c>
      <c r="G679" s="94">
        <v>0</v>
      </c>
      <c r="H679" s="144">
        <v>0</v>
      </c>
      <c r="I679" s="748">
        <f t="shared" si="31"/>
        <v>0</v>
      </c>
      <c r="J679" s="20"/>
    </row>
    <row r="680" spans="1:10" hidden="1" outlineLevel="1">
      <c r="A680" s="418" t="s">
        <v>1391</v>
      </c>
      <c r="B680" s="543">
        <v>45112.52</v>
      </c>
      <c r="C680" s="94">
        <v>0</v>
      </c>
      <c r="D680" s="94">
        <v>0</v>
      </c>
      <c r="E680" s="94">
        <v>0</v>
      </c>
      <c r="F680" s="94">
        <f t="shared" si="30"/>
        <v>45112.52</v>
      </c>
      <c r="G680" s="94">
        <v>14.72</v>
      </c>
      <c r="H680" s="144">
        <v>0</v>
      </c>
      <c r="I680" s="748">
        <f t="shared" si="31"/>
        <v>14.72</v>
      </c>
      <c r="J680" s="20"/>
    </row>
    <row r="681" spans="1:10" hidden="1" outlineLevel="1">
      <c r="A681" s="418" t="s">
        <v>194</v>
      </c>
      <c r="B681" s="543">
        <v>790296.16</v>
      </c>
      <c r="C681" s="94">
        <v>0</v>
      </c>
      <c r="D681" s="94">
        <v>0</v>
      </c>
      <c r="E681" s="94">
        <v>0</v>
      </c>
      <c r="F681" s="94">
        <f t="shared" si="30"/>
        <v>790296.16</v>
      </c>
      <c r="G681" s="94">
        <v>79508.28</v>
      </c>
      <c r="H681" s="144">
        <v>0</v>
      </c>
      <c r="I681" s="748">
        <f t="shared" si="31"/>
        <v>79508.28</v>
      </c>
      <c r="J681" s="20"/>
    </row>
    <row r="682" spans="1:10" hidden="1" outlineLevel="1">
      <c r="A682" s="418" t="s">
        <v>1393</v>
      </c>
      <c r="B682" s="543">
        <v>23947.82</v>
      </c>
      <c r="C682" s="94">
        <v>0</v>
      </c>
      <c r="D682" s="94">
        <v>0</v>
      </c>
      <c r="E682" s="94">
        <v>0</v>
      </c>
      <c r="F682" s="94">
        <f t="shared" si="30"/>
        <v>23947.82</v>
      </c>
      <c r="G682" s="94">
        <v>0</v>
      </c>
      <c r="H682" s="144">
        <v>0</v>
      </c>
      <c r="I682" s="748">
        <f t="shared" si="31"/>
        <v>0</v>
      </c>
      <c r="J682" s="20"/>
    </row>
    <row r="683" spans="1:10" hidden="1" outlineLevel="1">
      <c r="A683" s="418" t="s">
        <v>1395</v>
      </c>
      <c r="B683" s="543">
        <v>5405975.25</v>
      </c>
      <c r="C683" s="94">
        <v>0</v>
      </c>
      <c r="D683" s="94">
        <v>0</v>
      </c>
      <c r="E683" s="94">
        <v>0</v>
      </c>
      <c r="F683" s="94">
        <f t="shared" si="30"/>
        <v>5405975.25</v>
      </c>
      <c r="G683" s="94">
        <v>0</v>
      </c>
      <c r="H683" s="144">
        <v>0</v>
      </c>
      <c r="I683" s="748">
        <f t="shared" si="31"/>
        <v>0</v>
      </c>
      <c r="J683" s="20"/>
    </row>
    <row r="684" spans="1:10" hidden="1" outlineLevel="1">
      <c r="A684" s="418" t="s">
        <v>1397</v>
      </c>
      <c r="B684" s="543">
        <v>382507.44999999995</v>
      </c>
      <c r="C684" s="94">
        <v>-768.69</v>
      </c>
      <c r="D684" s="94">
        <v>0</v>
      </c>
      <c r="E684" s="94">
        <v>0</v>
      </c>
      <c r="F684" s="94">
        <f t="shared" si="30"/>
        <v>381738.75999999995</v>
      </c>
      <c r="G684" s="94">
        <v>0</v>
      </c>
      <c r="H684" s="144">
        <v>0</v>
      </c>
      <c r="I684" s="748">
        <f t="shared" si="31"/>
        <v>0</v>
      </c>
      <c r="J684" s="20"/>
    </row>
    <row r="685" spans="1:10" hidden="1" outlineLevel="1">
      <c r="A685" s="418" t="s">
        <v>1399</v>
      </c>
      <c r="B685" s="543">
        <v>582298.35</v>
      </c>
      <c r="C685" s="94">
        <v>0</v>
      </c>
      <c r="D685" s="94">
        <v>0</v>
      </c>
      <c r="E685" s="94">
        <v>0</v>
      </c>
      <c r="F685" s="94">
        <f t="shared" si="30"/>
        <v>582298.35</v>
      </c>
      <c r="G685" s="94">
        <v>349169.07999999996</v>
      </c>
      <c r="H685" s="144">
        <v>0</v>
      </c>
      <c r="I685" s="748">
        <f t="shared" si="31"/>
        <v>349169.07999999996</v>
      </c>
      <c r="J685" s="20"/>
    </row>
    <row r="686" spans="1:10" hidden="1" outlineLevel="1">
      <c r="A686" s="418" t="s">
        <v>1401</v>
      </c>
      <c r="B686" s="543">
        <v>23096151.77</v>
      </c>
      <c r="C686" s="94">
        <v>-4482.12</v>
      </c>
      <c r="D686" s="94">
        <v>5490</v>
      </c>
      <c r="E686" s="94">
        <v>0</v>
      </c>
      <c r="F686" s="94">
        <f t="shared" si="30"/>
        <v>23097159.649999999</v>
      </c>
      <c r="G686" s="94">
        <v>1025051.4700000001</v>
      </c>
      <c r="H686" s="144">
        <v>72776</v>
      </c>
      <c r="I686" s="748">
        <f t="shared" si="31"/>
        <v>1097827.4700000002</v>
      </c>
      <c r="J686" s="20"/>
    </row>
    <row r="687" spans="1:10" hidden="1" outlineLevel="1">
      <c r="A687" s="418" t="s">
        <v>1403</v>
      </c>
      <c r="B687" s="543">
        <v>11790.720000000001</v>
      </c>
      <c r="C687" s="94">
        <v>0</v>
      </c>
      <c r="D687" s="94">
        <v>0</v>
      </c>
      <c r="E687" s="94">
        <v>0</v>
      </c>
      <c r="F687" s="94">
        <f t="shared" si="30"/>
        <v>11790.720000000001</v>
      </c>
      <c r="G687" s="94">
        <v>0</v>
      </c>
      <c r="H687" s="144">
        <v>0</v>
      </c>
      <c r="I687" s="748">
        <f t="shared" si="31"/>
        <v>0</v>
      </c>
      <c r="J687" s="20"/>
    </row>
    <row r="688" spans="1:10" hidden="1" outlineLevel="1">
      <c r="A688" s="418" t="s">
        <v>1405</v>
      </c>
      <c r="B688" s="543">
        <v>15498275.5</v>
      </c>
      <c r="C688" s="94">
        <v>-68401.61</v>
      </c>
      <c r="D688" s="94">
        <v>-116496</v>
      </c>
      <c r="E688" s="94">
        <v>0</v>
      </c>
      <c r="F688" s="94">
        <f t="shared" si="30"/>
        <v>15313377.890000001</v>
      </c>
      <c r="G688" s="94">
        <v>2932374.51</v>
      </c>
      <c r="H688" s="144">
        <v>0</v>
      </c>
      <c r="I688" s="748">
        <f t="shared" si="31"/>
        <v>2932374.51</v>
      </c>
      <c r="J688" s="20"/>
    </row>
    <row r="689" spans="1:10" hidden="1" outlineLevel="1">
      <c r="A689" s="418" t="s">
        <v>1407</v>
      </c>
      <c r="B689" s="543">
        <v>3666147.0700000003</v>
      </c>
      <c r="C689" s="94">
        <v>-39226.32</v>
      </c>
      <c r="D689" s="94">
        <v>0</v>
      </c>
      <c r="E689" s="94">
        <v>0</v>
      </c>
      <c r="F689" s="94">
        <f t="shared" si="30"/>
        <v>3626920.7500000005</v>
      </c>
      <c r="G689" s="94">
        <v>92998.71</v>
      </c>
      <c r="H689" s="144">
        <v>0</v>
      </c>
      <c r="I689" s="748">
        <f t="shared" si="31"/>
        <v>92998.71</v>
      </c>
      <c r="J689" s="20"/>
    </row>
    <row r="690" spans="1:10" hidden="1" outlineLevel="1">
      <c r="A690" s="418" t="s">
        <v>1409</v>
      </c>
      <c r="B690" s="543">
        <v>374420.56</v>
      </c>
      <c r="C690" s="94">
        <v>0</v>
      </c>
      <c r="D690" s="94">
        <v>0</v>
      </c>
      <c r="E690" s="94">
        <v>0</v>
      </c>
      <c r="F690" s="94">
        <f t="shared" si="30"/>
        <v>374420.56</v>
      </c>
      <c r="G690" s="94">
        <v>25876.350000000002</v>
      </c>
      <c r="H690" s="144">
        <v>0</v>
      </c>
      <c r="I690" s="748">
        <f t="shared" si="31"/>
        <v>25876.350000000002</v>
      </c>
      <c r="J690" s="20"/>
    </row>
    <row r="691" spans="1:10" hidden="1" outlineLevel="1">
      <c r="A691" s="418" t="s">
        <v>509</v>
      </c>
      <c r="B691" s="543">
        <v>2846965.18</v>
      </c>
      <c r="C691" s="94">
        <v>-4048.87</v>
      </c>
      <c r="D691" s="94">
        <v>0</v>
      </c>
      <c r="E691" s="94">
        <v>0</v>
      </c>
      <c r="F691" s="94">
        <f t="shared" si="30"/>
        <v>2842916.31</v>
      </c>
      <c r="G691" s="94">
        <v>822510.20000000007</v>
      </c>
      <c r="H691" s="144">
        <v>-580</v>
      </c>
      <c r="I691" s="748">
        <f t="shared" si="31"/>
        <v>821930.20000000007</v>
      </c>
      <c r="J691" s="20"/>
    </row>
    <row r="692" spans="1:10" hidden="1" outlineLevel="1">
      <c r="A692" s="418" t="s">
        <v>1411</v>
      </c>
      <c r="B692" s="543">
        <v>42337.16</v>
      </c>
      <c r="C692" s="94">
        <v>0</v>
      </c>
      <c r="D692" s="94">
        <v>0</v>
      </c>
      <c r="E692" s="94">
        <v>0</v>
      </c>
      <c r="F692" s="94">
        <f t="shared" si="30"/>
        <v>42337.16</v>
      </c>
      <c r="G692" s="94">
        <v>15019.68</v>
      </c>
      <c r="H692" s="144">
        <v>0</v>
      </c>
      <c r="I692" s="748">
        <f t="shared" si="31"/>
        <v>15019.68</v>
      </c>
      <c r="J692" s="20"/>
    </row>
    <row r="693" spans="1:10" hidden="1" outlineLevel="1">
      <c r="A693" s="418" t="s">
        <v>1413</v>
      </c>
      <c r="B693" s="543">
        <v>18177994.470000003</v>
      </c>
      <c r="C693" s="94">
        <v>-41130.35</v>
      </c>
      <c r="D693" s="94">
        <v>0</v>
      </c>
      <c r="E693" s="94">
        <v>0</v>
      </c>
      <c r="F693" s="94">
        <f t="shared" si="30"/>
        <v>18136864.120000001</v>
      </c>
      <c r="G693" s="94">
        <v>0</v>
      </c>
      <c r="H693" s="144">
        <v>0</v>
      </c>
      <c r="I693" s="748">
        <f t="shared" si="31"/>
        <v>0</v>
      </c>
      <c r="J693" s="20"/>
    </row>
    <row r="694" spans="1:10" hidden="1" outlineLevel="1">
      <c r="A694" s="418" t="s">
        <v>388</v>
      </c>
      <c r="B694" s="543">
        <v>2474210.9900000002</v>
      </c>
      <c r="C694" s="94">
        <v>-32248.47</v>
      </c>
      <c r="D694" s="94">
        <v>-250</v>
      </c>
      <c r="E694" s="94">
        <v>0</v>
      </c>
      <c r="F694" s="94">
        <f t="shared" si="30"/>
        <v>2441712.52</v>
      </c>
      <c r="G694" s="94">
        <v>793906.49</v>
      </c>
      <c r="H694" s="144">
        <v>0</v>
      </c>
      <c r="I694" s="748">
        <f t="shared" si="31"/>
        <v>793906.49</v>
      </c>
      <c r="J694" s="20"/>
    </row>
    <row r="695" spans="1:10" hidden="1" outlineLevel="1">
      <c r="A695" s="418" t="s">
        <v>1415</v>
      </c>
      <c r="B695" s="543">
        <v>95127.290000000008</v>
      </c>
      <c r="C695" s="94">
        <v>0</v>
      </c>
      <c r="D695" s="94">
        <v>0</v>
      </c>
      <c r="E695" s="94">
        <v>0</v>
      </c>
      <c r="F695" s="94">
        <f t="shared" si="30"/>
        <v>95127.290000000008</v>
      </c>
      <c r="G695" s="94">
        <v>0</v>
      </c>
      <c r="H695" s="144">
        <v>0</v>
      </c>
      <c r="I695" s="748">
        <f t="shared" si="31"/>
        <v>0</v>
      </c>
      <c r="J695" s="20"/>
    </row>
    <row r="696" spans="1:10" hidden="1" outlineLevel="1">
      <c r="A696" s="418" t="s">
        <v>1417</v>
      </c>
      <c r="B696" s="543">
        <v>12301.82</v>
      </c>
      <c r="C696" s="94">
        <v>-2115.6799999999998</v>
      </c>
      <c r="D696" s="94">
        <v>0</v>
      </c>
      <c r="E696" s="94">
        <v>0</v>
      </c>
      <c r="F696" s="94">
        <f t="shared" si="30"/>
        <v>10186.14</v>
      </c>
      <c r="G696" s="94">
        <v>2455.27</v>
      </c>
      <c r="H696" s="144">
        <v>0</v>
      </c>
      <c r="I696" s="748">
        <f t="shared" si="31"/>
        <v>2455.27</v>
      </c>
      <c r="J696" s="20"/>
    </row>
    <row r="697" spans="1:10" hidden="1" outlineLevel="1">
      <c r="A697" s="418" t="s">
        <v>1419</v>
      </c>
      <c r="B697" s="543">
        <v>22944.52</v>
      </c>
      <c r="C697" s="94">
        <v>-1589.72</v>
      </c>
      <c r="D697" s="94">
        <v>0</v>
      </c>
      <c r="E697" s="94">
        <v>0</v>
      </c>
      <c r="F697" s="94">
        <f t="shared" si="30"/>
        <v>21354.799999999999</v>
      </c>
      <c r="G697" s="94">
        <v>4571.84</v>
      </c>
      <c r="H697" s="144">
        <v>0</v>
      </c>
      <c r="I697" s="748">
        <f t="shared" si="31"/>
        <v>4571.84</v>
      </c>
      <c r="J697" s="20"/>
    </row>
    <row r="698" spans="1:10" hidden="1" outlineLevel="1">
      <c r="A698" s="418" t="s">
        <v>1421</v>
      </c>
      <c r="B698" s="543">
        <v>1941.15</v>
      </c>
      <c r="C698" s="94">
        <v>0</v>
      </c>
      <c r="D698" s="94">
        <v>0</v>
      </c>
      <c r="E698" s="94">
        <v>0</v>
      </c>
      <c r="F698" s="94">
        <f t="shared" si="30"/>
        <v>1941.15</v>
      </c>
      <c r="G698" s="94">
        <v>0</v>
      </c>
      <c r="H698" s="144">
        <v>0</v>
      </c>
      <c r="I698" s="748">
        <f t="shared" si="31"/>
        <v>0</v>
      </c>
      <c r="J698" s="20"/>
    </row>
    <row r="699" spans="1:10" hidden="1" outlineLevel="1">
      <c r="A699" s="418" t="s">
        <v>1423</v>
      </c>
      <c r="B699" s="543">
        <v>96806.36</v>
      </c>
      <c r="C699" s="94">
        <v>-2106.4</v>
      </c>
      <c r="D699" s="94">
        <v>0</v>
      </c>
      <c r="E699" s="94">
        <v>0</v>
      </c>
      <c r="F699" s="94">
        <f t="shared" si="30"/>
        <v>94699.96</v>
      </c>
      <c r="G699" s="94">
        <v>0</v>
      </c>
      <c r="H699" s="144">
        <v>0</v>
      </c>
      <c r="I699" s="748">
        <f t="shared" si="31"/>
        <v>0</v>
      </c>
      <c r="J699" s="20"/>
    </row>
    <row r="700" spans="1:10" hidden="1" outlineLevel="1">
      <c r="A700" s="418" t="s">
        <v>1425</v>
      </c>
      <c r="B700" s="543">
        <v>482304.25000000006</v>
      </c>
      <c r="C700" s="94">
        <v>0</v>
      </c>
      <c r="D700" s="94">
        <v>0</v>
      </c>
      <c r="E700" s="94">
        <v>0</v>
      </c>
      <c r="F700" s="94">
        <f t="shared" si="30"/>
        <v>482304.25000000006</v>
      </c>
      <c r="G700" s="94">
        <v>684193.27999999991</v>
      </c>
      <c r="H700" s="144">
        <v>0</v>
      </c>
      <c r="I700" s="748">
        <f t="shared" si="31"/>
        <v>684193.27999999991</v>
      </c>
      <c r="J700" s="20"/>
    </row>
    <row r="701" spans="1:10" hidden="1" outlineLevel="1">
      <c r="A701" s="418" t="s">
        <v>429</v>
      </c>
      <c r="B701" s="543">
        <v>8244.08</v>
      </c>
      <c r="C701" s="94">
        <v>0</v>
      </c>
      <c r="D701" s="94">
        <v>0</v>
      </c>
      <c r="E701" s="94">
        <v>0</v>
      </c>
      <c r="F701" s="94">
        <f t="shared" si="30"/>
        <v>8244.08</v>
      </c>
      <c r="G701" s="94">
        <v>0</v>
      </c>
      <c r="H701" s="144">
        <v>0</v>
      </c>
      <c r="I701" s="748">
        <f t="shared" si="31"/>
        <v>0</v>
      </c>
      <c r="J701" s="20"/>
    </row>
    <row r="702" spans="1:10" hidden="1" outlineLevel="1">
      <c r="A702" s="418" t="s">
        <v>1427</v>
      </c>
      <c r="B702" s="543">
        <v>7959925.4800000004</v>
      </c>
      <c r="C702" s="94">
        <v>0</v>
      </c>
      <c r="D702" s="94">
        <v>0</v>
      </c>
      <c r="E702" s="94">
        <v>0</v>
      </c>
      <c r="F702" s="94">
        <f t="shared" si="30"/>
        <v>7959925.4800000004</v>
      </c>
      <c r="G702" s="94">
        <v>0</v>
      </c>
      <c r="H702" s="144">
        <v>0</v>
      </c>
      <c r="I702" s="748">
        <f t="shared" si="31"/>
        <v>0</v>
      </c>
      <c r="J702" s="20"/>
    </row>
    <row r="703" spans="1:10" hidden="1" outlineLevel="1">
      <c r="A703" s="418" t="s">
        <v>1429</v>
      </c>
      <c r="B703" s="543">
        <v>7621.7699999999995</v>
      </c>
      <c r="C703" s="94">
        <v>-4.24</v>
      </c>
      <c r="D703" s="94">
        <v>0</v>
      </c>
      <c r="E703" s="94">
        <v>0</v>
      </c>
      <c r="F703" s="94">
        <f t="shared" si="30"/>
        <v>7617.53</v>
      </c>
      <c r="G703" s="94">
        <v>0</v>
      </c>
      <c r="H703" s="144">
        <v>0</v>
      </c>
      <c r="I703" s="748">
        <f t="shared" si="31"/>
        <v>0</v>
      </c>
      <c r="J703" s="20"/>
    </row>
    <row r="704" spans="1:10" hidden="1" outlineLevel="1">
      <c r="A704" s="418" t="s">
        <v>1431</v>
      </c>
      <c r="B704" s="543">
        <v>6835.32</v>
      </c>
      <c r="C704" s="94">
        <v>0</v>
      </c>
      <c r="D704" s="94">
        <v>0</v>
      </c>
      <c r="E704" s="94">
        <v>0</v>
      </c>
      <c r="F704" s="94">
        <f t="shared" si="30"/>
        <v>6835.32</v>
      </c>
      <c r="G704" s="94">
        <v>0</v>
      </c>
      <c r="H704" s="144">
        <v>0</v>
      </c>
      <c r="I704" s="748">
        <f t="shared" si="31"/>
        <v>0</v>
      </c>
      <c r="J704" s="20"/>
    </row>
    <row r="705" spans="1:10" hidden="1" outlineLevel="1">
      <c r="A705" s="418" t="s">
        <v>1433</v>
      </c>
      <c r="B705" s="543">
        <v>148744.18</v>
      </c>
      <c r="C705" s="94">
        <v>0</v>
      </c>
      <c r="D705" s="94">
        <v>0</v>
      </c>
      <c r="E705" s="94">
        <v>0</v>
      </c>
      <c r="F705" s="94">
        <f t="shared" si="30"/>
        <v>148744.18</v>
      </c>
      <c r="G705" s="94">
        <v>0</v>
      </c>
      <c r="H705" s="144">
        <v>0</v>
      </c>
      <c r="I705" s="748">
        <f t="shared" si="31"/>
        <v>0</v>
      </c>
      <c r="J705" s="20"/>
    </row>
    <row r="706" spans="1:10" hidden="1" outlineLevel="1">
      <c r="A706" s="418" t="s">
        <v>1435</v>
      </c>
      <c r="B706" s="543">
        <v>86490.04</v>
      </c>
      <c r="C706" s="94">
        <v>0</v>
      </c>
      <c r="D706" s="94">
        <v>0</v>
      </c>
      <c r="E706" s="94">
        <v>0</v>
      </c>
      <c r="F706" s="94">
        <f t="shared" si="30"/>
        <v>86490.04</v>
      </c>
      <c r="G706" s="94">
        <v>0</v>
      </c>
      <c r="H706" s="144">
        <v>0</v>
      </c>
      <c r="I706" s="748">
        <f t="shared" si="31"/>
        <v>0</v>
      </c>
      <c r="J706" s="20"/>
    </row>
    <row r="707" spans="1:10" hidden="1" outlineLevel="1">
      <c r="A707" s="418" t="s">
        <v>664</v>
      </c>
      <c r="B707" s="543">
        <v>909.3</v>
      </c>
      <c r="C707" s="94">
        <v>0</v>
      </c>
      <c r="D707" s="94">
        <v>0</v>
      </c>
      <c r="E707" s="94">
        <v>0</v>
      </c>
      <c r="F707" s="94">
        <f t="shared" si="30"/>
        <v>909.3</v>
      </c>
      <c r="G707" s="94">
        <v>10708.71</v>
      </c>
      <c r="H707" s="144">
        <v>0</v>
      </c>
      <c r="I707" s="748">
        <f t="shared" si="31"/>
        <v>10708.71</v>
      </c>
      <c r="J707" s="20"/>
    </row>
    <row r="708" spans="1:10" hidden="1" outlineLevel="1">
      <c r="A708" s="418" t="s">
        <v>469</v>
      </c>
      <c r="B708" s="543">
        <v>95518.040000000008</v>
      </c>
      <c r="C708" s="94">
        <v>-1345.89</v>
      </c>
      <c r="D708" s="94">
        <v>0</v>
      </c>
      <c r="E708" s="94">
        <v>0</v>
      </c>
      <c r="F708" s="94">
        <f t="shared" si="30"/>
        <v>94172.150000000009</v>
      </c>
      <c r="G708" s="94">
        <v>22897.699999999997</v>
      </c>
      <c r="H708" s="144">
        <v>0</v>
      </c>
      <c r="I708" s="748">
        <f t="shared" si="31"/>
        <v>22897.699999999997</v>
      </c>
      <c r="J708" s="20"/>
    </row>
    <row r="709" spans="1:10" hidden="1" outlineLevel="1">
      <c r="A709" s="418" t="s">
        <v>1438</v>
      </c>
      <c r="B709" s="543">
        <v>107621.5</v>
      </c>
      <c r="C709" s="94">
        <v>-308.62</v>
      </c>
      <c r="D709" s="94">
        <v>0</v>
      </c>
      <c r="E709" s="94">
        <v>0</v>
      </c>
      <c r="F709" s="94">
        <f t="shared" si="30"/>
        <v>107312.88</v>
      </c>
      <c r="G709" s="94">
        <v>0</v>
      </c>
      <c r="H709" s="144">
        <v>0</v>
      </c>
      <c r="I709" s="748">
        <f t="shared" si="31"/>
        <v>0</v>
      </c>
      <c r="J709" s="20"/>
    </row>
    <row r="710" spans="1:10" hidden="1" outlineLevel="1">
      <c r="A710" s="418" t="s">
        <v>1440</v>
      </c>
      <c r="B710" s="543">
        <v>1710.36</v>
      </c>
      <c r="C710" s="94">
        <v>0</v>
      </c>
      <c r="D710" s="94">
        <v>0</v>
      </c>
      <c r="E710" s="94">
        <v>0</v>
      </c>
      <c r="F710" s="94">
        <f t="shared" si="30"/>
        <v>1710.36</v>
      </c>
      <c r="G710" s="94">
        <v>0</v>
      </c>
      <c r="H710" s="144">
        <v>0</v>
      </c>
      <c r="I710" s="748">
        <f t="shared" si="31"/>
        <v>0</v>
      </c>
      <c r="J710" s="20"/>
    </row>
    <row r="711" spans="1:10" hidden="1" outlineLevel="1">
      <c r="A711" s="418" t="s">
        <v>1442</v>
      </c>
      <c r="B711" s="543">
        <v>182629.68</v>
      </c>
      <c r="C711" s="94">
        <v>0</v>
      </c>
      <c r="D711" s="94">
        <v>0</v>
      </c>
      <c r="E711" s="94">
        <v>0</v>
      </c>
      <c r="F711" s="94">
        <f t="shared" si="30"/>
        <v>182629.68</v>
      </c>
      <c r="G711" s="94">
        <v>0</v>
      </c>
      <c r="H711" s="144">
        <v>0</v>
      </c>
      <c r="I711" s="748">
        <f t="shared" si="31"/>
        <v>0</v>
      </c>
      <c r="J711" s="20"/>
    </row>
    <row r="712" spans="1:10" hidden="1" outlineLevel="1">
      <c r="A712" s="418" t="s">
        <v>1444</v>
      </c>
      <c r="B712" s="543">
        <v>280161.68</v>
      </c>
      <c r="C712" s="94">
        <v>0</v>
      </c>
      <c r="D712" s="94">
        <v>0</v>
      </c>
      <c r="E712" s="94">
        <v>0</v>
      </c>
      <c r="F712" s="94">
        <f t="shared" si="30"/>
        <v>280161.68</v>
      </c>
      <c r="G712" s="94">
        <v>0</v>
      </c>
      <c r="H712" s="144">
        <v>0</v>
      </c>
      <c r="I712" s="748">
        <f t="shared" si="31"/>
        <v>0</v>
      </c>
      <c r="J712" s="20"/>
    </row>
    <row r="713" spans="1:10" hidden="1" outlineLevel="1">
      <c r="A713" s="418" t="s">
        <v>1446</v>
      </c>
      <c r="B713" s="543">
        <v>95633.249999999985</v>
      </c>
      <c r="C713" s="94">
        <v>0</v>
      </c>
      <c r="D713" s="94">
        <v>0</v>
      </c>
      <c r="E713" s="94">
        <v>0</v>
      </c>
      <c r="F713" s="94">
        <f t="shared" si="30"/>
        <v>95633.249999999985</v>
      </c>
      <c r="G713" s="94">
        <v>15774.65</v>
      </c>
      <c r="H713" s="144">
        <v>0</v>
      </c>
      <c r="I713" s="748">
        <f t="shared" si="31"/>
        <v>15774.65</v>
      </c>
      <c r="J713" s="20"/>
    </row>
    <row r="714" spans="1:10" hidden="1" outlineLevel="1">
      <c r="A714" s="418" t="s">
        <v>1448</v>
      </c>
      <c r="B714" s="543">
        <v>7705.0999999999995</v>
      </c>
      <c r="C714" s="94">
        <v>0</v>
      </c>
      <c r="D714" s="94">
        <v>0</v>
      </c>
      <c r="E714" s="94">
        <v>0</v>
      </c>
      <c r="F714" s="94">
        <f t="shared" si="30"/>
        <v>7705.0999999999995</v>
      </c>
      <c r="G714" s="94">
        <v>0</v>
      </c>
      <c r="H714" s="144">
        <v>0</v>
      </c>
      <c r="I714" s="748">
        <f t="shared" si="31"/>
        <v>0</v>
      </c>
      <c r="J714" s="20"/>
    </row>
    <row r="715" spans="1:10" hidden="1" outlineLevel="1">
      <c r="A715" s="418" t="s">
        <v>1450</v>
      </c>
      <c r="B715" s="543">
        <v>20101.43</v>
      </c>
      <c r="C715" s="94">
        <v>0</v>
      </c>
      <c r="D715" s="94">
        <v>0</v>
      </c>
      <c r="E715" s="94">
        <v>0</v>
      </c>
      <c r="F715" s="94">
        <f t="shared" si="30"/>
        <v>20101.43</v>
      </c>
      <c r="G715" s="94">
        <v>0</v>
      </c>
      <c r="H715" s="144">
        <v>0</v>
      </c>
      <c r="I715" s="748">
        <f t="shared" si="31"/>
        <v>0</v>
      </c>
      <c r="J715" s="20"/>
    </row>
    <row r="716" spans="1:10" hidden="1" outlineLevel="1">
      <c r="A716" s="418" t="s">
        <v>1452</v>
      </c>
      <c r="B716" s="543">
        <v>7948398.8399999999</v>
      </c>
      <c r="C716" s="94">
        <v>0</v>
      </c>
      <c r="D716" s="94">
        <v>0</v>
      </c>
      <c r="E716" s="94">
        <v>0</v>
      </c>
      <c r="F716" s="94">
        <f t="shared" si="30"/>
        <v>7948398.8399999999</v>
      </c>
      <c r="G716" s="94">
        <v>0</v>
      </c>
      <c r="H716" s="144">
        <v>0</v>
      </c>
      <c r="I716" s="748">
        <f t="shared" si="31"/>
        <v>0</v>
      </c>
      <c r="J716" s="20"/>
    </row>
    <row r="717" spans="1:10" hidden="1" outlineLevel="1">
      <c r="A717" s="418" t="s">
        <v>1454</v>
      </c>
      <c r="B717" s="543">
        <v>9384.44</v>
      </c>
      <c r="C717" s="94">
        <v>0</v>
      </c>
      <c r="D717" s="94">
        <v>0</v>
      </c>
      <c r="E717" s="94">
        <v>0</v>
      </c>
      <c r="F717" s="94">
        <f t="shared" si="30"/>
        <v>9384.44</v>
      </c>
      <c r="G717" s="94">
        <v>0</v>
      </c>
      <c r="H717" s="144">
        <v>0</v>
      </c>
      <c r="I717" s="748">
        <f t="shared" si="31"/>
        <v>0</v>
      </c>
      <c r="J717" s="20"/>
    </row>
    <row r="718" spans="1:10" hidden="1" outlineLevel="1">
      <c r="A718" s="418" t="s">
        <v>1456</v>
      </c>
      <c r="B718" s="543">
        <v>77113.5</v>
      </c>
      <c r="C718" s="94">
        <v>-4927.8</v>
      </c>
      <c r="D718" s="94">
        <v>0</v>
      </c>
      <c r="E718" s="94">
        <v>0</v>
      </c>
      <c r="F718" s="94">
        <f t="shared" si="30"/>
        <v>72185.7</v>
      </c>
      <c r="G718" s="94">
        <v>0</v>
      </c>
      <c r="H718" s="144">
        <v>0</v>
      </c>
      <c r="I718" s="748">
        <f t="shared" si="31"/>
        <v>0</v>
      </c>
      <c r="J718" s="20"/>
    </row>
    <row r="719" spans="1:10" hidden="1" outlineLevel="1">
      <c r="A719" s="418" t="s">
        <v>1458</v>
      </c>
      <c r="B719" s="543">
        <v>33939.440000000002</v>
      </c>
      <c r="C719" s="94">
        <v>0</v>
      </c>
      <c r="D719" s="94">
        <v>0</v>
      </c>
      <c r="E719" s="94">
        <v>0</v>
      </c>
      <c r="F719" s="94">
        <f t="shared" si="30"/>
        <v>33939.440000000002</v>
      </c>
      <c r="G719" s="94">
        <v>0</v>
      </c>
      <c r="H719" s="144">
        <v>0</v>
      </c>
      <c r="I719" s="748">
        <f t="shared" si="31"/>
        <v>0</v>
      </c>
      <c r="J719" s="20"/>
    </row>
    <row r="720" spans="1:10" hidden="1" outlineLevel="1">
      <c r="A720" s="418" t="s">
        <v>1460</v>
      </c>
      <c r="B720" s="543">
        <v>400916.41</v>
      </c>
      <c r="C720" s="94">
        <v>0</v>
      </c>
      <c r="D720" s="94">
        <v>0</v>
      </c>
      <c r="E720" s="94">
        <v>0</v>
      </c>
      <c r="F720" s="94">
        <f t="shared" si="30"/>
        <v>400916.41</v>
      </c>
      <c r="G720" s="94">
        <v>0</v>
      </c>
      <c r="H720" s="144">
        <v>0</v>
      </c>
      <c r="I720" s="748">
        <f t="shared" si="31"/>
        <v>0</v>
      </c>
      <c r="J720" s="20"/>
    </row>
    <row r="721" spans="1:10" hidden="1" outlineLevel="1">
      <c r="A721" s="418" t="s">
        <v>1462</v>
      </c>
      <c r="B721" s="543">
        <v>182206.75999999998</v>
      </c>
      <c r="C721" s="94">
        <v>-220.1</v>
      </c>
      <c r="D721" s="94">
        <v>0</v>
      </c>
      <c r="E721" s="94">
        <v>0</v>
      </c>
      <c r="F721" s="94">
        <f t="shared" si="30"/>
        <v>181986.65999999997</v>
      </c>
      <c r="G721" s="94">
        <v>30649.770000000004</v>
      </c>
      <c r="H721" s="144">
        <v>0</v>
      </c>
      <c r="I721" s="748">
        <f t="shared" si="31"/>
        <v>30649.770000000004</v>
      </c>
      <c r="J721" s="20"/>
    </row>
    <row r="722" spans="1:10" hidden="1" outlineLevel="1">
      <c r="A722" s="418" t="s">
        <v>1464</v>
      </c>
      <c r="B722" s="543">
        <v>68970.62</v>
      </c>
      <c r="C722" s="94">
        <v>0</v>
      </c>
      <c r="D722" s="94">
        <v>0</v>
      </c>
      <c r="E722" s="94">
        <v>0</v>
      </c>
      <c r="F722" s="94">
        <f t="shared" si="30"/>
        <v>68970.62</v>
      </c>
      <c r="G722" s="94">
        <v>0</v>
      </c>
      <c r="H722" s="144">
        <v>0</v>
      </c>
      <c r="I722" s="748">
        <f t="shared" si="31"/>
        <v>0</v>
      </c>
      <c r="J722" s="20"/>
    </row>
    <row r="723" spans="1:10" hidden="1" outlineLevel="1">
      <c r="A723" s="418" t="s">
        <v>1466</v>
      </c>
      <c r="B723" s="543">
        <v>42883.829999999994</v>
      </c>
      <c r="C723" s="94">
        <v>0</v>
      </c>
      <c r="D723" s="94">
        <v>0</v>
      </c>
      <c r="E723" s="94">
        <v>0</v>
      </c>
      <c r="F723" s="94">
        <f t="shared" si="30"/>
        <v>42883.829999999994</v>
      </c>
      <c r="G723" s="94">
        <v>-16081.710000000001</v>
      </c>
      <c r="H723" s="144">
        <v>0</v>
      </c>
      <c r="I723" s="748">
        <f t="shared" si="31"/>
        <v>-16081.710000000001</v>
      </c>
      <c r="J723" s="20"/>
    </row>
    <row r="724" spans="1:10" hidden="1" outlineLevel="1">
      <c r="A724" s="418" t="s">
        <v>1468</v>
      </c>
      <c r="B724" s="543">
        <v>23992.86</v>
      </c>
      <c r="C724" s="94">
        <v>0</v>
      </c>
      <c r="D724" s="94">
        <v>0</v>
      </c>
      <c r="E724" s="94">
        <v>0</v>
      </c>
      <c r="F724" s="94">
        <f t="shared" si="30"/>
        <v>23992.86</v>
      </c>
      <c r="G724" s="94">
        <v>0</v>
      </c>
      <c r="H724" s="144">
        <v>0</v>
      </c>
      <c r="I724" s="748">
        <f t="shared" si="31"/>
        <v>0</v>
      </c>
      <c r="J724" s="20"/>
    </row>
    <row r="725" spans="1:10" hidden="1" outlineLevel="1">
      <c r="A725" s="418" t="s">
        <v>1470</v>
      </c>
      <c r="B725" s="543">
        <v>16963.02</v>
      </c>
      <c r="C725" s="94">
        <v>0</v>
      </c>
      <c r="D725" s="94">
        <v>0</v>
      </c>
      <c r="E725" s="94">
        <v>0</v>
      </c>
      <c r="F725" s="94">
        <f t="shared" si="30"/>
        <v>16963.02</v>
      </c>
      <c r="G725" s="94">
        <v>0</v>
      </c>
      <c r="H725" s="144">
        <v>0</v>
      </c>
      <c r="I725" s="748">
        <f t="shared" si="31"/>
        <v>0</v>
      </c>
      <c r="J725" s="20"/>
    </row>
    <row r="726" spans="1:10" hidden="1" outlineLevel="1">
      <c r="A726" s="418" t="s">
        <v>1472</v>
      </c>
      <c r="B726" s="543">
        <v>1568.69</v>
      </c>
      <c r="C726" s="94">
        <v>0</v>
      </c>
      <c r="D726" s="94">
        <v>0</v>
      </c>
      <c r="E726" s="94">
        <v>0</v>
      </c>
      <c r="F726" s="94">
        <f t="shared" si="30"/>
        <v>1568.69</v>
      </c>
      <c r="G726" s="94">
        <v>0</v>
      </c>
      <c r="H726" s="144">
        <v>0</v>
      </c>
      <c r="I726" s="748">
        <f t="shared" si="31"/>
        <v>0</v>
      </c>
      <c r="J726" s="20"/>
    </row>
    <row r="727" spans="1:10" hidden="1" outlineLevel="1">
      <c r="A727" s="418" t="s">
        <v>724</v>
      </c>
      <c r="B727" s="543">
        <v>1329458.9900000002</v>
      </c>
      <c r="C727" s="94">
        <v>-322.27999999999997</v>
      </c>
      <c r="D727" s="94">
        <v>0</v>
      </c>
      <c r="E727" s="94">
        <v>0</v>
      </c>
      <c r="F727" s="94">
        <f t="shared" si="30"/>
        <v>1329136.7100000002</v>
      </c>
      <c r="G727" s="94">
        <v>214629.29</v>
      </c>
      <c r="H727" s="144">
        <v>0</v>
      </c>
      <c r="I727" s="748">
        <f t="shared" si="31"/>
        <v>214629.29</v>
      </c>
      <c r="J727" s="20"/>
    </row>
    <row r="728" spans="1:10" hidden="1" outlineLevel="1">
      <c r="A728" s="418" t="s">
        <v>1474</v>
      </c>
      <c r="B728" s="543">
        <v>37632.129999999997</v>
      </c>
      <c r="C728" s="94">
        <v>0</v>
      </c>
      <c r="D728" s="94">
        <v>0</v>
      </c>
      <c r="E728" s="94">
        <v>0</v>
      </c>
      <c r="F728" s="94">
        <f t="shared" ref="F728:F733" si="32">SUM(B728:E728)</f>
        <v>37632.129999999997</v>
      </c>
      <c r="G728" s="94">
        <v>0</v>
      </c>
      <c r="H728" s="144">
        <v>0</v>
      </c>
      <c r="I728" s="748">
        <f t="shared" ref="I728:I733" si="33">G728+H728</f>
        <v>0</v>
      </c>
      <c r="J728" s="20"/>
    </row>
    <row r="729" spans="1:10" hidden="1" outlineLevel="1">
      <c r="A729" s="418" t="s">
        <v>1476</v>
      </c>
      <c r="B729" s="543">
        <v>4827214.4200000009</v>
      </c>
      <c r="C729" s="94">
        <v>0</v>
      </c>
      <c r="D729" s="94">
        <v>0</v>
      </c>
      <c r="E729" s="94">
        <v>0</v>
      </c>
      <c r="F729" s="94">
        <f t="shared" si="32"/>
        <v>4827214.4200000009</v>
      </c>
      <c r="G729" s="94">
        <v>280592.58</v>
      </c>
      <c r="H729" s="144">
        <v>0</v>
      </c>
      <c r="I729" s="748">
        <f t="shared" si="33"/>
        <v>280592.58</v>
      </c>
      <c r="J729" s="20"/>
    </row>
    <row r="730" spans="1:10" hidden="1" outlineLevel="1">
      <c r="A730" s="418" t="s">
        <v>1478</v>
      </c>
      <c r="B730" s="543">
        <v>141769.94</v>
      </c>
      <c r="C730" s="94">
        <v>0</v>
      </c>
      <c r="D730" s="94">
        <v>0</v>
      </c>
      <c r="E730" s="94">
        <v>0</v>
      </c>
      <c r="F730" s="94">
        <f t="shared" si="32"/>
        <v>141769.94</v>
      </c>
      <c r="G730" s="94">
        <v>-10713.439999999999</v>
      </c>
      <c r="H730" s="144">
        <v>0</v>
      </c>
      <c r="I730" s="748">
        <f t="shared" si="33"/>
        <v>-10713.439999999999</v>
      </c>
      <c r="J730" s="20"/>
    </row>
    <row r="731" spans="1:10" hidden="1" outlineLevel="1">
      <c r="A731" s="418" t="s">
        <v>1480</v>
      </c>
      <c r="B731" s="543">
        <v>112611.68999999999</v>
      </c>
      <c r="C731" s="94">
        <v>0</v>
      </c>
      <c r="D731" s="94">
        <v>0</v>
      </c>
      <c r="E731" s="94">
        <v>0</v>
      </c>
      <c r="F731" s="94">
        <f t="shared" si="32"/>
        <v>112611.68999999999</v>
      </c>
      <c r="G731" s="94">
        <v>6885.72</v>
      </c>
      <c r="H731" s="144">
        <v>0</v>
      </c>
      <c r="I731" s="748">
        <f t="shared" si="33"/>
        <v>6885.72</v>
      </c>
      <c r="J731" s="20"/>
    </row>
    <row r="732" spans="1:10" hidden="1" outlineLevel="1">
      <c r="A732" s="418" t="s">
        <v>1482</v>
      </c>
      <c r="B732" s="543">
        <v>66956.14</v>
      </c>
      <c r="C732" s="94">
        <v>0</v>
      </c>
      <c r="D732" s="94">
        <v>0</v>
      </c>
      <c r="E732" s="94">
        <v>0</v>
      </c>
      <c r="F732" s="94">
        <f t="shared" si="32"/>
        <v>66956.14</v>
      </c>
      <c r="G732" s="94">
        <v>0</v>
      </c>
      <c r="H732" s="144">
        <v>0</v>
      </c>
      <c r="I732" s="748">
        <f t="shared" si="33"/>
        <v>0</v>
      </c>
      <c r="J732" s="20"/>
    </row>
    <row r="733" spans="1:10" hidden="1" outlineLevel="1">
      <c r="A733" s="418" t="s">
        <v>1484</v>
      </c>
      <c r="B733" s="543">
        <v>170594.13</v>
      </c>
      <c r="C733" s="94">
        <v>0</v>
      </c>
      <c r="D733" s="94">
        <v>0</v>
      </c>
      <c r="E733" s="94">
        <v>0</v>
      </c>
      <c r="F733" s="94">
        <f t="shared" si="32"/>
        <v>170594.13</v>
      </c>
      <c r="G733" s="94">
        <v>0</v>
      </c>
      <c r="H733" s="144">
        <v>0</v>
      </c>
      <c r="I733" s="748">
        <f t="shared" si="33"/>
        <v>0</v>
      </c>
      <c r="J733" s="20"/>
    </row>
    <row r="734" spans="1:10" hidden="1" outlineLevel="1">
      <c r="A734" s="418"/>
      <c r="B734" s="543"/>
      <c r="C734" s="94"/>
      <c r="D734" s="94"/>
      <c r="E734" s="94"/>
      <c r="F734" s="94"/>
      <c r="G734" s="94"/>
      <c r="H734" s="144"/>
      <c r="I734" s="748"/>
      <c r="J734" s="20"/>
    </row>
    <row r="735" spans="1:10" hidden="1" outlineLevel="1">
      <c r="A735" s="418"/>
      <c r="B735" s="543"/>
      <c r="C735" s="94"/>
      <c r="D735" s="94"/>
      <c r="E735" s="94"/>
      <c r="F735" s="94"/>
      <c r="G735" s="94"/>
      <c r="H735" s="144"/>
      <c r="I735" s="748"/>
      <c r="J735" s="20"/>
    </row>
    <row r="736" spans="1:10" hidden="1" outlineLevel="1">
      <c r="A736" s="418"/>
      <c r="B736" s="543"/>
      <c r="C736" s="94"/>
      <c r="D736" s="94"/>
      <c r="E736" s="94"/>
      <c r="F736" s="94"/>
      <c r="G736" s="94"/>
      <c r="H736" s="144"/>
      <c r="I736" s="748"/>
      <c r="J736" s="20"/>
    </row>
    <row r="737" spans="1:11" hidden="1" outlineLevel="1">
      <c r="A737" s="418"/>
      <c r="B737" s="543"/>
      <c r="C737" s="94"/>
      <c r="D737" s="94"/>
      <c r="E737" s="94"/>
      <c r="F737" s="94"/>
      <c r="G737" s="94"/>
      <c r="H737" s="144"/>
      <c r="I737" s="748"/>
      <c r="J737" s="20"/>
    </row>
    <row r="738" spans="1:11" hidden="1" outlineLevel="1">
      <c r="A738" s="418"/>
      <c r="B738" s="543"/>
      <c r="C738" s="94"/>
      <c r="D738" s="94"/>
      <c r="E738" s="94"/>
      <c r="F738" s="94"/>
      <c r="G738" s="94"/>
      <c r="H738" s="144"/>
      <c r="I738" s="748"/>
      <c r="J738" s="20"/>
    </row>
    <row r="739" spans="1:11" hidden="1" outlineLevel="1">
      <c r="A739" s="418"/>
      <c r="B739" s="543"/>
      <c r="C739" s="94"/>
      <c r="D739" s="94"/>
      <c r="E739" s="94"/>
      <c r="F739" s="94"/>
      <c r="G739" s="94"/>
      <c r="H739" s="144"/>
      <c r="I739" s="748"/>
      <c r="J739" s="20"/>
    </row>
    <row r="740" spans="1:11" hidden="1" outlineLevel="1">
      <c r="A740" s="418"/>
      <c r="B740" s="543"/>
      <c r="C740" s="94"/>
      <c r="D740" s="94"/>
      <c r="E740" s="94"/>
      <c r="F740" s="94"/>
      <c r="G740" s="94"/>
      <c r="H740" s="144"/>
      <c r="I740" s="748"/>
      <c r="J740" s="20"/>
    </row>
    <row r="741" spans="1:11" hidden="1" outlineLevel="1">
      <c r="A741" s="418"/>
      <c r="B741" s="543"/>
      <c r="C741" s="94"/>
      <c r="D741" s="94"/>
      <c r="E741" s="94"/>
      <c r="F741" s="94"/>
      <c r="G741" s="94"/>
      <c r="H741" s="144"/>
      <c r="I741" s="748"/>
      <c r="J741" s="20"/>
    </row>
    <row r="742" spans="1:11" hidden="1" outlineLevel="1">
      <c r="A742" s="418"/>
      <c r="B742" s="543"/>
      <c r="C742" s="94"/>
      <c r="D742" s="94"/>
      <c r="E742" s="94"/>
      <c r="F742" s="94"/>
      <c r="G742" s="94"/>
      <c r="H742" s="144"/>
      <c r="I742" s="748"/>
      <c r="J742" s="20"/>
    </row>
    <row r="743" spans="1:11" ht="13.5" collapsed="1" thickBot="1">
      <c r="A743" s="455" t="s">
        <v>1486</v>
      </c>
      <c r="B743" s="1046">
        <f>SUM(B744:B867)</f>
        <v>78929555.950000003</v>
      </c>
      <c r="C743" s="148">
        <f t="shared" ref="C743:D743" si="34">SUM(C744:C867)</f>
        <v>-206173.83000000002</v>
      </c>
      <c r="D743" s="148">
        <f t="shared" si="34"/>
        <v>0</v>
      </c>
      <c r="E743" s="148">
        <f>SUM(E744:E867)</f>
        <v>0</v>
      </c>
      <c r="F743" s="148">
        <f>SUM(B743:E743)</f>
        <v>78723382.120000005</v>
      </c>
      <c r="G743" s="148">
        <f>SUM(G744:G867)</f>
        <v>11975782.309999999</v>
      </c>
      <c r="H743" s="149">
        <f>SUM(H744:H867)</f>
        <v>-5608</v>
      </c>
      <c r="I743" s="748">
        <f>F743+G743+H743</f>
        <v>90693556.430000007</v>
      </c>
      <c r="J743" s="860"/>
      <c r="K743" s="27"/>
    </row>
    <row r="744" spans="1:11" hidden="1" outlineLevel="1">
      <c r="A744" s="433" t="s">
        <v>1487</v>
      </c>
      <c r="B744" s="451">
        <v>374784.71</v>
      </c>
      <c r="C744" s="94">
        <v>0</v>
      </c>
      <c r="D744" s="94">
        <v>0</v>
      </c>
      <c r="E744" s="94">
        <v>0</v>
      </c>
      <c r="F744" s="94">
        <v>374784.71</v>
      </c>
      <c r="G744" s="94">
        <v>0</v>
      </c>
      <c r="H744" s="144">
        <v>0</v>
      </c>
      <c r="I744" s="144">
        <f t="shared" ref="I744:I807" si="35">F744+G744+H744</f>
        <v>374784.71</v>
      </c>
      <c r="J744" s="20" t="s">
        <v>1488</v>
      </c>
      <c r="K744" s="27"/>
    </row>
    <row r="745" spans="1:11" hidden="1" outlineLevel="1">
      <c r="A745" s="433" t="s">
        <v>1489</v>
      </c>
      <c r="B745" s="451">
        <v>449916.18</v>
      </c>
      <c r="C745" s="94">
        <v>0</v>
      </c>
      <c r="D745" s="94">
        <v>0</v>
      </c>
      <c r="E745" s="94">
        <v>0</v>
      </c>
      <c r="F745" s="94">
        <v>449916.18</v>
      </c>
      <c r="G745" s="94">
        <v>15751.63</v>
      </c>
      <c r="H745" s="144">
        <v>0</v>
      </c>
      <c r="I745" s="144">
        <f t="shared" si="35"/>
        <v>465667.81</v>
      </c>
      <c r="J745" s="20" t="s">
        <v>1490</v>
      </c>
      <c r="K745" s="27"/>
    </row>
    <row r="746" spans="1:11" hidden="1" outlineLevel="1">
      <c r="A746" s="433" t="s">
        <v>1491</v>
      </c>
      <c r="B746" s="451">
        <v>1639818.38</v>
      </c>
      <c r="C746" s="94">
        <v>0</v>
      </c>
      <c r="D746" s="94">
        <v>0</v>
      </c>
      <c r="E746" s="94">
        <v>0</v>
      </c>
      <c r="F746" s="94">
        <v>1639818.38</v>
      </c>
      <c r="G746" s="94">
        <v>438481.67</v>
      </c>
      <c r="H746" s="144">
        <v>0</v>
      </c>
      <c r="I746" s="144">
        <f t="shared" si="35"/>
        <v>2078300.0499999998</v>
      </c>
      <c r="J746" s="20" t="s">
        <v>1492</v>
      </c>
      <c r="K746" s="27"/>
    </row>
    <row r="747" spans="1:11" hidden="1" outlineLevel="1">
      <c r="A747" s="433" t="s">
        <v>1493</v>
      </c>
      <c r="B747" s="451">
        <v>234882.6</v>
      </c>
      <c r="C747" s="94">
        <v>-207.26</v>
      </c>
      <c r="D747" s="94">
        <v>0</v>
      </c>
      <c r="E747" s="94">
        <v>0</v>
      </c>
      <c r="F747" s="94">
        <v>234675.34</v>
      </c>
      <c r="G747" s="94">
        <v>740.7</v>
      </c>
      <c r="H747" s="144">
        <v>0</v>
      </c>
      <c r="I747" s="144">
        <f t="shared" si="35"/>
        <v>235416.04</v>
      </c>
      <c r="J747" s="20" t="s">
        <v>1494</v>
      </c>
      <c r="K747" s="27"/>
    </row>
    <row r="748" spans="1:11" hidden="1" outlineLevel="1">
      <c r="A748" s="433" t="s">
        <v>429</v>
      </c>
      <c r="B748" s="451">
        <v>64000</v>
      </c>
      <c r="C748" s="94">
        <v>0</v>
      </c>
      <c r="D748" s="94">
        <v>0</v>
      </c>
      <c r="E748" s="94">
        <v>0</v>
      </c>
      <c r="F748" s="94">
        <v>64000</v>
      </c>
      <c r="G748" s="94">
        <v>0</v>
      </c>
      <c r="H748" s="144">
        <v>0</v>
      </c>
      <c r="I748" s="144">
        <f t="shared" si="35"/>
        <v>64000</v>
      </c>
      <c r="J748" s="20" t="s">
        <v>430</v>
      </c>
      <c r="K748" s="27"/>
    </row>
    <row r="749" spans="1:11" hidden="1" outlineLevel="1">
      <c r="A749" s="433" t="s">
        <v>1495</v>
      </c>
      <c r="B749" s="451">
        <v>346536.79</v>
      </c>
      <c r="C749" s="94">
        <v>0</v>
      </c>
      <c r="D749" s="94">
        <v>0</v>
      </c>
      <c r="E749" s="94">
        <v>0</v>
      </c>
      <c r="F749" s="94">
        <v>346536.79</v>
      </c>
      <c r="G749" s="94">
        <v>0</v>
      </c>
      <c r="H749" s="144">
        <v>0</v>
      </c>
      <c r="I749" s="144">
        <f t="shared" si="35"/>
        <v>346536.79</v>
      </c>
      <c r="J749" s="20" t="s">
        <v>1496</v>
      </c>
      <c r="K749" s="27"/>
    </row>
    <row r="750" spans="1:11" hidden="1" outlineLevel="1">
      <c r="A750" s="433" t="s">
        <v>1497</v>
      </c>
      <c r="B750" s="451">
        <v>156768.67000000001</v>
      </c>
      <c r="C750" s="94">
        <v>0</v>
      </c>
      <c r="D750" s="94">
        <v>0</v>
      </c>
      <c r="E750" s="94">
        <v>0</v>
      </c>
      <c r="F750" s="94">
        <v>156768.67000000001</v>
      </c>
      <c r="G750" s="94">
        <v>0</v>
      </c>
      <c r="H750" s="144">
        <v>0</v>
      </c>
      <c r="I750" s="144">
        <f t="shared" si="35"/>
        <v>156768.67000000001</v>
      </c>
      <c r="J750" s="20" t="s">
        <v>1498</v>
      </c>
      <c r="K750" s="27"/>
    </row>
    <row r="751" spans="1:11" hidden="1" outlineLevel="1">
      <c r="A751" s="433" t="s">
        <v>1499</v>
      </c>
      <c r="B751" s="451">
        <v>8191.07</v>
      </c>
      <c r="C751" s="94">
        <v>0</v>
      </c>
      <c r="D751" s="94">
        <v>0</v>
      </c>
      <c r="E751" s="94">
        <v>0</v>
      </c>
      <c r="F751" s="94">
        <v>8191.07</v>
      </c>
      <c r="G751" s="94">
        <v>0</v>
      </c>
      <c r="H751" s="144">
        <v>0</v>
      </c>
      <c r="I751" s="144">
        <f t="shared" si="35"/>
        <v>8191.07</v>
      </c>
      <c r="J751" s="20" t="s">
        <v>1500</v>
      </c>
      <c r="K751" s="27"/>
    </row>
    <row r="752" spans="1:11" hidden="1" outlineLevel="1">
      <c r="A752" s="433" t="s">
        <v>1501</v>
      </c>
      <c r="B752" s="451">
        <v>4138.34</v>
      </c>
      <c r="C752" s="94">
        <v>-66.48</v>
      </c>
      <c r="D752" s="94">
        <v>0</v>
      </c>
      <c r="E752" s="94">
        <v>0</v>
      </c>
      <c r="F752" s="94">
        <v>4071.86</v>
      </c>
      <c r="G752" s="94">
        <v>0</v>
      </c>
      <c r="H752" s="144">
        <v>0</v>
      </c>
      <c r="I752" s="144">
        <f t="shared" si="35"/>
        <v>4071.86</v>
      </c>
      <c r="J752" s="20" t="s">
        <v>1502</v>
      </c>
      <c r="K752" s="27"/>
    </row>
    <row r="753" spans="1:11" hidden="1" outlineLevel="1">
      <c r="A753" s="433" t="s">
        <v>1503</v>
      </c>
      <c r="B753" s="451">
        <v>71382.02</v>
      </c>
      <c r="C753" s="94">
        <v>0</v>
      </c>
      <c r="D753" s="94">
        <v>0</v>
      </c>
      <c r="E753" s="94">
        <v>0</v>
      </c>
      <c r="F753" s="94">
        <v>71382.02</v>
      </c>
      <c r="G753" s="94">
        <v>0</v>
      </c>
      <c r="H753" s="144">
        <v>0</v>
      </c>
      <c r="I753" s="144">
        <f t="shared" si="35"/>
        <v>71382.02</v>
      </c>
      <c r="J753" s="20" t="s">
        <v>1504</v>
      </c>
      <c r="K753" s="27"/>
    </row>
    <row r="754" spans="1:11" hidden="1" outlineLevel="1">
      <c r="A754" s="433" t="s">
        <v>1505</v>
      </c>
      <c r="B754" s="451">
        <v>80991.83</v>
      </c>
      <c r="C754" s="94">
        <v>0</v>
      </c>
      <c r="D754" s="94">
        <v>0</v>
      </c>
      <c r="E754" s="94">
        <v>0</v>
      </c>
      <c r="F754" s="94">
        <v>80991.83</v>
      </c>
      <c r="G754" s="94">
        <v>6400</v>
      </c>
      <c r="H754" s="144">
        <v>0</v>
      </c>
      <c r="I754" s="144">
        <f t="shared" si="35"/>
        <v>87391.83</v>
      </c>
      <c r="J754" s="20" t="s">
        <v>1506</v>
      </c>
      <c r="K754" s="27"/>
    </row>
    <row r="755" spans="1:11" hidden="1" outlineLevel="1">
      <c r="A755" s="433" t="s">
        <v>1507</v>
      </c>
      <c r="B755" s="451">
        <v>25220.62</v>
      </c>
      <c r="C755" s="94">
        <v>0</v>
      </c>
      <c r="D755" s="94">
        <v>0</v>
      </c>
      <c r="E755" s="94">
        <v>0</v>
      </c>
      <c r="F755" s="94">
        <v>25220.62</v>
      </c>
      <c r="G755" s="94">
        <v>0</v>
      </c>
      <c r="H755" s="144">
        <v>0</v>
      </c>
      <c r="I755" s="144">
        <f t="shared" si="35"/>
        <v>25220.62</v>
      </c>
      <c r="J755" s="20" t="s">
        <v>1508</v>
      </c>
      <c r="K755" s="27"/>
    </row>
    <row r="756" spans="1:11" hidden="1" outlineLevel="1">
      <c r="A756" s="433" t="s">
        <v>1509</v>
      </c>
      <c r="B756" s="451">
        <v>81089.279999999999</v>
      </c>
      <c r="C756" s="94">
        <v>0</v>
      </c>
      <c r="D756" s="94">
        <v>0</v>
      </c>
      <c r="E756" s="94">
        <v>0</v>
      </c>
      <c r="F756" s="94">
        <v>81089.279999999999</v>
      </c>
      <c r="G756" s="94">
        <v>0</v>
      </c>
      <c r="H756" s="144">
        <v>0</v>
      </c>
      <c r="I756" s="144">
        <f t="shared" si="35"/>
        <v>81089.279999999999</v>
      </c>
      <c r="J756" s="20" t="s">
        <v>1510</v>
      </c>
      <c r="K756" s="27"/>
    </row>
    <row r="757" spans="1:11" hidden="1" outlineLevel="1">
      <c r="A757" s="433" t="s">
        <v>1511</v>
      </c>
      <c r="B757" s="451">
        <v>14300.8</v>
      </c>
      <c r="C757" s="94">
        <v>0</v>
      </c>
      <c r="D757" s="94">
        <v>0</v>
      </c>
      <c r="E757" s="94">
        <v>0</v>
      </c>
      <c r="F757" s="94">
        <v>14300.8</v>
      </c>
      <c r="G757" s="94">
        <v>0</v>
      </c>
      <c r="H757" s="144">
        <v>0</v>
      </c>
      <c r="I757" s="144">
        <f t="shared" si="35"/>
        <v>14300.8</v>
      </c>
      <c r="J757" s="20" t="s">
        <v>1512</v>
      </c>
      <c r="K757" s="27"/>
    </row>
    <row r="758" spans="1:11" hidden="1" outlineLevel="1">
      <c r="A758" s="433" t="s">
        <v>1513</v>
      </c>
      <c r="B758" s="451">
        <v>233586.17</v>
      </c>
      <c r="C758" s="94">
        <v>0</v>
      </c>
      <c r="D758" s="94">
        <v>0</v>
      </c>
      <c r="E758" s="94">
        <v>0</v>
      </c>
      <c r="F758" s="94">
        <v>233586.17</v>
      </c>
      <c r="G758" s="94">
        <v>0</v>
      </c>
      <c r="H758" s="144">
        <v>0</v>
      </c>
      <c r="I758" s="144">
        <f t="shared" si="35"/>
        <v>233586.17</v>
      </c>
      <c r="J758" s="20" t="s">
        <v>1514</v>
      </c>
      <c r="K758" s="27"/>
    </row>
    <row r="759" spans="1:11" hidden="1" outlineLevel="1">
      <c r="A759" s="433" t="s">
        <v>1515</v>
      </c>
      <c r="B759" s="451">
        <v>153844.63</v>
      </c>
      <c r="C759" s="94">
        <v>0</v>
      </c>
      <c r="D759" s="94">
        <v>0</v>
      </c>
      <c r="E759" s="94">
        <v>0</v>
      </c>
      <c r="F759" s="94">
        <v>153844.63</v>
      </c>
      <c r="G759" s="94">
        <v>3202.12</v>
      </c>
      <c r="H759" s="144">
        <v>0</v>
      </c>
      <c r="I759" s="144">
        <f t="shared" si="35"/>
        <v>157046.75</v>
      </c>
      <c r="J759" s="20" t="s">
        <v>1516</v>
      </c>
      <c r="K759" s="27"/>
    </row>
    <row r="760" spans="1:11" hidden="1" outlineLevel="1">
      <c r="A760" s="433" t="s">
        <v>1517</v>
      </c>
      <c r="B760" s="451">
        <v>324497.82</v>
      </c>
      <c r="C760" s="94">
        <v>0</v>
      </c>
      <c r="D760" s="94">
        <v>0</v>
      </c>
      <c r="E760" s="94">
        <v>0</v>
      </c>
      <c r="F760" s="94">
        <v>324497.82</v>
      </c>
      <c r="G760" s="94">
        <v>111601.22</v>
      </c>
      <c r="H760" s="144">
        <v>-3960</v>
      </c>
      <c r="I760" s="144">
        <f t="shared" si="35"/>
        <v>432139.04000000004</v>
      </c>
      <c r="J760" s="20" t="s">
        <v>1518</v>
      </c>
      <c r="K760" s="27"/>
    </row>
    <row r="761" spans="1:11" hidden="1" outlineLevel="1">
      <c r="A761" s="433" t="s">
        <v>1519</v>
      </c>
      <c r="B761" s="451">
        <v>3489.73</v>
      </c>
      <c r="C761" s="94">
        <v>0</v>
      </c>
      <c r="D761" s="94">
        <v>0</v>
      </c>
      <c r="E761" s="94">
        <v>0</v>
      </c>
      <c r="F761" s="94">
        <v>3489.73</v>
      </c>
      <c r="G761" s="94">
        <v>0</v>
      </c>
      <c r="H761" s="144">
        <v>0</v>
      </c>
      <c r="I761" s="144">
        <f t="shared" si="35"/>
        <v>3489.73</v>
      </c>
      <c r="J761" s="20" t="s">
        <v>1520</v>
      </c>
      <c r="K761" s="27"/>
    </row>
    <row r="762" spans="1:11" hidden="1" outlineLevel="1">
      <c r="A762" s="433" t="s">
        <v>1521</v>
      </c>
      <c r="B762" s="451">
        <v>198504.42</v>
      </c>
      <c r="C762" s="94">
        <v>0</v>
      </c>
      <c r="D762" s="94">
        <v>0</v>
      </c>
      <c r="E762" s="94">
        <v>0</v>
      </c>
      <c r="F762" s="94">
        <v>198504.42</v>
      </c>
      <c r="G762" s="94">
        <v>47827.12</v>
      </c>
      <c r="H762" s="144">
        <v>0</v>
      </c>
      <c r="I762" s="144">
        <f t="shared" si="35"/>
        <v>246331.54</v>
      </c>
      <c r="J762" s="20" t="s">
        <v>1522</v>
      </c>
      <c r="K762" s="27"/>
    </row>
    <row r="763" spans="1:11" hidden="1" outlineLevel="1">
      <c r="A763" s="433" t="s">
        <v>1523</v>
      </c>
      <c r="B763" s="451">
        <v>83684.399999999994</v>
      </c>
      <c r="C763" s="94">
        <v>0</v>
      </c>
      <c r="D763" s="94">
        <v>0</v>
      </c>
      <c r="E763" s="94">
        <v>0</v>
      </c>
      <c r="F763" s="94">
        <v>83684.399999999994</v>
      </c>
      <c r="G763" s="94">
        <v>0</v>
      </c>
      <c r="H763" s="144">
        <v>0</v>
      </c>
      <c r="I763" s="144">
        <f t="shared" si="35"/>
        <v>83684.399999999994</v>
      </c>
      <c r="J763" s="20" t="s">
        <v>1524</v>
      </c>
      <c r="K763" s="27"/>
    </row>
    <row r="764" spans="1:11" hidden="1" outlineLevel="1">
      <c r="A764" s="433" t="s">
        <v>1525</v>
      </c>
      <c r="B764" s="451">
        <v>156538.47</v>
      </c>
      <c r="C764" s="94">
        <v>0</v>
      </c>
      <c r="D764" s="94">
        <v>0</v>
      </c>
      <c r="E764" s="94">
        <v>0</v>
      </c>
      <c r="F764" s="94">
        <v>156538.47</v>
      </c>
      <c r="G764" s="94">
        <v>7673.26</v>
      </c>
      <c r="H764" s="144">
        <v>0</v>
      </c>
      <c r="I764" s="144">
        <f t="shared" si="35"/>
        <v>164211.73000000001</v>
      </c>
      <c r="J764" s="20" t="s">
        <v>1526</v>
      </c>
      <c r="K764" s="27"/>
    </row>
    <row r="765" spans="1:11" hidden="1" outlineLevel="1">
      <c r="A765" s="433" t="s">
        <v>1527</v>
      </c>
      <c r="B765" s="451">
        <v>32371.78</v>
      </c>
      <c r="C765" s="94">
        <v>0</v>
      </c>
      <c r="D765" s="94">
        <v>0</v>
      </c>
      <c r="E765" s="94">
        <v>0</v>
      </c>
      <c r="F765" s="94">
        <v>32371.78</v>
      </c>
      <c r="G765" s="94">
        <v>0</v>
      </c>
      <c r="H765" s="144">
        <v>0</v>
      </c>
      <c r="I765" s="144">
        <f t="shared" si="35"/>
        <v>32371.78</v>
      </c>
      <c r="J765" s="20" t="s">
        <v>1528</v>
      </c>
      <c r="K765" s="27"/>
    </row>
    <row r="766" spans="1:11" hidden="1" outlineLevel="1">
      <c r="A766" s="433" t="s">
        <v>1529</v>
      </c>
      <c r="B766" s="451">
        <v>419931.3</v>
      </c>
      <c r="C766" s="94">
        <v>-24.68</v>
      </c>
      <c r="D766" s="94">
        <v>0</v>
      </c>
      <c r="E766" s="94">
        <v>0</v>
      </c>
      <c r="F766" s="94">
        <v>419906.62</v>
      </c>
      <c r="G766" s="94">
        <v>0</v>
      </c>
      <c r="H766" s="144">
        <v>0</v>
      </c>
      <c r="I766" s="144">
        <f t="shared" si="35"/>
        <v>419906.62</v>
      </c>
      <c r="J766" s="20" t="s">
        <v>1530</v>
      </c>
      <c r="K766" s="27"/>
    </row>
    <row r="767" spans="1:11" hidden="1" outlineLevel="1">
      <c r="A767" s="433" t="s">
        <v>1531</v>
      </c>
      <c r="B767" s="451">
        <v>28721.33</v>
      </c>
      <c r="C767" s="94">
        <v>0</v>
      </c>
      <c r="D767" s="94">
        <v>0</v>
      </c>
      <c r="E767" s="94">
        <v>0</v>
      </c>
      <c r="F767" s="94">
        <v>28721.33</v>
      </c>
      <c r="G767" s="94">
        <v>0</v>
      </c>
      <c r="H767" s="144">
        <v>0</v>
      </c>
      <c r="I767" s="144">
        <f t="shared" si="35"/>
        <v>28721.33</v>
      </c>
      <c r="J767" s="20" t="s">
        <v>1532</v>
      </c>
      <c r="K767" s="27"/>
    </row>
    <row r="768" spans="1:11" hidden="1" outlineLevel="1">
      <c r="A768" s="433" t="s">
        <v>1533</v>
      </c>
      <c r="B768" s="451">
        <v>1022803.46</v>
      </c>
      <c r="C768" s="94">
        <v>0</v>
      </c>
      <c r="D768" s="94">
        <v>0</v>
      </c>
      <c r="E768" s="94">
        <v>0</v>
      </c>
      <c r="F768" s="94">
        <v>1022803.46</v>
      </c>
      <c r="G768" s="94">
        <v>34192.86</v>
      </c>
      <c r="H768" s="144">
        <v>0</v>
      </c>
      <c r="I768" s="144">
        <f t="shared" si="35"/>
        <v>1056996.32</v>
      </c>
      <c r="J768" s="20" t="s">
        <v>1534</v>
      </c>
      <c r="K768" s="27"/>
    </row>
    <row r="769" spans="1:11" hidden="1" outlineLevel="1">
      <c r="A769" s="433" t="s">
        <v>1535</v>
      </c>
      <c r="B769" s="451">
        <v>17291.169999999998</v>
      </c>
      <c r="C769" s="94">
        <v>-484.44</v>
      </c>
      <c r="D769" s="94">
        <v>0</v>
      </c>
      <c r="E769" s="94">
        <v>0</v>
      </c>
      <c r="F769" s="94">
        <v>16806.73</v>
      </c>
      <c r="G769" s="94">
        <v>0</v>
      </c>
      <c r="H769" s="144">
        <v>0</v>
      </c>
      <c r="I769" s="144">
        <f t="shared" si="35"/>
        <v>16806.73</v>
      </c>
      <c r="J769" s="20" t="s">
        <v>1536</v>
      </c>
      <c r="K769" s="27"/>
    </row>
    <row r="770" spans="1:11" hidden="1" outlineLevel="1">
      <c r="A770" s="433" t="s">
        <v>1537</v>
      </c>
      <c r="B770" s="451">
        <v>259993.03</v>
      </c>
      <c r="C770" s="94">
        <v>0</v>
      </c>
      <c r="D770" s="94">
        <v>0</v>
      </c>
      <c r="E770" s="94">
        <v>0</v>
      </c>
      <c r="F770" s="94">
        <v>259993.03</v>
      </c>
      <c r="G770" s="94">
        <v>0</v>
      </c>
      <c r="H770" s="144">
        <v>0</v>
      </c>
      <c r="I770" s="144">
        <f t="shared" si="35"/>
        <v>259993.03</v>
      </c>
      <c r="J770" s="20" t="s">
        <v>1538</v>
      </c>
      <c r="K770" s="27"/>
    </row>
    <row r="771" spans="1:11" hidden="1" outlineLevel="1">
      <c r="A771" s="433" t="s">
        <v>1539</v>
      </c>
      <c r="B771" s="451">
        <v>64340.54</v>
      </c>
      <c r="C771" s="94">
        <v>0</v>
      </c>
      <c r="D771" s="94">
        <v>0</v>
      </c>
      <c r="E771" s="94">
        <v>0</v>
      </c>
      <c r="F771" s="94">
        <v>64340.54</v>
      </c>
      <c r="G771" s="94">
        <v>0</v>
      </c>
      <c r="H771" s="144">
        <v>0</v>
      </c>
      <c r="I771" s="144">
        <f t="shared" si="35"/>
        <v>64340.54</v>
      </c>
      <c r="J771" s="20" t="s">
        <v>1540</v>
      </c>
      <c r="K771" s="27"/>
    </row>
    <row r="772" spans="1:11" hidden="1" outlineLevel="1">
      <c r="A772" s="433" t="s">
        <v>1541</v>
      </c>
      <c r="B772" s="451">
        <v>70761.7</v>
      </c>
      <c r="C772" s="94">
        <v>0</v>
      </c>
      <c r="D772" s="94">
        <v>0</v>
      </c>
      <c r="E772" s="94">
        <v>0</v>
      </c>
      <c r="F772" s="94">
        <v>70761.7</v>
      </c>
      <c r="G772" s="94">
        <v>1324.64</v>
      </c>
      <c r="H772" s="144">
        <v>0</v>
      </c>
      <c r="I772" s="144">
        <f t="shared" si="35"/>
        <v>72086.34</v>
      </c>
      <c r="J772" s="20" t="s">
        <v>1542</v>
      </c>
      <c r="K772" s="27"/>
    </row>
    <row r="773" spans="1:11" hidden="1" outlineLevel="1">
      <c r="A773" s="433" t="s">
        <v>1543</v>
      </c>
      <c r="B773" s="451">
        <v>325.95</v>
      </c>
      <c r="C773" s="94">
        <v>0</v>
      </c>
      <c r="D773" s="94">
        <v>0</v>
      </c>
      <c r="E773" s="94">
        <v>0</v>
      </c>
      <c r="F773" s="94">
        <v>325.95</v>
      </c>
      <c r="G773" s="94">
        <v>0</v>
      </c>
      <c r="H773" s="144">
        <v>0</v>
      </c>
      <c r="I773" s="144">
        <f t="shared" si="35"/>
        <v>325.95</v>
      </c>
      <c r="J773" s="20" t="s">
        <v>1544</v>
      </c>
      <c r="K773" s="27"/>
    </row>
    <row r="774" spans="1:11" hidden="1" outlineLevel="1">
      <c r="A774" s="433" t="s">
        <v>1545</v>
      </c>
      <c r="B774" s="451">
        <v>10686.64</v>
      </c>
      <c r="C774" s="94">
        <v>0</v>
      </c>
      <c r="D774" s="94">
        <v>0</v>
      </c>
      <c r="E774" s="94">
        <v>0</v>
      </c>
      <c r="F774" s="94">
        <v>10686.64</v>
      </c>
      <c r="G774" s="94">
        <v>0</v>
      </c>
      <c r="H774" s="144">
        <v>0</v>
      </c>
      <c r="I774" s="144">
        <f t="shared" si="35"/>
        <v>10686.64</v>
      </c>
      <c r="J774" s="20" t="s">
        <v>1546</v>
      </c>
      <c r="K774" s="27"/>
    </row>
    <row r="775" spans="1:11" hidden="1" outlineLevel="1">
      <c r="A775" s="433" t="s">
        <v>86</v>
      </c>
      <c r="B775" s="451">
        <v>17379.3</v>
      </c>
      <c r="C775" s="94">
        <v>-3391.41</v>
      </c>
      <c r="D775" s="94">
        <v>0</v>
      </c>
      <c r="E775" s="94">
        <v>0</v>
      </c>
      <c r="F775" s="94">
        <v>13987.89</v>
      </c>
      <c r="G775" s="94">
        <v>0</v>
      </c>
      <c r="H775" s="144">
        <v>0</v>
      </c>
      <c r="I775" s="144">
        <f t="shared" si="35"/>
        <v>13987.89</v>
      </c>
      <c r="J775" s="20" t="s">
        <v>87</v>
      </c>
      <c r="K775" s="27"/>
    </row>
    <row r="776" spans="1:11" hidden="1" outlineLevel="1">
      <c r="A776" s="433" t="s">
        <v>1547</v>
      </c>
      <c r="B776" s="451">
        <v>1377.66</v>
      </c>
      <c r="C776" s="94">
        <v>0</v>
      </c>
      <c r="D776" s="94">
        <v>0</v>
      </c>
      <c r="E776" s="94">
        <v>0</v>
      </c>
      <c r="F776" s="94">
        <v>1377.66</v>
      </c>
      <c r="G776" s="94">
        <v>0</v>
      </c>
      <c r="H776" s="144">
        <v>0</v>
      </c>
      <c r="I776" s="144">
        <f t="shared" si="35"/>
        <v>1377.66</v>
      </c>
      <c r="J776" s="20" t="s">
        <v>1548</v>
      </c>
      <c r="K776" s="27"/>
    </row>
    <row r="777" spans="1:11" hidden="1" outlineLevel="1">
      <c r="A777" s="433" t="s">
        <v>1549</v>
      </c>
      <c r="B777" s="451">
        <v>4719.68</v>
      </c>
      <c r="C777" s="94">
        <v>0</v>
      </c>
      <c r="D777" s="94">
        <v>0</v>
      </c>
      <c r="E777" s="94">
        <v>0</v>
      </c>
      <c r="F777" s="94">
        <v>4719.68</v>
      </c>
      <c r="G777" s="94">
        <v>0</v>
      </c>
      <c r="H777" s="144">
        <v>0</v>
      </c>
      <c r="I777" s="144">
        <f t="shared" si="35"/>
        <v>4719.68</v>
      </c>
      <c r="J777" s="20" t="s">
        <v>1550</v>
      </c>
      <c r="K777" s="27"/>
    </row>
    <row r="778" spans="1:11" hidden="1" outlineLevel="1">
      <c r="A778" s="433" t="s">
        <v>1551</v>
      </c>
      <c r="B778" s="451">
        <v>949496</v>
      </c>
      <c r="C778" s="94">
        <v>0</v>
      </c>
      <c r="D778" s="94">
        <v>0</v>
      </c>
      <c r="E778" s="94">
        <v>0</v>
      </c>
      <c r="F778" s="94">
        <v>949496</v>
      </c>
      <c r="G778" s="94">
        <v>0</v>
      </c>
      <c r="H778" s="144">
        <v>0</v>
      </c>
      <c r="I778" s="144">
        <f t="shared" si="35"/>
        <v>949496</v>
      </c>
      <c r="J778" s="20" t="s">
        <v>1552</v>
      </c>
      <c r="K778" s="27"/>
    </row>
    <row r="779" spans="1:11" hidden="1" outlineLevel="1">
      <c r="A779" s="433" t="s">
        <v>1553</v>
      </c>
      <c r="B779" s="451">
        <v>797599.81</v>
      </c>
      <c r="C779" s="94">
        <v>0</v>
      </c>
      <c r="D779" s="94">
        <v>0</v>
      </c>
      <c r="E779" s="94">
        <v>0</v>
      </c>
      <c r="F779" s="94">
        <v>797599.81</v>
      </c>
      <c r="G779" s="94">
        <v>0</v>
      </c>
      <c r="H779" s="144">
        <v>0</v>
      </c>
      <c r="I779" s="144">
        <f t="shared" si="35"/>
        <v>797599.81</v>
      </c>
      <c r="J779" s="20" t="s">
        <v>1554</v>
      </c>
      <c r="K779" s="27"/>
    </row>
    <row r="780" spans="1:11" hidden="1" outlineLevel="1">
      <c r="A780" s="433" t="s">
        <v>1555</v>
      </c>
      <c r="B780" s="451">
        <v>270.99</v>
      </c>
      <c r="C780" s="94">
        <v>0</v>
      </c>
      <c r="D780" s="94">
        <v>0</v>
      </c>
      <c r="E780" s="94">
        <v>0</v>
      </c>
      <c r="F780" s="94">
        <v>270.99</v>
      </c>
      <c r="G780" s="94">
        <v>0</v>
      </c>
      <c r="H780" s="144">
        <v>0</v>
      </c>
      <c r="I780" s="144">
        <f t="shared" si="35"/>
        <v>270.99</v>
      </c>
      <c r="J780" s="20" t="s">
        <v>1556</v>
      </c>
      <c r="K780" s="27"/>
    </row>
    <row r="781" spans="1:11" hidden="1" outlineLevel="1">
      <c r="A781" s="433" t="s">
        <v>1557</v>
      </c>
      <c r="B781" s="451">
        <v>1895.04</v>
      </c>
      <c r="C781" s="94">
        <v>0</v>
      </c>
      <c r="D781" s="94">
        <v>0</v>
      </c>
      <c r="E781" s="94">
        <v>0</v>
      </c>
      <c r="F781" s="94">
        <v>1895.04</v>
      </c>
      <c r="G781" s="94">
        <v>0</v>
      </c>
      <c r="H781" s="144">
        <v>0</v>
      </c>
      <c r="I781" s="144">
        <f t="shared" si="35"/>
        <v>1895.04</v>
      </c>
      <c r="J781" s="20" t="s">
        <v>1558</v>
      </c>
      <c r="K781" s="27"/>
    </row>
    <row r="782" spans="1:11" hidden="1" outlineLevel="1">
      <c r="A782" s="433" t="s">
        <v>1559</v>
      </c>
      <c r="B782" s="451">
        <v>1352339.25</v>
      </c>
      <c r="C782" s="94">
        <v>0</v>
      </c>
      <c r="D782" s="94">
        <v>0</v>
      </c>
      <c r="E782" s="94">
        <v>0</v>
      </c>
      <c r="F782" s="94">
        <v>1352339.25</v>
      </c>
      <c r="G782" s="94">
        <v>4864.16</v>
      </c>
      <c r="H782" s="144">
        <v>0</v>
      </c>
      <c r="I782" s="144">
        <f t="shared" si="35"/>
        <v>1357203.41</v>
      </c>
      <c r="J782" s="20" t="s">
        <v>1560</v>
      </c>
      <c r="K782" s="27"/>
    </row>
    <row r="783" spans="1:11" hidden="1" outlineLevel="1">
      <c r="A783" s="433" t="s">
        <v>1561</v>
      </c>
      <c r="B783" s="451">
        <v>3235124.76</v>
      </c>
      <c r="C783" s="94">
        <v>0</v>
      </c>
      <c r="D783" s="94">
        <v>0</v>
      </c>
      <c r="E783" s="94">
        <v>0</v>
      </c>
      <c r="F783" s="94">
        <v>3235124.76</v>
      </c>
      <c r="G783" s="94">
        <v>129975.21</v>
      </c>
      <c r="H783" s="144">
        <v>0</v>
      </c>
      <c r="I783" s="144">
        <f t="shared" si="35"/>
        <v>3365099.9699999997</v>
      </c>
      <c r="J783" s="20" t="s">
        <v>1562</v>
      </c>
      <c r="K783" s="27"/>
    </row>
    <row r="784" spans="1:11" hidden="1" outlineLevel="1">
      <c r="A784" s="433" t="s">
        <v>1413</v>
      </c>
      <c r="B784" s="451">
        <v>70713.02</v>
      </c>
      <c r="C784" s="94">
        <v>-1941.82</v>
      </c>
      <c r="D784" s="94">
        <v>0</v>
      </c>
      <c r="E784" s="94">
        <v>0</v>
      </c>
      <c r="F784" s="94">
        <v>68771.199999999997</v>
      </c>
      <c r="G784" s="94">
        <v>0</v>
      </c>
      <c r="H784" s="144">
        <v>0</v>
      </c>
      <c r="I784" s="144">
        <f t="shared" si="35"/>
        <v>68771.199999999997</v>
      </c>
      <c r="J784" s="20" t="s">
        <v>1414</v>
      </c>
      <c r="K784" s="27"/>
    </row>
    <row r="785" spans="1:11" hidden="1" outlineLevel="1">
      <c r="A785" s="433" t="s">
        <v>1563</v>
      </c>
      <c r="B785" s="451">
        <v>4176.63</v>
      </c>
      <c r="C785" s="94">
        <v>0</v>
      </c>
      <c r="D785" s="94">
        <v>0</v>
      </c>
      <c r="E785" s="94">
        <v>0</v>
      </c>
      <c r="F785" s="94">
        <v>4176.63</v>
      </c>
      <c r="G785" s="94">
        <v>0</v>
      </c>
      <c r="H785" s="144">
        <v>0</v>
      </c>
      <c r="I785" s="144">
        <f t="shared" si="35"/>
        <v>4176.63</v>
      </c>
      <c r="J785" s="20" t="s">
        <v>1564</v>
      </c>
      <c r="K785" s="27"/>
    </row>
    <row r="786" spans="1:11" hidden="1" outlineLevel="1">
      <c r="A786" s="433" t="s">
        <v>613</v>
      </c>
      <c r="B786" s="451">
        <v>18648129.190000001</v>
      </c>
      <c r="C786" s="94">
        <v>-7680.2</v>
      </c>
      <c r="D786" s="94">
        <v>0</v>
      </c>
      <c r="E786" s="94">
        <v>0</v>
      </c>
      <c r="F786" s="94">
        <v>18640448.989999998</v>
      </c>
      <c r="G786" s="94">
        <v>9918128.3499999996</v>
      </c>
      <c r="H786" s="144">
        <v>0</v>
      </c>
      <c r="I786" s="144">
        <f t="shared" si="35"/>
        <v>28558577.339999996</v>
      </c>
      <c r="J786" s="20" t="s">
        <v>614</v>
      </c>
      <c r="K786" s="27"/>
    </row>
    <row r="787" spans="1:11" hidden="1" outlineLevel="1">
      <c r="A787" s="433" t="s">
        <v>1565</v>
      </c>
      <c r="B787" s="451">
        <v>225377.69</v>
      </c>
      <c r="C787" s="94">
        <v>0</v>
      </c>
      <c r="D787" s="94">
        <v>0</v>
      </c>
      <c r="E787" s="94">
        <v>0</v>
      </c>
      <c r="F787" s="94">
        <v>225377.69</v>
      </c>
      <c r="G787" s="94">
        <v>0</v>
      </c>
      <c r="H787" s="144">
        <v>0</v>
      </c>
      <c r="I787" s="144">
        <f t="shared" si="35"/>
        <v>225377.69</v>
      </c>
      <c r="J787" s="20" t="s">
        <v>1566</v>
      </c>
      <c r="K787" s="27"/>
    </row>
    <row r="788" spans="1:11" hidden="1" outlineLevel="1">
      <c r="A788" s="433" t="s">
        <v>1567</v>
      </c>
      <c r="B788" s="451">
        <v>39872.46</v>
      </c>
      <c r="C788" s="94">
        <v>0</v>
      </c>
      <c r="D788" s="94">
        <v>0</v>
      </c>
      <c r="E788" s="94">
        <v>0</v>
      </c>
      <c r="F788" s="94">
        <v>39872.46</v>
      </c>
      <c r="G788" s="94">
        <v>10644.32</v>
      </c>
      <c r="H788" s="144">
        <v>0</v>
      </c>
      <c r="I788" s="144">
        <f t="shared" si="35"/>
        <v>50516.78</v>
      </c>
      <c r="J788" s="20" t="s">
        <v>1568</v>
      </c>
      <c r="K788" s="27"/>
    </row>
    <row r="789" spans="1:11" hidden="1" outlineLevel="1">
      <c r="A789" s="433" t="s">
        <v>1569</v>
      </c>
      <c r="B789" s="451">
        <v>1120142.21</v>
      </c>
      <c r="C789" s="94">
        <v>-1109.25</v>
      </c>
      <c r="D789" s="94">
        <v>0</v>
      </c>
      <c r="E789" s="94">
        <v>0</v>
      </c>
      <c r="F789" s="94">
        <v>1119032.96</v>
      </c>
      <c r="G789" s="94">
        <v>47670.41</v>
      </c>
      <c r="H789" s="144">
        <v>0</v>
      </c>
      <c r="I789" s="144">
        <f t="shared" si="35"/>
        <v>1166703.3699999999</v>
      </c>
      <c r="J789" s="20" t="s">
        <v>1570</v>
      </c>
      <c r="K789" s="27"/>
    </row>
    <row r="790" spans="1:11" hidden="1" outlineLevel="1">
      <c r="A790" s="433" t="s">
        <v>1571</v>
      </c>
      <c r="B790" s="451">
        <v>287296.13</v>
      </c>
      <c r="C790" s="94">
        <v>0</v>
      </c>
      <c r="D790" s="94">
        <v>0</v>
      </c>
      <c r="E790" s="94">
        <v>0</v>
      </c>
      <c r="F790" s="94">
        <v>287296.13</v>
      </c>
      <c r="G790" s="94">
        <v>1733.09</v>
      </c>
      <c r="H790" s="144">
        <v>0</v>
      </c>
      <c r="I790" s="144">
        <f t="shared" si="35"/>
        <v>289029.22000000003</v>
      </c>
      <c r="J790" s="20" t="s">
        <v>1572</v>
      </c>
      <c r="K790" s="27"/>
    </row>
    <row r="791" spans="1:11" hidden="1" outlineLevel="1">
      <c r="A791" s="433" t="s">
        <v>1573</v>
      </c>
      <c r="B791" s="451">
        <v>7986.8</v>
      </c>
      <c r="C791" s="94">
        <v>0</v>
      </c>
      <c r="D791" s="94">
        <v>0</v>
      </c>
      <c r="E791" s="94">
        <v>0</v>
      </c>
      <c r="F791" s="94">
        <v>7986.8</v>
      </c>
      <c r="G791" s="94">
        <v>0</v>
      </c>
      <c r="H791" s="144">
        <v>0</v>
      </c>
      <c r="I791" s="144">
        <f t="shared" si="35"/>
        <v>7986.8</v>
      </c>
      <c r="J791" s="20" t="s">
        <v>1574</v>
      </c>
      <c r="K791" s="27"/>
    </row>
    <row r="792" spans="1:11" hidden="1" outlineLevel="1">
      <c r="A792" s="433" t="s">
        <v>1575</v>
      </c>
      <c r="B792" s="451">
        <v>56168.13</v>
      </c>
      <c r="C792" s="94">
        <v>0</v>
      </c>
      <c r="D792" s="94">
        <v>0</v>
      </c>
      <c r="E792" s="94">
        <v>0</v>
      </c>
      <c r="F792" s="94">
        <v>56168.13</v>
      </c>
      <c r="G792" s="94">
        <v>0</v>
      </c>
      <c r="H792" s="144">
        <v>0</v>
      </c>
      <c r="I792" s="144">
        <f t="shared" si="35"/>
        <v>56168.13</v>
      </c>
      <c r="J792" s="20" t="s">
        <v>1576</v>
      </c>
      <c r="K792" s="27"/>
    </row>
    <row r="793" spans="1:11" hidden="1" outlineLevel="1">
      <c r="A793" s="433" t="s">
        <v>1577</v>
      </c>
      <c r="B793" s="451">
        <v>104425.12</v>
      </c>
      <c r="C793" s="94">
        <v>0</v>
      </c>
      <c r="D793" s="94">
        <v>0</v>
      </c>
      <c r="E793" s="94">
        <v>0</v>
      </c>
      <c r="F793" s="94">
        <v>104425.12</v>
      </c>
      <c r="G793" s="94">
        <v>-1288.08</v>
      </c>
      <c r="H793" s="144">
        <v>0</v>
      </c>
      <c r="I793" s="144">
        <f t="shared" si="35"/>
        <v>103137.04</v>
      </c>
      <c r="J793" s="20" t="s">
        <v>1578</v>
      </c>
      <c r="K793" s="27"/>
    </row>
    <row r="794" spans="1:11" hidden="1" outlineLevel="1">
      <c r="A794" s="433" t="s">
        <v>1579</v>
      </c>
      <c r="B794" s="451">
        <v>234379.77</v>
      </c>
      <c r="C794" s="94">
        <v>-1717.83</v>
      </c>
      <c r="D794" s="94">
        <v>0</v>
      </c>
      <c r="E794" s="94">
        <v>0</v>
      </c>
      <c r="F794" s="94">
        <v>232661.94</v>
      </c>
      <c r="G794" s="94">
        <v>11314.33</v>
      </c>
      <c r="H794" s="144">
        <v>0</v>
      </c>
      <c r="I794" s="144">
        <f t="shared" si="35"/>
        <v>243976.27</v>
      </c>
      <c r="J794" s="20" t="s">
        <v>1580</v>
      </c>
      <c r="K794" s="27"/>
    </row>
    <row r="795" spans="1:11" hidden="1" outlineLevel="1">
      <c r="A795" s="433" t="s">
        <v>1581</v>
      </c>
      <c r="B795" s="451">
        <v>804367.07</v>
      </c>
      <c r="C795" s="94">
        <v>-148.44999999999999</v>
      </c>
      <c r="D795" s="94">
        <v>0</v>
      </c>
      <c r="E795" s="94">
        <v>0</v>
      </c>
      <c r="F795" s="94">
        <v>804218.62</v>
      </c>
      <c r="G795" s="94">
        <v>281106.84999999998</v>
      </c>
      <c r="H795" s="144">
        <v>0</v>
      </c>
      <c r="I795" s="144">
        <f t="shared" si="35"/>
        <v>1085325.47</v>
      </c>
      <c r="J795" s="20" t="s">
        <v>1582</v>
      </c>
      <c r="K795" s="27"/>
    </row>
    <row r="796" spans="1:11" hidden="1" outlineLevel="1">
      <c r="A796" s="433" t="s">
        <v>1583</v>
      </c>
      <c r="B796" s="451">
        <v>124951.2</v>
      </c>
      <c r="C796" s="94">
        <v>0</v>
      </c>
      <c r="D796" s="94">
        <v>0</v>
      </c>
      <c r="E796" s="94">
        <v>0</v>
      </c>
      <c r="F796" s="94">
        <v>124951.2</v>
      </c>
      <c r="G796" s="94">
        <v>8777.43</v>
      </c>
      <c r="H796" s="144">
        <v>0</v>
      </c>
      <c r="I796" s="144">
        <f t="shared" si="35"/>
        <v>133728.63</v>
      </c>
      <c r="J796" s="20" t="s">
        <v>1584</v>
      </c>
      <c r="K796" s="27"/>
    </row>
    <row r="797" spans="1:11" hidden="1" outlineLevel="1">
      <c r="A797" s="433" t="s">
        <v>1585</v>
      </c>
      <c r="B797" s="451">
        <v>158275.17000000001</v>
      </c>
      <c r="C797" s="94">
        <v>0</v>
      </c>
      <c r="D797" s="94">
        <v>0</v>
      </c>
      <c r="E797" s="94">
        <v>0</v>
      </c>
      <c r="F797" s="94">
        <v>158275.17000000001</v>
      </c>
      <c r="G797" s="94">
        <v>0</v>
      </c>
      <c r="H797" s="144">
        <v>0</v>
      </c>
      <c r="I797" s="144">
        <f t="shared" si="35"/>
        <v>158275.17000000001</v>
      </c>
      <c r="J797" s="20" t="s">
        <v>1586</v>
      </c>
      <c r="K797" s="27"/>
    </row>
    <row r="798" spans="1:11" hidden="1" outlineLevel="1">
      <c r="A798" s="433" t="s">
        <v>1587</v>
      </c>
      <c r="B798" s="451">
        <v>396231.28</v>
      </c>
      <c r="C798" s="94">
        <v>0</v>
      </c>
      <c r="D798" s="94">
        <v>0</v>
      </c>
      <c r="E798" s="94">
        <v>0</v>
      </c>
      <c r="F798" s="94">
        <v>396231.28</v>
      </c>
      <c r="G798" s="94">
        <v>0</v>
      </c>
      <c r="H798" s="144">
        <v>0</v>
      </c>
      <c r="I798" s="144">
        <f t="shared" si="35"/>
        <v>396231.28</v>
      </c>
      <c r="J798" s="20" t="s">
        <v>1588</v>
      </c>
      <c r="K798" s="27"/>
    </row>
    <row r="799" spans="1:11" hidden="1" outlineLevel="1">
      <c r="A799" s="433" t="s">
        <v>1589</v>
      </c>
      <c r="B799" s="451">
        <v>36862.36</v>
      </c>
      <c r="C799" s="94">
        <v>0</v>
      </c>
      <c r="D799" s="94">
        <v>0</v>
      </c>
      <c r="E799" s="94">
        <v>0</v>
      </c>
      <c r="F799" s="94">
        <v>36862.36</v>
      </c>
      <c r="G799" s="94">
        <v>1272.96</v>
      </c>
      <c r="H799" s="144">
        <v>0</v>
      </c>
      <c r="I799" s="144">
        <f t="shared" si="35"/>
        <v>38135.32</v>
      </c>
      <c r="J799" s="20" t="s">
        <v>1590</v>
      </c>
      <c r="K799" s="27"/>
    </row>
    <row r="800" spans="1:11" hidden="1" outlineLevel="1">
      <c r="A800" s="433" t="s">
        <v>1591</v>
      </c>
      <c r="B800" s="451">
        <v>175050.56</v>
      </c>
      <c r="C800" s="94">
        <v>-777.76</v>
      </c>
      <c r="D800" s="94">
        <v>0</v>
      </c>
      <c r="E800" s="94">
        <v>0</v>
      </c>
      <c r="F800" s="94">
        <v>174272.8</v>
      </c>
      <c r="G800" s="94">
        <v>0</v>
      </c>
      <c r="H800" s="144">
        <v>0</v>
      </c>
      <c r="I800" s="144">
        <f t="shared" si="35"/>
        <v>174272.8</v>
      </c>
      <c r="J800" s="20" t="s">
        <v>1592</v>
      </c>
      <c r="K800" s="27"/>
    </row>
    <row r="801" spans="1:11" hidden="1" outlineLevel="1">
      <c r="A801" s="433" t="s">
        <v>1593</v>
      </c>
      <c r="B801" s="451">
        <v>89470.67</v>
      </c>
      <c r="C801" s="94">
        <v>0</v>
      </c>
      <c r="D801" s="94">
        <v>0</v>
      </c>
      <c r="E801" s="94">
        <v>0</v>
      </c>
      <c r="F801" s="94">
        <v>89470.67</v>
      </c>
      <c r="G801" s="94">
        <v>0</v>
      </c>
      <c r="H801" s="144">
        <v>0</v>
      </c>
      <c r="I801" s="144">
        <f t="shared" si="35"/>
        <v>89470.67</v>
      </c>
      <c r="J801" s="20" t="s">
        <v>1594</v>
      </c>
      <c r="K801" s="27"/>
    </row>
    <row r="802" spans="1:11" hidden="1" outlineLevel="1">
      <c r="A802" s="433" t="s">
        <v>1595</v>
      </c>
      <c r="B802" s="451">
        <v>45796.86</v>
      </c>
      <c r="C802" s="94">
        <v>0</v>
      </c>
      <c r="D802" s="94">
        <v>0</v>
      </c>
      <c r="E802" s="94">
        <v>0</v>
      </c>
      <c r="F802" s="94">
        <v>45796.86</v>
      </c>
      <c r="G802" s="94">
        <v>0</v>
      </c>
      <c r="H802" s="144">
        <v>0</v>
      </c>
      <c r="I802" s="144">
        <f t="shared" si="35"/>
        <v>45796.86</v>
      </c>
      <c r="J802" s="20" t="s">
        <v>1596</v>
      </c>
      <c r="K802" s="27"/>
    </row>
    <row r="803" spans="1:11" hidden="1" outlineLevel="1">
      <c r="A803" s="433" t="s">
        <v>1597</v>
      </c>
      <c r="B803" s="451">
        <v>204919.71</v>
      </c>
      <c r="C803" s="94">
        <v>0</v>
      </c>
      <c r="D803" s="94">
        <v>0</v>
      </c>
      <c r="E803" s="94">
        <v>0</v>
      </c>
      <c r="F803" s="94">
        <v>204919.71</v>
      </c>
      <c r="G803" s="94">
        <v>0</v>
      </c>
      <c r="H803" s="144">
        <v>0</v>
      </c>
      <c r="I803" s="144">
        <f t="shared" si="35"/>
        <v>204919.71</v>
      </c>
      <c r="J803" s="20" t="s">
        <v>1598</v>
      </c>
      <c r="K803" s="27"/>
    </row>
    <row r="804" spans="1:11" hidden="1" outlineLevel="1">
      <c r="A804" s="433" t="s">
        <v>1599</v>
      </c>
      <c r="B804" s="451">
        <v>264209.43</v>
      </c>
      <c r="C804" s="94">
        <v>0</v>
      </c>
      <c r="D804" s="94">
        <v>0</v>
      </c>
      <c r="E804" s="94">
        <v>0</v>
      </c>
      <c r="F804" s="94">
        <v>264209.43</v>
      </c>
      <c r="G804" s="94">
        <v>0</v>
      </c>
      <c r="H804" s="144">
        <v>0</v>
      </c>
      <c r="I804" s="144">
        <f t="shared" si="35"/>
        <v>264209.43</v>
      </c>
      <c r="J804" s="20" t="s">
        <v>1600</v>
      </c>
      <c r="K804" s="27"/>
    </row>
    <row r="805" spans="1:11" hidden="1" outlineLevel="1">
      <c r="A805" s="433" t="s">
        <v>1601</v>
      </c>
      <c r="B805" s="451">
        <v>926561.4</v>
      </c>
      <c r="C805" s="94">
        <v>0</v>
      </c>
      <c r="D805" s="94">
        <v>0</v>
      </c>
      <c r="E805" s="94">
        <v>0</v>
      </c>
      <c r="F805" s="94">
        <v>926561.4</v>
      </c>
      <c r="G805" s="94">
        <v>-1866.7</v>
      </c>
      <c r="H805" s="144">
        <v>0</v>
      </c>
      <c r="I805" s="144">
        <f t="shared" si="35"/>
        <v>924694.70000000007</v>
      </c>
      <c r="J805" s="20" t="s">
        <v>1602</v>
      </c>
      <c r="K805" s="27"/>
    </row>
    <row r="806" spans="1:11" hidden="1" outlineLevel="1">
      <c r="A806" s="433" t="s">
        <v>1603</v>
      </c>
      <c r="B806" s="451">
        <v>77412.62</v>
      </c>
      <c r="C806" s="94">
        <v>0</v>
      </c>
      <c r="D806" s="94">
        <v>0</v>
      </c>
      <c r="E806" s="94">
        <v>0</v>
      </c>
      <c r="F806" s="94">
        <v>77412.62</v>
      </c>
      <c r="G806" s="94">
        <v>0</v>
      </c>
      <c r="H806" s="144">
        <v>0</v>
      </c>
      <c r="I806" s="144">
        <f t="shared" si="35"/>
        <v>77412.62</v>
      </c>
      <c r="J806" s="20" t="s">
        <v>1604</v>
      </c>
      <c r="K806" s="27"/>
    </row>
    <row r="807" spans="1:11" hidden="1" outlineLevel="1">
      <c r="A807" s="433" t="s">
        <v>1605</v>
      </c>
      <c r="B807" s="451">
        <v>34395.760000000002</v>
      </c>
      <c r="C807" s="94">
        <v>-184.29</v>
      </c>
      <c r="D807" s="94">
        <v>0</v>
      </c>
      <c r="E807" s="94">
        <v>0</v>
      </c>
      <c r="F807" s="94">
        <v>34211.47</v>
      </c>
      <c r="G807" s="94">
        <v>0</v>
      </c>
      <c r="H807" s="144">
        <v>0</v>
      </c>
      <c r="I807" s="144">
        <f t="shared" si="35"/>
        <v>34211.47</v>
      </c>
      <c r="J807" s="20" t="s">
        <v>1606</v>
      </c>
      <c r="K807" s="27"/>
    </row>
    <row r="808" spans="1:11" hidden="1" outlineLevel="1">
      <c r="A808" s="433" t="s">
        <v>1607</v>
      </c>
      <c r="B808" s="451">
        <v>39653.480000000003</v>
      </c>
      <c r="C808" s="94">
        <v>0</v>
      </c>
      <c r="D808" s="94">
        <v>0</v>
      </c>
      <c r="E808" s="94">
        <v>0</v>
      </c>
      <c r="F808" s="94">
        <v>39653.480000000003</v>
      </c>
      <c r="G808" s="94">
        <v>0</v>
      </c>
      <c r="H808" s="144">
        <v>0</v>
      </c>
      <c r="I808" s="144">
        <f t="shared" ref="I808:I867" si="36">F808+G808+H808</f>
        <v>39653.480000000003</v>
      </c>
      <c r="J808" s="20" t="s">
        <v>1608</v>
      </c>
      <c r="K808" s="27"/>
    </row>
    <row r="809" spans="1:11" hidden="1" outlineLevel="1">
      <c r="A809" s="433" t="s">
        <v>1609</v>
      </c>
      <c r="B809" s="451">
        <v>608678.31000000006</v>
      </c>
      <c r="C809" s="94">
        <v>0</v>
      </c>
      <c r="D809" s="94">
        <v>0</v>
      </c>
      <c r="E809" s="94">
        <v>0</v>
      </c>
      <c r="F809" s="94">
        <v>608678.31000000006</v>
      </c>
      <c r="G809" s="94">
        <v>-649.55999999999904</v>
      </c>
      <c r="H809" s="144">
        <v>0</v>
      </c>
      <c r="I809" s="144">
        <f t="shared" si="36"/>
        <v>608028.75</v>
      </c>
      <c r="J809" s="20" t="s">
        <v>1610</v>
      </c>
      <c r="K809" s="27"/>
    </row>
    <row r="810" spans="1:11" hidden="1" outlineLevel="1">
      <c r="A810" s="433" t="s">
        <v>1611</v>
      </c>
      <c r="B810" s="451">
        <v>119736.38</v>
      </c>
      <c r="C810" s="94">
        <v>0</v>
      </c>
      <c r="D810" s="94">
        <v>0</v>
      </c>
      <c r="E810" s="94">
        <v>0</v>
      </c>
      <c r="F810" s="94">
        <v>119736.38</v>
      </c>
      <c r="G810" s="94">
        <v>23152.9</v>
      </c>
      <c r="H810" s="144">
        <v>0</v>
      </c>
      <c r="I810" s="144">
        <f t="shared" si="36"/>
        <v>142889.28</v>
      </c>
      <c r="J810" s="20" t="s">
        <v>1612</v>
      </c>
      <c r="K810" s="27"/>
    </row>
    <row r="811" spans="1:11" hidden="1" outlineLevel="1">
      <c r="A811" s="433" t="s">
        <v>1613</v>
      </c>
      <c r="B811" s="451">
        <v>26874.11</v>
      </c>
      <c r="C811" s="94">
        <v>0</v>
      </c>
      <c r="D811" s="94">
        <v>0</v>
      </c>
      <c r="E811" s="94">
        <v>0</v>
      </c>
      <c r="F811" s="94">
        <v>26874.11</v>
      </c>
      <c r="G811" s="94">
        <v>0</v>
      </c>
      <c r="H811" s="144">
        <v>0</v>
      </c>
      <c r="I811" s="144">
        <f t="shared" si="36"/>
        <v>26874.11</v>
      </c>
      <c r="J811" s="20" t="s">
        <v>1614</v>
      </c>
      <c r="K811" s="27"/>
    </row>
    <row r="812" spans="1:11" hidden="1" outlineLevel="1">
      <c r="A812" s="433" t="s">
        <v>1615</v>
      </c>
      <c r="B812" s="451">
        <v>320411.15999999997</v>
      </c>
      <c r="C812" s="94">
        <v>0</v>
      </c>
      <c r="D812" s="94">
        <v>0</v>
      </c>
      <c r="E812" s="94">
        <v>0</v>
      </c>
      <c r="F812" s="94">
        <v>320411.15999999997</v>
      </c>
      <c r="G812" s="94">
        <v>0</v>
      </c>
      <c r="H812" s="144">
        <v>0</v>
      </c>
      <c r="I812" s="144">
        <f t="shared" si="36"/>
        <v>320411.15999999997</v>
      </c>
      <c r="J812" s="20" t="s">
        <v>1616</v>
      </c>
      <c r="K812" s="27"/>
    </row>
    <row r="813" spans="1:11" hidden="1" outlineLevel="1">
      <c r="A813" s="433" t="s">
        <v>1617</v>
      </c>
      <c r="B813" s="451">
        <v>29814.07</v>
      </c>
      <c r="C813" s="94">
        <v>0</v>
      </c>
      <c r="D813" s="94">
        <v>0</v>
      </c>
      <c r="E813" s="94">
        <v>0</v>
      </c>
      <c r="F813" s="94">
        <v>29814.07</v>
      </c>
      <c r="G813" s="94">
        <v>30796.2</v>
      </c>
      <c r="H813" s="144">
        <v>0</v>
      </c>
      <c r="I813" s="144">
        <f t="shared" si="36"/>
        <v>60610.270000000004</v>
      </c>
      <c r="J813" s="20" t="s">
        <v>1618</v>
      </c>
      <c r="K813" s="27"/>
    </row>
    <row r="814" spans="1:11" hidden="1" outlineLevel="1">
      <c r="A814" s="433" t="s">
        <v>1619</v>
      </c>
      <c r="B814" s="451">
        <v>890273.25</v>
      </c>
      <c r="C814" s="94">
        <v>-294</v>
      </c>
      <c r="D814" s="94">
        <v>0</v>
      </c>
      <c r="E814" s="94">
        <v>0</v>
      </c>
      <c r="F814" s="94">
        <v>889979.25</v>
      </c>
      <c r="G814" s="94">
        <v>0</v>
      </c>
      <c r="H814" s="144">
        <v>0</v>
      </c>
      <c r="I814" s="144">
        <f t="shared" si="36"/>
        <v>889979.25</v>
      </c>
      <c r="J814" s="20" t="s">
        <v>1620</v>
      </c>
      <c r="K814" s="27"/>
    </row>
    <row r="815" spans="1:11" hidden="1" outlineLevel="1">
      <c r="A815" s="433" t="s">
        <v>1621</v>
      </c>
      <c r="B815" s="451">
        <v>297256.77</v>
      </c>
      <c r="C815" s="94">
        <v>0</v>
      </c>
      <c r="D815" s="94">
        <v>0</v>
      </c>
      <c r="E815" s="94">
        <v>0</v>
      </c>
      <c r="F815" s="94">
        <v>297256.77</v>
      </c>
      <c r="G815" s="94">
        <v>21539.57</v>
      </c>
      <c r="H815" s="144">
        <v>0</v>
      </c>
      <c r="I815" s="144">
        <f t="shared" si="36"/>
        <v>318796.34000000003</v>
      </c>
      <c r="J815" s="20" t="s">
        <v>1622</v>
      </c>
      <c r="K815" s="27"/>
    </row>
    <row r="816" spans="1:11" hidden="1" outlineLevel="1">
      <c r="A816" s="433" t="s">
        <v>1623</v>
      </c>
      <c r="B816" s="451">
        <v>110313.15</v>
      </c>
      <c r="C816" s="94">
        <v>0</v>
      </c>
      <c r="D816" s="94">
        <v>0</v>
      </c>
      <c r="E816" s="94">
        <v>0</v>
      </c>
      <c r="F816" s="94">
        <v>110313.15</v>
      </c>
      <c r="G816" s="94">
        <v>0</v>
      </c>
      <c r="H816" s="144">
        <v>0</v>
      </c>
      <c r="I816" s="144">
        <f t="shared" si="36"/>
        <v>110313.15</v>
      </c>
      <c r="J816" s="20" t="s">
        <v>1624</v>
      </c>
      <c r="K816" s="27"/>
    </row>
    <row r="817" spans="1:11" hidden="1" outlineLevel="1">
      <c r="A817" s="433" t="s">
        <v>1625</v>
      </c>
      <c r="B817" s="451">
        <v>52912.42</v>
      </c>
      <c r="C817" s="94">
        <v>0</v>
      </c>
      <c r="D817" s="94">
        <v>0</v>
      </c>
      <c r="E817" s="94">
        <v>0</v>
      </c>
      <c r="F817" s="94">
        <v>52912.42</v>
      </c>
      <c r="G817" s="94">
        <v>2401.29</v>
      </c>
      <c r="H817" s="144">
        <v>0</v>
      </c>
      <c r="I817" s="144">
        <f t="shared" si="36"/>
        <v>55313.71</v>
      </c>
      <c r="J817" s="20" t="s">
        <v>1626</v>
      </c>
      <c r="K817" s="27"/>
    </row>
    <row r="818" spans="1:11" hidden="1" outlineLevel="1">
      <c r="A818" s="433" t="s">
        <v>1627</v>
      </c>
      <c r="B818" s="451">
        <v>65045.61</v>
      </c>
      <c r="C818" s="94">
        <v>0</v>
      </c>
      <c r="D818" s="94">
        <v>0</v>
      </c>
      <c r="E818" s="94">
        <v>0</v>
      </c>
      <c r="F818" s="94">
        <v>65045.61</v>
      </c>
      <c r="G818" s="94">
        <v>0</v>
      </c>
      <c r="H818" s="144">
        <v>0</v>
      </c>
      <c r="I818" s="144">
        <f t="shared" si="36"/>
        <v>65045.61</v>
      </c>
      <c r="J818" s="20" t="s">
        <v>1628</v>
      </c>
      <c r="K818" s="27"/>
    </row>
    <row r="819" spans="1:11" hidden="1" outlineLevel="1">
      <c r="A819" s="433" t="s">
        <v>1629</v>
      </c>
      <c r="B819" s="451">
        <v>158311.01</v>
      </c>
      <c r="C819" s="94">
        <v>0</v>
      </c>
      <c r="D819" s="94">
        <v>0</v>
      </c>
      <c r="E819" s="94">
        <v>0</v>
      </c>
      <c r="F819" s="94">
        <v>158311.01</v>
      </c>
      <c r="G819" s="94">
        <v>0</v>
      </c>
      <c r="H819" s="144">
        <v>0</v>
      </c>
      <c r="I819" s="144">
        <f t="shared" si="36"/>
        <v>158311.01</v>
      </c>
      <c r="J819" s="20" t="s">
        <v>1630</v>
      </c>
      <c r="K819" s="27"/>
    </row>
    <row r="820" spans="1:11" hidden="1" outlineLevel="1">
      <c r="A820" s="433" t="s">
        <v>1631</v>
      </c>
      <c r="B820" s="451">
        <v>76927.12</v>
      </c>
      <c r="C820" s="94">
        <v>0</v>
      </c>
      <c r="D820" s="94">
        <v>0</v>
      </c>
      <c r="E820" s="94">
        <v>0</v>
      </c>
      <c r="F820" s="94">
        <v>76927.12</v>
      </c>
      <c r="G820" s="94">
        <v>1292.32</v>
      </c>
      <c r="H820" s="144">
        <v>0</v>
      </c>
      <c r="I820" s="144">
        <f t="shared" si="36"/>
        <v>78219.44</v>
      </c>
      <c r="J820" s="20" t="s">
        <v>1632</v>
      </c>
      <c r="K820" s="27"/>
    </row>
    <row r="821" spans="1:11" hidden="1" outlineLevel="1">
      <c r="A821" s="433" t="s">
        <v>1633</v>
      </c>
      <c r="B821" s="451">
        <v>2038386.62</v>
      </c>
      <c r="C821" s="94">
        <v>-160734.53</v>
      </c>
      <c r="D821" s="94">
        <v>0</v>
      </c>
      <c r="E821" s="94">
        <v>0</v>
      </c>
      <c r="F821" s="94">
        <v>1877652.09</v>
      </c>
      <c r="G821" s="94">
        <v>-71478.080000000002</v>
      </c>
      <c r="H821" s="144">
        <v>0</v>
      </c>
      <c r="I821" s="144">
        <f t="shared" si="36"/>
        <v>1806174.01</v>
      </c>
      <c r="J821" s="20" t="s">
        <v>1634</v>
      </c>
      <c r="K821" s="27"/>
    </row>
    <row r="822" spans="1:11" hidden="1" outlineLevel="1">
      <c r="A822" s="433" t="s">
        <v>1635</v>
      </c>
      <c r="B822" s="451">
        <v>1000024.69</v>
      </c>
      <c r="C822" s="94">
        <v>0</v>
      </c>
      <c r="D822" s="94">
        <v>0</v>
      </c>
      <c r="E822" s="94">
        <v>0</v>
      </c>
      <c r="F822" s="94">
        <v>1000024.69</v>
      </c>
      <c r="G822" s="94">
        <v>27982.93</v>
      </c>
      <c r="H822" s="144">
        <v>0</v>
      </c>
      <c r="I822" s="144">
        <f t="shared" si="36"/>
        <v>1028007.62</v>
      </c>
      <c r="J822" s="20" t="s">
        <v>1636</v>
      </c>
      <c r="K822" s="27"/>
    </row>
    <row r="823" spans="1:11" hidden="1" outlineLevel="1">
      <c r="A823" s="433" t="s">
        <v>1637</v>
      </c>
      <c r="B823" s="451">
        <v>19586.259999999998</v>
      </c>
      <c r="C823" s="94">
        <v>0</v>
      </c>
      <c r="D823" s="94">
        <v>0</v>
      </c>
      <c r="E823" s="94">
        <v>0</v>
      </c>
      <c r="F823" s="94">
        <v>19586.259999999998</v>
      </c>
      <c r="G823" s="94">
        <v>0</v>
      </c>
      <c r="H823" s="144">
        <v>0</v>
      </c>
      <c r="I823" s="144">
        <f t="shared" si="36"/>
        <v>19586.259999999998</v>
      </c>
      <c r="J823" s="20" t="s">
        <v>1638</v>
      </c>
      <c r="K823" s="27"/>
    </row>
    <row r="824" spans="1:11" hidden="1" outlineLevel="1">
      <c r="A824" s="433" t="s">
        <v>767</v>
      </c>
      <c r="B824" s="451">
        <v>356594.61</v>
      </c>
      <c r="C824" s="94">
        <v>0</v>
      </c>
      <c r="D824" s="94">
        <v>0</v>
      </c>
      <c r="E824" s="94">
        <v>0</v>
      </c>
      <c r="F824" s="94">
        <v>356594.61</v>
      </c>
      <c r="G824" s="94">
        <v>3675.3</v>
      </c>
      <c r="H824" s="144">
        <v>0</v>
      </c>
      <c r="I824" s="144">
        <f t="shared" si="36"/>
        <v>360269.91</v>
      </c>
      <c r="J824" s="20" t="s">
        <v>768</v>
      </c>
      <c r="K824" s="27"/>
    </row>
    <row r="825" spans="1:11" hidden="1" outlineLevel="1">
      <c r="A825" s="433" t="s">
        <v>1639</v>
      </c>
      <c r="B825" s="451">
        <v>71916.350000000006</v>
      </c>
      <c r="C825" s="94">
        <v>0</v>
      </c>
      <c r="D825" s="94">
        <v>0</v>
      </c>
      <c r="E825" s="94">
        <v>0</v>
      </c>
      <c r="F825" s="94">
        <v>71916.350000000006</v>
      </c>
      <c r="G825" s="94">
        <v>0</v>
      </c>
      <c r="H825" s="144">
        <v>0</v>
      </c>
      <c r="I825" s="144">
        <f t="shared" si="36"/>
        <v>71916.350000000006</v>
      </c>
      <c r="J825" s="20" t="s">
        <v>1640</v>
      </c>
      <c r="K825" s="27"/>
    </row>
    <row r="826" spans="1:11" hidden="1" outlineLevel="1">
      <c r="A826" s="433" t="s">
        <v>1641</v>
      </c>
      <c r="B826" s="451">
        <v>167468.65</v>
      </c>
      <c r="C826" s="94">
        <v>0</v>
      </c>
      <c r="D826" s="94">
        <v>0</v>
      </c>
      <c r="E826" s="94">
        <v>0</v>
      </c>
      <c r="F826" s="94">
        <v>167468.65</v>
      </c>
      <c r="G826" s="94">
        <v>10501.52</v>
      </c>
      <c r="H826" s="144">
        <v>0</v>
      </c>
      <c r="I826" s="144">
        <f t="shared" si="36"/>
        <v>177970.16999999998</v>
      </c>
      <c r="J826" s="20" t="s">
        <v>1642</v>
      </c>
      <c r="K826" s="27"/>
    </row>
    <row r="827" spans="1:11" hidden="1" outlineLevel="1">
      <c r="A827" s="433" t="s">
        <v>1643</v>
      </c>
      <c r="B827" s="451">
        <v>141320.16</v>
      </c>
      <c r="C827" s="94">
        <v>0</v>
      </c>
      <c r="D827" s="94">
        <v>0</v>
      </c>
      <c r="E827" s="94">
        <v>0</v>
      </c>
      <c r="F827" s="94">
        <v>141320.16</v>
      </c>
      <c r="G827" s="94">
        <v>8428.7999999999993</v>
      </c>
      <c r="H827" s="144">
        <v>0</v>
      </c>
      <c r="I827" s="144">
        <f t="shared" si="36"/>
        <v>149748.96</v>
      </c>
      <c r="J827" s="20" t="s">
        <v>1644</v>
      </c>
      <c r="K827" s="27"/>
    </row>
    <row r="828" spans="1:11" hidden="1" outlineLevel="1">
      <c r="A828" s="433" t="s">
        <v>1645</v>
      </c>
      <c r="B828" s="451">
        <v>85253.29</v>
      </c>
      <c r="C828" s="94">
        <v>0</v>
      </c>
      <c r="D828" s="94">
        <v>0</v>
      </c>
      <c r="E828" s="94">
        <v>0</v>
      </c>
      <c r="F828" s="94">
        <v>85253.29</v>
      </c>
      <c r="G828" s="94">
        <v>1940.31</v>
      </c>
      <c r="H828" s="144">
        <v>0</v>
      </c>
      <c r="I828" s="144">
        <f t="shared" si="36"/>
        <v>87193.599999999991</v>
      </c>
      <c r="J828" s="20" t="s">
        <v>1646</v>
      </c>
      <c r="K828" s="27"/>
    </row>
    <row r="829" spans="1:11" hidden="1" outlineLevel="1">
      <c r="A829" s="433" t="s">
        <v>1647</v>
      </c>
      <c r="B829" s="451">
        <v>42390.95</v>
      </c>
      <c r="C829" s="94">
        <v>0</v>
      </c>
      <c r="D829" s="94">
        <v>0</v>
      </c>
      <c r="E829" s="94">
        <v>0</v>
      </c>
      <c r="F829" s="94">
        <v>42390.95</v>
      </c>
      <c r="G829" s="94">
        <v>0</v>
      </c>
      <c r="H829" s="144">
        <v>0</v>
      </c>
      <c r="I829" s="144">
        <f t="shared" si="36"/>
        <v>42390.95</v>
      </c>
      <c r="J829" s="20" t="s">
        <v>1648</v>
      </c>
      <c r="K829" s="27"/>
    </row>
    <row r="830" spans="1:11" hidden="1" outlineLevel="1">
      <c r="A830" s="433" t="s">
        <v>1649</v>
      </c>
      <c r="B830" s="451">
        <v>33002.65</v>
      </c>
      <c r="C830" s="94">
        <v>0</v>
      </c>
      <c r="D830" s="94">
        <v>0</v>
      </c>
      <c r="E830" s="94">
        <v>0</v>
      </c>
      <c r="F830" s="94">
        <v>33002.65</v>
      </c>
      <c r="G830" s="94">
        <v>14685.12</v>
      </c>
      <c r="H830" s="144">
        <v>0</v>
      </c>
      <c r="I830" s="144">
        <f t="shared" si="36"/>
        <v>47687.770000000004</v>
      </c>
      <c r="J830" s="20" t="s">
        <v>1650</v>
      </c>
      <c r="K830" s="27"/>
    </row>
    <row r="831" spans="1:11" hidden="1" outlineLevel="1">
      <c r="A831" s="433" t="s">
        <v>1651</v>
      </c>
      <c r="B831" s="451">
        <v>366424.01</v>
      </c>
      <c r="C831" s="94">
        <v>0</v>
      </c>
      <c r="D831" s="94">
        <v>0</v>
      </c>
      <c r="E831" s="94">
        <v>0</v>
      </c>
      <c r="F831" s="94">
        <v>366424.01</v>
      </c>
      <c r="G831" s="94">
        <v>-735.33</v>
      </c>
      <c r="H831" s="144">
        <v>0</v>
      </c>
      <c r="I831" s="144">
        <f t="shared" si="36"/>
        <v>365688.68</v>
      </c>
      <c r="J831" s="20" t="s">
        <v>1652</v>
      </c>
      <c r="K831" s="27"/>
    </row>
    <row r="832" spans="1:11" hidden="1" outlineLevel="1">
      <c r="A832" s="433" t="s">
        <v>1653</v>
      </c>
      <c r="B832" s="451">
        <v>123782.96</v>
      </c>
      <c r="C832" s="94">
        <v>0</v>
      </c>
      <c r="D832" s="94">
        <v>0</v>
      </c>
      <c r="E832" s="94">
        <v>0</v>
      </c>
      <c r="F832" s="94">
        <v>123782.96</v>
      </c>
      <c r="G832" s="94">
        <v>0</v>
      </c>
      <c r="H832" s="144">
        <v>0</v>
      </c>
      <c r="I832" s="144">
        <f t="shared" si="36"/>
        <v>123782.96</v>
      </c>
      <c r="J832" s="20" t="s">
        <v>1654</v>
      </c>
      <c r="K832" s="27"/>
    </row>
    <row r="833" spans="1:11" hidden="1" outlineLevel="1">
      <c r="A833" s="433" t="s">
        <v>1655</v>
      </c>
      <c r="B833" s="451">
        <v>147669.20000000001</v>
      </c>
      <c r="C833" s="94">
        <v>0</v>
      </c>
      <c r="D833" s="94">
        <v>0</v>
      </c>
      <c r="E833" s="94">
        <v>0</v>
      </c>
      <c r="F833" s="94">
        <v>147669.20000000001</v>
      </c>
      <c r="G833" s="94">
        <v>0</v>
      </c>
      <c r="H833" s="144">
        <v>0</v>
      </c>
      <c r="I833" s="144">
        <f t="shared" si="36"/>
        <v>147669.20000000001</v>
      </c>
      <c r="J833" s="20" t="s">
        <v>1656</v>
      </c>
      <c r="K833" s="27"/>
    </row>
    <row r="834" spans="1:11" hidden="1" outlineLevel="1">
      <c r="A834" s="433" t="s">
        <v>1657</v>
      </c>
      <c r="B834" s="451">
        <v>594145.43000000005</v>
      </c>
      <c r="C834" s="94">
        <v>0</v>
      </c>
      <c r="D834" s="94">
        <v>0</v>
      </c>
      <c r="E834" s="94">
        <v>0</v>
      </c>
      <c r="F834" s="94">
        <v>594145.43000000005</v>
      </c>
      <c r="G834" s="94">
        <v>61154.67</v>
      </c>
      <c r="H834" s="144">
        <v>0</v>
      </c>
      <c r="I834" s="144">
        <f t="shared" si="36"/>
        <v>655300.10000000009</v>
      </c>
      <c r="J834" s="20" t="s">
        <v>1658</v>
      </c>
      <c r="K834" s="27"/>
    </row>
    <row r="835" spans="1:11" hidden="1" outlineLevel="1">
      <c r="A835" s="433" t="s">
        <v>1659</v>
      </c>
      <c r="B835" s="451">
        <v>2825.64</v>
      </c>
      <c r="C835" s="94">
        <v>0</v>
      </c>
      <c r="D835" s="94">
        <v>0</v>
      </c>
      <c r="E835" s="94">
        <v>0</v>
      </c>
      <c r="F835" s="94">
        <v>2825.64</v>
      </c>
      <c r="G835" s="94">
        <v>0</v>
      </c>
      <c r="H835" s="144">
        <v>0</v>
      </c>
      <c r="I835" s="144">
        <f t="shared" si="36"/>
        <v>2825.64</v>
      </c>
      <c r="J835" s="20" t="s">
        <v>1660</v>
      </c>
      <c r="K835" s="27"/>
    </row>
    <row r="836" spans="1:11" hidden="1" outlineLevel="1">
      <c r="A836" s="433" t="s">
        <v>1661</v>
      </c>
      <c r="B836" s="451">
        <v>84278.66</v>
      </c>
      <c r="C836" s="94">
        <v>-18134.54</v>
      </c>
      <c r="D836" s="94">
        <v>0</v>
      </c>
      <c r="E836" s="94">
        <v>0</v>
      </c>
      <c r="F836" s="94">
        <v>66144.12</v>
      </c>
      <c r="G836" s="94">
        <v>24804.73</v>
      </c>
      <c r="H836" s="868">
        <v>-1648</v>
      </c>
      <c r="I836" s="144">
        <f t="shared" si="36"/>
        <v>89300.849999999991</v>
      </c>
      <c r="J836" s="20" t="s">
        <v>1662</v>
      </c>
      <c r="K836" s="27"/>
    </row>
    <row r="837" spans="1:11" hidden="1" outlineLevel="1">
      <c r="A837" s="433" t="s">
        <v>1663</v>
      </c>
      <c r="B837" s="451">
        <v>150412.69</v>
      </c>
      <c r="C837" s="94">
        <v>-2388.3200000000002</v>
      </c>
      <c r="D837" s="94">
        <v>0</v>
      </c>
      <c r="E837" s="94">
        <v>0</v>
      </c>
      <c r="F837" s="94">
        <v>148024.37</v>
      </c>
      <c r="G837" s="94">
        <v>0</v>
      </c>
      <c r="H837" s="144">
        <v>0</v>
      </c>
      <c r="I837" s="144">
        <f t="shared" si="36"/>
        <v>148024.37</v>
      </c>
      <c r="J837" s="20" t="s">
        <v>1664</v>
      </c>
      <c r="K837" s="27"/>
    </row>
    <row r="838" spans="1:11" hidden="1" outlineLevel="1">
      <c r="A838" s="433" t="s">
        <v>789</v>
      </c>
      <c r="B838" s="451">
        <v>1797019.26</v>
      </c>
      <c r="C838" s="94">
        <v>0</v>
      </c>
      <c r="D838" s="94">
        <v>0</v>
      </c>
      <c r="E838" s="94">
        <v>0</v>
      </c>
      <c r="F838" s="94">
        <v>1797019.26</v>
      </c>
      <c r="G838" s="94">
        <v>0</v>
      </c>
      <c r="H838" s="144">
        <v>0</v>
      </c>
      <c r="I838" s="144">
        <f t="shared" si="36"/>
        <v>1797019.26</v>
      </c>
      <c r="J838" s="20" t="s">
        <v>790</v>
      </c>
      <c r="K838" s="27"/>
    </row>
    <row r="839" spans="1:11" hidden="1" outlineLevel="1">
      <c r="A839" s="433" t="s">
        <v>1665</v>
      </c>
      <c r="B839" s="451">
        <v>167188.54999999999</v>
      </c>
      <c r="C839" s="94">
        <v>0</v>
      </c>
      <c r="D839" s="94">
        <v>0</v>
      </c>
      <c r="E839" s="94">
        <v>0</v>
      </c>
      <c r="F839" s="94">
        <v>167188.54999999999</v>
      </c>
      <c r="G839" s="94">
        <v>321.16000000000003</v>
      </c>
      <c r="H839" s="144">
        <v>0</v>
      </c>
      <c r="I839" s="144">
        <f t="shared" si="36"/>
        <v>167509.71</v>
      </c>
      <c r="J839" s="20" t="s">
        <v>1666</v>
      </c>
      <c r="K839" s="27"/>
    </row>
    <row r="840" spans="1:11" hidden="1" outlineLevel="1">
      <c r="A840" s="433" t="s">
        <v>1667</v>
      </c>
      <c r="B840" s="451">
        <v>542068.03</v>
      </c>
      <c r="C840" s="94">
        <v>0</v>
      </c>
      <c r="D840" s="94">
        <v>0</v>
      </c>
      <c r="E840" s="94">
        <v>0</v>
      </c>
      <c r="F840" s="94">
        <v>542068.03</v>
      </c>
      <c r="G840" s="94">
        <v>0</v>
      </c>
      <c r="H840" s="144">
        <v>0</v>
      </c>
      <c r="I840" s="144">
        <f t="shared" si="36"/>
        <v>542068.03</v>
      </c>
      <c r="J840" s="20" t="s">
        <v>1668</v>
      </c>
      <c r="K840" s="27"/>
    </row>
    <row r="841" spans="1:11" hidden="1" outlineLevel="1">
      <c r="A841" s="433" t="s">
        <v>1669</v>
      </c>
      <c r="B841" s="451">
        <v>8563.2199999999993</v>
      </c>
      <c r="C841" s="94">
        <v>0</v>
      </c>
      <c r="D841" s="94">
        <v>0</v>
      </c>
      <c r="E841" s="94">
        <v>0</v>
      </c>
      <c r="F841" s="94">
        <v>8563.2199999999993</v>
      </c>
      <c r="G841" s="94">
        <v>0</v>
      </c>
      <c r="H841" s="144">
        <v>0</v>
      </c>
      <c r="I841" s="144">
        <f t="shared" si="36"/>
        <v>8563.2199999999993</v>
      </c>
      <c r="J841" s="20" t="s">
        <v>1670</v>
      </c>
      <c r="K841" s="27"/>
    </row>
    <row r="842" spans="1:11" hidden="1" outlineLevel="1">
      <c r="A842" s="433" t="s">
        <v>1671</v>
      </c>
      <c r="B842" s="451">
        <v>1142519.53</v>
      </c>
      <c r="C842" s="94">
        <v>-747.99</v>
      </c>
      <c r="D842" s="94">
        <v>0</v>
      </c>
      <c r="E842" s="94">
        <v>0</v>
      </c>
      <c r="F842" s="94">
        <v>1141771.54</v>
      </c>
      <c r="G842" s="94">
        <v>0</v>
      </c>
      <c r="H842" s="144">
        <v>0</v>
      </c>
      <c r="I842" s="144">
        <f t="shared" si="36"/>
        <v>1141771.54</v>
      </c>
      <c r="J842" s="20" t="s">
        <v>1672</v>
      </c>
      <c r="K842" s="27"/>
    </row>
    <row r="843" spans="1:11" hidden="1" outlineLevel="1">
      <c r="A843" s="433" t="s">
        <v>1673</v>
      </c>
      <c r="B843" s="451">
        <v>248381.03</v>
      </c>
      <c r="C843" s="94">
        <v>0</v>
      </c>
      <c r="D843" s="94">
        <v>0</v>
      </c>
      <c r="E843" s="94">
        <v>0</v>
      </c>
      <c r="F843" s="94">
        <v>248381.03</v>
      </c>
      <c r="G843" s="94">
        <v>12092.92</v>
      </c>
      <c r="H843" s="144">
        <v>0</v>
      </c>
      <c r="I843" s="144">
        <f t="shared" si="36"/>
        <v>260473.95</v>
      </c>
      <c r="J843" s="20" t="s">
        <v>1674</v>
      </c>
      <c r="K843" s="27"/>
    </row>
    <row r="844" spans="1:11" hidden="1" outlineLevel="1">
      <c r="A844" s="433" t="s">
        <v>543</v>
      </c>
      <c r="B844" s="451">
        <v>3320576.22</v>
      </c>
      <c r="C844" s="94">
        <v>0</v>
      </c>
      <c r="D844" s="94">
        <v>0</v>
      </c>
      <c r="E844" s="94">
        <v>0</v>
      </c>
      <c r="F844" s="94">
        <v>3320576.22</v>
      </c>
      <c r="G844" s="94">
        <v>0</v>
      </c>
      <c r="H844" s="144">
        <v>0</v>
      </c>
      <c r="I844" s="144">
        <f t="shared" si="36"/>
        <v>3320576.22</v>
      </c>
      <c r="J844" s="20" t="s">
        <v>544</v>
      </c>
      <c r="K844" s="27"/>
    </row>
    <row r="845" spans="1:11" hidden="1" outlineLevel="1">
      <c r="A845" s="433" t="s">
        <v>1675</v>
      </c>
      <c r="B845" s="451">
        <v>401099.55</v>
      </c>
      <c r="C845" s="94">
        <v>0</v>
      </c>
      <c r="D845" s="94">
        <v>0</v>
      </c>
      <c r="E845" s="94">
        <v>0</v>
      </c>
      <c r="F845" s="94">
        <v>401099.55</v>
      </c>
      <c r="G845" s="94">
        <v>0</v>
      </c>
      <c r="H845" s="144">
        <v>0</v>
      </c>
      <c r="I845" s="144">
        <f t="shared" si="36"/>
        <v>401099.55</v>
      </c>
      <c r="J845" s="20" t="s">
        <v>1676</v>
      </c>
      <c r="K845" s="27"/>
    </row>
    <row r="846" spans="1:11" hidden="1" outlineLevel="1">
      <c r="A846" s="433" t="s">
        <v>1677</v>
      </c>
      <c r="B846" s="451">
        <v>701205.45</v>
      </c>
      <c r="C846" s="94">
        <v>0</v>
      </c>
      <c r="D846" s="94">
        <v>0</v>
      </c>
      <c r="E846" s="94">
        <v>0</v>
      </c>
      <c r="F846" s="94">
        <v>701205.45</v>
      </c>
      <c r="G846" s="94">
        <v>78978.12</v>
      </c>
      <c r="H846" s="144">
        <v>0</v>
      </c>
      <c r="I846" s="144">
        <f t="shared" si="36"/>
        <v>780183.57</v>
      </c>
      <c r="J846" s="20" t="s">
        <v>1678</v>
      </c>
      <c r="K846" s="27"/>
    </row>
    <row r="847" spans="1:11" hidden="1" outlineLevel="1">
      <c r="A847" s="433" t="s">
        <v>1679</v>
      </c>
      <c r="B847" s="451">
        <v>165431.98000000001</v>
      </c>
      <c r="C847" s="94">
        <v>0</v>
      </c>
      <c r="D847" s="94">
        <v>0</v>
      </c>
      <c r="E847" s="94">
        <v>0</v>
      </c>
      <c r="F847" s="94">
        <v>165431.98000000001</v>
      </c>
      <c r="G847" s="94">
        <v>-80</v>
      </c>
      <c r="H847" s="144">
        <v>0</v>
      </c>
      <c r="I847" s="144">
        <f t="shared" si="36"/>
        <v>165351.98000000001</v>
      </c>
      <c r="J847" s="20" t="s">
        <v>1680</v>
      </c>
      <c r="K847" s="27"/>
    </row>
    <row r="848" spans="1:11" hidden="1" outlineLevel="1">
      <c r="A848" s="433" t="s">
        <v>1681</v>
      </c>
      <c r="B848" s="451">
        <v>164903.54</v>
      </c>
      <c r="C848" s="94">
        <v>-3581.41</v>
      </c>
      <c r="D848" s="94">
        <v>0</v>
      </c>
      <c r="E848" s="94">
        <v>0</v>
      </c>
      <c r="F848" s="94">
        <v>161322.13</v>
      </c>
      <c r="G848" s="94">
        <v>62376.68</v>
      </c>
      <c r="H848" s="144">
        <v>0</v>
      </c>
      <c r="I848" s="144">
        <f t="shared" si="36"/>
        <v>223698.81</v>
      </c>
      <c r="J848" s="20" t="s">
        <v>1682</v>
      </c>
      <c r="K848" s="27"/>
    </row>
    <row r="849" spans="1:11" hidden="1" outlineLevel="1">
      <c r="A849" s="433" t="s">
        <v>1683</v>
      </c>
      <c r="B849" s="451">
        <v>67795.27</v>
      </c>
      <c r="C849" s="94">
        <v>0</v>
      </c>
      <c r="D849" s="94">
        <v>0</v>
      </c>
      <c r="E849" s="94">
        <v>0</v>
      </c>
      <c r="F849" s="94">
        <v>67795.27</v>
      </c>
      <c r="G849" s="94">
        <v>0</v>
      </c>
      <c r="H849" s="144">
        <v>0</v>
      </c>
      <c r="I849" s="144">
        <f t="shared" si="36"/>
        <v>67795.27</v>
      </c>
      <c r="J849" s="20" t="s">
        <v>1684</v>
      </c>
      <c r="K849" s="27"/>
    </row>
    <row r="850" spans="1:11" hidden="1" outlineLevel="1">
      <c r="A850" s="433" t="s">
        <v>1685</v>
      </c>
      <c r="B850" s="451">
        <v>11547.52</v>
      </c>
      <c r="C850" s="94">
        <v>0</v>
      </c>
      <c r="D850" s="94">
        <v>0</v>
      </c>
      <c r="E850" s="94">
        <v>0</v>
      </c>
      <c r="F850" s="94">
        <v>11547.52</v>
      </c>
      <c r="G850" s="94">
        <v>0</v>
      </c>
      <c r="H850" s="144">
        <v>0</v>
      </c>
      <c r="I850" s="144">
        <f t="shared" si="36"/>
        <v>11547.52</v>
      </c>
      <c r="J850" s="20" t="s">
        <v>1686</v>
      </c>
      <c r="K850" s="27"/>
    </row>
    <row r="851" spans="1:11" hidden="1" outlineLevel="1">
      <c r="A851" s="433" t="s">
        <v>1687</v>
      </c>
      <c r="B851" s="451">
        <v>75013.95</v>
      </c>
      <c r="C851" s="94">
        <v>0</v>
      </c>
      <c r="D851" s="94">
        <v>0</v>
      </c>
      <c r="E851" s="94">
        <v>0</v>
      </c>
      <c r="F851" s="94">
        <v>75013.95</v>
      </c>
      <c r="G851" s="94">
        <v>377.78</v>
      </c>
      <c r="H851" s="144">
        <v>0</v>
      </c>
      <c r="I851" s="144">
        <f t="shared" si="36"/>
        <v>75391.73</v>
      </c>
      <c r="J851" s="20" t="s">
        <v>1688</v>
      </c>
      <c r="K851" s="27"/>
    </row>
    <row r="852" spans="1:11" hidden="1" outlineLevel="1">
      <c r="A852" s="433" t="s">
        <v>1132</v>
      </c>
      <c r="B852" s="451">
        <v>34161.74</v>
      </c>
      <c r="C852" s="94">
        <v>0</v>
      </c>
      <c r="D852" s="94">
        <v>0</v>
      </c>
      <c r="E852" s="94">
        <v>0</v>
      </c>
      <c r="F852" s="94">
        <v>34161.74</v>
      </c>
      <c r="G852" s="94">
        <v>0</v>
      </c>
      <c r="H852" s="144">
        <v>0</v>
      </c>
      <c r="I852" s="144">
        <f t="shared" si="36"/>
        <v>34161.74</v>
      </c>
      <c r="J852" s="20" t="s">
        <v>1133</v>
      </c>
      <c r="K852" s="27"/>
    </row>
    <row r="853" spans="1:11" hidden="1" outlineLevel="1">
      <c r="A853" s="433" t="s">
        <v>1689</v>
      </c>
      <c r="B853" s="451">
        <v>113560.76</v>
      </c>
      <c r="C853" s="94">
        <v>0</v>
      </c>
      <c r="D853" s="94">
        <v>0</v>
      </c>
      <c r="E853" s="94">
        <v>0</v>
      </c>
      <c r="F853" s="94">
        <v>113560.76</v>
      </c>
      <c r="G853" s="94">
        <v>-2556.1799999999998</v>
      </c>
      <c r="H853" s="144">
        <v>0</v>
      </c>
      <c r="I853" s="144">
        <f t="shared" si="36"/>
        <v>111004.58</v>
      </c>
      <c r="J853" s="20" t="s">
        <v>1690</v>
      </c>
      <c r="K853" s="27"/>
    </row>
    <row r="854" spans="1:11" hidden="1" outlineLevel="1">
      <c r="A854" s="433" t="s">
        <v>1691</v>
      </c>
      <c r="B854" s="451">
        <v>84140.93</v>
      </c>
      <c r="C854" s="94">
        <v>0</v>
      </c>
      <c r="D854" s="94">
        <v>0</v>
      </c>
      <c r="E854" s="94">
        <v>0</v>
      </c>
      <c r="F854" s="94">
        <v>84140.93</v>
      </c>
      <c r="G854" s="94">
        <v>69990.25</v>
      </c>
      <c r="H854" s="144">
        <v>0</v>
      </c>
      <c r="I854" s="144">
        <f t="shared" si="36"/>
        <v>154131.18</v>
      </c>
      <c r="J854" s="20" t="s">
        <v>1692</v>
      </c>
      <c r="K854" s="27"/>
    </row>
    <row r="855" spans="1:11" hidden="1" outlineLevel="1">
      <c r="A855" s="433" t="s">
        <v>1693</v>
      </c>
      <c r="B855" s="451">
        <v>123587.64</v>
      </c>
      <c r="C855" s="94">
        <v>0</v>
      </c>
      <c r="D855" s="94">
        <v>0</v>
      </c>
      <c r="E855" s="94">
        <v>0</v>
      </c>
      <c r="F855" s="94">
        <v>123587.64</v>
      </c>
      <c r="G855" s="94">
        <v>0</v>
      </c>
      <c r="H855" s="144">
        <v>0</v>
      </c>
      <c r="I855" s="144">
        <f t="shared" si="36"/>
        <v>123587.64</v>
      </c>
      <c r="J855" s="20" t="s">
        <v>1694</v>
      </c>
      <c r="K855" s="27"/>
    </row>
    <row r="856" spans="1:11" hidden="1" outlineLevel="1">
      <c r="A856" s="433" t="s">
        <v>1695</v>
      </c>
      <c r="B856" s="451">
        <v>3721969.61</v>
      </c>
      <c r="C856" s="94">
        <v>0</v>
      </c>
      <c r="D856" s="94">
        <v>0</v>
      </c>
      <c r="E856" s="94">
        <v>0</v>
      </c>
      <c r="F856" s="94">
        <v>3721969.61</v>
      </c>
      <c r="G856" s="94">
        <v>360323.95</v>
      </c>
      <c r="H856" s="144">
        <v>0</v>
      </c>
      <c r="I856" s="144">
        <f t="shared" si="36"/>
        <v>4082293.56</v>
      </c>
      <c r="J856" s="20" t="s">
        <v>1696</v>
      </c>
      <c r="K856" s="27"/>
    </row>
    <row r="857" spans="1:11" hidden="1" outlineLevel="1">
      <c r="A857" s="433" t="s">
        <v>1697</v>
      </c>
      <c r="B857" s="451">
        <v>413710.04</v>
      </c>
      <c r="C857" s="94">
        <v>0</v>
      </c>
      <c r="D857" s="94">
        <v>0</v>
      </c>
      <c r="E857" s="94">
        <v>0</v>
      </c>
      <c r="F857" s="94">
        <v>413710.04</v>
      </c>
      <c r="G857" s="94">
        <v>0</v>
      </c>
      <c r="H857" s="144">
        <v>0</v>
      </c>
      <c r="I857" s="144">
        <f t="shared" si="36"/>
        <v>413710.04</v>
      </c>
      <c r="J857" s="20" t="s">
        <v>1698</v>
      </c>
      <c r="K857" s="27"/>
    </row>
    <row r="858" spans="1:11" hidden="1" outlineLevel="1">
      <c r="A858" s="433" t="s">
        <v>1699</v>
      </c>
      <c r="B858" s="451">
        <v>4987509.3099999996</v>
      </c>
      <c r="C858" s="94">
        <v>-1422</v>
      </c>
      <c r="D858" s="94">
        <v>0</v>
      </c>
      <c r="E858" s="94">
        <v>0</v>
      </c>
      <c r="F858" s="94">
        <v>4986087.3099999996</v>
      </c>
      <c r="G858" s="94">
        <v>49184.73</v>
      </c>
      <c r="H858" s="144">
        <v>0</v>
      </c>
      <c r="I858" s="144">
        <f t="shared" si="36"/>
        <v>5035272.04</v>
      </c>
      <c r="J858" s="20" t="s">
        <v>1700</v>
      </c>
      <c r="K858" s="27"/>
    </row>
    <row r="859" spans="1:11" hidden="1" outlineLevel="1">
      <c r="A859" s="433" t="s">
        <v>449</v>
      </c>
      <c r="B859" s="451">
        <v>69593.899999999994</v>
      </c>
      <c r="C859" s="94">
        <v>-13.78</v>
      </c>
      <c r="D859" s="94">
        <v>0</v>
      </c>
      <c r="E859" s="94">
        <v>0</v>
      </c>
      <c r="F859" s="94">
        <v>69580.12</v>
      </c>
      <c r="G859" s="94">
        <v>73309.929999999993</v>
      </c>
      <c r="H859" s="144">
        <v>0</v>
      </c>
      <c r="I859" s="144">
        <f t="shared" si="36"/>
        <v>142890.04999999999</v>
      </c>
      <c r="J859" s="20" t="s">
        <v>450</v>
      </c>
      <c r="K859" s="27"/>
    </row>
    <row r="860" spans="1:11" hidden="1" outlineLevel="1">
      <c r="A860" s="433" t="s">
        <v>1701</v>
      </c>
      <c r="B860" s="451">
        <v>4939.2</v>
      </c>
      <c r="C860" s="94">
        <v>-386.35</v>
      </c>
      <c r="D860" s="94">
        <v>0</v>
      </c>
      <c r="E860" s="94">
        <v>0</v>
      </c>
      <c r="F860" s="94">
        <v>4552.8500000000004</v>
      </c>
      <c r="G860" s="94">
        <v>0</v>
      </c>
      <c r="H860" s="144">
        <v>0</v>
      </c>
      <c r="I860" s="144">
        <f t="shared" si="36"/>
        <v>4552.8500000000004</v>
      </c>
      <c r="J860" s="20" t="s">
        <v>1702</v>
      </c>
      <c r="K860" s="27"/>
    </row>
    <row r="861" spans="1:11" hidden="1" outlineLevel="1">
      <c r="A861" s="433" t="s">
        <v>837</v>
      </c>
      <c r="B861" s="451">
        <v>82035.08</v>
      </c>
      <c r="C861" s="94">
        <v>0</v>
      </c>
      <c r="D861" s="94">
        <v>0</v>
      </c>
      <c r="E861" s="94">
        <v>0</v>
      </c>
      <c r="F861" s="94">
        <v>82035.08</v>
      </c>
      <c r="G861" s="94">
        <v>0</v>
      </c>
      <c r="H861" s="144">
        <v>0</v>
      </c>
      <c r="I861" s="144">
        <f t="shared" si="36"/>
        <v>82035.08</v>
      </c>
      <c r="J861" s="20" t="s">
        <v>838</v>
      </c>
      <c r="K861" s="27"/>
    </row>
    <row r="862" spans="1:11" hidden="1" outlineLevel="1">
      <c r="A862" s="433" t="s">
        <v>1703</v>
      </c>
      <c r="B862" s="451">
        <v>12834500.109999999</v>
      </c>
      <c r="C862" s="94">
        <v>0</v>
      </c>
      <c r="D862" s="94">
        <v>0</v>
      </c>
      <c r="E862" s="94">
        <v>0</v>
      </c>
      <c r="F862" s="94">
        <v>12834500.109999999</v>
      </c>
      <c r="G862" s="94">
        <v>0</v>
      </c>
      <c r="H862" s="144">
        <v>0</v>
      </c>
      <c r="I862" s="144">
        <f t="shared" si="36"/>
        <v>12834500.109999999</v>
      </c>
      <c r="J862" s="20" t="s">
        <v>1704</v>
      </c>
      <c r="K862" s="27"/>
    </row>
    <row r="863" spans="1:11" hidden="1" outlineLevel="1">
      <c r="A863" s="433" t="s">
        <v>1705</v>
      </c>
      <c r="B863" s="451">
        <v>301757.14</v>
      </c>
      <c r="C863" s="94">
        <v>-737.04</v>
      </c>
      <c r="D863" s="94">
        <v>0</v>
      </c>
      <c r="E863" s="94">
        <v>0</v>
      </c>
      <c r="F863" s="94">
        <v>301020.09999999998</v>
      </c>
      <c r="G863" s="94">
        <v>32442.73</v>
      </c>
      <c r="H863" s="144">
        <v>0</v>
      </c>
      <c r="I863" s="144">
        <f t="shared" si="36"/>
        <v>333462.82999999996</v>
      </c>
      <c r="J863" s="20" t="s">
        <v>1706</v>
      </c>
      <c r="K863" s="27"/>
    </row>
    <row r="864" spans="1:11" hidden="1" outlineLevel="1">
      <c r="A864" s="433" t="s">
        <v>1707</v>
      </c>
      <c r="B864" s="451">
        <v>3292.15</v>
      </c>
      <c r="C864" s="94">
        <v>0</v>
      </c>
      <c r="D864" s="94">
        <v>0</v>
      </c>
      <c r="E864" s="94">
        <v>0</v>
      </c>
      <c r="F864" s="94">
        <v>3292.15</v>
      </c>
      <c r="G864" s="94">
        <v>0</v>
      </c>
      <c r="H864" s="144">
        <v>0</v>
      </c>
      <c r="I864" s="144">
        <f t="shared" si="36"/>
        <v>3292.15</v>
      </c>
      <c r="J864" s="20" t="s">
        <v>1708</v>
      </c>
      <c r="K864" s="27"/>
    </row>
    <row r="865" spans="1:11" hidden="1" outlineLevel="1">
      <c r="A865" s="433" t="s">
        <v>1709</v>
      </c>
      <c r="B865" s="451">
        <v>1937843.33</v>
      </c>
      <c r="C865" s="94">
        <v>0</v>
      </c>
      <c r="D865" s="94">
        <v>0</v>
      </c>
      <c r="E865" s="94">
        <v>0</v>
      </c>
      <c r="F865" s="94">
        <v>1937843.33</v>
      </c>
      <c r="G865" s="94">
        <v>0</v>
      </c>
      <c r="H865" s="144">
        <v>0</v>
      </c>
      <c r="I865" s="144">
        <f t="shared" si="36"/>
        <v>1937843.33</v>
      </c>
      <c r="J865" s="20" t="s">
        <v>1710</v>
      </c>
      <c r="K865" s="27"/>
    </row>
    <row r="866" spans="1:11" hidden="1" outlineLevel="1">
      <c r="A866" s="433" t="s">
        <v>1711</v>
      </c>
      <c r="B866" s="451">
        <v>22954.400000000001</v>
      </c>
      <c r="C866" s="94">
        <v>0</v>
      </c>
      <c r="D866" s="94">
        <v>0</v>
      </c>
      <c r="E866" s="94">
        <v>0</v>
      </c>
      <c r="F866" s="94">
        <v>22954.400000000001</v>
      </c>
      <c r="G866" s="94">
        <v>0</v>
      </c>
      <c r="H866" s="144">
        <v>0</v>
      </c>
      <c r="I866" s="144">
        <f t="shared" si="36"/>
        <v>22954.400000000001</v>
      </c>
      <c r="J866" s="20" t="s">
        <v>1712</v>
      </c>
      <c r="K866" s="27"/>
    </row>
    <row r="867" spans="1:11" hidden="1" outlineLevel="1">
      <c r="A867" s="433" t="s">
        <v>1713</v>
      </c>
      <c r="B867" s="451">
        <v>28230.29</v>
      </c>
      <c r="C867" s="94">
        <v>0</v>
      </c>
      <c r="D867" s="94">
        <v>0</v>
      </c>
      <c r="E867" s="94">
        <v>0</v>
      </c>
      <c r="F867" s="94">
        <v>28230.29</v>
      </c>
      <c r="G867" s="94">
        <v>0</v>
      </c>
      <c r="H867" s="144">
        <v>0</v>
      </c>
      <c r="I867" s="144">
        <f t="shared" si="36"/>
        <v>28230.29</v>
      </c>
      <c r="J867" s="20" t="s">
        <v>1714</v>
      </c>
      <c r="K867" s="27"/>
    </row>
    <row r="868" spans="1:11" ht="13.5" collapsed="1" thickBot="1">
      <c r="A868" s="456" t="s">
        <v>1715</v>
      </c>
      <c r="B868" s="453">
        <f t="shared" ref="B868:I868" si="37">B7+B167+B405+B743</f>
        <v>867053538.27000022</v>
      </c>
      <c r="C868" s="146">
        <f t="shared" si="37"/>
        <v>-2545971.0500000003</v>
      </c>
      <c r="D868" s="146">
        <f t="shared" si="37"/>
        <v>-120813.28</v>
      </c>
      <c r="E868" s="146">
        <f t="shared" si="37"/>
        <v>32521597.740000002</v>
      </c>
      <c r="F868" s="146">
        <f t="shared" si="37"/>
        <v>896908351.67999995</v>
      </c>
      <c r="G868" s="146">
        <f t="shared" si="37"/>
        <v>87634365.190000013</v>
      </c>
      <c r="H868" s="147">
        <f t="shared" si="37"/>
        <v>63289.880000000005</v>
      </c>
      <c r="I868" s="147">
        <f t="shared" si="37"/>
        <v>984606006.75</v>
      </c>
      <c r="J868" s="4"/>
    </row>
    <row r="869" spans="1:11">
      <c r="A869" s="13"/>
      <c r="B869" s="10"/>
      <c r="C869" s="10"/>
      <c r="D869" s="10"/>
      <c r="E869" s="10"/>
      <c r="F869" s="10"/>
      <c r="G869" s="10"/>
      <c r="H869" s="10"/>
      <c r="I869" s="4"/>
      <c r="J869" s="4"/>
    </row>
    <row r="870" spans="1:11">
      <c r="A870" s="13"/>
      <c r="B870" s="10"/>
      <c r="C870" s="10"/>
      <c r="D870" s="10"/>
      <c r="E870" s="10"/>
      <c r="F870" s="10"/>
      <c r="G870" s="10"/>
      <c r="H870" s="10"/>
      <c r="I870" s="8"/>
      <c r="J870" s="4"/>
    </row>
    <row r="871" spans="1:11" s="44" customFormat="1">
      <c r="A871" s="13" t="s">
        <v>2066</v>
      </c>
      <c r="B871" s="18"/>
      <c r="C871" s="18"/>
      <c r="D871" s="18"/>
      <c r="E871" s="18"/>
      <c r="F871" s="18"/>
      <c r="G871" s="18"/>
      <c r="H871" s="18"/>
    </row>
    <row r="872" spans="1:11" s="44" customFormat="1" ht="13.5" thickBot="1">
      <c r="A872" s="8"/>
      <c r="B872" s="18"/>
      <c r="C872" s="18"/>
      <c r="D872" s="18"/>
      <c r="E872" s="18"/>
      <c r="F872" s="18"/>
      <c r="G872" s="18"/>
      <c r="H872" s="18"/>
    </row>
    <row r="873" spans="1:11" s="389" customFormat="1" ht="102">
      <c r="A873" s="542"/>
      <c r="B873" s="540" t="s">
        <v>2067</v>
      </c>
      <c r="C873" s="538" t="s">
        <v>2068</v>
      </c>
      <c r="D873" s="539" t="s">
        <v>2069</v>
      </c>
      <c r="E873" s="388"/>
      <c r="F873" s="388"/>
      <c r="G873" s="388"/>
      <c r="H873" s="388"/>
    </row>
    <row r="874" spans="1:11" s="8" customFormat="1" ht="13.5" thickBot="1">
      <c r="A874" s="541"/>
      <c r="B874" s="581" t="s">
        <v>84</v>
      </c>
      <c r="C874" s="583" t="s">
        <v>84</v>
      </c>
      <c r="D874" s="585" t="s">
        <v>84</v>
      </c>
      <c r="E874" s="18"/>
      <c r="F874" s="18"/>
      <c r="G874" s="18"/>
      <c r="H874" s="18"/>
    </row>
    <row r="875" spans="1:11" s="44" customFormat="1">
      <c r="A875" s="418" t="str">
        <f>A7</f>
        <v>Regelzone 50Hertz (gesamt)</v>
      </c>
      <c r="B875" s="543">
        <f>VLOOKUP($A875,'Anlage 1a_Zuschlagszahlungen_NB'!$A$8:$E$861,5,FALSE)</f>
        <v>6933177578</v>
      </c>
      <c r="C875" s="94">
        <f>SUMIFS('Anlage 1c_Korrekturen_NB'!$D$11:$D$78,'Anlage 1c_Korrekturen_NB'!$A$11:$A$78,'Anlage 3a_Zusammenfassung_KWKG'!$A875)+SUMIFS('Anlage 1c_Korrekturen_NB'!$F$11:$F$78,'Anlage 1c_Korrekturen_NB'!$A$11:$A$78,'Anlage 3a_Zusammenfassung_KWKG'!$A875)+SUMIFS('Anlage 1c_Korrekturen_NB'!$H$11:$H$78,'Anlage 1c_Korrekturen_NB'!$A$11:$A$78,'Anlage 3a_Zusammenfassung_KWKG'!$A875)</f>
        <v>231942440</v>
      </c>
      <c r="D875" s="144">
        <f>B875+C875</f>
        <v>7165120018</v>
      </c>
      <c r="E875" s="72"/>
      <c r="F875" s="72"/>
      <c r="G875" s="72"/>
      <c r="H875" s="72"/>
    </row>
    <row r="876" spans="1:11" s="44" customFormat="1" hidden="1" outlineLevel="1">
      <c r="A876" s="418" t="s">
        <v>86</v>
      </c>
      <c r="B876" s="543">
        <f>VLOOKUP($A876,'Anlage 1a_Zuschlagszahlungen_NB'!$A$8:$E$861,5,FALSE)</f>
        <v>691151</v>
      </c>
      <c r="C876" s="94">
        <f>SUMIFS('Anlage 1c_Korrekturen_NB'!$D$11:$D$78,'Anlage 1c_Korrekturen_NB'!$A$11:$A$78,'Anlage 3a_Zusammenfassung_KWKG'!$A876)+SUMIFS('Anlage 1c_Korrekturen_NB'!$F$11:$F$78,'Anlage 1c_Korrekturen_NB'!$A$11:$A$78,'Anlage 3a_Zusammenfassung_KWKG'!$A876)+SUMIFS('Anlage 1c_Korrekturen_NB'!$H$11:$H$78,'Anlage 1c_Korrekturen_NB'!$A$11:$A$78,'Anlage 3a_Zusammenfassung_KWKG'!$A876)</f>
        <v>0</v>
      </c>
      <c r="D876" s="144">
        <f t="shared" ref="D876:D1272" si="38">B876+C876</f>
        <v>691151</v>
      </c>
      <c r="E876" s="72" t="s">
        <v>87</v>
      </c>
      <c r="F876" s="72"/>
      <c r="G876" s="72"/>
      <c r="H876" s="72"/>
    </row>
    <row r="877" spans="1:11" s="44" customFormat="1" hidden="1" outlineLevel="1">
      <c r="A877" s="454" t="s">
        <v>88</v>
      </c>
      <c r="B877" s="544">
        <f>VLOOKUP($A877,'Anlage 1a_Zuschlagszahlungen_NB'!$A$8:$E$861,5,FALSE)</f>
        <v>367350</v>
      </c>
      <c r="C877" s="95">
        <f>SUMIFS('Anlage 1c_Korrekturen_NB'!$D$11:$D$78,'Anlage 1c_Korrekturen_NB'!$A$11:$A$78,'Anlage 3a_Zusammenfassung_KWKG'!$A877)+SUMIFS('Anlage 1c_Korrekturen_NB'!$F$11:$F$78,'Anlage 1c_Korrekturen_NB'!$A$11:$A$78,'Anlage 3a_Zusammenfassung_KWKG'!$A877)+SUMIFS('Anlage 1c_Korrekturen_NB'!$H$11:$H$78,'Anlage 1c_Korrekturen_NB'!$A$11:$A$78,'Anlage 3a_Zusammenfassung_KWKG'!$A877)</f>
        <v>0</v>
      </c>
      <c r="D877" s="145">
        <f t="shared" ref="D877:D883" si="39">B877+C877</f>
        <v>367350</v>
      </c>
      <c r="E877" s="143" t="s">
        <v>89</v>
      </c>
      <c r="F877" s="99"/>
      <c r="G877" s="99"/>
      <c r="H877" s="99"/>
    </row>
    <row r="878" spans="1:11" s="44" customFormat="1" hidden="1" outlineLevel="1">
      <c r="A878" s="454" t="s">
        <v>90</v>
      </c>
      <c r="B878" s="544">
        <f>VLOOKUP($A878,'Anlage 1a_Zuschlagszahlungen_NB'!$A$8:$E$861,5,FALSE)</f>
        <v>313070451</v>
      </c>
      <c r="C878" s="95">
        <f>SUMIFS('Anlage 1c_Korrekturen_NB'!$D$11:$D$78,'Anlage 1c_Korrekturen_NB'!$A$11:$A$78,'Anlage 3a_Zusammenfassung_KWKG'!$A878)+SUMIFS('Anlage 1c_Korrekturen_NB'!$F$11:$F$78,'Anlage 1c_Korrekturen_NB'!$A$11:$A$78,'Anlage 3a_Zusammenfassung_KWKG'!$A878)+SUMIFS('Anlage 1c_Korrekturen_NB'!$H$11:$H$78,'Anlage 1c_Korrekturen_NB'!$A$11:$A$78,'Anlage 3a_Zusammenfassung_KWKG'!$A878)</f>
        <v>0</v>
      </c>
      <c r="D878" s="145">
        <f t="shared" si="39"/>
        <v>313070451</v>
      </c>
      <c r="E878" s="143" t="s">
        <v>91</v>
      </c>
      <c r="F878" s="99"/>
      <c r="G878" s="99"/>
      <c r="H878" s="99"/>
    </row>
    <row r="879" spans="1:11" s="44" customFormat="1" hidden="1" outlineLevel="1">
      <c r="A879" s="454" t="s">
        <v>92</v>
      </c>
      <c r="B879" s="544">
        <f>VLOOKUP($A879,'Anlage 1a_Zuschlagszahlungen_NB'!$A$8:$E$861,5,FALSE)</f>
        <v>46093</v>
      </c>
      <c r="C879" s="95">
        <f>SUMIFS('Anlage 1c_Korrekturen_NB'!$D$11:$D$78,'Anlage 1c_Korrekturen_NB'!$A$11:$A$78,'Anlage 3a_Zusammenfassung_KWKG'!$A879)+SUMIFS('Anlage 1c_Korrekturen_NB'!$F$11:$F$78,'Anlage 1c_Korrekturen_NB'!$A$11:$A$78,'Anlage 3a_Zusammenfassung_KWKG'!$A879)+SUMIFS('Anlage 1c_Korrekturen_NB'!$H$11:$H$78,'Anlage 1c_Korrekturen_NB'!$A$11:$A$78,'Anlage 3a_Zusammenfassung_KWKG'!$A879)</f>
        <v>0</v>
      </c>
      <c r="D879" s="145">
        <f t="shared" si="39"/>
        <v>46093</v>
      </c>
      <c r="E879" s="143" t="s">
        <v>93</v>
      </c>
      <c r="F879" s="99"/>
      <c r="G879" s="99"/>
      <c r="H879" s="99"/>
    </row>
    <row r="880" spans="1:11" s="44" customFormat="1" hidden="1" outlineLevel="1">
      <c r="A880" s="454" t="s">
        <v>94</v>
      </c>
      <c r="B880" s="544">
        <f>VLOOKUP($A880,'Anlage 1a_Zuschlagszahlungen_NB'!$A$8:$E$861,5,FALSE)</f>
        <v>14723851</v>
      </c>
      <c r="C880" s="95">
        <f>SUMIFS('Anlage 1c_Korrekturen_NB'!$D$11:$D$78,'Anlage 1c_Korrekturen_NB'!$A$11:$A$78,'Anlage 3a_Zusammenfassung_KWKG'!$A880)+SUMIFS('Anlage 1c_Korrekturen_NB'!$F$11:$F$78,'Anlage 1c_Korrekturen_NB'!$A$11:$A$78,'Anlage 3a_Zusammenfassung_KWKG'!$A880)+SUMIFS('Anlage 1c_Korrekturen_NB'!$H$11:$H$78,'Anlage 1c_Korrekturen_NB'!$A$11:$A$78,'Anlage 3a_Zusammenfassung_KWKG'!$A880)</f>
        <v>4113843</v>
      </c>
      <c r="D880" s="145">
        <f t="shared" si="39"/>
        <v>18837694</v>
      </c>
      <c r="E880" s="143" t="s">
        <v>95</v>
      </c>
      <c r="F880" s="99"/>
      <c r="G880" s="99"/>
      <c r="H880" s="99"/>
    </row>
    <row r="881" spans="1:8" s="44" customFormat="1" hidden="1" outlineLevel="1">
      <c r="A881" s="454" t="s">
        <v>96</v>
      </c>
      <c r="B881" s="544">
        <f>VLOOKUP($A881,'Anlage 1a_Zuschlagszahlungen_NB'!$A$8:$E$861,5,FALSE)</f>
        <v>105465565</v>
      </c>
      <c r="C881" s="95">
        <f>SUMIFS('Anlage 1c_Korrekturen_NB'!$D$11:$D$78,'Anlage 1c_Korrekturen_NB'!$A$11:$A$78,'Anlage 3a_Zusammenfassung_KWKG'!$A881)+SUMIFS('Anlage 1c_Korrekturen_NB'!$F$11:$F$78,'Anlage 1c_Korrekturen_NB'!$A$11:$A$78,'Anlage 3a_Zusammenfassung_KWKG'!$A881)+SUMIFS('Anlage 1c_Korrekturen_NB'!$H$11:$H$78,'Anlage 1c_Korrekturen_NB'!$A$11:$A$78,'Anlage 3a_Zusammenfassung_KWKG'!$A881)</f>
        <v>0</v>
      </c>
      <c r="D881" s="145">
        <f t="shared" si="39"/>
        <v>105465565</v>
      </c>
      <c r="E881" s="143" t="s">
        <v>97</v>
      </c>
      <c r="F881" s="99"/>
      <c r="G881" s="99"/>
      <c r="H881" s="99"/>
    </row>
    <row r="882" spans="1:8" s="44" customFormat="1" hidden="1" outlineLevel="1">
      <c r="A882" s="454" t="s">
        <v>98</v>
      </c>
      <c r="B882" s="544">
        <f>VLOOKUP($A882,'Anlage 1a_Zuschlagszahlungen_NB'!$A$8:$E$861,5,FALSE)</f>
        <v>534312</v>
      </c>
      <c r="C882" s="95">
        <f>SUMIFS('Anlage 1c_Korrekturen_NB'!$D$11:$D$78,'Anlage 1c_Korrekturen_NB'!$A$11:$A$78,'Anlage 3a_Zusammenfassung_KWKG'!$A882)+SUMIFS('Anlage 1c_Korrekturen_NB'!$F$11:$F$78,'Anlage 1c_Korrekturen_NB'!$A$11:$A$78,'Anlage 3a_Zusammenfassung_KWKG'!$A882)+SUMIFS('Anlage 1c_Korrekturen_NB'!$H$11:$H$78,'Anlage 1c_Korrekturen_NB'!$A$11:$A$78,'Anlage 3a_Zusammenfassung_KWKG'!$A882)</f>
        <v>0</v>
      </c>
      <c r="D882" s="145">
        <f t="shared" si="39"/>
        <v>534312</v>
      </c>
      <c r="E882" s="143" t="s">
        <v>99</v>
      </c>
      <c r="F882" s="99"/>
      <c r="G882" s="99"/>
      <c r="H882" s="99"/>
    </row>
    <row r="883" spans="1:8" s="44" customFormat="1" hidden="1" outlineLevel="1">
      <c r="A883" s="454" t="s">
        <v>100</v>
      </c>
      <c r="B883" s="544">
        <f>VLOOKUP($A883,'Anlage 1a_Zuschlagszahlungen_NB'!$A$8:$E$861,5,FALSE)</f>
        <v>9703724</v>
      </c>
      <c r="C883" s="95">
        <f>SUMIFS('Anlage 1c_Korrekturen_NB'!$D$11:$D$78,'Anlage 1c_Korrekturen_NB'!$A$11:$A$78,'Anlage 3a_Zusammenfassung_KWKG'!$A883)+SUMIFS('Anlage 1c_Korrekturen_NB'!$F$11:$F$78,'Anlage 1c_Korrekturen_NB'!$A$11:$A$78,'Anlage 3a_Zusammenfassung_KWKG'!$A883)+SUMIFS('Anlage 1c_Korrekturen_NB'!$H$11:$H$78,'Anlage 1c_Korrekturen_NB'!$A$11:$A$78,'Anlage 3a_Zusammenfassung_KWKG'!$A883)</f>
        <v>0</v>
      </c>
      <c r="D883" s="145">
        <f t="shared" si="39"/>
        <v>9703724</v>
      </c>
      <c r="E883" s="143" t="s">
        <v>101</v>
      </c>
      <c r="F883" s="99"/>
      <c r="G883" s="99"/>
      <c r="H883" s="99"/>
    </row>
    <row r="884" spans="1:8" s="44" customFormat="1" hidden="1" outlineLevel="1">
      <c r="A884" s="418" t="s">
        <v>102</v>
      </c>
      <c r="B884" s="543">
        <f>VLOOKUP($A884,'Anlage 1a_Zuschlagszahlungen_NB'!$A$8:$E$861,5,FALSE)</f>
        <v>24498658</v>
      </c>
      <c r="C884" s="94">
        <f>SUMIFS('Anlage 1c_Korrekturen_NB'!$D$11:$D$78,'Anlage 1c_Korrekturen_NB'!$A$11:$A$78,'Anlage 3a_Zusammenfassung_KWKG'!$A884)+SUMIFS('Anlage 1c_Korrekturen_NB'!$F$11:$F$78,'Anlage 1c_Korrekturen_NB'!$A$11:$A$78,'Anlage 3a_Zusammenfassung_KWKG'!$A884)+SUMIFS('Anlage 1c_Korrekturen_NB'!$H$11:$H$78,'Anlage 1c_Korrekturen_NB'!$A$11:$A$78,'Anlage 3a_Zusammenfassung_KWKG'!$A884)</f>
        <v>0</v>
      </c>
      <c r="D884" s="144">
        <f t="shared" si="38"/>
        <v>24498658</v>
      </c>
      <c r="E884" s="72" t="s">
        <v>103</v>
      </c>
      <c r="F884" s="72"/>
      <c r="G884" s="72"/>
      <c r="H884" s="72"/>
    </row>
    <row r="885" spans="1:8" s="44" customFormat="1" hidden="1" outlineLevel="1">
      <c r="A885" s="454" t="s">
        <v>104</v>
      </c>
      <c r="B885" s="544">
        <f>VLOOKUP($A885,'Anlage 1a_Zuschlagszahlungen_NB'!$A$8:$E$861,5,FALSE)</f>
        <v>196747</v>
      </c>
      <c r="C885" s="95">
        <f>SUMIFS('Anlage 1c_Korrekturen_NB'!$D$11:$D$78,'Anlage 1c_Korrekturen_NB'!$A$11:$A$78,'Anlage 3a_Zusammenfassung_KWKG'!$A885)+SUMIFS('Anlage 1c_Korrekturen_NB'!$F$11:$F$78,'Anlage 1c_Korrekturen_NB'!$A$11:$A$78,'Anlage 3a_Zusammenfassung_KWKG'!$A885)+SUMIFS('Anlage 1c_Korrekturen_NB'!$H$11:$H$78,'Anlage 1c_Korrekturen_NB'!$A$11:$A$78,'Anlage 3a_Zusammenfassung_KWKG'!$A885)</f>
        <v>0</v>
      </c>
      <c r="D885" s="145">
        <f t="shared" ref="D885:D916" si="40">B885+C885</f>
        <v>196747</v>
      </c>
      <c r="E885" s="143" t="s">
        <v>105</v>
      </c>
      <c r="F885" s="99"/>
      <c r="G885" s="99"/>
      <c r="H885" s="99"/>
    </row>
    <row r="886" spans="1:8" s="44" customFormat="1" hidden="1" outlineLevel="1">
      <c r="A886" s="454" t="s">
        <v>106</v>
      </c>
      <c r="B886" s="544">
        <f>VLOOKUP($A886,'Anlage 1a_Zuschlagszahlungen_NB'!$A$8:$E$861,5,FALSE)</f>
        <v>31426246</v>
      </c>
      <c r="C886" s="95">
        <f>SUMIFS('Anlage 1c_Korrekturen_NB'!$D$11:$D$78,'Anlage 1c_Korrekturen_NB'!$A$11:$A$78,'Anlage 3a_Zusammenfassung_KWKG'!$A886)+SUMIFS('Anlage 1c_Korrekturen_NB'!$F$11:$F$78,'Anlage 1c_Korrekturen_NB'!$A$11:$A$78,'Anlage 3a_Zusammenfassung_KWKG'!$A886)+SUMIFS('Anlage 1c_Korrekturen_NB'!$H$11:$H$78,'Anlage 1c_Korrekturen_NB'!$A$11:$A$78,'Anlage 3a_Zusammenfassung_KWKG'!$A886)</f>
        <v>0</v>
      </c>
      <c r="D886" s="145">
        <f t="shared" si="40"/>
        <v>31426246</v>
      </c>
      <c r="E886" s="143" t="s">
        <v>107</v>
      </c>
      <c r="F886" s="99"/>
      <c r="G886" s="99"/>
      <c r="H886" s="99"/>
    </row>
    <row r="887" spans="1:8" s="44" customFormat="1" hidden="1" outlineLevel="1">
      <c r="A887" s="454" t="s">
        <v>108</v>
      </c>
      <c r="B887" s="544">
        <f>VLOOKUP($A887,'Anlage 1a_Zuschlagszahlungen_NB'!$A$8:$E$861,5,FALSE)</f>
        <v>24590</v>
      </c>
      <c r="C887" s="95">
        <f>SUMIFS('Anlage 1c_Korrekturen_NB'!$D$11:$D$78,'Anlage 1c_Korrekturen_NB'!$A$11:$A$78,'Anlage 3a_Zusammenfassung_KWKG'!$A887)+SUMIFS('Anlage 1c_Korrekturen_NB'!$F$11:$F$78,'Anlage 1c_Korrekturen_NB'!$A$11:$A$78,'Anlage 3a_Zusammenfassung_KWKG'!$A887)+SUMIFS('Anlage 1c_Korrekturen_NB'!$H$11:$H$78,'Anlage 1c_Korrekturen_NB'!$A$11:$A$78,'Anlage 3a_Zusammenfassung_KWKG'!$A887)</f>
        <v>0</v>
      </c>
      <c r="D887" s="145">
        <f t="shared" si="40"/>
        <v>24590</v>
      </c>
      <c r="E887" s="143" t="s">
        <v>109</v>
      </c>
      <c r="F887" s="99"/>
      <c r="G887" s="99"/>
      <c r="H887" s="99"/>
    </row>
    <row r="888" spans="1:8" s="44" customFormat="1" hidden="1" outlineLevel="1">
      <c r="A888" s="454" t="s">
        <v>110</v>
      </c>
      <c r="B888" s="544">
        <f>VLOOKUP($A888,'Anlage 1a_Zuschlagszahlungen_NB'!$A$8:$E$861,5,FALSE)</f>
        <v>0</v>
      </c>
      <c r="C888" s="95">
        <f>SUMIFS('Anlage 1c_Korrekturen_NB'!$D$11:$D$78,'Anlage 1c_Korrekturen_NB'!$A$11:$A$78,'Anlage 3a_Zusammenfassung_KWKG'!$A888)+SUMIFS('Anlage 1c_Korrekturen_NB'!$F$11:$F$78,'Anlage 1c_Korrekturen_NB'!$A$11:$A$78,'Anlage 3a_Zusammenfassung_KWKG'!$A888)+SUMIFS('Anlage 1c_Korrekturen_NB'!$H$11:$H$78,'Anlage 1c_Korrekturen_NB'!$A$11:$A$78,'Anlage 3a_Zusammenfassung_KWKG'!$A888)</f>
        <v>0</v>
      </c>
      <c r="D888" s="145">
        <f t="shared" si="40"/>
        <v>0</v>
      </c>
      <c r="E888" s="143" t="s">
        <v>111</v>
      </c>
      <c r="F888" s="99"/>
      <c r="G888" s="99"/>
      <c r="H888" s="99"/>
    </row>
    <row r="889" spans="1:8" s="44" customFormat="1" hidden="1" outlineLevel="1">
      <c r="A889" s="454" t="s">
        <v>112</v>
      </c>
      <c r="B889" s="544">
        <f>VLOOKUP($A889,'Anlage 1a_Zuschlagszahlungen_NB'!$A$8:$E$861,5,FALSE)</f>
        <v>31812669</v>
      </c>
      <c r="C889" s="95">
        <f>SUMIFS('Anlage 1c_Korrekturen_NB'!$D$11:$D$78,'Anlage 1c_Korrekturen_NB'!$A$11:$A$78,'Anlage 3a_Zusammenfassung_KWKG'!$A889)+SUMIFS('Anlage 1c_Korrekturen_NB'!$F$11:$F$78,'Anlage 1c_Korrekturen_NB'!$A$11:$A$78,'Anlage 3a_Zusammenfassung_KWKG'!$A889)+SUMIFS('Anlage 1c_Korrekturen_NB'!$H$11:$H$78,'Anlage 1c_Korrekturen_NB'!$A$11:$A$78,'Anlage 3a_Zusammenfassung_KWKG'!$A889)</f>
        <v>0</v>
      </c>
      <c r="D889" s="145">
        <f t="shared" si="40"/>
        <v>31812669</v>
      </c>
      <c r="E889" s="143" t="s">
        <v>113</v>
      </c>
      <c r="F889" s="99"/>
      <c r="G889" s="99"/>
      <c r="H889" s="99"/>
    </row>
    <row r="890" spans="1:8" s="44" customFormat="1" hidden="1" outlineLevel="1">
      <c r="A890" s="454" t="s">
        <v>114</v>
      </c>
      <c r="B890" s="544">
        <f>VLOOKUP($A890,'Anlage 1a_Zuschlagszahlungen_NB'!$A$8:$E$861,5,FALSE)</f>
        <v>1201179657</v>
      </c>
      <c r="C890" s="95">
        <f>SUMIFS('Anlage 1c_Korrekturen_NB'!$D$11:$D$78,'Anlage 1c_Korrekturen_NB'!$A$11:$A$78,'Anlage 3a_Zusammenfassung_KWKG'!$A890)+SUMIFS('Anlage 1c_Korrekturen_NB'!$F$11:$F$78,'Anlage 1c_Korrekturen_NB'!$A$11:$A$78,'Anlage 3a_Zusammenfassung_KWKG'!$A890)+SUMIFS('Anlage 1c_Korrekturen_NB'!$H$11:$H$78,'Anlage 1c_Korrekturen_NB'!$A$11:$A$78,'Anlage 3a_Zusammenfassung_KWKG'!$A890)</f>
        <v>59599181</v>
      </c>
      <c r="D890" s="145">
        <f t="shared" si="40"/>
        <v>1260778838</v>
      </c>
      <c r="E890" s="143" t="s">
        <v>115</v>
      </c>
      <c r="F890" s="99"/>
      <c r="G890" s="99"/>
      <c r="H890" s="99"/>
    </row>
    <row r="891" spans="1:8" s="44" customFormat="1" hidden="1" outlineLevel="1">
      <c r="A891" s="454" t="s">
        <v>116</v>
      </c>
      <c r="B891" s="544">
        <f>VLOOKUP($A891,'Anlage 1a_Zuschlagszahlungen_NB'!$A$8:$E$861,5,FALSE)</f>
        <v>589697170</v>
      </c>
      <c r="C891" s="95">
        <f>SUMIFS('Anlage 1c_Korrekturen_NB'!$D$11:$D$78,'Anlage 1c_Korrekturen_NB'!$A$11:$A$78,'Anlage 3a_Zusammenfassung_KWKG'!$A891)+SUMIFS('Anlage 1c_Korrekturen_NB'!$F$11:$F$78,'Anlage 1c_Korrekturen_NB'!$A$11:$A$78,'Anlage 3a_Zusammenfassung_KWKG'!$A891)+SUMIFS('Anlage 1c_Korrekturen_NB'!$H$11:$H$78,'Anlage 1c_Korrekturen_NB'!$A$11:$A$78,'Anlage 3a_Zusammenfassung_KWKG'!$A891)</f>
        <v>0</v>
      </c>
      <c r="D891" s="145">
        <f t="shared" si="40"/>
        <v>589697170</v>
      </c>
      <c r="E891" s="143" t="s">
        <v>117</v>
      </c>
      <c r="F891" s="99"/>
      <c r="G891" s="99"/>
      <c r="H891" s="99"/>
    </row>
    <row r="892" spans="1:8" s="44" customFormat="1" hidden="1" outlineLevel="1">
      <c r="A892" s="454" t="s">
        <v>118</v>
      </c>
      <c r="B892" s="544">
        <f>VLOOKUP($A892,'Anlage 1a_Zuschlagszahlungen_NB'!$A$8:$E$861,5,FALSE)</f>
        <v>384738</v>
      </c>
      <c r="C892" s="95">
        <f>SUMIFS('Anlage 1c_Korrekturen_NB'!$D$11:$D$78,'Anlage 1c_Korrekturen_NB'!$A$11:$A$78,'Anlage 3a_Zusammenfassung_KWKG'!$A892)+SUMIFS('Anlage 1c_Korrekturen_NB'!$F$11:$F$78,'Anlage 1c_Korrekturen_NB'!$A$11:$A$78,'Anlage 3a_Zusammenfassung_KWKG'!$A892)+SUMIFS('Anlage 1c_Korrekturen_NB'!$H$11:$H$78,'Anlage 1c_Korrekturen_NB'!$A$11:$A$78,'Anlage 3a_Zusammenfassung_KWKG'!$A892)</f>
        <v>0</v>
      </c>
      <c r="D892" s="145">
        <f t="shared" si="40"/>
        <v>384738</v>
      </c>
      <c r="E892" s="143" t="s">
        <v>119</v>
      </c>
      <c r="F892" s="99"/>
      <c r="G892" s="99"/>
      <c r="H892" s="99"/>
    </row>
    <row r="893" spans="1:8" s="44" customFormat="1" hidden="1" outlineLevel="1">
      <c r="A893" s="454" t="s">
        <v>120</v>
      </c>
      <c r="B893" s="544">
        <f>VLOOKUP($A893,'Anlage 1a_Zuschlagszahlungen_NB'!$A$8:$E$861,5,FALSE)</f>
        <v>579428</v>
      </c>
      <c r="C893" s="95">
        <f>SUMIFS('Anlage 1c_Korrekturen_NB'!$D$11:$D$78,'Anlage 1c_Korrekturen_NB'!$A$11:$A$78,'Anlage 3a_Zusammenfassung_KWKG'!$A893)+SUMIFS('Anlage 1c_Korrekturen_NB'!$F$11:$F$78,'Anlage 1c_Korrekturen_NB'!$A$11:$A$78,'Anlage 3a_Zusammenfassung_KWKG'!$A893)+SUMIFS('Anlage 1c_Korrekturen_NB'!$H$11:$H$78,'Anlage 1c_Korrekturen_NB'!$A$11:$A$78,'Anlage 3a_Zusammenfassung_KWKG'!$A893)</f>
        <v>0</v>
      </c>
      <c r="D893" s="145">
        <f t="shared" si="40"/>
        <v>579428</v>
      </c>
      <c r="E893" s="143" t="s">
        <v>121</v>
      </c>
      <c r="F893" s="99"/>
      <c r="G893" s="99"/>
      <c r="H893" s="99"/>
    </row>
    <row r="894" spans="1:8" s="44" customFormat="1" hidden="1" outlineLevel="1">
      <c r="A894" s="454" t="s">
        <v>122</v>
      </c>
      <c r="B894" s="544">
        <f>VLOOKUP($A894,'Anlage 1a_Zuschlagszahlungen_NB'!$A$8:$E$861,5,FALSE)</f>
        <v>217784</v>
      </c>
      <c r="C894" s="95">
        <f>SUMIFS('Anlage 1c_Korrekturen_NB'!$D$11:$D$78,'Anlage 1c_Korrekturen_NB'!$A$11:$A$78,'Anlage 3a_Zusammenfassung_KWKG'!$A894)+SUMIFS('Anlage 1c_Korrekturen_NB'!$F$11:$F$78,'Anlage 1c_Korrekturen_NB'!$A$11:$A$78,'Anlage 3a_Zusammenfassung_KWKG'!$A894)+SUMIFS('Anlage 1c_Korrekturen_NB'!$H$11:$H$78,'Anlage 1c_Korrekturen_NB'!$A$11:$A$78,'Anlage 3a_Zusammenfassung_KWKG'!$A894)</f>
        <v>0</v>
      </c>
      <c r="D894" s="145">
        <f t="shared" si="40"/>
        <v>217784</v>
      </c>
      <c r="E894" s="143" t="s">
        <v>123</v>
      </c>
      <c r="F894" s="99"/>
      <c r="G894" s="99"/>
      <c r="H894" s="99"/>
    </row>
    <row r="895" spans="1:8" s="44" customFormat="1" hidden="1" outlineLevel="1">
      <c r="A895" s="454" t="s">
        <v>124</v>
      </c>
      <c r="B895" s="544">
        <f>VLOOKUP($A895,'Anlage 1a_Zuschlagszahlungen_NB'!$A$8:$E$861,5,FALSE)</f>
        <v>39734</v>
      </c>
      <c r="C895" s="95">
        <f>SUMIFS('Anlage 1c_Korrekturen_NB'!$D$11:$D$78,'Anlage 1c_Korrekturen_NB'!$A$11:$A$78,'Anlage 3a_Zusammenfassung_KWKG'!$A895)+SUMIFS('Anlage 1c_Korrekturen_NB'!$F$11:$F$78,'Anlage 1c_Korrekturen_NB'!$A$11:$A$78,'Anlage 3a_Zusammenfassung_KWKG'!$A895)+SUMIFS('Anlage 1c_Korrekturen_NB'!$H$11:$H$78,'Anlage 1c_Korrekturen_NB'!$A$11:$A$78,'Anlage 3a_Zusammenfassung_KWKG'!$A895)</f>
        <v>0</v>
      </c>
      <c r="D895" s="145">
        <f t="shared" si="40"/>
        <v>39734</v>
      </c>
      <c r="E895" s="143" t="s">
        <v>125</v>
      </c>
      <c r="F895" s="99"/>
      <c r="G895" s="99"/>
      <c r="H895" s="99"/>
    </row>
    <row r="896" spans="1:8" s="44" customFormat="1" hidden="1" outlineLevel="1">
      <c r="A896" s="454" t="s">
        <v>126</v>
      </c>
      <c r="B896" s="544">
        <f>VLOOKUP($A896,'Anlage 1a_Zuschlagszahlungen_NB'!$A$8:$E$861,5,FALSE)</f>
        <v>6652875</v>
      </c>
      <c r="C896" s="95">
        <f>SUMIFS('Anlage 1c_Korrekturen_NB'!$D$11:$D$78,'Anlage 1c_Korrekturen_NB'!$A$11:$A$78,'Anlage 3a_Zusammenfassung_KWKG'!$A896)+SUMIFS('Anlage 1c_Korrekturen_NB'!$F$11:$F$78,'Anlage 1c_Korrekturen_NB'!$A$11:$A$78,'Anlage 3a_Zusammenfassung_KWKG'!$A896)+SUMIFS('Anlage 1c_Korrekturen_NB'!$H$11:$H$78,'Anlage 1c_Korrekturen_NB'!$A$11:$A$78,'Anlage 3a_Zusammenfassung_KWKG'!$A896)</f>
        <v>-2</v>
      </c>
      <c r="D896" s="145">
        <f t="shared" si="40"/>
        <v>6652873</v>
      </c>
      <c r="E896" s="143" t="s">
        <v>127</v>
      </c>
      <c r="F896" s="99"/>
      <c r="G896" s="99"/>
      <c r="H896" s="99"/>
    </row>
    <row r="897" spans="1:8" s="44" customFormat="1" hidden="1" outlineLevel="1">
      <c r="A897" s="454" t="s">
        <v>128</v>
      </c>
      <c r="B897" s="544">
        <f>VLOOKUP($A897,'Anlage 1a_Zuschlagszahlungen_NB'!$A$8:$E$861,5,FALSE)</f>
        <v>166438</v>
      </c>
      <c r="C897" s="95">
        <f>SUMIFS('Anlage 1c_Korrekturen_NB'!$D$11:$D$78,'Anlage 1c_Korrekturen_NB'!$A$11:$A$78,'Anlage 3a_Zusammenfassung_KWKG'!$A897)+SUMIFS('Anlage 1c_Korrekturen_NB'!$F$11:$F$78,'Anlage 1c_Korrekturen_NB'!$A$11:$A$78,'Anlage 3a_Zusammenfassung_KWKG'!$A897)+SUMIFS('Anlage 1c_Korrekturen_NB'!$H$11:$H$78,'Anlage 1c_Korrekturen_NB'!$A$11:$A$78,'Anlage 3a_Zusammenfassung_KWKG'!$A897)</f>
        <v>0</v>
      </c>
      <c r="D897" s="145">
        <f t="shared" si="40"/>
        <v>166438</v>
      </c>
      <c r="E897" s="143" t="s">
        <v>129</v>
      </c>
      <c r="F897" s="99"/>
      <c r="G897" s="99"/>
      <c r="H897" s="99"/>
    </row>
    <row r="898" spans="1:8" s="44" customFormat="1" hidden="1" outlineLevel="1">
      <c r="A898" s="454" t="s">
        <v>130</v>
      </c>
      <c r="B898" s="544">
        <f>VLOOKUP($A898,'Anlage 1a_Zuschlagszahlungen_NB'!$A$8:$E$861,5,FALSE)</f>
        <v>294876</v>
      </c>
      <c r="C898" s="95">
        <f>SUMIFS('Anlage 1c_Korrekturen_NB'!$D$11:$D$78,'Anlage 1c_Korrekturen_NB'!$A$11:$A$78,'Anlage 3a_Zusammenfassung_KWKG'!$A898)+SUMIFS('Anlage 1c_Korrekturen_NB'!$F$11:$F$78,'Anlage 1c_Korrekturen_NB'!$A$11:$A$78,'Anlage 3a_Zusammenfassung_KWKG'!$A898)+SUMIFS('Anlage 1c_Korrekturen_NB'!$H$11:$H$78,'Anlage 1c_Korrekturen_NB'!$A$11:$A$78,'Anlage 3a_Zusammenfassung_KWKG'!$A898)</f>
        <v>0</v>
      </c>
      <c r="D898" s="145">
        <f t="shared" si="40"/>
        <v>294876</v>
      </c>
      <c r="E898" s="143" t="s">
        <v>131</v>
      </c>
      <c r="F898" s="99"/>
      <c r="G898" s="99"/>
      <c r="H898" s="99"/>
    </row>
    <row r="899" spans="1:8" s="44" customFormat="1" hidden="1" outlineLevel="1">
      <c r="A899" s="454" t="s">
        <v>132</v>
      </c>
      <c r="B899" s="544">
        <f>VLOOKUP($A899,'Anlage 1a_Zuschlagszahlungen_NB'!$A$8:$E$861,5,FALSE)</f>
        <v>5978207</v>
      </c>
      <c r="C899" s="95">
        <f>SUMIFS('Anlage 1c_Korrekturen_NB'!$D$11:$D$78,'Anlage 1c_Korrekturen_NB'!$A$11:$A$78,'Anlage 3a_Zusammenfassung_KWKG'!$A899)+SUMIFS('Anlage 1c_Korrekturen_NB'!$F$11:$F$78,'Anlage 1c_Korrekturen_NB'!$A$11:$A$78,'Anlage 3a_Zusammenfassung_KWKG'!$A899)+SUMIFS('Anlage 1c_Korrekturen_NB'!$H$11:$H$78,'Anlage 1c_Korrekturen_NB'!$A$11:$A$78,'Anlage 3a_Zusammenfassung_KWKG'!$A899)</f>
        <v>0</v>
      </c>
      <c r="D899" s="145">
        <f t="shared" si="40"/>
        <v>5978207</v>
      </c>
      <c r="E899" s="143" t="s">
        <v>133</v>
      </c>
      <c r="F899" s="99"/>
      <c r="G899" s="99"/>
      <c r="H899" s="99"/>
    </row>
    <row r="900" spans="1:8" s="44" customFormat="1" hidden="1" outlineLevel="1">
      <c r="A900" s="454" t="s">
        <v>134</v>
      </c>
      <c r="B900" s="544">
        <f>VLOOKUP($A900,'Anlage 1a_Zuschlagszahlungen_NB'!$A$8:$E$861,5,FALSE)</f>
        <v>2588099</v>
      </c>
      <c r="C900" s="95">
        <f>SUMIFS('Anlage 1c_Korrekturen_NB'!$D$11:$D$78,'Anlage 1c_Korrekturen_NB'!$A$11:$A$78,'Anlage 3a_Zusammenfassung_KWKG'!$A900)+SUMIFS('Anlage 1c_Korrekturen_NB'!$F$11:$F$78,'Anlage 1c_Korrekturen_NB'!$A$11:$A$78,'Anlage 3a_Zusammenfassung_KWKG'!$A900)+SUMIFS('Anlage 1c_Korrekturen_NB'!$H$11:$H$78,'Anlage 1c_Korrekturen_NB'!$A$11:$A$78,'Anlage 3a_Zusammenfassung_KWKG'!$A900)</f>
        <v>0</v>
      </c>
      <c r="D900" s="145">
        <f t="shared" si="40"/>
        <v>2588099</v>
      </c>
      <c r="E900" s="143" t="s">
        <v>135</v>
      </c>
      <c r="F900" s="99"/>
      <c r="G900" s="99"/>
      <c r="H900" s="99"/>
    </row>
    <row r="901" spans="1:8" s="44" customFormat="1" hidden="1" outlineLevel="1">
      <c r="A901" s="454" t="s">
        <v>136</v>
      </c>
      <c r="B901" s="544">
        <f>VLOOKUP($A901,'Anlage 1a_Zuschlagszahlungen_NB'!$A$8:$E$861,5,FALSE)</f>
        <v>14680593</v>
      </c>
      <c r="C901" s="95">
        <f>SUMIFS('Anlage 1c_Korrekturen_NB'!$D$11:$D$78,'Anlage 1c_Korrekturen_NB'!$A$11:$A$78,'Anlage 3a_Zusammenfassung_KWKG'!$A901)+SUMIFS('Anlage 1c_Korrekturen_NB'!$F$11:$F$78,'Anlage 1c_Korrekturen_NB'!$A$11:$A$78,'Anlage 3a_Zusammenfassung_KWKG'!$A901)+SUMIFS('Anlage 1c_Korrekturen_NB'!$H$11:$H$78,'Anlage 1c_Korrekturen_NB'!$A$11:$A$78,'Anlage 3a_Zusammenfassung_KWKG'!$A901)</f>
        <v>39805</v>
      </c>
      <c r="D901" s="145">
        <f t="shared" si="40"/>
        <v>14720398</v>
      </c>
      <c r="E901" s="143" t="s">
        <v>137</v>
      </c>
      <c r="F901" s="99"/>
      <c r="G901" s="99"/>
      <c r="H901" s="99"/>
    </row>
    <row r="902" spans="1:8" s="44" customFormat="1" hidden="1" outlineLevel="1">
      <c r="A902" s="454" t="s">
        <v>138</v>
      </c>
      <c r="B902" s="544">
        <f>VLOOKUP($A902,'Anlage 1a_Zuschlagszahlungen_NB'!$A$8:$E$861,5,FALSE)</f>
        <v>2222500</v>
      </c>
      <c r="C902" s="95">
        <f>SUMIFS('Anlage 1c_Korrekturen_NB'!$D$11:$D$78,'Anlage 1c_Korrekturen_NB'!$A$11:$A$78,'Anlage 3a_Zusammenfassung_KWKG'!$A902)+SUMIFS('Anlage 1c_Korrekturen_NB'!$F$11:$F$78,'Anlage 1c_Korrekturen_NB'!$A$11:$A$78,'Anlage 3a_Zusammenfassung_KWKG'!$A902)+SUMIFS('Anlage 1c_Korrekturen_NB'!$H$11:$H$78,'Anlage 1c_Korrekturen_NB'!$A$11:$A$78,'Anlage 3a_Zusammenfassung_KWKG'!$A902)</f>
        <v>0</v>
      </c>
      <c r="D902" s="145">
        <f t="shared" si="40"/>
        <v>2222500</v>
      </c>
      <c r="E902" s="143" t="s">
        <v>139</v>
      </c>
      <c r="F902" s="99"/>
      <c r="G902" s="99"/>
      <c r="H902" s="99"/>
    </row>
    <row r="903" spans="1:8" s="44" customFormat="1" hidden="1" outlineLevel="1">
      <c r="A903" s="454" t="s">
        <v>140</v>
      </c>
      <c r="B903" s="544">
        <f>VLOOKUP($A903,'Anlage 1a_Zuschlagszahlungen_NB'!$A$8:$E$861,5,FALSE)</f>
        <v>206989</v>
      </c>
      <c r="C903" s="95">
        <f>SUMIFS('Anlage 1c_Korrekturen_NB'!$D$11:$D$78,'Anlage 1c_Korrekturen_NB'!$A$11:$A$78,'Anlage 3a_Zusammenfassung_KWKG'!$A903)+SUMIFS('Anlage 1c_Korrekturen_NB'!$F$11:$F$78,'Anlage 1c_Korrekturen_NB'!$A$11:$A$78,'Anlage 3a_Zusammenfassung_KWKG'!$A903)+SUMIFS('Anlage 1c_Korrekturen_NB'!$H$11:$H$78,'Anlage 1c_Korrekturen_NB'!$A$11:$A$78,'Anlage 3a_Zusammenfassung_KWKG'!$A903)</f>
        <v>0</v>
      </c>
      <c r="D903" s="145">
        <f t="shared" si="40"/>
        <v>206989</v>
      </c>
      <c r="E903" s="143" t="s">
        <v>141</v>
      </c>
      <c r="F903" s="99"/>
      <c r="G903" s="99"/>
      <c r="H903" s="99"/>
    </row>
    <row r="904" spans="1:8" s="44" customFormat="1" hidden="1" outlineLevel="1">
      <c r="A904" s="454" t="s">
        <v>142</v>
      </c>
      <c r="B904" s="544">
        <f>VLOOKUP($A904,'Anlage 1a_Zuschlagszahlungen_NB'!$A$8:$E$861,5,FALSE)</f>
        <v>500215</v>
      </c>
      <c r="C904" s="95">
        <f>SUMIFS('Anlage 1c_Korrekturen_NB'!$D$11:$D$78,'Anlage 1c_Korrekturen_NB'!$A$11:$A$78,'Anlage 3a_Zusammenfassung_KWKG'!$A904)+SUMIFS('Anlage 1c_Korrekturen_NB'!$F$11:$F$78,'Anlage 1c_Korrekturen_NB'!$A$11:$A$78,'Anlage 3a_Zusammenfassung_KWKG'!$A904)+SUMIFS('Anlage 1c_Korrekturen_NB'!$H$11:$H$78,'Anlage 1c_Korrekturen_NB'!$A$11:$A$78,'Anlage 3a_Zusammenfassung_KWKG'!$A904)</f>
        <v>0</v>
      </c>
      <c r="D904" s="145">
        <f t="shared" si="40"/>
        <v>500215</v>
      </c>
      <c r="E904" s="143" t="s">
        <v>143</v>
      </c>
      <c r="F904" s="99"/>
      <c r="G904" s="99"/>
      <c r="H904" s="99"/>
    </row>
    <row r="905" spans="1:8" s="44" customFormat="1" hidden="1" outlineLevel="1">
      <c r="A905" s="454" t="s">
        <v>144</v>
      </c>
      <c r="B905" s="544">
        <f>VLOOKUP($A905,'Anlage 1a_Zuschlagszahlungen_NB'!$A$8:$E$861,5,FALSE)</f>
        <v>8003808</v>
      </c>
      <c r="C905" s="95">
        <f>SUMIFS('Anlage 1c_Korrekturen_NB'!$D$11:$D$78,'Anlage 1c_Korrekturen_NB'!$A$11:$A$78,'Anlage 3a_Zusammenfassung_KWKG'!$A905)+SUMIFS('Anlage 1c_Korrekturen_NB'!$F$11:$F$78,'Anlage 1c_Korrekturen_NB'!$A$11:$A$78,'Anlage 3a_Zusammenfassung_KWKG'!$A905)+SUMIFS('Anlage 1c_Korrekturen_NB'!$H$11:$H$78,'Anlage 1c_Korrekturen_NB'!$A$11:$A$78,'Anlage 3a_Zusammenfassung_KWKG'!$A905)</f>
        <v>0</v>
      </c>
      <c r="D905" s="145">
        <f t="shared" si="40"/>
        <v>8003808</v>
      </c>
      <c r="E905" s="143" t="s">
        <v>145</v>
      </c>
      <c r="F905" s="99"/>
      <c r="G905" s="99"/>
      <c r="H905" s="99"/>
    </row>
    <row r="906" spans="1:8" s="44" customFormat="1" hidden="1" outlineLevel="1">
      <c r="A906" s="454" t="s">
        <v>146</v>
      </c>
      <c r="B906" s="544">
        <f>VLOOKUP($A906,'Anlage 1a_Zuschlagszahlungen_NB'!$A$8:$E$861,5,FALSE)</f>
        <v>7278564</v>
      </c>
      <c r="C906" s="95">
        <f>SUMIFS('Anlage 1c_Korrekturen_NB'!$D$11:$D$78,'Anlage 1c_Korrekturen_NB'!$A$11:$A$78,'Anlage 3a_Zusammenfassung_KWKG'!$A906)+SUMIFS('Anlage 1c_Korrekturen_NB'!$F$11:$F$78,'Anlage 1c_Korrekturen_NB'!$A$11:$A$78,'Anlage 3a_Zusammenfassung_KWKG'!$A906)+SUMIFS('Anlage 1c_Korrekturen_NB'!$H$11:$H$78,'Anlage 1c_Korrekturen_NB'!$A$11:$A$78,'Anlage 3a_Zusammenfassung_KWKG'!$A906)</f>
        <v>0</v>
      </c>
      <c r="D906" s="145">
        <f t="shared" si="40"/>
        <v>7278564</v>
      </c>
      <c r="E906" s="143" t="s">
        <v>147</v>
      </c>
      <c r="F906" s="99"/>
      <c r="G906" s="99"/>
      <c r="H906" s="99"/>
    </row>
    <row r="907" spans="1:8" s="44" customFormat="1" hidden="1" outlineLevel="1">
      <c r="A907" s="454" t="s">
        <v>148</v>
      </c>
      <c r="B907" s="544">
        <f>VLOOKUP($A907,'Anlage 1a_Zuschlagszahlungen_NB'!$A$8:$E$861,5,FALSE)</f>
        <v>2597203</v>
      </c>
      <c r="C907" s="95">
        <f>SUMIFS('Anlage 1c_Korrekturen_NB'!$D$11:$D$78,'Anlage 1c_Korrekturen_NB'!$A$11:$A$78,'Anlage 3a_Zusammenfassung_KWKG'!$A907)+SUMIFS('Anlage 1c_Korrekturen_NB'!$F$11:$F$78,'Anlage 1c_Korrekturen_NB'!$A$11:$A$78,'Anlage 3a_Zusammenfassung_KWKG'!$A907)+SUMIFS('Anlage 1c_Korrekturen_NB'!$H$11:$H$78,'Anlage 1c_Korrekturen_NB'!$A$11:$A$78,'Anlage 3a_Zusammenfassung_KWKG'!$A907)</f>
        <v>0</v>
      </c>
      <c r="D907" s="145">
        <f t="shared" si="40"/>
        <v>2597203</v>
      </c>
      <c r="E907" s="143" t="s">
        <v>149</v>
      </c>
      <c r="F907" s="99"/>
      <c r="G907" s="99"/>
      <c r="H907" s="99"/>
    </row>
    <row r="908" spans="1:8" s="44" customFormat="1" hidden="1" outlineLevel="1">
      <c r="A908" s="454" t="s">
        <v>150</v>
      </c>
      <c r="B908" s="544">
        <f>VLOOKUP($A908,'Anlage 1a_Zuschlagszahlungen_NB'!$A$8:$E$861,5,FALSE)</f>
        <v>22537767</v>
      </c>
      <c r="C908" s="95">
        <f>SUMIFS('Anlage 1c_Korrekturen_NB'!$D$11:$D$78,'Anlage 1c_Korrekturen_NB'!$A$11:$A$78,'Anlage 3a_Zusammenfassung_KWKG'!$A908)+SUMIFS('Anlage 1c_Korrekturen_NB'!$F$11:$F$78,'Anlage 1c_Korrekturen_NB'!$A$11:$A$78,'Anlage 3a_Zusammenfassung_KWKG'!$A908)+SUMIFS('Anlage 1c_Korrekturen_NB'!$H$11:$H$78,'Anlage 1c_Korrekturen_NB'!$A$11:$A$78,'Anlage 3a_Zusammenfassung_KWKG'!$A908)</f>
        <v>0</v>
      </c>
      <c r="D908" s="145">
        <f t="shared" si="40"/>
        <v>22537767</v>
      </c>
      <c r="E908" s="143" t="s">
        <v>151</v>
      </c>
      <c r="F908" s="99"/>
      <c r="G908" s="99"/>
      <c r="H908" s="99"/>
    </row>
    <row r="909" spans="1:8" s="44" customFormat="1" hidden="1" outlineLevel="1">
      <c r="A909" s="454" t="s">
        <v>152</v>
      </c>
      <c r="B909" s="544">
        <f>VLOOKUP($A909,'Anlage 1a_Zuschlagszahlungen_NB'!$A$8:$E$861,5,FALSE)</f>
        <v>49527</v>
      </c>
      <c r="C909" s="95">
        <f>SUMIFS('Anlage 1c_Korrekturen_NB'!$D$11:$D$78,'Anlage 1c_Korrekturen_NB'!$A$11:$A$78,'Anlage 3a_Zusammenfassung_KWKG'!$A909)+SUMIFS('Anlage 1c_Korrekturen_NB'!$F$11:$F$78,'Anlage 1c_Korrekturen_NB'!$A$11:$A$78,'Anlage 3a_Zusammenfassung_KWKG'!$A909)+SUMIFS('Anlage 1c_Korrekturen_NB'!$H$11:$H$78,'Anlage 1c_Korrekturen_NB'!$A$11:$A$78,'Anlage 3a_Zusammenfassung_KWKG'!$A909)</f>
        <v>0</v>
      </c>
      <c r="D909" s="145">
        <f t="shared" si="40"/>
        <v>49527</v>
      </c>
      <c r="E909" s="143" t="s">
        <v>153</v>
      </c>
      <c r="F909" s="99"/>
      <c r="G909" s="99"/>
      <c r="H909" s="99"/>
    </row>
    <row r="910" spans="1:8" s="44" customFormat="1" hidden="1" outlineLevel="1">
      <c r="A910" s="454" t="s">
        <v>154</v>
      </c>
      <c r="B910" s="544">
        <f>VLOOKUP($A910,'Anlage 1a_Zuschlagszahlungen_NB'!$A$8:$E$861,5,FALSE)</f>
        <v>53253698</v>
      </c>
      <c r="C910" s="95">
        <f>SUMIFS('Anlage 1c_Korrekturen_NB'!$D$11:$D$78,'Anlage 1c_Korrekturen_NB'!$A$11:$A$78,'Anlage 3a_Zusammenfassung_KWKG'!$A910)+SUMIFS('Anlage 1c_Korrekturen_NB'!$F$11:$F$78,'Anlage 1c_Korrekturen_NB'!$A$11:$A$78,'Anlage 3a_Zusammenfassung_KWKG'!$A910)+SUMIFS('Anlage 1c_Korrekturen_NB'!$H$11:$H$78,'Anlage 1c_Korrekturen_NB'!$A$11:$A$78,'Anlage 3a_Zusammenfassung_KWKG'!$A910)</f>
        <v>0</v>
      </c>
      <c r="D910" s="145">
        <f t="shared" si="40"/>
        <v>53253698</v>
      </c>
      <c r="E910" s="143" t="s">
        <v>155</v>
      </c>
      <c r="F910" s="99"/>
      <c r="G910" s="99"/>
      <c r="H910" s="99"/>
    </row>
    <row r="911" spans="1:8" s="44" customFormat="1" hidden="1" outlineLevel="1">
      <c r="A911" s="454" t="s">
        <v>156</v>
      </c>
      <c r="B911" s="544">
        <f>VLOOKUP($A911,'Anlage 1a_Zuschlagszahlungen_NB'!$A$8:$E$861,5,FALSE)</f>
        <v>2847697</v>
      </c>
      <c r="C911" s="95">
        <f>SUMIFS('Anlage 1c_Korrekturen_NB'!$D$11:$D$78,'Anlage 1c_Korrekturen_NB'!$A$11:$A$78,'Anlage 3a_Zusammenfassung_KWKG'!$A911)+SUMIFS('Anlage 1c_Korrekturen_NB'!$F$11:$F$78,'Anlage 1c_Korrekturen_NB'!$A$11:$A$78,'Anlage 3a_Zusammenfassung_KWKG'!$A911)+SUMIFS('Anlage 1c_Korrekturen_NB'!$H$11:$H$78,'Anlage 1c_Korrekturen_NB'!$A$11:$A$78,'Anlage 3a_Zusammenfassung_KWKG'!$A911)</f>
        <v>0</v>
      </c>
      <c r="D911" s="145">
        <f t="shared" si="40"/>
        <v>2847697</v>
      </c>
      <c r="E911" s="143" t="s">
        <v>157</v>
      </c>
      <c r="F911" s="99"/>
      <c r="G911" s="99"/>
      <c r="H911" s="99"/>
    </row>
    <row r="912" spans="1:8" s="44" customFormat="1" hidden="1" outlineLevel="1">
      <c r="A912" s="454" t="s">
        <v>158</v>
      </c>
      <c r="B912" s="544">
        <f>VLOOKUP($A912,'Anlage 1a_Zuschlagszahlungen_NB'!$A$8:$E$861,5,FALSE)</f>
        <v>19978607</v>
      </c>
      <c r="C912" s="95">
        <f>SUMIFS('Anlage 1c_Korrekturen_NB'!$D$11:$D$78,'Anlage 1c_Korrekturen_NB'!$A$11:$A$78,'Anlage 3a_Zusammenfassung_KWKG'!$A912)+SUMIFS('Anlage 1c_Korrekturen_NB'!$F$11:$F$78,'Anlage 1c_Korrekturen_NB'!$A$11:$A$78,'Anlage 3a_Zusammenfassung_KWKG'!$A912)+SUMIFS('Anlage 1c_Korrekturen_NB'!$H$11:$H$78,'Anlage 1c_Korrekturen_NB'!$A$11:$A$78,'Anlage 3a_Zusammenfassung_KWKG'!$A912)</f>
        <v>0</v>
      </c>
      <c r="D912" s="145">
        <f t="shared" si="40"/>
        <v>19978607</v>
      </c>
      <c r="E912" s="143" t="s">
        <v>159</v>
      </c>
      <c r="F912" s="99"/>
      <c r="G912" s="99"/>
      <c r="H912" s="99"/>
    </row>
    <row r="913" spans="1:8" s="44" customFormat="1" hidden="1" outlineLevel="1">
      <c r="A913" s="454" t="s">
        <v>160</v>
      </c>
      <c r="B913" s="544">
        <f>VLOOKUP($A913,'Anlage 1a_Zuschlagszahlungen_NB'!$A$8:$E$861,5,FALSE)</f>
        <v>1197735</v>
      </c>
      <c r="C913" s="95">
        <f>SUMIFS('Anlage 1c_Korrekturen_NB'!$D$11:$D$78,'Anlage 1c_Korrekturen_NB'!$A$11:$A$78,'Anlage 3a_Zusammenfassung_KWKG'!$A913)+SUMIFS('Anlage 1c_Korrekturen_NB'!$F$11:$F$78,'Anlage 1c_Korrekturen_NB'!$A$11:$A$78,'Anlage 3a_Zusammenfassung_KWKG'!$A913)+SUMIFS('Anlage 1c_Korrekturen_NB'!$H$11:$H$78,'Anlage 1c_Korrekturen_NB'!$A$11:$A$78,'Anlage 3a_Zusammenfassung_KWKG'!$A913)</f>
        <v>0</v>
      </c>
      <c r="D913" s="145">
        <f t="shared" si="40"/>
        <v>1197735</v>
      </c>
      <c r="E913" s="143" t="s">
        <v>161</v>
      </c>
      <c r="F913" s="99"/>
      <c r="G913" s="99"/>
      <c r="H913" s="99"/>
    </row>
    <row r="914" spans="1:8" s="44" customFormat="1" hidden="1" outlineLevel="1">
      <c r="A914" s="454" t="s">
        <v>162</v>
      </c>
      <c r="B914" s="544">
        <f>VLOOKUP($A914,'Anlage 1a_Zuschlagszahlungen_NB'!$A$8:$E$861,5,FALSE)</f>
        <v>42471</v>
      </c>
      <c r="C914" s="95">
        <f>SUMIFS('Anlage 1c_Korrekturen_NB'!$D$11:$D$78,'Anlage 1c_Korrekturen_NB'!$A$11:$A$78,'Anlage 3a_Zusammenfassung_KWKG'!$A914)+SUMIFS('Anlage 1c_Korrekturen_NB'!$F$11:$F$78,'Anlage 1c_Korrekturen_NB'!$A$11:$A$78,'Anlage 3a_Zusammenfassung_KWKG'!$A914)+SUMIFS('Anlage 1c_Korrekturen_NB'!$H$11:$H$78,'Anlage 1c_Korrekturen_NB'!$A$11:$A$78,'Anlage 3a_Zusammenfassung_KWKG'!$A914)</f>
        <v>0</v>
      </c>
      <c r="D914" s="145">
        <f t="shared" si="40"/>
        <v>42471</v>
      </c>
      <c r="E914" s="143" t="s">
        <v>163</v>
      </c>
      <c r="F914" s="99"/>
      <c r="G914" s="99"/>
      <c r="H914" s="99"/>
    </row>
    <row r="915" spans="1:8" s="44" customFormat="1" hidden="1" outlineLevel="1">
      <c r="A915" s="454" t="s">
        <v>164</v>
      </c>
      <c r="B915" s="544">
        <f>VLOOKUP($A915,'Anlage 1a_Zuschlagszahlungen_NB'!$A$8:$E$861,5,FALSE)</f>
        <v>1346449</v>
      </c>
      <c r="C915" s="95">
        <f>SUMIFS('Anlage 1c_Korrekturen_NB'!$D$11:$D$78,'Anlage 1c_Korrekturen_NB'!$A$11:$A$78,'Anlage 3a_Zusammenfassung_KWKG'!$A915)+SUMIFS('Anlage 1c_Korrekturen_NB'!$F$11:$F$78,'Anlage 1c_Korrekturen_NB'!$A$11:$A$78,'Anlage 3a_Zusammenfassung_KWKG'!$A915)+SUMIFS('Anlage 1c_Korrekturen_NB'!$H$11:$H$78,'Anlage 1c_Korrekturen_NB'!$A$11:$A$78,'Anlage 3a_Zusammenfassung_KWKG'!$A915)</f>
        <v>0</v>
      </c>
      <c r="D915" s="145">
        <f t="shared" si="40"/>
        <v>1346449</v>
      </c>
      <c r="E915" s="143" t="s">
        <v>165</v>
      </c>
      <c r="F915" s="99"/>
      <c r="G915" s="99"/>
      <c r="H915" s="99"/>
    </row>
    <row r="916" spans="1:8" s="44" customFormat="1" hidden="1" outlineLevel="1">
      <c r="A916" s="454" t="s">
        <v>166</v>
      </c>
      <c r="B916" s="544">
        <f>VLOOKUP($A916,'Anlage 1a_Zuschlagszahlungen_NB'!$A$8:$E$861,5,FALSE)</f>
        <v>11212167</v>
      </c>
      <c r="C916" s="95">
        <f>SUMIFS('Anlage 1c_Korrekturen_NB'!$D$11:$D$78,'Anlage 1c_Korrekturen_NB'!$A$11:$A$78,'Anlage 3a_Zusammenfassung_KWKG'!$A916)+SUMIFS('Anlage 1c_Korrekturen_NB'!$F$11:$F$78,'Anlage 1c_Korrekturen_NB'!$A$11:$A$78,'Anlage 3a_Zusammenfassung_KWKG'!$A916)+SUMIFS('Anlage 1c_Korrekturen_NB'!$H$11:$H$78,'Anlage 1c_Korrekturen_NB'!$A$11:$A$78,'Anlage 3a_Zusammenfassung_KWKG'!$A916)</f>
        <v>50342</v>
      </c>
      <c r="D916" s="145">
        <f t="shared" si="40"/>
        <v>11262509</v>
      </c>
      <c r="E916" s="143" t="s">
        <v>167</v>
      </c>
      <c r="F916" s="99"/>
      <c r="G916" s="99"/>
      <c r="H916" s="99"/>
    </row>
    <row r="917" spans="1:8" s="44" customFormat="1" hidden="1" outlineLevel="1">
      <c r="A917" s="454" t="s">
        <v>168</v>
      </c>
      <c r="B917" s="544">
        <f>VLOOKUP($A917,'Anlage 1a_Zuschlagszahlungen_NB'!$A$8:$E$861,5,FALSE)</f>
        <v>3801502</v>
      </c>
      <c r="C917" s="95">
        <f>SUMIFS('Anlage 1c_Korrekturen_NB'!$D$11:$D$78,'Anlage 1c_Korrekturen_NB'!$A$11:$A$78,'Anlage 3a_Zusammenfassung_KWKG'!$A917)+SUMIFS('Anlage 1c_Korrekturen_NB'!$F$11:$F$78,'Anlage 1c_Korrekturen_NB'!$A$11:$A$78,'Anlage 3a_Zusammenfassung_KWKG'!$A917)+SUMIFS('Anlage 1c_Korrekturen_NB'!$H$11:$H$78,'Anlage 1c_Korrekturen_NB'!$A$11:$A$78,'Anlage 3a_Zusammenfassung_KWKG'!$A917)</f>
        <v>0</v>
      </c>
      <c r="D917" s="145">
        <f t="shared" ref="D917:D948" si="41">B917+C917</f>
        <v>3801502</v>
      </c>
      <c r="E917" s="143" t="s">
        <v>169</v>
      </c>
      <c r="F917" s="99"/>
      <c r="G917" s="99"/>
      <c r="H917" s="99"/>
    </row>
    <row r="918" spans="1:8" s="44" customFormat="1" hidden="1" outlineLevel="1">
      <c r="A918" s="454" t="s">
        <v>170</v>
      </c>
      <c r="B918" s="544">
        <f>VLOOKUP($A918,'Anlage 1a_Zuschlagszahlungen_NB'!$A$8:$E$861,5,FALSE)</f>
        <v>1160601</v>
      </c>
      <c r="C918" s="95">
        <f>SUMIFS('Anlage 1c_Korrekturen_NB'!$D$11:$D$78,'Anlage 1c_Korrekturen_NB'!$A$11:$A$78,'Anlage 3a_Zusammenfassung_KWKG'!$A918)+SUMIFS('Anlage 1c_Korrekturen_NB'!$F$11:$F$78,'Anlage 1c_Korrekturen_NB'!$A$11:$A$78,'Anlage 3a_Zusammenfassung_KWKG'!$A918)+SUMIFS('Anlage 1c_Korrekturen_NB'!$H$11:$H$78,'Anlage 1c_Korrekturen_NB'!$A$11:$A$78,'Anlage 3a_Zusammenfassung_KWKG'!$A918)</f>
        <v>0</v>
      </c>
      <c r="D918" s="145">
        <f t="shared" si="41"/>
        <v>1160601</v>
      </c>
      <c r="E918" s="143" t="s">
        <v>171</v>
      </c>
      <c r="F918" s="99"/>
      <c r="G918" s="99"/>
      <c r="H918" s="99"/>
    </row>
    <row r="919" spans="1:8" s="44" customFormat="1" hidden="1" outlineLevel="1">
      <c r="A919" s="454" t="s">
        <v>172</v>
      </c>
      <c r="B919" s="544">
        <f>VLOOKUP($A919,'Anlage 1a_Zuschlagszahlungen_NB'!$A$8:$E$861,5,FALSE)</f>
        <v>0</v>
      </c>
      <c r="C919" s="95">
        <f>SUMIFS('Anlage 1c_Korrekturen_NB'!$D$11:$D$78,'Anlage 1c_Korrekturen_NB'!$A$11:$A$78,'Anlage 3a_Zusammenfassung_KWKG'!$A919)+SUMIFS('Anlage 1c_Korrekturen_NB'!$F$11:$F$78,'Anlage 1c_Korrekturen_NB'!$A$11:$A$78,'Anlage 3a_Zusammenfassung_KWKG'!$A919)+SUMIFS('Anlage 1c_Korrekturen_NB'!$H$11:$H$78,'Anlage 1c_Korrekturen_NB'!$A$11:$A$78,'Anlage 3a_Zusammenfassung_KWKG'!$A919)</f>
        <v>0</v>
      </c>
      <c r="D919" s="145">
        <f t="shared" si="41"/>
        <v>0</v>
      </c>
      <c r="E919" s="143" t="s">
        <v>173</v>
      </c>
      <c r="F919" s="99"/>
      <c r="G919" s="99"/>
      <c r="H919" s="99"/>
    </row>
    <row r="920" spans="1:8" s="44" customFormat="1" hidden="1" outlineLevel="1">
      <c r="A920" s="454" t="s">
        <v>174</v>
      </c>
      <c r="B920" s="544">
        <f>VLOOKUP($A920,'Anlage 1a_Zuschlagszahlungen_NB'!$A$8:$E$861,5,FALSE)</f>
        <v>0</v>
      </c>
      <c r="C920" s="95">
        <f>SUMIFS('Anlage 1c_Korrekturen_NB'!$D$11:$D$78,'Anlage 1c_Korrekturen_NB'!$A$11:$A$78,'Anlage 3a_Zusammenfassung_KWKG'!$A920)+SUMIFS('Anlage 1c_Korrekturen_NB'!$F$11:$F$78,'Anlage 1c_Korrekturen_NB'!$A$11:$A$78,'Anlage 3a_Zusammenfassung_KWKG'!$A920)+SUMIFS('Anlage 1c_Korrekturen_NB'!$H$11:$H$78,'Anlage 1c_Korrekturen_NB'!$A$11:$A$78,'Anlage 3a_Zusammenfassung_KWKG'!$A920)</f>
        <v>0</v>
      </c>
      <c r="D920" s="145">
        <f t="shared" si="41"/>
        <v>0</v>
      </c>
      <c r="E920" s="143" t="s">
        <v>175</v>
      </c>
      <c r="F920" s="99"/>
      <c r="G920" s="99"/>
      <c r="H920" s="99"/>
    </row>
    <row r="921" spans="1:8" s="44" customFormat="1" hidden="1" outlineLevel="1">
      <c r="A921" s="454" t="s">
        <v>176</v>
      </c>
      <c r="B921" s="544">
        <f>VLOOKUP($A921,'Anlage 1a_Zuschlagszahlungen_NB'!$A$8:$E$861,5,FALSE)</f>
        <v>169779073</v>
      </c>
      <c r="C921" s="95">
        <f>SUMIFS('Anlage 1c_Korrekturen_NB'!$D$11:$D$78,'Anlage 1c_Korrekturen_NB'!$A$11:$A$78,'Anlage 3a_Zusammenfassung_KWKG'!$A921)+SUMIFS('Anlage 1c_Korrekturen_NB'!$F$11:$F$78,'Anlage 1c_Korrekturen_NB'!$A$11:$A$78,'Anlage 3a_Zusammenfassung_KWKG'!$A921)+SUMIFS('Anlage 1c_Korrekturen_NB'!$H$11:$H$78,'Anlage 1c_Korrekturen_NB'!$A$11:$A$78,'Anlage 3a_Zusammenfassung_KWKG'!$A921)</f>
        <v>2917</v>
      </c>
      <c r="D921" s="145">
        <f t="shared" si="41"/>
        <v>169781990</v>
      </c>
      <c r="E921" s="143" t="s">
        <v>177</v>
      </c>
      <c r="F921" s="99"/>
      <c r="G921" s="99"/>
      <c r="H921" s="99"/>
    </row>
    <row r="922" spans="1:8" s="44" customFormat="1" hidden="1" outlineLevel="1">
      <c r="A922" s="454" t="s">
        <v>178</v>
      </c>
      <c r="B922" s="544">
        <f>VLOOKUP($A922,'Anlage 1a_Zuschlagszahlungen_NB'!$A$8:$E$861,5,FALSE)</f>
        <v>17881678</v>
      </c>
      <c r="C922" s="95">
        <f>SUMIFS('Anlage 1c_Korrekturen_NB'!$D$11:$D$78,'Anlage 1c_Korrekturen_NB'!$A$11:$A$78,'Anlage 3a_Zusammenfassung_KWKG'!$A922)+SUMIFS('Anlage 1c_Korrekturen_NB'!$F$11:$F$78,'Anlage 1c_Korrekturen_NB'!$A$11:$A$78,'Anlage 3a_Zusammenfassung_KWKG'!$A922)+SUMIFS('Anlage 1c_Korrekturen_NB'!$H$11:$H$78,'Anlage 1c_Korrekturen_NB'!$A$11:$A$78,'Anlage 3a_Zusammenfassung_KWKG'!$A922)</f>
        <v>0</v>
      </c>
      <c r="D922" s="145">
        <f t="shared" si="41"/>
        <v>17881678</v>
      </c>
      <c r="E922" s="143" t="s">
        <v>179</v>
      </c>
      <c r="F922" s="99"/>
      <c r="G922" s="99"/>
      <c r="H922" s="99"/>
    </row>
    <row r="923" spans="1:8" s="44" customFormat="1" hidden="1" outlineLevel="1">
      <c r="A923" s="454" t="s">
        <v>180</v>
      </c>
      <c r="B923" s="544">
        <f>VLOOKUP($A923,'Anlage 1a_Zuschlagszahlungen_NB'!$A$8:$E$861,5,FALSE)</f>
        <v>20379124</v>
      </c>
      <c r="C923" s="95">
        <f>SUMIFS('Anlage 1c_Korrekturen_NB'!$D$11:$D$78,'Anlage 1c_Korrekturen_NB'!$A$11:$A$78,'Anlage 3a_Zusammenfassung_KWKG'!$A923)+SUMIFS('Anlage 1c_Korrekturen_NB'!$F$11:$F$78,'Anlage 1c_Korrekturen_NB'!$A$11:$A$78,'Anlage 3a_Zusammenfassung_KWKG'!$A923)+SUMIFS('Anlage 1c_Korrekturen_NB'!$H$11:$H$78,'Anlage 1c_Korrekturen_NB'!$A$11:$A$78,'Anlage 3a_Zusammenfassung_KWKG'!$A923)</f>
        <v>-1567134</v>
      </c>
      <c r="D923" s="145">
        <f t="shared" si="41"/>
        <v>18811990</v>
      </c>
      <c r="E923" s="143" t="s">
        <v>181</v>
      </c>
      <c r="F923" s="99"/>
      <c r="G923" s="99"/>
      <c r="H923" s="99"/>
    </row>
    <row r="924" spans="1:8" s="44" customFormat="1" hidden="1" outlineLevel="1">
      <c r="A924" s="454" t="s">
        <v>182</v>
      </c>
      <c r="B924" s="544">
        <f>VLOOKUP($A924,'Anlage 1a_Zuschlagszahlungen_NB'!$A$8:$E$861,5,FALSE)</f>
        <v>25231761</v>
      </c>
      <c r="C924" s="95">
        <f>SUMIFS('Anlage 1c_Korrekturen_NB'!$D$11:$D$78,'Anlage 1c_Korrekturen_NB'!$A$11:$A$78,'Anlage 3a_Zusammenfassung_KWKG'!$A924)+SUMIFS('Anlage 1c_Korrekturen_NB'!$F$11:$F$78,'Anlage 1c_Korrekturen_NB'!$A$11:$A$78,'Anlage 3a_Zusammenfassung_KWKG'!$A924)+SUMIFS('Anlage 1c_Korrekturen_NB'!$H$11:$H$78,'Anlage 1c_Korrekturen_NB'!$A$11:$A$78,'Anlage 3a_Zusammenfassung_KWKG'!$A924)</f>
        <v>0</v>
      </c>
      <c r="D924" s="145">
        <f t="shared" si="41"/>
        <v>25231761</v>
      </c>
      <c r="E924" s="143" t="s">
        <v>183</v>
      </c>
      <c r="F924" s="99"/>
      <c r="G924" s="99"/>
      <c r="H924" s="99"/>
    </row>
    <row r="925" spans="1:8" s="44" customFormat="1" hidden="1" outlineLevel="1">
      <c r="A925" s="454" t="s">
        <v>184</v>
      </c>
      <c r="B925" s="544">
        <f>VLOOKUP($A925,'Anlage 1a_Zuschlagszahlungen_NB'!$A$8:$E$861,5,FALSE)</f>
        <v>294903</v>
      </c>
      <c r="C925" s="95">
        <f>SUMIFS('Anlage 1c_Korrekturen_NB'!$D$11:$D$78,'Anlage 1c_Korrekturen_NB'!$A$11:$A$78,'Anlage 3a_Zusammenfassung_KWKG'!$A925)+SUMIFS('Anlage 1c_Korrekturen_NB'!$F$11:$F$78,'Anlage 1c_Korrekturen_NB'!$A$11:$A$78,'Anlage 3a_Zusammenfassung_KWKG'!$A925)+SUMIFS('Anlage 1c_Korrekturen_NB'!$H$11:$H$78,'Anlage 1c_Korrekturen_NB'!$A$11:$A$78,'Anlage 3a_Zusammenfassung_KWKG'!$A925)</f>
        <v>0</v>
      </c>
      <c r="D925" s="145">
        <f t="shared" si="41"/>
        <v>294903</v>
      </c>
      <c r="E925" s="143" t="s">
        <v>185</v>
      </c>
      <c r="F925" s="99"/>
      <c r="G925" s="99"/>
      <c r="H925" s="99"/>
    </row>
    <row r="926" spans="1:8" s="44" customFormat="1" hidden="1" outlineLevel="1">
      <c r="A926" s="454" t="s">
        <v>186</v>
      </c>
      <c r="B926" s="544">
        <f>VLOOKUP($A926,'Anlage 1a_Zuschlagszahlungen_NB'!$A$8:$E$861,5,FALSE)</f>
        <v>3721703</v>
      </c>
      <c r="C926" s="95">
        <f>SUMIFS('Anlage 1c_Korrekturen_NB'!$D$11:$D$78,'Anlage 1c_Korrekturen_NB'!$A$11:$A$78,'Anlage 3a_Zusammenfassung_KWKG'!$A926)+SUMIFS('Anlage 1c_Korrekturen_NB'!$F$11:$F$78,'Anlage 1c_Korrekturen_NB'!$A$11:$A$78,'Anlage 3a_Zusammenfassung_KWKG'!$A926)+SUMIFS('Anlage 1c_Korrekturen_NB'!$H$11:$H$78,'Anlage 1c_Korrekturen_NB'!$A$11:$A$78,'Anlage 3a_Zusammenfassung_KWKG'!$A926)</f>
        <v>0</v>
      </c>
      <c r="D926" s="145">
        <f t="shared" si="41"/>
        <v>3721703</v>
      </c>
      <c r="E926" s="143" t="s">
        <v>187</v>
      </c>
      <c r="F926" s="99"/>
      <c r="G926" s="99"/>
      <c r="H926" s="99"/>
    </row>
    <row r="927" spans="1:8" s="44" customFormat="1" hidden="1" outlineLevel="1">
      <c r="A927" s="454" t="s">
        <v>188</v>
      </c>
      <c r="B927" s="544">
        <f>VLOOKUP($A927,'Anlage 1a_Zuschlagszahlungen_NB'!$A$8:$E$861,5,FALSE)</f>
        <v>742366</v>
      </c>
      <c r="C927" s="95">
        <f>SUMIFS('Anlage 1c_Korrekturen_NB'!$D$11:$D$78,'Anlage 1c_Korrekturen_NB'!$A$11:$A$78,'Anlage 3a_Zusammenfassung_KWKG'!$A927)+SUMIFS('Anlage 1c_Korrekturen_NB'!$F$11:$F$78,'Anlage 1c_Korrekturen_NB'!$A$11:$A$78,'Anlage 3a_Zusammenfassung_KWKG'!$A927)+SUMIFS('Anlage 1c_Korrekturen_NB'!$H$11:$H$78,'Anlage 1c_Korrekturen_NB'!$A$11:$A$78,'Anlage 3a_Zusammenfassung_KWKG'!$A927)</f>
        <v>0</v>
      </c>
      <c r="D927" s="145">
        <f t="shared" si="41"/>
        <v>742366</v>
      </c>
      <c r="E927" s="143" t="s">
        <v>189</v>
      </c>
      <c r="F927" s="99"/>
      <c r="G927" s="99"/>
      <c r="H927" s="99"/>
    </row>
    <row r="928" spans="1:8" s="44" customFormat="1" hidden="1" outlineLevel="1">
      <c r="A928" s="454" t="s">
        <v>190</v>
      </c>
      <c r="B928" s="544">
        <f>VLOOKUP($A928,'Anlage 1a_Zuschlagszahlungen_NB'!$A$8:$E$861,5,FALSE)</f>
        <v>4166757</v>
      </c>
      <c r="C928" s="95">
        <f>SUMIFS('Anlage 1c_Korrekturen_NB'!$D$11:$D$78,'Anlage 1c_Korrekturen_NB'!$A$11:$A$78,'Anlage 3a_Zusammenfassung_KWKG'!$A928)+SUMIFS('Anlage 1c_Korrekturen_NB'!$F$11:$F$78,'Anlage 1c_Korrekturen_NB'!$A$11:$A$78,'Anlage 3a_Zusammenfassung_KWKG'!$A928)+SUMIFS('Anlage 1c_Korrekturen_NB'!$H$11:$H$78,'Anlage 1c_Korrekturen_NB'!$A$11:$A$78,'Anlage 3a_Zusammenfassung_KWKG'!$A928)</f>
        <v>0</v>
      </c>
      <c r="D928" s="145">
        <f t="shared" si="41"/>
        <v>4166757</v>
      </c>
      <c r="E928" s="143" t="s">
        <v>191</v>
      </c>
      <c r="F928" s="99"/>
      <c r="G928" s="99"/>
      <c r="H928" s="99"/>
    </row>
    <row r="929" spans="1:8" s="44" customFormat="1" hidden="1" outlineLevel="1">
      <c r="A929" s="454" t="s">
        <v>192</v>
      </c>
      <c r="B929" s="544">
        <f>VLOOKUP($A929,'Anlage 1a_Zuschlagszahlungen_NB'!$A$8:$E$861,5,FALSE)</f>
        <v>0</v>
      </c>
      <c r="C929" s="95">
        <f>SUMIFS('Anlage 1c_Korrekturen_NB'!$D$11:$D$78,'Anlage 1c_Korrekturen_NB'!$A$11:$A$78,'Anlage 3a_Zusammenfassung_KWKG'!$A929)+SUMIFS('Anlage 1c_Korrekturen_NB'!$F$11:$F$78,'Anlage 1c_Korrekturen_NB'!$A$11:$A$78,'Anlage 3a_Zusammenfassung_KWKG'!$A929)+SUMIFS('Anlage 1c_Korrekturen_NB'!$H$11:$H$78,'Anlage 1c_Korrekturen_NB'!$A$11:$A$78,'Anlage 3a_Zusammenfassung_KWKG'!$A929)</f>
        <v>0</v>
      </c>
      <c r="D929" s="145">
        <f t="shared" si="41"/>
        <v>0</v>
      </c>
      <c r="E929" s="143" t="s">
        <v>193</v>
      </c>
      <c r="F929" s="99"/>
      <c r="G929" s="99"/>
      <c r="H929" s="99"/>
    </row>
    <row r="930" spans="1:8" s="44" customFormat="1" hidden="1" outlineLevel="1">
      <c r="A930" s="454" t="s">
        <v>194</v>
      </c>
      <c r="B930" s="544">
        <f>VLOOKUP($A930,'Anlage 1a_Zuschlagszahlungen_NB'!$A$8:$E$861,5,FALSE)</f>
        <v>0</v>
      </c>
      <c r="C930" s="95">
        <f>SUMIFS('Anlage 1c_Korrekturen_NB'!$D$11:$D$78,'Anlage 1c_Korrekturen_NB'!$A$11:$A$78,'Anlage 3a_Zusammenfassung_KWKG'!$A930)+SUMIFS('Anlage 1c_Korrekturen_NB'!$F$11:$F$78,'Anlage 1c_Korrekturen_NB'!$A$11:$A$78,'Anlage 3a_Zusammenfassung_KWKG'!$A930)+SUMIFS('Anlage 1c_Korrekturen_NB'!$H$11:$H$78,'Anlage 1c_Korrekturen_NB'!$A$11:$A$78,'Anlage 3a_Zusammenfassung_KWKG'!$A930)</f>
        <v>0</v>
      </c>
      <c r="D930" s="145">
        <f t="shared" si="41"/>
        <v>0</v>
      </c>
      <c r="E930" s="143" t="s">
        <v>195</v>
      </c>
      <c r="F930" s="99"/>
      <c r="G930" s="99"/>
      <c r="H930" s="99"/>
    </row>
    <row r="931" spans="1:8" s="44" customFormat="1" hidden="1" outlineLevel="1">
      <c r="A931" s="454" t="s">
        <v>196</v>
      </c>
      <c r="B931" s="544">
        <f>VLOOKUP($A931,'Anlage 1a_Zuschlagszahlungen_NB'!$A$8:$E$861,5,FALSE)</f>
        <v>0</v>
      </c>
      <c r="C931" s="95">
        <f>SUMIFS('Anlage 1c_Korrekturen_NB'!$D$11:$D$78,'Anlage 1c_Korrekturen_NB'!$A$11:$A$78,'Anlage 3a_Zusammenfassung_KWKG'!$A931)+SUMIFS('Anlage 1c_Korrekturen_NB'!$F$11:$F$78,'Anlage 1c_Korrekturen_NB'!$A$11:$A$78,'Anlage 3a_Zusammenfassung_KWKG'!$A931)+SUMIFS('Anlage 1c_Korrekturen_NB'!$H$11:$H$78,'Anlage 1c_Korrekturen_NB'!$A$11:$A$78,'Anlage 3a_Zusammenfassung_KWKG'!$A931)</f>
        <v>0</v>
      </c>
      <c r="D931" s="145">
        <f t="shared" si="41"/>
        <v>0</v>
      </c>
      <c r="E931" s="143" t="s">
        <v>197</v>
      </c>
      <c r="F931" s="99"/>
      <c r="G931" s="99"/>
      <c r="H931" s="99"/>
    </row>
    <row r="932" spans="1:8" s="44" customFormat="1" hidden="1" outlineLevel="1">
      <c r="A932" s="454" t="s">
        <v>198</v>
      </c>
      <c r="B932" s="544">
        <f>VLOOKUP($A932,'Anlage 1a_Zuschlagszahlungen_NB'!$A$8:$E$861,5,FALSE)</f>
        <v>1167078</v>
      </c>
      <c r="C932" s="95">
        <f>SUMIFS('Anlage 1c_Korrekturen_NB'!$D$11:$D$78,'Anlage 1c_Korrekturen_NB'!$A$11:$A$78,'Anlage 3a_Zusammenfassung_KWKG'!$A932)+SUMIFS('Anlage 1c_Korrekturen_NB'!$F$11:$F$78,'Anlage 1c_Korrekturen_NB'!$A$11:$A$78,'Anlage 3a_Zusammenfassung_KWKG'!$A932)+SUMIFS('Anlage 1c_Korrekturen_NB'!$H$11:$H$78,'Anlage 1c_Korrekturen_NB'!$A$11:$A$78,'Anlage 3a_Zusammenfassung_KWKG'!$A932)</f>
        <v>0</v>
      </c>
      <c r="D932" s="145">
        <f t="shared" si="41"/>
        <v>1167078</v>
      </c>
      <c r="E932" s="143" t="s">
        <v>199</v>
      </c>
      <c r="F932" s="99"/>
      <c r="G932" s="99"/>
      <c r="H932" s="99"/>
    </row>
    <row r="933" spans="1:8" s="44" customFormat="1" hidden="1" outlineLevel="1">
      <c r="A933" s="454" t="s">
        <v>200</v>
      </c>
      <c r="B933" s="544">
        <f>VLOOKUP($A933,'Anlage 1a_Zuschlagszahlungen_NB'!$A$8:$E$861,5,FALSE)</f>
        <v>12870125</v>
      </c>
      <c r="C933" s="95">
        <f>SUMIFS('Anlage 1c_Korrekturen_NB'!$D$11:$D$78,'Anlage 1c_Korrekturen_NB'!$A$11:$A$78,'Anlage 3a_Zusammenfassung_KWKG'!$A933)+SUMIFS('Anlage 1c_Korrekturen_NB'!$F$11:$F$78,'Anlage 1c_Korrekturen_NB'!$A$11:$A$78,'Anlage 3a_Zusammenfassung_KWKG'!$A933)+SUMIFS('Anlage 1c_Korrekturen_NB'!$H$11:$H$78,'Anlage 1c_Korrekturen_NB'!$A$11:$A$78,'Anlage 3a_Zusammenfassung_KWKG'!$A933)</f>
        <v>0</v>
      </c>
      <c r="D933" s="145">
        <f t="shared" si="41"/>
        <v>12870125</v>
      </c>
      <c r="E933" s="143" t="s">
        <v>201</v>
      </c>
      <c r="F933" s="99"/>
      <c r="G933" s="99"/>
      <c r="H933" s="99"/>
    </row>
    <row r="934" spans="1:8" s="44" customFormat="1" hidden="1" outlineLevel="1">
      <c r="A934" s="454" t="s">
        <v>202</v>
      </c>
      <c r="B934" s="544">
        <f>VLOOKUP($A934,'Anlage 1a_Zuschlagszahlungen_NB'!$A$8:$E$861,5,FALSE)</f>
        <v>1643932</v>
      </c>
      <c r="C934" s="95">
        <f>SUMIFS('Anlage 1c_Korrekturen_NB'!$D$11:$D$78,'Anlage 1c_Korrekturen_NB'!$A$11:$A$78,'Anlage 3a_Zusammenfassung_KWKG'!$A934)+SUMIFS('Anlage 1c_Korrekturen_NB'!$F$11:$F$78,'Anlage 1c_Korrekturen_NB'!$A$11:$A$78,'Anlage 3a_Zusammenfassung_KWKG'!$A934)+SUMIFS('Anlage 1c_Korrekturen_NB'!$H$11:$H$78,'Anlage 1c_Korrekturen_NB'!$A$11:$A$78,'Anlage 3a_Zusammenfassung_KWKG'!$A934)</f>
        <v>12681</v>
      </c>
      <c r="D934" s="145">
        <f t="shared" si="41"/>
        <v>1656613</v>
      </c>
      <c r="E934" s="143" t="s">
        <v>203</v>
      </c>
      <c r="F934" s="99"/>
      <c r="G934" s="99"/>
      <c r="H934" s="99"/>
    </row>
    <row r="935" spans="1:8" s="44" customFormat="1" hidden="1" outlineLevel="1">
      <c r="A935" s="454" t="s">
        <v>204</v>
      </c>
      <c r="B935" s="544">
        <f>VLOOKUP($A935,'Anlage 1a_Zuschlagszahlungen_NB'!$A$8:$E$861,5,FALSE)</f>
        <v>1843909</v>
      </c>
      <c r="C935" s="95">
        <f>SUMIFS('Anlage 1c_Korrekturen_NB'!$D$11:$D$78,'Anlage 1c_Korrekturen_NB'!$A$11:$A$78,'Anlage 3a_Zusammenfassung_KWKG'!$A935)+SUMIFS('Anlage 1c_Korrekturen_NB'!$F$11:$F$78,'Anlage 1c_Korrekturen_NB'!$A$11:$A$78,'Anlage 3a_Zusammenfassung_KWKG'!$A935)+SUMIFS('Anlage 1c_Korrekturen_NB'!$H$11:$H$78,'Anlage 1c_Korrekturen_NB'!$A$11:$A$78,'Anlage 3a_Zusammenfassung_KWKG'!$A935)</f>
        <v>0</v>
      </c>
      <c r="D935" s="145">
        <f t="shared" si="41"/>
        <v>1843909</v>
      </c>
      <c r="E935" s="143" t="s">
        <v>205</v>
      </c>
      <c r="F935" s="99"/>
      <c r="G935" s="99"/>
      <c r="H935" s="99"/>
    </row>
    <row r="936" spans="1:8" s="44" customFormat="1" hidden="1" outlineLevel="1">
      <c r="A936" s="454" t="s">
        <v>206</v>
      </c>
      <c r="B936" s="544">
        <f>VLOOKUP($A936,'Anlage 1a_Zuschlagszahlungen_NB'!$A$8:$E$861,5,FALSE)</f>
        <v>0</v>
      </c>
      <c r="C936" s="95">
        <f>SUMIFS('Anlage 1c_Korrekturen_NB'!$D$11:$D$78,'Anlage 1c_Korrekturen_NB'!$A$11:$A$78,'Anlage 3a_Zusammenfassung_KWKG'!$A936)+SUMIFS('Anlage 1c_Korrekturen_NB'!$F$11:$F$78,'Anlage 1c_Korrekturen_NB'!$A$11:$A$78,'Anlage 3a_Zusammenfassung_KWKG'!$A936)+SUMIFS('Anlage 1c_Korrekturen_NB'!$H$11:$H$78,'Anlage 1c_Korrekturen_NB'!$A$11:$A$78,'Anlage 3a_Zusammenfassung_KWKG'!$A936)</f>
        <v>0</v>
      </c>
      <c r="D936" s="145">
        <f t="shared" si="41"/>
        <v>0</v>
      </c>
      <c r="E936" s="143" t="s">
        <v>207</v>
      </c>
      <c r="F936" s="99"/>
      <c r="G936" s="99"/>
      <c r="H936" s="99"/>
    </row>
    <row r="937" spans="1:8" s="44" customFormat="1" hidden="1" outlineLevel="1">
      <c r="A937" s="454" t="s">
        <v>208</v>
      </c>
      <c r="B937" s="544">
        <f>VLOOKUP($A937,'Anlage 1a_Zuschlagszahlungen_NB'!$A$8:$E$861,5,FALSE)</f>
        <v>2397099</v>
      </c>
      <c r="C937" s="95">
        <f>SUMIFS('Anlage 1c_Korrekturen_NB'!$D$11:$D$78,'Anlage 1c_Korrekturen_NB'!$A$11:$A$78,'Anlage 3a_Zusammenfassung_KWKG'!$A937)+SUMIFS('Anlage 1c_Korrekturen_NB'!$F$11:$F$78,'Anlage 1c_Korrekturen_NB'!$A$11:$A$78,'Anlage 3a_Zusammenfassung_KWKG'!$A937)+SUMIFS('Anlage 1c_Korrekturen_NB'!$H$11:$H$78,'Anlage 1c_Korrekturen_NB'!$A$11:$A$78,'Anlage 3a_Zusammenfassung_KWKG'!$A937)</f>
        <v>0</v>
      </c>
      <c r="D937" s="145">
        <f t="shared" si="41"/>
        <v>2397099</v>
      </c>
      <c r="E937" s="143" t="s">
        <v>209</v>
      </c>
      <c r="F937" s="99"/>
      <c r="G937" s="99"/>
      <c r="H937" s="99"/>
    </row>
    <row r="938" spans="1:8" s="44" customFormat="1" hidden="1" outlineLevel="1">
      <c r="A938" s="454" t="s">
        <v>210</v>
      </c>
      <c r="B938" s="544">
        <f>VLOOKUP($A938,'Anlage 1a_Zuschlagszahlungen_NB'!$A$8:$E$861,5,FALSE)</f>
        <v>170846</v>
      </c>
      <c r="C938" s="95">
        <f>SUMIFS('Anlage 1c_Korrekturen_NB'!$D$11:$D$78,'Anlage 1c_Korrekturen_NB'!$A$11:$A$78,'Anlage 3a_Zusammenfassung_KWKG'!$A938)+SUMIFS('Anlage 1c_Korrekturen_NB'!$F$11:$F$78,'Anlage 1c_Korrekturen_NB'!$A$11:$A$78,'Anlage 3a_Zusammenfassung_KWKG'!$A938)+SUMIFS('Anlage 1c_Korrekturen_NB'!$H$11:$H$78,'Anlage 1c_Korrekturen_NB'!$A$11:$A$78,'Anlage 3a_Zusammenfassung_KWKG'!$A938)</f>
        <v>0</v>
      </c>
      <c r="D938" s="145">
        <f t="shared" si="41"/>
        <v>170846</v>
      </c>
      <c r="E938" s="143" t="s">
        <v>211</v>
      </c>
      <c r="F938" s="99"/>
      <c r="G938" s="99"/>
      <c r="H938" s="99"/>
    </row>
    <row r="939" spans="1:8" s="44" customFormat="1" hidden="1" outlineLevel="1">
      <c r="A939" s="454" t="s">
        <v>212</v>
      </c>
      <c r="B939" s="544">
        <f>VLOOKUP($A939,'Anlage 1a_Zuschlagszahlungen_NB'!$A$8:$E$861,5,FALSE)</f>
        <v>5585048</v>
      </c>
      <c r="C939" s="95">
        <f>SUMIFS('Anlage 1c_Korrekturen_NB'!$D$11:$D$78,'Anlage 1c_Korrekturen_NB'!$A$11:$A$78,'Anlage 3a_Zusammenfassung_KWKG'!$A939)+SUMIFS('Anlage 1c_Korrekturen_NB'!$F$11:$F$78,'Anlage 1c_Korrekturen_NB'!$A$11:$A$78,'Anlage 3a_Zusammenfassung_KWKG'!$A939)+SUMIFS('Anlage 1c_Korrekturen_NB'!$H$11:$H$78,'Anlage 1c_Korrekturen_NB'!$A$11:$A$78,'Anlage 3a_Zusammenfassung_KWKG'!$A939)</f>
        <v>0</v>
      </c>
      <c r="D939" s="145">
        <f t="shared" si="41"/>
        <v>5585048</v>
      </c>
      <c r="E939" s="143" t="s">
        <v>213</v>
      </c>
      <c r="F939" s="99"/>
      <c r="G939" s="99"/>
      <c r="H939" s="99"/>
    </row>
    <row r="940" spans="1:8" s="44" customFormat="1" hidden="1" outlineLevel="1">
      <c r="A940" s="454" t="s">
        <v>214</v>
      </c>
      <c r="B940" s="544">
        <f>VLOOKUP($A940,'Anlage 1a_Zuschlagszahlungen_NB'!$A$8:$E$861,5,FALSE)</f>
        <v>35578538</v>
      </c>
      <c r="C940" s="95">
        <f>SUMIFS('Anlage 1c_Korrekturen_NB'!$D$11:$D$78,'Anlage 1c_Korrekturen_NB'!$A$11:$A$78,'Anlage 3a_Zusammenfassung_KWKG'!$A940)+SUMIFS('Anlage 1c_Korrekturen_NB'!$F$11:$F$78,'Anlage 1c_Korrekturen_NB'!$A$11:$A$78,'Anlage 3a_Zusammenfassung_KWKG'!$A940)+SUMIFS('Anlage 1c_Korrekturen_NB'!$H$11:$H$78,'Anlage 1c_Korrekturen_NB'!$A$11:$A$78,'Anlage 3a_Zusammenfassung_KWKG'!$A940)</f>
        <v>0</v>
      </c>
      <c r="D940" s="145">
        <f t="shared" si="41"/>
        <v>35578538</v>
      </c>
      <c r="E940" s="143" t="s">
        <v>215</v>
      </c>
      <c r="F940" s="99"/>
      <c r="G940" s="99"/>
      <c r="H940" s="99"/>
    </row>
    <row r="941" spans="1:8" s="44" customFormat="1" hidden="1" outlineLevel="1">
      <c r="A941" s="454" t="s">
        <v>216</v>
      </c>
      <c r="B941" s="544">
        <f>VLOOKUP($A941,'Anlage 1a_Zuschlagszahlungen_NB'!$A$8:$E$861,5,FALSE)</f>
        <v>7192875</v>
      </c>
      <c r="C941" s="95">
        <f>SUMIFS('Anlage 1c_Korrekturen_NB'!$D$11:$D$78,'Anlage 1c_Korrekturen_NB'!$A$11:$A$78,'Anlage 3a_Zusammenfassung_KWKG'!$A941)+SUMIFS('Anlage 1c_Korrekturen_NB'!$F$11:$F$78,'Anlage 1c_Korrekturen_NB'!$A$11:$A$78,'Anlage 3a_Zusammenfassung_KWKG'!$A941)+SUMIFS('Anlage 1c_Korrekturen_NB'!$H$11:$H$78,'Anlage 1c_Korrekturen_NB'!$A$11:$A$78,'Anlage 3a_Zusammenfassung_KWKG'!$A941)</f>
        <v>0</v>
      </c>
      <c r="D941" s="145">
        <f t="shared" si="41"/>
        <v>7192875</v>
      </c>
      <c r="E941" s="143" t="s">
        <v>217</v>
      </c>
      <c r="F941" s="99"/>
      <c r="G941" s="99"/>
      <c r="H941" s="99"/>
    </row>
    <row r="942" spans="1:8" s="44" customFormat="1" hidden="1" outlineLevel="1">
      <c r="A942" s="454" t="s">
        <v>218</v>
      </c>
      <c r="B942" s="544">
        <f>VLOOKUP($A942,'Anlage 1a_Zuschlagszahlungen_NB'!$A$8:$E$861,5,FALSE)</f>
        <v>335993</v>
      </c>
      <c r="C942" s="95">
        <f>SUMIFS('Anlage 1c_Korrekturen_NB'!$D$11:$D$78,'Anlage 1c_Korrekturen_NB'!$A$11:$A$78,'Anlage 3a_Zusammenfassung_KWKG'!$A942)+SUMIFS('Anlage 1c_Korrekturen_NB'!$F$11:$F$78,'Anlage 1c_Korrekturen_NB'!$A$11:$A$78,'Anlage 3a_Zusammenfassung_KWKG'!$A942)+SUMIFS('Anlage 1c_Korrekturen_NB'!$H$11:$H$78,'Anlage 1c_Korrekturen_NB'!$A$11:$A$78,'Anlage 3a_Zusammenfassung_KWKG'!$A942)</f>
        <v>0</v>
      </c>
      <c r="D942" s="145">
        <f t="shared" si="41"/>
        <v>335993</v>
      </c>
      <c r="E942" s="143" t="s">
        <v>219</v>
      </c>
      <c r="F942" s="99"/>
      <c r="G942" s="99"/>
      <c r="H942" s="99"/>
    </row>
    <row r="943" spans="1:8" s="44" customFormat="1" hidden="1" outlineLevel="1">
      <c r="A943" s="454" t="s">
        <v>220</v>
      </c>
      <c r="B943" s="544">
        <f>VLOOKUP($A943,'Anlage 1a_Zuschlagszahlungen_NB'!$A$8:$E$861,5,FALSE)</f>
        <v>624187</v>
      </c>
      <c r="C943" s="95">
        <f>SUMIFS('Anlage 1c_Korrekturen_NB'!$D$11:$D$78,'Anlage 1c_Korrekturen_NB'!$A$11:$A$78,'Anlage 3a_Zusammenfassung_KWKG'!$A943)+SUMIFS('Anlage 1c_Korrekturen_NB'!$F$11:$F$78,'Anlage 1c_Korrekturen_NB'!$A$11:$A$78,'Anlage 3a_Zusammenfassung_KWKG'!$A943)+SUMIFS('Anlage 1c_Korrekturen_NB'!$H$11:$H$78,'Anlage 1c_Korrekturen_NB'!$A$11:$A$78,'Anlage 3a_Zusammenfassung_KWKG'!$A943)</f>
        <v>0</v>
      </c>
      <c r="D943" s="145">
        <f t="shared" si="41"/>
        <v>624187</v>
      </c>
      <c r="E943" s="143" t="s">
        <v>221</v>
      </c>
      <c r="F943" s="99"/>
      <c r="G943" s="99"/>
      <c r="H943" s="99"/>
    </row>
    <row r="944" spans="1:8" s="44" customFormat="1" hidden="1" outlineLevel="1">
      <c r="A944" s="454" t="s">
        <v>222</v>
      </c>
      <c r="B944" s="544">
        <f>VLOOKUP($A944,'Anlage 1a_Zuschlagszahlungen_NB'!$A$8:$E$861,5,FALSE)</f>
        <v>4706808</v>
      </c>
      <c r="C944" s="95">
        <f>SUMIFS('Anlage 1c_Korrekturen_NB'!$D$11:$D$78,'Anlage 1c_Korrekturen_NB'!$A$11:$A$78,'Anlage 3a_Zusammenfassung_KWKG'!$A944)+SUMIFS('Anlage 1c_Korrekturen_NB'!$F$11:$F$78,'Anlage 1c_Korrekturen_NB'!$A$11:$A$78,'Anlage 3a_Zusammenfassung_KWKG'!$A944)+SUMIFS('Anlage 1c_Korrekturen_NB'!$H$11:$H$78,'Anlage 1c_Korrekturen_NB'!$A$11:$A$78,'Anlage 3a_Zusammenfassung_KWKG'!$A944)</f>
        <v>0</v>
      </c>
      <c r="D944" s="145">
        <f t="shared" si="41"/>
        <v>4706808</v>
      </c>
      <c r="E944" s="143" t="s">
        <v>223</v>
      </c>
      <c r="F944" s="99"/>
      <c r="G944" s="99"/>
      <c r="H944" s="99"/>
    </row>
    <row r="945" spans="1:8" s="44" customFormat="1" hidden="1" outlineLevel="1">
      <c r="A945" s="454" t="s">
        <v>224</v>
      </c>
      <c r="B945" s="544">
        <f>VLOOKUP($A945,'Anlage 1a_Zuschlagszahlungen_NB'!$A$8:$E$861,5,FALSE)</f>
        <v>2898428</v>
      </c>
      <c r="C945" s="95">
        <f>SUMIFS('Anlage 1c_Korrekturen_NB'!$D$11:$D$78,'Anlage 1c_Korrekturen_NB'!$A$11:$A$78,'Anlage 3a_Zusammenfassung_KWKG'!$A945)+SUMIFS('Anlage 1c_Korrekturen_NB'!$F$11:$F$78,'Anlage 1c_Korrekturen_NB'!$A$11:$A$78,'Anlage 3a_Zusammenfassung_KWKG'!$A945)+SUMIFS('Anlage 1c_Korrekturen_NB'!$H$11:$H$78,'Anlage 1c_Korrekturen_NB'!$A$11:$A$78,'Anlage 3a_Zusammenfassung_KWKG'!$A945)</f>
        <v>0</v>
      </c>
      <c r="D945" s="145">
        <f t="shared" si="41"/>
        <v>2898428</v>
      </c>
      <c r="E945" s="143" t="s">
        <v>225</v>
      </c>
      <c r="F945" s="99"/>
      <c r="G945" s="99"/>
      <c r="H945" s="99"/>
    </row>
    <row r="946" spans="1:8" s="44" customFormat="1" hidden="1" outlineLevel="1">
      <c r="A946" s="454" t="s">
        <v>226</v>
      </c>
      <c r="B946" s="544">
        <f>VLOOKUP($A946,'Anlage 1a_Zuschlagszahlungen_NB'!$A$8:$E$861,5,FALSE)</f>
        <v>1128444</v>
      </c>
      <c r="C946" s="95">
        <f>SUMIFS('Anlage 1c_Korrekturen_NB'!$D$11:$D$78,'Anlage 1c_Korrekturen_NB'!$A$11:$A$78,'Anlage 3a_Zusammenfassung_KWKG'!$A946)+SUMIFS('Anlage 1c_Korrekturen_NB'!$F$11:$F$78,'Anlage 1c_Korrekturen_NB'!$A$11:$A$78,'Anlage 3a_Zusammenfassung_KWKG'!$A946)+SUMIFS('Anlage 1c_Korrekturen_NB'!$H$11:$H$78,'Anlage 1c_Korrekturen_NB'!$A$11:$A$78,'Anlage 3a_Zusammenfassung_KWKG'!$A946)</f>
        <v>0</v>
      </c>
      <c r="D946" s="145">
        <f t="shared" si="41"/>
        <v>1128444</v>
      </c>
      <c r="E946" s="143" t="s">
        <v>227</v>
      </c>
      <c r="F946" s="99"/>
      <c r="G946" s="99"/>
      <c r="H946" s="99"/>
    </row>
    <row r="947" spans="1:8" s="44" customFormat="1" hidden="1" outlineLevel="1">
      <c r="A947" s="454" t="s">
        <v>228</v>
      </c>
      <c r="B947" s="544">
        <f>VLOOKUP($A947,'Anlage 1a_Zuschlagszahlungen_NB'!$A$8:$E$861,5,FALSE)</f>
        <v>93281032</v>
      </c>
      <c r="C947" s="95">
        <f>SUMIFS('Anlage 1c_Korrekturen_NB'!$D$11:$D$78,'Anlage 1c_Korrekturen_NB'!$A$11:$A$78,'Anlage 3a_Zusammenfassung_KWKG'!$A947)+SUMIFS('Anlage 1c_Korrekturen_NB'!$F$11:$F$78,'Anlage 1c_Korrekturen_NB'!$A$11:$A$78,'Anlage 3a_Zusammenfassung_KWKG'!$A947)+SUMIFS('Anlage 1c_Korrekturen_NB'!$H$11:$H$78,'Anlage 1c_Korrekturen_NB'!$A$11:$A$78,'Anlage 3a_Zusammenfassung_KWKG'!$A947)</f>
        <v>0</v>
      </c>
      <c r="D947" s="145">
        <f t="shared" si="41"/>
        <v>93281032</v>
      </c>
      <c r="E947" s="143" t="s">
        <v>229</v>
      </c>
      <c r="F947" s="99"/>
      <c r="G947" s="99"/>
      <c r="H947" s="99"/>
    </row>
    <row r="948" spans="1:8" s="44" customFormat="1" hidden="1" outlineLevel="1">
      <c r="A948" s="454" t="s">
        <v>230</v>
      </c>
      <c r="B948" s="544">
        <f>VLOOKUP($A948,'Anlage 1a_Zuschlagszahlungen_NB'!$A$8:$E$861,5,FALSE)</f>
        <v>2969830</v>
      </c>
      <c r="C948" s="95">
        <f>SUMIFS('Anlage 1c_Korrekturen_NB'!$D$11:$D$78,'Anlage 1c_Korrekturen_NB'!$A$11:$A$78,'Anlage 3a_Zusammenfassung_KWKG'!$A948)+SUMIFS('Anlage 1c_Korrekturen_NB'!$F$11:$F$78,'Anlage 1c_Korrekturen_NB'!$A$11:$A$78,'Anlage 3a_Zusammenfassung_KWKG'!$A948)+SUMIFS('Anlage 1c_Korrekturen_NB'!$H$11:$H$78,'Anlage 1c_Korrekturen_NB'!$A$11:$A$78,'Anlage 3a_Zusammenfassung_KWKG'!$A948)</f>
        <v>0</v>
      </c>
      <c r="D948" s="145">
        <f t="shared" si="41"/>
        <v>2969830</v>
      </c>
      <c r="E948" s="143" t="s">
        <v>231</v>
      </c>
      <c r="F948" s="99"/>
      <c r="G948" s="99"/>
      <c r="H948" s="99"/>
    </row>
    <row r="949" spans="1:8" s="44" customFormat="1" hidden="1" outlineLevel="1">
      <c r="A949" s="454" t="s">
        <v>232</v>
      </c>
      <c r="B949" s="544">
        <f>VLOOKUP($A949,'Anlage 1a_Zuschlagszahlungen_NB'!$A$8:$E$861,5,FALSE)</f>
        <v>79432</v>
      </c>
      <c r="C949" s="95">
        <f>SUMIFS('Anlage 1c_Korrekturen_NB'!$D$11:$D$78,'Anlage 1c_Korrekturen_NB'!$A$11:$A$78,'Anlage 3a_Zusammenfassung_KWKG'!$A949)+SUMIFS('Anlage 1c_Korrekturen_NB'!$F$11:$F$78,'Anlage 1c_Korrekturen_NB'!$A$11:$A$78,'Anlage 3a_Zusammenfassung_KWKG'!$A949)+SUMIFS('Anlage 1c_Korrekturen_NB'!$H$11:$H$78,'Anlage 1c_Korrekturen_NB'!$A$11:$A$78,'Anlage 3a_Zusammenfassung_KWKG'!$A949)</f>
        <v>0</v>
      </c>
      <c r="D949" s="145">
        <f t="shared" ref="D949:D980" si="42">B949+C949</f>
        <v>79432</v>
      </c>
      <c r="E949" s="143" t="s">
        <v>233</v>
      </c>
      <c r="F949" s="99"/>
      <c r="G949" s="99"/>
      <c r="H949" s="99"/>
    </row>
    <row r="950" spans="1:8" s="44" customFormat="1" hidden="1" outlineLevel="1">
      <c r="A950" s="454" t="s">
        <v>234</v>
      </c>
      <c r="B950" s="544">
        <f>VLOOKUP($A950,'Anlage 1a_Zuschlagszahlungen_NB'!$A$8:$E$861,5,FALSE)</f>
        <v>1116055</v>
      </c>
      <c r="C950" s="95">
        <f>SUMIFS('Anlage 1c_Korrekturen_NB'!$D$11:$D$78,'Anlage 1c_Korrekturen_NB'!$A$11:$A$78,'Anlage 3a_Zusammenfassung_KWKG'!$A950)+SUMIFS('Anlage 1c_Korrekturen_NB'!$F$11:$F$78,'Anlage 1c_Korrekturen_NB'!$A$11:$A$78,'Anlage 3a_Zusammenfassung_KWKG'!$A950)+SUMIFS('Anlage 1c_Korrekturen_NB'!$H$11:$H$78,'Anlage 1c_Korrekturen_NB'!$A$11:$A$78,'Anlage 3a_Zusammenfassung_KWKG'!$A950)</f>
        <v>0</v>
      </c>
      <c r="D950" s="145">
        <f t="shared" si="42"/>
        <v>1116055</v>
      </c>
      <c r="E950" s="143" t="s">
        <v>235</v>
      </c>
      <c r="F950" s="99"/>
      <c r="G950" s="99"/>
      <c r="H950" s="99"/>
    </row>
    <row r="951" spans="1:8" s="44" customFormat="1" hidden="1" outlineLevel="1">
      <c r="A951" s="454" t="s">
        <v>236</v>
      </c>
      <c r="B951" s="544">
        <f>VLOOKUP($A951,'Anlage 1a_Zuschlagszahlungen_NB'!$A$8:$E$861,5,FALSE)</f>
        <v>372499</v>
      </c>
      <c r="C951" s="95">
        <f>SUMIFS('Anlage 1c_Korrekturen_NB'!$D$11:$D$78,'Anlage 1c_Korrekturen_NB'!$A$11:$A$78,'Anlage 3a_Zusammenfassung_KWKG'!$A951)+SUMIFS('Anlage 1c_Korrekturen_NB'!$F$11:$F$78,'Anlage 1c_Korrekturen_NB'!$A$11:$A$78,'Anlage 3a_Zusammenfassung_KWKG'!$A951)+SUMIFS('Anlage 1c_Korrekturen_NB'!$H$11:$H$78,'Anlage 1c_Korrekturen_NB'!$A$11:$A$78,'Anlage 3a_Zusammenfassung_KWKG'!$A951)</f>
        <v>0</v>
      </c>
      <c r="D951" s="145">
        <f t="shared" si="42"/>
        <v>372499</v>
      </c>
      <c r="E951" s="143" t="s">
        <v>237</v>
      </c>
      <c r="F951" s="99"/>
      <c r="G951" s="99"/>
      <c r="H951" s="99"/>
    </row>
    <row r="952" spans="1:8" s="44" customFormat="1" hidden="1" outlineLevel="1">
      <c r="A952" s="454" t="s">
        <v>238</v>
      </c>
      <c r="B952" s="544">
        <f>VLOOKUP($A952,'Anlage 1a_Zuschlagszahlungen_NB'!$A$8:$E$861,5,FALSE)</f>
        <v>11687814</v>
      </c>
      <c r="C952" s="95">
        <f>SUMIFS('Anlage 1c_Korrekturen_NB'!$D$11:$D$78,'Anlage 1c_Korrekturen_NB'!$A$11:$A$78,'Anlage 3a_Zusammenfassung_KWKG'!$A952)+SUMIFS('Anlage 1c_Korrekturen_NB'!$F$11:$F$78,'Anlage 1c_Korrekturen_NB'!$A$11:$A$78,'Anlage 3a_Zusammenfassung_KWKG'!$A952)+SUMIFS('Anlage 1c_Korrekturen_NB'!$H$11:$H$78,'Anlage 1c_Korrekturen_NB'!$A$11:$A$78,'Anlage 3a_Zusammenfassung_KWKG'!$A952)</f>
        <v>5868893</v>
      </c>
      <c r="D952" s="145">
        <f t="shared" si="42"/>
        <v>17556707</v>
      </c>
      <c r="E952" s="143" t="s">
        <v>239</v>
      </c>
      <c r="F952" s="99"/>
      <c r="G952" s="99"/>
      <c r="H952" s="99"/>
    </row>
    <row r="953" spans="1:8" s="44" customFormat="1" hidden="1" outlineLevel="1">
      <c r="A953" s="454" t="s">
        <v>240</v>
      </c>
      <c r="B953" s="544">
        <f>VLOOKUP($A953,'Anlage 1a_Zuschlagszahlungen_NB'!$A$8:$E$861,5,FALSE)</f>
        <v>5234989</v>
      </c>
      <c r="C953" s="95">
        <f>SUMIFS('Anlage 1c_Korrekturen_NB'!$D$11:$D$78,'Anlage 1c_Korrekturen_NB'!$A$11:$A$78,'Anlage 3a_Zusammenfassung_KWKG'!$A953)+SUMIFS('Anlage 1c_Korrekturen_NB'!$F$11:$F$78,'Anlage 1c_Korrekturen_NB'!$A$11:$A$78,'Anlage 3a_Zusammenfassung_KWKG'!$A953)+SUMIFS('Anlage 1c_Korrekturen_NB'!$H$11:$H$78,'Anlage 1c_Korrekturen_NB'!$A$11:$A$78,'Anlage 3a_Zusammenfassung_KWKG'!$A953)</f>
        <v>0</v>
      </c>
      <c r="D953" s="145">
        <f t="shared" si="42"/>
        <v>5234989</v>
      </c>
      <c r="E953" s="143" t="s">
        <v>241</v>
      </c>
      <c r="F953" s="99"/>
      <c r="G953" s="99"/>
      <c r="H953" s="99"/>
    </row>
    <row r="954" spans="1:8" s="44" customFormat="1" hidden="1" outlineLevel="1">
      <c r="A954" s="454" t="s">
        <v>242</v>
      </c>
      <c r="B954" s="544">
        <f>VLOOKUP($A954,'Anlage 1a_Zuschlagszahlungen_NB'!$A$8:$E$861,5,FALSE)</f>
        <v>4813441</v>
      </c>
      <c r="C954" s="95">
        <f>SUMIFS('Anlage 1c_Korrekturen_NB'!$D$11:$D$78,'Anlage 1c_Korrekturen_NB'!$A$11:$A$78,'Anlage 3a_Zusammenfassung_KWKG'!$A954)+SUMIFS('Anlage 1c_Korrekturen_NB'!$F$11:$F$78,'Anlage 1c_Korrekturen_NB'!$A$11:$A$78,'Anlage 3a_Zusammenfassung_KWKG'!$A954)+SUMIFS('Anlage 1c_Korrekturen_NB'!$H$11:$H$78,'Anlage 1c_Korrekturen_NB'!$A$11:$A$78,'Anlage 3a_Zusammenfassung_KWKG'!$A954)</f>
        <v>0</v>
      </c>
      <c r="D954" s="145">
        <f t="shared" si="42"/>
        <v>4813441</v>
      </c>
      <c r="E954" s="143" t="s">
        <v>243</v>
      </c>
      <c r="F954" s="99"/>
      <c r="G954" s="99"/>
      <c r="H954" s="99"/>
    </row>
    <row r="955" spans="1:8" s="44" customFormat="1" hidden="1" outlineLevel="1">
      <c r="A955" s="454" t="s">
        <v>244</v>
      </c>
      <c r="B955" s="544">
        <f>VLOOKUP($A955,'Anlage 1a_Zuschlagszahlungen_NB'!$A$8:$E$861,5,FALSE)</f>
        <v>714423</v>
      </c>
      <c r="C955" s="95">
        <f>SUMIFS('Anlage 1c_Korrekturen_NB'!$D$11:$D$78,'Anlage 1c_Korrekturen_NB'!$A$11:$A$78,'Anlage 3a_Zusammenfassung_KWKG'!$A955)+SUMIFS('Anlage 1c_Korrekturen_NB'!$F$11:$F$78,'Anlage 1c_Korrekturen_NB'!$A$11:$A$78,'Anlage 3a_Zusammenfassung_KWKG'!$A955)+SUMIFS('Anlage 1c_Korrekturen_NB'!$H$11:$H$78,'Anlage 1c_Korrekturen_NB'!$A$11:$A$78,'Anlage 3a_Zusammenfassung_KWKG'!$A955)</f>
        <v>0</v>
      </c>
      <c r="D955" s="145">
        <f t="shared" si="42"/>
        <v>714423</v>
      </c>
      <c r="E955" s="143" t="s">
        <v>245</v>
      </c>
      <c r="F955" s="99"/>
      <c r="G955" s="99"/>
      <c r="H955" s="99"/>
    </row>
    <row r="956" spans="1:8" s="44" customFormat="1" hidden="1" outlineLevel="1">
      <c r="A956" s="454" t="s">
        <v>246</v>
      </c>
      <c r="B956" s="544">
        <f>VLOOKUP($A956,'Anlage 1a_Zuschlagszahlungen_NB'!$A$8:$E$861,5,FALSE)</f>
        <v>80000</v>
      </c>
      <c r="C956" s="95">
        <f>SUMIFS('Anlage 1c_Korrekturen_NB'!$D$11:$D$78,'Anlage 1c_Korrekturen_NB'!$A$11:$A$78,'Anlage 3a_Zusammenfassung_KWKG'!$A956)+SUMIFS('Anlage 1c_Korrekturen_NB'!$F$11:$F$78,'Anlage 1c_Korrekturen_NB'!$A$11:$A$78,'Anlage 3a_Zusammenfassung_KWKG'!$A956)+SUMIFS('Anlage 1c_Korrekturen_NB'!$H$11:$H$78,'Anlage 1c_Korrekturen_NB'!$A$11:$A$78,'Anlage 3a_Zusammenfassung_KWKG'!$A956)</f>
        <v>0</v>
      </c>
      <c r="D956" s="145">
        <f t="shared" si="42"/>
        <v>80000</v>
      </c>
      <c r="E956" s="143" t="s">
        <v>247</v>
      </c>
      <c r="F956" s="99"/>
      <c r="G956" s="99"/>
      <c r="H956" s="99"/>
    </row>
    <row r="957" spans="1:8" s="44" customFormat="1" hidden="1" outlineLevel="1">
      <c r="A957" s="454" t="s">
        <v>248</v>
      </c>
      <c r="B957" s="544">
        <f>VLOOKUP($A957,'Anlage 1a_Zuschlagszahlungen_NB'!$A$8:$E$861,5,FALSE)</f>
        <v>186660255</v>
      </c>
      <c r="C957" s="95">
        <f>SUMIFS('Anlage 1c_Korrekturen_NB'!$D$11:$D$78,'Anlage 1c_Korrekturen_NB'!$A$11:$A$78,'Anlage 3a_Zusammenfassung_KWKG'!$A957)+SUMIFS('Anlage 1c_Korrekturen_NB'!$F$11:$F$78,'Anlage 1c_Korrekturen_NB'!$A$11:$A$78,'Anlage 3a_Zusammenfassung_KWKG'!$A957)+SUMIFS('Anlage 1c_Korrekturen_NB'!$H$11:$H$78,'Anlage 1c_Korrekturen_NB'!$A$11:$A$78,'Anlage 3a_Zusammenfassung_KWKG'!$A957)</f>
        <v>0</v>
      </c>
      <c r="D957" s="145">
        <f t="shared" si="42"/>
        <v>186660255</v>
      </c>
      <c r="E957" s="143" t="s">
        <v>249</v>
      </c>
      <c r="F957" s="99"/>
      <c r="G957" s="99"/>
      <c r="H957" s="99"/>
    </row>
    <row r="958" spans="1:8" s="44" customFormat="1" hidden="1" outlineLevel="1">
      <c r="A958" s="454" t="s">
        <v>250</v>
      </c>
      <c r="B958" s="544">
        <f>VLOOKUP($A958,'Anlage 1a_Zuschlagszahlungen_NB'!$A$8:$E$861,5,FALSE)</f>
        <v>76414025</v>
      </c>
      <c r="C958" s="95">
        <f>SUMIFS('Anlage 1c_Korrekturen_NB'!$D$11:$D$78,'Anlage 1c_Korrekturen_NB'!$A$11:$A$78,'Anlage 3a_Zusammenfassung_KWKG'!$A958)+SUMIFS('Anlage 1c_Korrekturen_NB'!$F$11:$F$78,'Anlage 1c_Korrekturen_NB'!$A$11:$A$78,'Anlage 3a_Zusammenfassung_KWKG'!$A958)+SUMIFS('Anlage 1c_Korrekturen_NB'!$H$11:$H$78,'Anlage 1c_Korrekturen_NB'!$A$11:$A$78,'Anlage 3a_Zusammenfassung_KWKG'!$A958)</f>
        <v>10028808</v>
      </c>
      <c r="D958" s="145">
        <f t="shared" si="42"/>
        <v>86442833</v>
      </c>
      <c r="E958" s="143" t="s">
        <v>251</v>
      </c>
      <c r="F958" s="99"/>
      <c r="G958" s="99"/>
      <c r="H958" s="99"/>
    </row>
    <row r="959" spans="1:8" s="44" customFormat="1" hidden="1" outlineLevel="1">
      <c r="A959" s="454" t="s">
        <v>252</v>
      </c>
      <c r="B959" s="544">
        <f>VLOOKUP($A959,'Anlage 1a_Zuschlagszahlungen_NB'!$A$8:$E$861,5,FALSE)</f>
        <v>432711792</v>
      </c>
      <c r="C959" s="95">
        <f>SUMIFS('Anlage 1c_Korrekturen_NB'!$D$11:$D$78,'Anlage 1c_Korrekturen_NB'!$A$11:$A$78,'Anlage 3a_Zusammenfassung_KWKG'!$A959)+SUMIFS('Anlage 1c_Korrekturen_NB'!$F$11:$F$78,'Anlage 1c_Korrekturen_NB'!$A$11:$A$78,'Anlage 3a_Zusammenfassung_KWKG'!$A959)+SUMIFS('Anlage 1c_Korrekturen_NB'!$H$11:$H$78,'Anlage 1c_Korrekturen_NB'!$A$11:$A$78,'Anlage 3a_Zusammenfassung_KWKG'!$A959)</f>
        <v>869209</v>
      </c>
      <c r="D959" s="145">
        <f t="shared" si="42"/>
        <v>433581001</v>
      </c>
      <c r="E959" s="143" t="s">
        <v>253</v>
      </c>
      <c r="F959" s="99"/>
      <c r="G959" s="99"/>
      <c r="H959" s="99"/>
    </row>
    <row r="960" spans="1:8" s="44" customFormat="1" hidden="1" outlineLevel="1">
      <c r="A960" s="454" t="s">
        <v>254</v>
      </c>
      <c r="B960" s="544">
        <f>VLOOKUP($A960,'Anlage 1a_Zuschlagszahlungen_NB'!$A$8:$E$861,5,FALSE)</f>
        <v>16491076</v>
      </c>
      <c r="C960" s="95">
        <f>SUMIFS('Anlage 1c_Korrekturen_NB'!$D$11:$D$78,'Anlage 1c_Korrekturen_NB'!$A$11:$A$78,'Anlage 3a_Zusammenfassung_KWKG'!$A960)+SUMIFS('Anlage 1c_Korrekturen_NB'!$F$11:$F$78,'Anlage 1c_Korrekturen_NB'!$A$11:$A$78,'Anlage 3a_Zusammenfassung_KWKG'!$A960)+SUMIFS('Anlage 1c_Korrekturen_NB'!$H$11:$H$78,'Anlage 1c_Korrekturen_NB'!$A$11:$A$78,'Anlage 3a_Zusammenfassung_KWKG'!$A960)</f>
        <v>0</v>
      </c>
      <c r="D960" s="145">
        <f t="shared" si="42"/>
        <v>16491076</v>
      </c>
      <c r="E960" s="143" t="s">
        <v>255</v>
      </c>
      <c r="F960" s="99"/>
      <c r="G960" s="99"/>
      <c r="H960" s="99"/>
    </row>
    <row r="961" spans="1:8" s="44" customFormat="1" hidden="1" outlineLevel="1">
      <c r="A961" s="454" t="s">
        <v>256</v>
      </c>
      <c r="B961" s="544">
        <f>VLOOKUP($A961,'Anlage 1a_Zuschlagszahlungen_NB'!$A$8:$E$861,5,FALSE)</f>
        <v>17073457</v>
      </c>
      <c r="C961" s="95">
        <f>SUMIFS('Anlage 1c_Korrekturen_NB'!$D$11:$D$78,'Anlage 1c_Korrekturen_NB'!$A$11:$A$78,'Anlage 3a_Zusammenfassung_KWKG'!$A961)+SUMIFS('Anlage 1c_Korrekturen_NB'!$F$11:$F$78,'Anlage 1c_Korrekturen_NB'!$A$11:$A$78,'Anlage 3a_Zusammenfassung_KWKG'!$A961)+SUMIFS('Anlage 1c_Korrekturen_NB'!$H$11:$H$78,'Anlage 1c_Korrekturen_NB'!$A$11:$A$78,'Anlage 3a_Zusammenfassung_KWKG'!$A961)</f>
        <v>0</v>
      </c>
      <c r="D961" s="145">
        <f t="shared" si="42"/>
        <v>17073457</v>
      </c>
      <c r="E961" s="143" t="s">
        <v>257</v>
      </c>
      <c r="F961" s="99"/>
      <c r="G961" s="99"/>
      <c r="H961" s="99"/>
    </row>
    <row r="962" spans="1:8" s="44" customFormat="1" hidden="1" outlineLevel="1">
      <c r="A962" s="454" t="s">
        <v>258</v>
      </c>
      <c r="B962" s="544">
        <f>VLOOKUP($A962,'Anlage 1a_Zuschlagszahlungen_NB'!$A$8:$E$861,5,FALSE)</f>
        <v>582044</v>
      </c>
      <c r="C962" s="95">
        <f>SUMIFS('Anlage 1c_Korrekturen_NB'!$D$11:$D$78,'Anlage 1c_Korrekturen_NB'!$A$11:$A$78,'Anlage 3a_Zusammenfassung_KWKG'!$A962)+SUMIFS('Anlage 1c_Korrekturen_NB'!$F$11:$F$78,'Anlage 1c_Korrekturen_NB'!$A$11:$A$78,'Anlage 3a_Zusammenfassung_KWKG'!$A962)+SUMIFS('Anlage 1c_Korrekturen_NB'!$H$11:$H$78,'Anlage 1c_Korrekturen_NB'!$A$11:$A$78,'Anlage 3a_Zusammenfassung_KWKG'!$A962)</f>
        <v>0</v>
      </c>
      <c r="D962" s="145">
        <f t="shared" si="42"/>
        <v>582044</v>
      </c>
      <c r="E962" s="143" t="s">
        <v>259</v>
      </c>
      <c r="F962" s="99"/>
      <c r="G962" s="99"/>
      <c r="H962" s="99"/>
    </row>
    <row r="963" spans="1:8" s="44" customFormat="1" hidden="1" outlineLevel="1">
      <c r="A963" s="454" t="s">
        <v>260</v>
      </c>
      <c r="B963" s="544">
        <f>VLOOKUP($A963,'Anlage 1a_Zuschlagszahlungen_NB'!$A$8:$E$861,5,FALSE)</f>
        <v>334898</v>
      </c>
      <c r="C963" s="95">
        <f>SUMIFS('Anlage 1c_Korrekturen_NB'!$D$11:$D$78,'Anlage 1c_Korrekturen_NB'!$A$11:$A$78,'Anlage 3a_Zusammenfassung_KWKG'!$A963)+SUMIFS('Anlage 1c_Korrekturen_NB'!$F$11:$F$78,'Anlage 1c_Korrekturen_NB'!$A$11:$A$78,'Anlage 3a_Zusammenfassung_KWKG'!$A963)+SUMIFS('Anlage 1c_Korrekturen_NB'!$H$11:$H$78,'Anlage 1c_Korrekturen_NB'!$A$11:$A$78,'Anlage 3a_Zusammenfassung_KWKG'!$A963)</f>
        <v>0</v>
      </c>
      <c r="D963" s="145">
        <f t="shared" si="42"/>
        <v>334898</v>
      </c>
      <c r="E963" s="143" t="s">
        <v>261</v>
      </c>
      <c r="F963" s="99"/>
      <c r="G963" s="99"/>
      <c r="H963" s="99"/>
    </row>
    <row r="964" spans="1:8" s="44" customFormat="1" hidden="1" outlineLevel="1">
      <c r="A964" s="454" t="s">
        <v>262</v>
      </c>
      <c r="B964" s="544">
        <f>VLOOKUP($A964,'Anlage 1a_Zuschlagszahlungen_NB'!$A$8:$E$861,5,FALSE)</f>
        <v>14260798</v>
      </c>
      <c r="C964" s="95">
        <f>SUMIFS('Anlage 1c_Korrekturen_NB'!$D$11:$D$78,'Anlage 1c_Korrekturen_NB'!$A$11:$A$78,'Anlage 3a_Zusammenfassung_KWKG'!$A964)+SUMIFS('Anlage 1c_Korrekturen_NB'!$F$11:$F$78,'Anlage 1c_Korrekturen_NB'!$A$11:$A$78,'Anlage 3a_Zusammenfassung_KWKG'!$A964)+SUMIFS('Anlage 1c_Korrekturen_NB'!$H$11:$H$78,'Anlage 1c_Korrekturen_NB'!$A$11:$A$78,'Anlage 3a_Zusammenfassung_KWKG'!$A964)</f>
        <v>0</v>
      </c>
      <c r="D964" s="145">
        <f t="shared" si="42"/>
        <v>14260798</v>
      </c>
      <c r="E964" s="143" t="s">
        <v>263</v>
      </c>
      <c r="F964" s="99"/>
      <c r="G964" s="99"/>
      <c r="H964" s="99"/>
    </row>
    <row r="965" spans="1:8" s="44" customFormat="1" hidden="1" outlineLevel="1">
      <c r="A965" s="454" t="s">
        <v>264</v>
      </c>
      <c r="B965" s="544">
        <f>VLOOKUP($A965,'Anlage 1a_Zuschlagszahlungen_NB'!$A$8:$E$861,5,FALSE)</f>
        <v>571992</v>
      </c>
      <c r="C965" s="95">
        <f>SUMIFS('Anlage 1c_Korrekturen_NB'!$D$11:$D$78,'Anlage 1c_Korrekturen_NB'!$A$11:$A$78,'Anlage 3a_Zusammenfassung_KWKG'!$A965)+SUMIFS('Anlage 1c_Korrekturen_NB'!$F$11:$F$78,'Anlage 1c_Korrekturen_NB'!$A$11:$A$78,'Anlage 3a_Zusammenfassung_KWKG'!$A965)+SUMIFS('Anlage 1c_Korrekturen_NB'!$H$11:$H$78,'Anlage 1c_Korrekturen_NB'!$A$11:$A$78,'Anlage 3a_Zusammenfassung_KWKG'!$A965)</f>
        <v>1776</v>
      </c>
      <c r="D965" s="145">
        <f t="shared" si="42"/>
        <v>573768</v>
      </c>
      <c r="E965" s="143" t="s">
        <v>265</v>
      </c>
      <c r="F965" s="99"/>
      <c r="G965" s="99"/>
      <c r="H965" s="99"/>
    </row>
    <row r="966" spans="1:8" s="44" customFormat="1" hidden="1" outlineLevel="1">
      <c r="A966" s="454" t="s">
        <v>266</v>
      </c>
      <c r="B966" s="544">
        <f>VLOOKUP($A966,'Anlage 1a_Zuschlagszahlungen_NB'!$A$8:$E$861,5,FALSE)</f>
        <v>182711053</v>
      </c>
      <c r="C966" s="95">
        <f>SUMIFS('Anlage 1c_Korrekturen_NB'!$D$11:$D$78,'Anlage 1c_Korrekturen_NB'!$A$11:$A$78,'Anlage 3a_Zusammenfassung_KWKG'!$A966)+SUMIFS('Anlage 1c_Korrekturen_NB'!$F$11:$F$78,'Anlage 1c_Korrekturen_NB'!$A$11:$A$78,'Anlage 3a_Zusammenfassung_KWKG'!$A966)+SUMIFS('Anlage 1c_Korrekturen_NB'!$H$11:$H$78,'Anlage 1c_Korrekturen_NB'!$A$11:$A$78,'Anlage 3a_Zusammenfassung_KWKG'!$A966)</f>
        <v>0</v>
      </c>
      <c r="D966" s="145">
        <f t="shared" si="42"/>
        <v>182711053</v>
      </c>
      <c r="E966" s="143" t="s">
        <v>267</v>
      </c>
      <c r="F966" s="99"/>
      <c r="G966" s="99"/>
      <c r="H966" s="99"/>
    </row>
    <row r="967" spans="1:8" s="44" customFormat="1" hidden="1" outlineLevel="1">
      <c r="A967" s="454" t="s">
        <v>268</v>
      </c>
      <c r="B967" s="544">
        <f>VLOOKUP($A967,'Anlage 1a_Zuschlagszahlungen_NB'!$A$8:$E$861,5,FALSE)</f>
        <v>45897950</v>
      </c>
      <c r="C967" s="95">
        <f>SUMIFS('Anlage 1c_Korrekturen_NB'!$D$11:$D$78,'Anlage 1c_Korrekturen_NB'!$A$11:$A$78,'Anlage 3a_Zusammenfassung_KWKG'!$A967)+SUMIFS('Anlage 1c_Korrekturen_NB'!$F$11:$F$78,'Anlage 1c_Korrekturen_NB'!$A$11:$A$78,'Anlage 3a_Zusammenfassung_KWKG'!$A967)+SUMIFS('Anlage 1c_Korrekturen_NB'!$H$11:$H$78,'Anlage 1c_Korrekturen_NB'!$A$11:$A$78,'Anlage 3a_Zusammenfassung_KWKG'!$A967)</f>
        <v>-18438</v>
      </c>
      <c r="D967" s="145">
        <f t="shared" si="42"/>
        <v>45879512</v>
      </c>
      <c r="E967" s="143" t="s">
        <v>269</v>
      </c>
      <c r="F967" s="99"/>
      <c r="G967" s="99"/>
      <c r="H967" s="99"/>
    </row>
    <row r="968" spans="1:8" s="44" customFormat="1" hidden="1" outlineLevel="1">
      <c r="A968" s="454" t="s">
        <v>270</v>
      </c>
      <c r="B968" s="544">
        <f>VLOOKUP($A968,'Anlage 1a_Zuschlagszahlungen_NB'!$A$8:$E$861,5,FALSE)</f>
        <v>334704</v>
      </c>
      <c r="C968" s="95">
        <f>SUMIFS('Anlage 1c_Korrekturen_NB'!$D$11:$D$78,'Anlage 1c_Korrekturen_NB'!$A$11:$A$78,'Anlage 3a_Zusammenfassung_KWKG'!$A968)+SUMIFS('Anlage 1c_Korrekturen_NB'!$F$11:$F$78,'Anlage 1c_Korrekturen_NB'!$A$11:$A$78,'Anlage 3a_Zusammenfassung_KWKG'!$A968)+SUMIFS('Anlage 1c_Korrekturen_NB'!$H$11:$H$78,'Anlage 1c_Korrekturen_NB'!$A$11:$A$78,'Anlage 3a_Zusammenfassung_KWKG'!$A968)</f>
        <v>0</v>
      </c>
      <c r="D968" s="145">
        <f t="shared" si="42"/>
        <v>334704</v>
      </c>
      <c r="E968" s="143" t="s">
        <v>271</v>
      </c>
      <c r="F968" s="99"/>
      <c r="G968" s="99"/>
      <c r="H968" s="99"/>
    </row>
    <row r="969" spans="1:8" s="44" customFormat="1" hidden="1" outlineLevel="1">
      <c r="A969" s="454" t="s">
        <v>272</v>
      </c>
      <c r="B969" s="544">
        <f>VLOOKUP($A969,'Anlage 1a_Zuschlagszahlungen_NB'!$A$8:$E$861,5,FALSE)</f>
        <v>516487</v>
      </c>
      <c r="C969" s="95">
        <f>SUMIFS('Anlage 1c_Korrekturen_NB'!$D$11:$D$78,'Anlage 1c_Korrekturen_NB'!$A$11:$A$78,'Anlage 3a_Zusammenfassung_KWKG'!$A969)+SUMIFS('Anlage 1c_Korrekturen_NB'!$F$11:$F$78,'Anlage 1c_Korrekturen_NB'!$A$11:$A$78,'Anlage 3a_Zusammenfassung_KWKG'!$A969)+SUMIFS('Anlage 1c_Korrekturen_NB'!$H$11:$H$78,'Anlage 1c_Korrekturen_NB'!$A$11:$A$78,'Anlage 3a_Zusammenfassung_KWKG'!$A969)</f>
        <v>0</v>
      </c>
      <c r="D969" s="145">
        <f t="shared" si="42"/>
        <v>516487</v>
      </c>
      <c r="E969" s="143" t="s">
        <v>273</v>
      </c>
      <c r="F969" s="99"/>
      <c r="G969" s="99"/>
      <c r="H969" s="99"/>
    </row>
    <row r="970" spans="1:8" s="44" customFormat="1" hidden="1" outlineLevel="1">
      <c r="A970" s="454" t="s">
        <v>274</v>
      </c>
      <c r="B970" s="544">
        <f>VLOOKUP($A970,'Anlage 1a_Zuschlagszahlungen_NB'!$A$8:$E$861,5,FALSE)</f>
        <v>7005233</v>
      </c>
      <c r="C970" s="95">
        <f>SUMIFS('Anlage 1c_Korrekturen_NB'!$D$11:$D$78,'Anlage 1c_Korrekturen_NB'!$A$11:$A$78,'Anlage 3a_Zusammenfassung_KWKG'!$A970)+SUMIFS('Anlage 1c_Korrekturen_NB'!$F$11:$F$78,'Anlage 1c_Korrekturen_NB'!$A$11:$A$78,'Anlage 3a_Zusammenfassung_KWKG'!$A970)+SUMIFS('Anlage 1c_Korrekturen_NB'!$H$11:$H$78,'Anlage 1c_Korrekturen_NB'!$A$11:$A$78,'Anlage 3a_Zusammenfassung_KWKG'!$A970)</f>
        <v>0</v>
      </c>
      <c r="D970" s="145">
        <f t="shared" si="42"/>
        <v>7005233</v>
      </c>
      <c r="E970" s="143" t="s">
        <v>275</v>
      </c>
      <c r="F970" s="99"/>
      <c r="G970" s="99"/>
      <c r="H970" s="99"/>
    </row>
    <row r="971" spans="1:8" s="44" customFormat="1" hidden="1" outlineLevel="1">
      <c r="A971" s="454" t="s">
        <v>276</v>
      </c>
      <c r="B971" s="544">
        <f>VLOOKUP($A971,'Anlage 1a_Zuschlagszahlungen_NB'!$A$8:$E$861,5,FALSE)</f>
        <v>3770774</v>
      </c>
      <c r="C971" s="95">
        <f>SUMIFS('Anlage 1c_Korrekturen_NB'!$D$11:$D$78,'Anlage 1c_Korrekturen_NB'!$A$11:$A$78,'Anlage 3a_Zusammenfassung_KWKG'!$A971)+SUMIFS('Anlage 1c_Korrekturen_NB'!$F$11:$F$78,'Anlage 1c_Korrekturen_NB'!$A$11:$A$78,'Anlage 3a_Zusammenfassung_KWKG'!$A971)+SUMIFS('Anlage 1c_Korrekturen_NB'!$H$11:$H$78,'Anlage 1c_Korrekturen_NB'!$A$11:$A$78,'Anlage 3a_Zusammenfassung_KWKG'!$A971)</f>
        <v>0</v>
      </c>
      <c r="D971" s="145">
        <f t="shared" si="42"/>
        <v>3770774</v>
      </c>
      <c r="E971" s="143" t="s">
        <v>277</v>
      </c>
      <c r="F971" s="99"/>
      <c r="G971" s="99"/>
      <c r="H971" s="99"/>
    </row>
    <row r="972" spans="1:8" s="44" customFormat="1" hidden="1" outlineLevel="1">
      <c r="A972" s="454" t="s">
        <v>278</v>
      </c>
      <c r="B972" s="544">
        <f>VLOOKUP($A972,'Anlage 1a_Zuschlagszahlungen_NB'!$A$8:$E$861,5,FALSE)</f>
        <v>3782719</v>
      </c>
      <c r="C972" s="95">
        <f>SUMIFS('Anlage 1c_Korrekturen_NB'!$D$11:$D$78,'Anlage 1c_Korrekturen_NB'!$A$11:$A$78,'Anlage 3a_Zusammenfassung_KWKG'!$A972)+SUMIFS('Anlage 1c_Korrekturen_NB'!$F$11:$F$78,'Anlage 1c_Korrekturen_NB'!$A$11:$A$78,'Anlage 3a_Zusammenfassung_KWKG'!$A972)+SUMIFS('Anlage 1c_Korrekturen_NB'!$H$11:$H$78,'Anlage 1c_Korrekturen_NB'!$A$11:$A$78,'Anlage 3a_Zusammenfassung_KWKG'!$A972)</f>
        <v>0</v>
      </c>
      <c r="D972" s="145">
        <f t="shared" si="42"/>
        <v>3782719</v>
      </c>
      <c r="E972" s="143" t="s">
        <v>279</v>
      </c>
      <c r="F972" s="99"/>
      <c r="G972" s="99"/>
      <c r="H972" s="99"/>
    </row>
    <row r="973" spans="1:8" s="44" customFormat="1" hidden="1" outlineLevel="1">
      <c r="A973" s="454" t="s">
        <v>280</v>
      </c>
      <c r="B973" s="544">
        <f>VLOOKUP($A973,'Anlage 1a_Zuschlagszahlungen_NB'!$A$8:$E$861,5,FALSE)</f>
        <v>2538614</v>
      </c>
      <c r="C973" s="95">
        <f>SUMIFS('Anlage 1c_Korrekturen_NB'!$D$11:$D$78,'Anlage 1c_Korrekturen_NB'!$A$11:$A$78,'Anlage 3a_Zusammenfassung_KWKG'!$A973)+SUMIFS('Anlage 1c_Korrekturen_NB'!$F$11:$F$78,'Anlage 1c_Korrekturen_NB'!$A$11:$A$78,'Anlage 3a_Zusammenfassung_KWKG'!$A973)+SUMIFS('Anlage 1c_Korrekturen_NB'!$H$11:$H$78,'Anlage 1c_Korrekturen_NB'!$A$11:$A$78,'Anlage 3a_Zusammenfassung_KWKG'!$A973)</f>
        <v>24102</v>
      </c>
      <c r="D973" s="145">
        <f t="shared" si="42"/>
        <v>2562716</v>
      </c>
      <c r="E973" s="143" t="s">
        <v>281</v>
      </c>
      <c r="F973" s="99"/>
      <c r="G973" s="99"/>
      <c r="H973" s="99"/>
    </row>
    <row r="974" spans="1:8" s="44" customFormat="1" hidden="1" outlineLevel="1">
      <c r="A974" s="454" t="s">
        <v>282</v>
      </c>
      <c r="B974" s="544">
        <f>VLOOKUP($A974,'Anlage 1a_Zuschlagszahlungen_NB'!$A$8:$E$861,5,FALSE)</f>
        <v>796292</v>
      </c>
      <c r="C974" s="95">
        <f>SUMIFS('Anlage 1c_Korrekturen_NB'!$D$11:$D$78,'Anlage 1c_Korrekturen_NB'!$A$11:$A$78,'Anlage 3a_Zusammenfassung_KWKG'!$A974)+SUMIFS('Anlage 1c_Korrekturen_NB'!$F$11:$F$78,'Anlage 1c_Korrekturen_NB'!$A$11:$A$78,'Anlage 3a_Zusammenfassung_KWKG'!$A974)+SUMIFS('Anlage 1c_Korrekturen_NB'!$H$11:$H$78,'Anlage 1c_Korrekturen_NB'!$A$11:$A$78,'Anlage 3a_Zusammenfassung_KWKG'!$A974)</f>
        <v>0</v>
      </c>
      <c r="D974" s="145">
        <f t="shared" si="42"/>
        <v>796292</v>
      </c>
      <c r="E974" s="143" t="s">
        <v>283</v>
      </c>
      <c r="F974" s="99"/>
      <c r="G974" s="99"/>
      <c r="H974" s="99"/>
    </row>
    <row r="975" spans="1:8" s="44" customFormat="1" hidden="1" outlineLevel="1">
      <c r="A975" s="454" t="s">
        <v>284</v>
      </c>
      <c r="B975" s="544">
        <f>VLOOKUP($A975,'Anlage 1a_Zuschlagszahlungen_NB'!$A$8:$E$861,5,FALSE)</f>
        <v>8558233</v>
      </c>
      <c r="C975" s="95">
        <f>SUMIFS('Anlage 1c_Korrekturen_NB'!$D$11:$D$78,'Anlage 1c_Korrekturen_NB'!$A$11:$A$78,'Anlage 3a_Zusammenfassung_KWKG'!$A975)+SUMIFS('Anlage 1c_Korrekturen_NB'!$F$11:$F$78,'Anlage 1c_Korrekturen_NB'!$A$11:$A$78,'Anlage 3a_Zusammenfassung_KWKG'!$A975)+SUMIFS('Anlage 1c_Korrekturen_NB'!$H$11:$H$78,'Anlage 1c_Korrekturen_NB'!$A$11:$A$78,'Anlage 3a_Zusammenfassung_KWKG'!$A975)</f>
        <v>0</v>
      </c>
      <c r="D975" s="145">
        <f t="shared" si="42"/>
        <v>8558233</v>
      </c>
      <c r="E975" s="143" t="s">
        <v>285</v>
      </c>
      <c r="F975" s="99"/>
      <c r="G975" s="99"/>
      <c r="H975" s="99"/>
    </row>
    <row r="976" spans="1:8" s="44" customFormat="1" hidden="1" outlineLevel="1">
      <c r="A976" s="454" t="s">
        <v>286</v>
      </c>
      <c r="B976" s="544">
        <f>VLOOKUP($A976,'Anlage 1a_Zuschlagszahlungen_NB'!$A$8:$E$861,5,FALSE)</f>
        <v>0</v>
      </c>
      <c r="C976" s="95">
        <f>SUMIFS('Anlage 1c_Korrekturen_NB'!$D$11:$D$78,'Anlage 1c_Korrekturen_NB'!$A$11:$A$78,'Anlage 3a_Zusammenfassung_KWKG'!$A976)+SUMIFS('Anlage 1c_Korrekturen_NB'!$F$11:$F$78,'Anlage 1c_Korrekturen_NB'!$A$11:$A$78,'Anlage 3a_Zusammenfassung_KWKG'!$A976)+SUMIFS('Anlage 1c_Korrekturen_NB'!$H$11:$H$78,'Anlage 1c_Korrekturen_NB'!$A$11:$A$78,'Anlage 3a_Zusammenfassung_KWKG'!$A976)</f>
        <v>0</v>
      </c>
      <c r="D976" s="145">
        <f t="shared" si="42"/>
        <v>0</v>
      </c>
      <c r="E976" s="143" t="s">
        <v>287</v>
      </c>
      <c r="F976" s="99"/>
      <c r="G976" s="99"/>
      <c r="H976" s="99"/>
    </row>
    <row r="977" spans="1:8" s="44" customFormat="1" hidden="1" outlineLevel="1">
      <c r="A977" s="454" t="s">
        <v>288</v>
      </c>
      <c r="B977" s="544">
        <f>VLOOKUP($A977,'Anlage 1a_Zuschlagszahlungen_NB'!$A$8:$E$861,5,FALSE)</f>
        <v>14372122</v>
      </c>
      <c r="C977" s="95">
        <f>SUMIFS('Anlage 1c_Korrekturen_NB'!$D$11:$D$78,'Anlage 1c_Korrekturen_NB'!$A$11:$A$78,'Anlage 3a_Zusammenfassung_KWKG'!$A977)+SUMIFS('Anlage 1c_Korrekturen_NB'!$F$11:$F$78,'Anlage 1c_Korrekturen_NB'!$A$11:$A$78,'Anlage 3a_Zusammenfassung_KWKG'!$A977)+SUMIFS('Anlage 1c_Korrekturen_NB'!$H$11:$H$78,'Anlage 1c_Korrekturen_NB'!$A$11:$A$78,'Anlage 3a_Zusammenfassung_KWKG'!$A977)</f>
        <v>0</v>
      </c>
      <c r="D977" s="145">
        <f t="shared" si="42"/>
        <v>14372122</v>
      </c>
      <c r="E977" s="143" t="s">
        <v>289</v>
      </c>
      <c r="F977" s="99"/>
      <c r="G977" s="99"/>
      <c r="H977" s="99"/>
    </row>
    <row r="978" spans="1:8" s="44" customFormat="1" hidden="1" outlineLevel="1">
      <c r="A978" s="454" t="s">
        <v>290</v>
      </c>
      <c r="B978" s="544">
        <f>VLOOKUP($A978,'Anlage 1a_Zuschlagszahlungen_NB'!$A$8:$E$861,5,FALSE)</f>
        <v>171267</v>
      </c>
      <c r="C978" s="95">
        <f>SUMIFS('Anlage 1c_Korrekturen_NB'!$D$11:$D$78,'Anlage 1c_Korrekturen_NB'!$A$11:$A$78,'Anlage 3a_Zusammenfassung_KWKG'!$A978)+SUMIFS('Anlage 1c_Korrekturen_NB'!$F$11:$F$78,'Anlage 1c_Korrekturen_NB'!$A$11:$A$78,'Anlage 3a_Zusammenfassung_KWKG'!$A978)+SUMIFS('Anlage 1c_Korrekturen_NB'!$H$11:$H$78,'Anlage 1c_Korrekturen_NB'!$A$11:$A$78,'Anlage 3a_Zusammenfassung_KWKG'!$A978)</f>
        <v>0</v>
      </c>
      <c r="D978" s="145">
        <f t="shared" si="42"/>
        <v>171267</v>
      </c>
      <c r="E978" s="143" t="s">
        <v>291</v>
      </c>
      <c r="F978" s="99"/>
      <c r="G978" s="99"/>
      <c r="H978" s="99"/>
    </row>
    <row r="979" spans="1:8" s="44" customFormat="1" hidden="1" outlineLevel="1">
      <c r="A979" s="454" t="s">
        <v>292</v>
      </c>
      <c r="B979" s="544">
        <f>VLOOKUP($A979,'Anlage 1a_Zuschlagszahlungen_NB'!$A$8:$E$861,5,FALSE)</f>
        <v>143117</v>
      </c>
      <c r="C979" s="95">
        <f>SUMIFS('Anlage 1c_Korrekturen_NB'!$D$11:$D$78,'Anlage 1c_Korrekturen_NB'!$A$11:$A$78,'Anlage 3a_Zusammenfassung_KWKG'!$A979)+SUMIFS('Anlage 1c_Korrekturen_NB'!$F$11:$F$78,'Anlage 1c_Korrekturen_NB'!$A$11:$A$78,'Anlage 3a_Zusammenfassung_KWKG'!$A979)+SUMIFS('Anlage 1c_Korrekturen_NB'!$H$11:$H$78,'Anlage 1c_Korrekturen_NB'!$A$11:$A$78,'Anlage 3a_Zusammenfassung_KWKG'!$A979)</f>
        <v>0</v>
      </c>
      <c r="D979" s="145">
        <f t="shared" si="42"/>
        <v>143117</v>
      </c>
      <c r="E979" s="143" t="s">
        <v>293</v>
      </c>
      <c r="F979" s="99"/>
      <c r="G979" s="99"/>
      <c r="H979" s="99"/>
    </row>
    <row r="980" spans="1:8" s="44" customFormat="1" hidden="1" outlineLevel="1">
      <c r="A980" s="454" t="s">
        <v>294</v>
      </c>
      <c r="B980" s="544">
        <f>VLOOKUP($A980,'Anlage 1a_Zuschlagszahlungen_NB'!$A$8:$E$861,5,FALSE)</f>
        <v>210307</v>
      </c>
      <c r="C980" s="95">
        <f>SUMIFS('Anlage 1c_Korrekturen_NB'!$D$11:$D$78,'Anlage 1c_Korrekturen_NB'!$A$11:$A$78,'Anlage 3a_Zusammenfassung_KWKG'!$A980)+SUMIFS('Anlage 1c_Korrekturen_NB'!$F$11:$F$78,'Anlage 1c_Korrekturen_NB'!$A$11:$A$78,'Anlage 3a_Zusammenfassung_KWKG'!$A980)+SUMIFS('Anlage 1c_Korrekturen_NB'!$H$11:$H$78,'Anlage 1c_Korrekturen_NB'!$A$11:$A$78,'Anlage 3a_Zusammenfassung_KWKG'!$A980)</f>
        <v>0</v>
      </c>
      <c r="D980" s="145">
        <f t="shared" si="42"/>
        <v>210307</v>
      </c>
      <c r="E980" s="143" t="s">
        <v>295</v>
      </c>
      <c r="F980" s="99"/>
      <c r="G980" s="99"/>
      <c r="H980" s="99"/>
    </row>
    <row r="981" spans="1:8" s="44" customFormat="1" hidden="1" outlineLevel="1">
      <c r="A981" s="454" t="s">
        <v>296</v>
      </c>
      <c r="B981" s="544">
        <f>VLOOKUP($A981,'Anlage 1a_Zuschlagszahlungen_NB'!$A$8:$E$861,5,FALSE)</f>
        <v>7571967</v>
      </c>
      <c r="C981" s="95">
        <f>SUMIFS('Anlage 1c_Korrekturen_NB'!$D$11:$D$78,'Anlage 1c_Korrekturen_NB'!$A$11:$A$78,'Anlage 3a_Zusammenfassung_KWKG'!$A981)+SUMIFS('Anlage 1c_Korrekturen_NB'!$F$11:$F$78,'Anlage 1c_Korrekturen_NB'!$A$11:$A$78,'Anlage 3a_Zusammenfassung_KWKG'!$A981)+SUMIFS('Anlage 1c_Korrekturen_NB'!$H$11:$H$78,'Anlage 1c_Korrekturen_NB'!$A$11:$A$78,'Anlage 3a_Zusammenfassung_KWKG'!$A981)</f>
        <v>0</v>
      </c>
      <c r="D981" s="145">
        <f t="shared" ref="D981:D1012" si="43">B981+C981</f>
        <v>7571967</v>
      </c>
      <c r="E981" s="143" t="s">
        <v>297</v>
      </c>
      <c r="F981" s="99"/>
      <c r="G981" s="99"/>
      <c r="H981" s="99"/>
    </row>
    <row r="982" spans="1:8" s="44" customFormat="1" hidden="1" outlineLevel="1">
      <c r="A982" s="454" t="s">
        <v>298</v>
      </c>
      <c r="B982" s="544">
        <f>VLOOKUP($A982,'Anlage 1a_Zuschlagszahlungen_NB'!$A$8:$E$861,5,FALSE)</f>
        <v>269497</v>
      </c>
      <c r="C982" s="95">
        <f>SUMIFS('Anlage 1c_Korrekturen_NB'!$D$11:$D$78,'Anlage 1c_Korrekturen_NB'!$A$11:$A$78,'Anlage 3a_Zusammenfassung_KWKG'!$A982)+SUMIFS('Anlage 1c_Korrekturen_NB'!$F$11:$F$78,'Anlage 1c_Korrekturen_NB'!$A$11:$A$78,'Anlage 3a_Zusammenfassung_KWKG'!$A982)+SUMIFS('Anlage 1c_Korrekturen_NB'!$H$11:$H$78,'Anlage 1c_Korrekturen_NB'!$A$11:$A$78,'Anlage 3a_Zusammenfassung_KWKG'!$A982)</f>
        <v>-7782</v>
      </c>
      <c r="D982" s="145">
        <f t="shared" si="43"/>
        <v>261715</v>
      </c>
      <c r="E982" s="143" t="s">
        <v>299</v>
      </c>
      <c r="F982" s="99"/>
      <c r="G982" s="99"/>
      <c r="H982" s="99"/>
    </row>
    <row r="983" spans="1:8" s="44" customFormat="1" hidden="1" outlineLevel="1">
      <c r="A983" s="454" t="s">
        <v>300</v>
      </c>
      <c r="B983" s="544">
        <f>VLOOKUP($A983,'Anlage 1a_Zuschlagszahlungen_NB'!$A$8:$E$861,5,FALSE)</f>
        <v>7598360</v>
      </c>
      <c r="C983" s="95">
        <f>SUMIFS('Anlage 1c_Korrekturen_NB'!$D$11:$D$78,'Anlage 1c_Korrekturen_NB'!$A$11:$A$78,'Anlage 3a_Zusammenfassung_KWKG'!$A983)+SUMIFS('Anlage 1c_Korrekturen_NB'!$F$11:$F$78,'Anlage 1c_Korrekturen_NB'!$A$11:$A$78,'Anlage 3a_Zusammenfassung_KWKG'!$A983)+SUMIFS('Anlage 1c_Korrekturen_NB'!$H$11:$H$78,'Anlage 1c_Korrekturen_NB'!$A$11:$A$78,'Anlage 3a_Zusammenfassung_KWKG'!$A983)</f>
        <v>148409</v>
      </c>
      <c r="D983" s="145">
        <f t="shared" si="43"/>
        <v>7746769</v>
      </c>
      <c r="E983" s="143" t="s">
        <v>301</v>
      </c>
      <c r="F983" s="99"/>
      <c r="G983" s="99"/>
      <c r="H983" s="99"/>
    </row>
    <row r="984" spans="1:8" s="44" customFormat="1" hidden="1" outlineLevel="1">
      <c r="A984" s="454" t="s">
        <v>302</v>
      </c>
      <c r="B984" s="544">
        <f>VLOOKUP($A984,'Anlage 1a_Zuschlagszahlungen_NB'!$A$8:$E$861,5,FALSE)</f>
        <v>1820333</v>
      </c>
      <c r="C984" s="95">
        <f>SUMIFS('Anlage 1c_Korrekturen_NB'!$D$11:$D$78,'Anlage 1c_Korrekturen_NB'!$A$11:$A$78,'Anlage 3a_Zusammenfassung_KWKG'!$A984)+SUMIFS('Anlage 1c_Korrekturen_NB'!$F$11:$F$78,'Anlage 1c_Korrekturen_NB'!$A$11:$A$78,'Anlage 3a_Zusammenfassung_KWKG'!$A984)+SUMIFS('Anlage 1c_Korrekturen_NB'!$H$11:$H$78,'Anlage 1c_Korrekturen_NB'!$A$11:$A$78,'Anlage 3a_Zusammenfassung_KWKG'!$A984)</f>
        <v>0</v>
      </c>
      <c r="D984" s="145">
        <f t="shared" si="43"/>
        <v>1820333</v>
      </c>
      <c r="E984" s="143" t="s">
        <v>303</v>
      </c>
      <c r="F984" s="99"/>
      <c r="G984" s="99"/>
      <c r="H984" s="99"/>
    </row>
    <row r="985" spans="1:8" s="44" customFormat="1" hidden="1" outlineLevel="1">
      <c r="A985" s="454" t="s">
        <v>304</v>
      </c>
      <c r="B985" s="544">
        <f>VLOOKUP($A985,'Anlage 1a_Zuschlagszahlungen_NB'!$A$8:$E$861,5,FALSE)</f>
        <v>12029966</v>
      </c>
      <c r="C985" s="95">
        <f>SUMIFS('Anlage 1c_Korrekturen_NB'!$D$11:$D$78,'Anlage 1c_Korrekturen_NB'!$A$11:$A$78,'Anlage 3a_Zusammenfassung_KWKG'!$A985)+SUMIFS('Anlage 1c_Korrekturen_NB'!$F$11:$F$78,'Anlage 1c_Korrekturen_NB'!$A$11:$A$78,'Anlage 3a_Zusammenfassung_KWKG'!$A985)+SUMIFS('Anlage 1c_Korrekturen_NB'!$H$11:$H$78,'Anlage 1c_Korrekturen_NB'!$A$11:$A$78,'Anlage 3a_Zusammenfassung_KWKG'!$A985)</f>
        <v>4913</v>
      </c>
      <c r="D985" s="145">
        <f t="shared" si="43"/>
        <v>12034879</v>
      </c>
      <c r="E985" s="143" t="s">
        <v>305</v>
      </c>
      <c r="F985" s="99"/>
      <c r="G985" s="99"/>
      <c r="H985" s="99"/>
    </row>
    <row r="986" spans="1:8" s="44" customFormat="1" hidden="1" outlineLevel="1">
      <c r="A986" s="454" t="s">
        <v>306</v>
      </c>
      <c r="B986" s="544">
        <f>VLOOKUP($A986,'Anlage 1a_Zuschlagszahlungen_NB'!$A$8:$E$861,5,FALSE)</f>
        <v>0</v>
      </c>
      <c r="C986" s="95">
        <f>SUMIFS('Anlage 1c_Korrekturen_NB'!$D$11:$D$78,'Anlage 1c_Korrekturen_NB'!$A$11:$A$78,'Anlage 3a_Zusammenfassung_KWKG'!$A986)+SUMIFS('Anlage 1c_Korrekturen_NB'!$F$11:$F$78,'Anlage 1c_Korrekturen_NB'!$A$11:$A$78,'Anlage 3a_Zusammenfassung_KWKG'!$A986)+SUMIFS('Anlage 1c_Korrekturen_NB'!$H$11:$H$78,'Anlage 1c_Korrekturen_NB'!$A$11:$A$78,'Anlage 3a_Zusammenfassung_KWKG'!$A986)</f>
        <v>0</v>
      </c>
      <c r="D986" s="145">
        <f t="shared" si="43"/>
        <v>0</v>
      </c>
      <c r="E986" s="143" t="s">
        <v>307</v>
      </c>
      <c r="F986" s="99"/>
      <c r="G986" s="99"/>
      <c r="H986" s="99"/>
    </row>
    <row r="987" spans="1:8" s="44" customFormat="1" hidden="1" outlineLevel="1">
      <c r="A987" s="454" t="s">
        <v>308</v>
      </c>
      <c r="B987" s="544">
        <f>VLOOKUP($A987,'Anlage 1a_Zuschlagszahlungen_NB'!$A$8:$E$861,5,FALSE)</f>
        <v>188586</v>
      </c>
      <c r="C987" s="95">
        <f>SUMIFS('Anlage 1c_Korrekturen_NB'!$D$11:$D$78,'Anlage 1c_Korrekturen_NB'!$A$11:$A$78,'Anlage 3a_Zusammenfassung_KWKG'!$A987)+SUMIFS('Anlage 1c_Korrekturen_NB'!$F$11:$F$78,'Anlage 1c_Korrekturen_NB'!$A$11:$A$78,'Anlage 3a_Zusammenfassung_KWKG'!$A987)+SUMIFS('Anlage 1c_Korrekturen_NB'!$H$11:$H$78,'Anlage 1c_Korrekturen_NB'!$A$11:$A$78,'Anlage 3a_Zusammenfassung_KWKG'!$A987)</f>
        <v>0</v>
      </c>
      <c r="D987" s="145">
        <f t="shared" si="43"/>
        <v>188586</v>
      </c>
      <c r="E987" s="143" t="s">
        <v>309</v>
      </c>
      <c r="F987" s="99"/>
      <c r="G987" s="99"/>
      <c r="H987" s="99"/>
    </row>
    <row r="988" spans="1:8" s="44" customFormat="1" hidden="1" outlineLevel="1">
      <c r="A988" s="454" t="s">
        <v>310</v>
      </c>
      <c r="B988" s="544">
        <f>VLOOKUP($A988,'Anlage 1a_Zuschlagszahlungen_NB'!$A$8:$E$861,5,FALSE)</f>
        <v>124001635</v>
      </c>
      <c r="C988" s="95">
        <f>SUMIFS('Anlage 1c_Korrekturen_NB'!$D$11:$D$78,'Anlage 1c_Korrekturen_NB'!$A$11:$A$78,'Anlage 3a_Zusammenfassung_KWKG'!$A988)+SUMIFS('Anlage 1c_Korrekturen_NB'!$F$11:$F$78,'Anlage 1c_Korrekturen_NB'!$A$11:$A$78,'Anlage 3a_Zusammenfassung_KWKG'!$A988)+SUMIFS('Anlage 1c_Korrekturen_NB'!$H$11:$H$78,'Anlage 1c_Korrekturen_NB'!$A$11:$A$78,'Anlage 3a_Zusammenfassung_KWKG'!$A988)</f>
        <v>42410133</v>
      </c>
      <c r="D988" s="145">
        <f t="shared" si="43"/>
        <v>166411768</v>
      </c>
      <c r="E988" s="143" t="s">
        <v>311</v>
      </c>
      <c r="F988" s="99"/>
      <c r="G988" s="99"/>
      <c r="H988" s="99"/>
    </row>
    <row r="989" spans="1:8" s="44" customFormat="1" hidden="1" outlineLevel="1">
      <c r="A989" s="454" t="s">
        <v>312</v>
      </c>
      <c r="B989" s="544">
        <f>VLOOKUP($A989,'Anlage 1a_Zuschlagszahlungen_NB'!$A$8:$E$861,5,FALSE)</f>
        <v>39983511</v>
      </c>
      <c r="C989" s="95">
        <f>SUMIFS('Anlage 1c_Korrekturen_NB'!$D$11:$D$78,'Anlage 1c_Korrekturen_NB'!$A$11:$A$78,'Anlage 3a_Zusammenfassung_KWKG'!$A989)+SUMIFS('Anlage 1c_Korrekturen_NB'!$F$11:$F$78,'Anlage 1c_Korrekturen_NB'!$A$11:$A$78,'Anlage 3a_Zusammenfassung_KWKG'!$A989)+SUMIFS('Anlage 1c_Korrekturen_NB'!$H$11:$H$78,'Anlage 1c_Korrekturen_NB'!$A$11:$A$78,'Anlage 3a_Zusammenfassung_KWKG'!$A989)</f>
        <v>1490649</v>
      </c>
      <c r="D989" s="145">
        <f t="shared" si="43"/>
        <v>41474160</v>
      </c>
      <c r="E989" s="143" t="s">
        <v>313</v>
      </c>
      <c r="F989" s="99"/>
      <c r="G989" s="99"/>
      <c r="H989" s="99"/>
    </row>
    <row r="990" spans="1:8" s="44" customFormat="1" hidden="1" outlineLevel="1">
      <c r="A990" s="454" t="s">
        <v>314</v>
      </c>
      <c r="B990" s="544">
        <f>VLOOKUP($A990,'Anlage 1a_Zuschlagszahlungen_NB'!$A$8:$E$861,5,FALSE)</f>
        <v>944503</v>
      </c>
      <c r="C990" s="95">
        <f>SUMIFS('Anlage 1c_Korrekturen_NB'!$D$11:$D$78,'Anlage 1c_Korrekturen_NB'!$A$11:$A$78,'Anlage 3a_Zusammenfassung_KWKG'!$A990)+SUMIFS('Anlage 1c_Korrekturen_NB'!$F$11:$F$78,'Anlage 1c_Korrekturen_NB'!$A$11:$A$78,'Anlage 3a_Zusammenfassung_KWKG'!$A990)+SUMIFS('Anlage 1c_Korrekturen_NB'!$H$11:$H$78,'Anlage 1c_Korrekturen_NB'!$A$11:$A$78,'Anlage 3a_Zusammenfassung_KWKG'!$A990)</f>
        <v>0</v>
      </c>
      <c r="D990" s="145">
        <f t="shared" si="43"/>
        <v>944503</v>
      </c>
      <c r="E990" s="143" t="s">
        <v>315</v>
      </c>
      <c r="F990" s="99"/>
      <c r="G990" s="99"/>
      <c r="H990" s="99"/>
    </row>
    <row r="991" spans="1:8" s="44" customFormat="1" hidden="1" outlineLevel="1">
      <c r="A991" s="454" t="s">
        <v>316</v>
      </c>
      <c r="B991" s="544">
        <f>VLOOKUP($A991,'Anlage 1a_Zuschlagszahlungen_NB'!$A$8:$E$861,5,FALSE)</f>
        <v>50489459</v>
      </c>
      <c r="C991" s="95">
        <f>SUMIFS('Anlage 1c_Korrekturen_NB'!$D$11:$D$78,'Anlage 1c_Korrekturen_NB'!$A$11:$A$78,'Anlage 3a_Zusammenfassung_KWKG'!$A991)+SUMIFS('Anlage 1c_Korrekturen_NB'!$F$11:$F$78,'Anlage 1c_Korrekturen_NB'!$A$11:$A$78,'Anlage 3a_Zusammenfassung_KWKG'!$A991)+SUMIFS('Anlage 1c_Korrekturen_NB'!$H$11:$H$78,'Anlage 1c_Korrekturen_NB'!$A$11:$A$78,'Anlage 3a_Zusammenfassung_KWKG'!$A991)</f>
        <v>1718929</v>
      </c>
      <c r="D991" s="145">
        <f t="shared" si="43"/>
        <v>52208388</v>
      </c>
      <c r="E991" s="143" t="s">
        <v>317</v>
      </c>
      <c r="F991" s="99"/>
      <c r="G991" s="99"/>
      <c r="H991" s="99"/>
    </row>
    <row r="992" spans="1:8" s="44" customFormat="1" hidden="1" outlineLevel="1">
      <c r="A992" s="454" t="s">
        <v>318</v>
      </c>
      <c r="B992" s="544">
        <f>VLOOKUP($A992,'Anlage 1a_Zuschlagszahlungen_NB'!$A$8:$E$861,5,FALSE)</f>
        <v>1592024</v>
      </c>
      <c r="C992" s="95">
        <f>SUMIFS('Anlage 1c_Korrekturen_NB'!$D$11:$D$78,'Anlage 1c_Korrekturen_NB'!$A$11:$A$78,'Anlage 3a_Zusammenfassung_KWKG'!$A992)+SUMIFS('Anlage 1c_Korrekturen_NB'!$F$11:$F$78,'Anlage 1c_Korrekturen_NB'!$A$11:$A$78,'Anlage 3a_Zusammenfassung_KWKG'!$A992)+SUMIFS('Anlage 1c_Korrekturen_NB'!$H$11:$H$78,'Anlage 1c_Korrekturen_NB'!$A$11:$A$78,'Anlage 3a_Zusammenfassung_KWKG'!$A992)</f>
        <v>1543715</v>
      </c>
      <c r="D992" s="145">
        <f t="shared" si="43"/>
        <v>3135739</v>
      </c>
      <c r="E992" s="143" t="s">
        <v>319</v>
      </c>
      <c r="F992" s="99"/>
      <c r="G992" s="99"/>
      <c r="H992" s="99"/>
    </row>
    <row r="993" spans="1:8" s="44" customFormat="1" hidden="1" outlineLevel="1">
      <c r="A993" s="454" t="s">
        <v>320</v>
      </c>
      <c r="B993" s="544">
        <f>VLOOKUP($A993,'Anlage 1a_Zuschlagszahlungen_NB'!$A$8:$E$861,5,FALSE)</f>
        <v>8928358</v>
      </c>
      <c r="C993" s="95">
        <f>SUMIFS('Anlage 1c_Korrekturen_NB'!$D$11:$D$78,'Anlage 1c_Korrekturen_NB'!$A$11:$A$78,'Anlage 3a_Zusammenfassung_KWKG'!$A993)+SUMIFS('Anlage 1c_Korrekturen_NB'!$F$11:$F$78,'Anlage 1c_Korrekturen_NB'!$A$11:$A$78,'Anlage 3a_Zusammenfassung_KWKG'!$A993)+SUMIFS('Anlage 1c_Korrekturen_NB'!$H$11:$H$78,'Anlage 1c_Korrekturen_NB'!$A$11:$A$78,'Anlage 3a_Zusammenfassung_KWKG'!$A993)</f>
        <v>0</v>
      </c>
      <c r="D993" s="145">
        <f t="shared" si="43"/>
        <v>8928358</v>
      </c>
      <c r="E993" s="143" t="s">
        <v>321</v>
      </c>
      <c r="F993" s="99"/>
      <c r="G993" s="99"/>
      <c r="H993" s="99"/>
    </row>
    <row r="994" spans="1:8" s="44" customFormat="1" hidden="1" outlineLevel="1">
      <c r="A994" s="454" t="s">
        <v>322</v>
      </c>
      <c r="B994" s="544">
        <f>VLOOKUP($A994,'Anlage 1a_Zuschlagszahlungen_NB'!$A$8:$E$861,5,FALSE)</f>
        <v>123891</v>
      </c>
      <c r="C994" s="95">
        <f>SUMIFS('Anlage 1c_Korrekturen_NB'!$D$11:$D$78,'Anlage 1c_Korrekturen_NB'!$A$11:$A$78,'Anlage 3a_Zusammenfassung_KWKG'!$A994)+SUMIFS('Anlage 1c_Korrekturen_NB'!$F$11:$F$78,'Anlage 1c_Korrekturen_NB'!$A$11:$A$78,'Anlage 3a_Zusammenfassung_KWKG'!$A994)+SUMIFS('Anlage 1c_Korrekturen_NB'!$H$11:$H$78,'Anlage 1c_Korrekturen_NB'!$A$11:$A$78,'Anlage 3a_Zusammenfassung_KWKG'!$A994)</f>
        <v>0</v>
      </c>
      <c r="D994" s="145">
        <f t="shared" si="43"/>
        <v>123891</v>
      </c>
      <c r="E994" s="143" t="s">
        <v>323</v>
      </c>
      <c r="F994" s="99"/>
      <c r="G994" s="99"/>
      <c r="H994" s="99"/>
    </row>
    <row r="995" spans="1:8" s="44" customFormat="1" hidden="1" outlineLevel="1">
      <c r="A995" s="454" t="s">
        <v>324</v>
      </c>
      <c r="B995" s="544">
        <f>VLOOKUP($A995,'Anlage 1a_Zuschlagszahlungen_NB'!$A$8:$E$861,5,FALSE)</f>
        <v>0</v>
      </c>
      <c r="C995" s="95">
        <f>SUMIFS('Anlage 1c_Korrekturen_NB'!$D$11:$D$78,'Anlage 1c_Korrekturen_NB'!$A$11:$A$78,'Anlage 3a_Zusammenfassung_KWKG'!$A995)+SUMIFS('Anlage 1c_Korrekturen_NB'!$F$11:$F$78,'Anlage 1c_Korrekturen_NB'!$A$11:$A$78,'Anlage 3a_Zusammenfassung_KWKG'!$A995)+SUMIFS('Anlage 1c_Korrekturen_NB'!$H$11:$H$78,'Anlage 1c_Korrekturen_NB'!$A$11:$A$78,'Anlage 3a_Zusammenfassung_KWKG'!$A995)</f>
        <v>0</v>
      </c>
      <c r="D995" s="145">
        <f t="shared" si="43"/>
        <v>0</v>
      </c>
      <c r="E995" s="143" t="s">
        <v>325</v>
      </c>
      <c r="F995" s="99"/>
      <c r="G995" s="99"/>
      <c r="H995" s="99"/>
    </row>
    <row r="996" spans="1:8" s="44" customFormat="1" hidden="1" outlineLevel="1">
      <c r="A996" s="454" t="s">
        <v>326</v>
      </c>
      <c r="B996" s="544">
        <f>VLOOKUP($A996,'Anlage 1a_Zuschlagszahlungen_NB'!$A$8:$E$861,5,FALSE)</f>
        <v>790597</v>
      </c>
      <c r="C996" s="95">
        <f>SUMIFS('Anlage 1c_Korrekturen_NB'!$D$11:$D$78,'Anlage 1c_Korrekturen_NB'!$A$11:$A$78,'Anlage 3a_Zusammenfassung_KWKG'!$A996)+SUMIFS('Anlage 1c_Korrekturen_NB'!$F$11:$F$78,'Anlage 1c_Korrekturen_NB'!$A$11:$A$78,'Anlage 3a_Zusammenfassung_KWKG'!$A996)+SUMIFS('Anlage 1c_Korrekturen_NB'!$H$11:$H$78,'Anlage 1c_Korrekturen_NB'!$A$11:$A$78,'Anlage 3a_Zusammenfassung_KWKG'!$A996)</f>
        <v>0</v>
      </c>
      <c r="D996" s="145">
        <f t="shared" si="43"/>
        <v>790597</v>
      </c>
      <c r="E996" s="143" t="s">
        <v>327</v>
      </c>
      <c r="F996" s="99"/>
      <c r="G996" s="99"/>
      <c r="H996" s="99"/>
    </row>
    <row r="997" spans="1:8" s="44" customFormat="1" hidden="1" outlineLevel="1">
      <c r="A997" s="454" t="s">
        <v>328</v>
      </c>
      <c r="B997" s="544">
        <f>VLOOKUP($A997,'Anlage 1a_Zuschlagszahlungen_NB'!$A$8:$E$861,5,FALSE)</f>
        <v>721162</v>
      </c>
      <c r="C997" s="95">
        <f>SUMIFS('Anlage 1c_Korrekturen_NB'!$D$11:$D$78,'Anlage 1c_Korrekturen_NB'!$A$11:$A$78,'Anlage 3a_Zusammenfassung_KWKG'!$A997)+SUMIFS('Anlage 1c_Korrekturen_NB'!$F$11:$F$78,'Anlage 1c_Korrekturen_NB'!$A$11:$A$78,'Anlage 3a_Zusammenfassung_KWKG'!$A997)+SUMIFS('Anlage 1c_Korrekturen_NB'!$H$11:$H$78,'Anlage 1c_Korrekturen_NB'!$A$11:$A$78,'Anlage 3a_Zusammenfassung_KWKG'!$A997)</f>
        <v>0</v>
      </c>
      <c r="D997" s="145">
        <f t="shared" si="43"/>
        <v>721162</v>
      </c>
      <c r="E997" s="143" t="s">
        <v>329</v>
      </c>
      <c r="F997" s="99"/>
      <c r="G997" s="99"/>
      <c r="H997" s="99"/>
    </row>
    <row r="998" spans="1:8" s="44" customFormat="1" hidden="1" outlineLevel="1">
      <c r="A998" s="454" t="s">
        <v>330</v>
      </c>
      <c r="B998" s="544">
        <f>VLOOKUP($A998,'Anlage 1a_Zuschlagszahlungen_NB'!$A$8:$E$861,5,FALSE)</f>
        <v>780544</v>
      </c>
      <c r="C998" s="95">
        <f>SUMIFS('Anlage 1c_Korrekturen_NB'!$D$11:$D$78,'Anlage 1c_Korrekturen_NB'!$A$11:$A$78,'Anlage 3a_Zusammenfassung_KWKG'!$A998)+SUMIFS('Anlage 1c_Korrekturen_NB'!$F$11:$F$78,'Anlage 1c_Korrekturen_NB'!$A$11:$A$78,'Anlage 3a_Zusammenfassung_KWKG'!$A998)+SUMIFS('Anlage 1c_Korrekturen_NB'!$H$11:$H$78,'Anlage 1c_Korrekturen_NB'!$A$11:$A$78,'Anlage 3a_Zusammenfassung_KWKG'!$A998)</f>
        <v>0</v>
      </c>
      <c r="D998" s="145">
        <f t="shared" si="43"/>
        <v>780544</v>
      </c>
      <c r="E998" s="143" t="s">
        <v>331</v>
      </c>
      <c r="F998" s="99"/>
      <c r="G998" s="99"/>
      <c r="H998" s="99"/>
    </row>
    <row r="999" spans="1:8" s="44" customFormat="1" hidden="1" outlineLevel="1">
      <c r="A999" s="454" t="s">
        <v>332</v>
      </c>
      <c r="B999" s="544">
        <f>VLOOKUP($A999,'Anlage 1a_Zuschlagszahlungen_NB'!$A$8:$E$861,5,FALSE)</f>
        <v>636074</v>
      </c>
      <c r="C999" s="95">
        <f>SUMIFS('Anlage 1c_Korrekturen_NB'!$D$11:$D$78,'Anlage 1c_Korrekturen_NB'!$A$11:$A$78,'Anlage 3a_Zusammenfassung_KWKG'!$A999)+SUMIFS('Anlage 1c_Korrekturen_NB'!$F$11:$F$78,'Anlage 1c_Korrekturen_NB'!$A$11:$A$78,'Anlage 3a_Zusammenfassung_KWKG'!$A999)+SUMIFS('Anlage 1c_Korrekturen_NB'!$H$11:$H$78,'Anlage 1c_Korrekturen_NB'!$A$11:$A$78,'Anlage 3a_Zusammenfassung_KWKG'!$A999)</f>
        <v>0</v>
      </c>
      <c r="D999" s="145">
        <f t="shared" si="43"/>
        <v>636074</v>
      </c>
      <c r="E999" s="143" t="s">
        <v>333</v>
      </c>
      <c r="F999" s="99"/>
      <c r="G999" s="99"/>
      <c r="H999" s="99"/>
    </row>
    <row r="1000" spans="1:8" s="44" customFormat="1" hidden="1" outlineLevel="1">
      <c r="A1000" s="454" t="s">
        <v>334</v>
      </c>
      <c r="B1000" s="544">
        <f>VLOOKUP($A1000,'Anlage 1a_Zuschlagszahlungen_NB'!$A$8:$E$861,5,FALSE)</f>
        <v>0</v>
      </c>
      <c r="C1000" s="95">
        <f>SUMIFS('Anlage 1c_Korrekturen_NB'!$D$11:$D$78,'Anlage 1c_Korrekturen_NB'!$A$11:$A$78,'Anlage 3a_Zusammenfassung_KWKG'!$A1000)+SUMIFS('Anlage 1c_Korrekturen_NB'!$F$11:$F$78,'Anlage 1c_Korrekturen_NB'!$A$11:$A$78,'Anlage 3a_Zusammenfassung_KWKG'!$A1000)+SUMIFS('Anlage 1c_Korrekturen_NB'!$H$11:$H$78,'Anlage 1c_Korrekturen_NB'!$A$11:$A$78,'Anlage 3a_Zusammenfassung_KWKG'!$A1000)</f>
        <v>0</v>
      </c>
      <c r="D1000" s="145">
        <f t="shared" si="43"/>
        <v>0</v>
      </c>
      <c r="E1000" s="143" t="s">
        <v>335</v>
      </c>
      <c r="F1000" s="99"/>
      <c r="G1000" s="99"/>
      <c r="H1000" s="99"/>
    </row>
    <row r="1001" spans="1:8" s="44" customFormat="1" hidden="1" outlineLevel="1">
      <c r="A1001" s="454" t="s">
        <v>336</v>
      </c>
      <c r="B1001" s="544">
        <f>VLOOKUP($A1001,'Anlage 1a_Zuschlagszahlungen_NB'!$A$8:$E$861,5,FALSE)</f>
        <v>27301501</v>
      </c>
      <c r="C1001" s="95">
        <f>SUMIFS('Anlage 1c_Korrekturen_NB'!$D$11:$D$78,'Anlage 1c_Korrekturen_NB'!$A$11:$A$78,'Anlage 3a_Zusammenfassung_KWKG'!$A1001)+SUMIFS('Anlage 1c_Korrekturen_NB'!$F$11:$F$78,'Anlage 1c_Korrekturen_NB'!$A$11:$A$78,'Anlage 3a_Zusammenfassung_KWKG'!$A1001)+SUMIFS('Anlage 1c_Korrekturen_NB'!$H$11:$H$78,'Anlage 1c_Korrekturen_NB'!$A$11:$A$78,'Anlage 3a_Zusammenfassung_KWKG'!$A1001)</f>
        <v>0</v>
      </c>
      <c r="D1001" s="145">
        <f t="shared" si="43"/>
        <v>27301501</v>
      </c>
      <c r="E1001" s="143" t="s">
        <v>337</v>
      </c>
      <c r="F1001" s="99"/>
      <c r="G1001" s="99"/>
      <c r="H1001" s="99"/>
    </row>
    <row r="1002" spans="1:8" s="44" customFormat="1" hidden="1" outlineLevel="1">
      <c r="A1002" s="454" t="s">
        <v>338</v>
      </c>
      <c r="B1002" s="544">
        <f>VLOOKUP($A1002,'Anlage 1a_Zuschlagszahlungen_NB'!$A$8:$E$861,5,FALSE)</f>
        <v>80000</v>
      </c>
      <c r="C1002" s="95">
        <f>SUMIFS('Anlage 1c_Korrekturen_NB'!$D$11:$D$78,'Anlage 1c_Korrekturen_NB'!$A$11:$A$78,'Anlage 3a_Zusammenfassung_KWKG'!$A1002)+SUMIFS('Anlage 1c_Korrekturen_NB'!$F$11:$F$78,'Anlage 1c_Korrekturen_NB'!$A$11:$A$78,'Anlage 3a_Zusammenfassung_KWKG'!$A1002)+SUMIFS('Anlage 1c_Korrekturen_NB'!$H$11:$H$78,'Anlage 1c_Korrekturen_NB'!$A$11:$A$78,'Anlage 3a_Zusammenfassung_KWKG'!$A1002)</f>
        <v>0</v>
      </c>
      <c r="D1002" s="145">
        <f t="shared" si="43"/>
        <v>80000</v>
      </c>
      <c r="E1002" s="143" t="s">
        <v>339</v>
      </c>
      <c r="F1002" s="99"/>
      <c r="G1002" s="99"/>
      <c r="H1002" s="99"/>
    </row>
    <row r="1003" spans="1:8" s="44" customFormat="1" hidden="1" outlineLevel="1">
      <c r="A1003" s="454" t="s">
        <v>340</v>
      </c>
      <c r="B1003" s="544">
        <f>VLOOKUP($A1003,'Anlage 1a_Zuschlagszahlungen_NB'!$A$8:$E$861,5,FALSE)</f>
        <v>660012</v>
      </c>
      <c r="C1003" s="95">
        <f>SUMIFS('Anlage 1c_Korrekturen_NB'!$D$11:$D$78,'Anlage 1c_Korrekturen_NB'!$A$11:$A$78,'Anlage 3a_Zusammenfassung_KWKG'!$A1003)+SUMIFS('Anlage 1c_Korrekturen_NB'!$F$11:$F$78,'Anlage 1c_Korrekturen_NB'!$A$11:$A$78,'Anlage 3a_Zusammenfassung_KWKG'!$A1003)+SUMIFS('Anlage 1c_Korrekturen_NB'!$H$11:$H$78,'Anlage 1c_Korrekturen_NB'!$A$11:$A$78,'Anlage 3a_Zusammenfassung_KWKG'!$A1003)</f>
        <v>0</v>
      </c>
      <c r="D1003" s="145">
        <f t="shared" si="43"/>
        <v>660012</v>
      </c>
      <c r="E1003" s="143" t="s">
        <v>341</v>
      </c>
      <c r="F1003" s="99"/>
      <c r="G1003" s="99"/>
      <c r="H1003" s="99"/>
    </row>
    <row r="1004" spans="1:8" s="44" customFormat="1" hidden="1" outlineLevel="1">
      <c r="A1004" s="454" t="s">
        <v>342</v>
      </c>
      <c r="B1004" s="544">
        <f>VLOOKUP($A1004,'Anlage 1a_Zuschlagszahlungen_NB'!$A$8:$E$861,5,FALSE)</f>
        <v>400784</v>
      </c>
      <c r="C1004" s="95">
        <f>SUMIFS('Anlage 1c_Korrekturen_NB'!$D$11:$D$78,'Anlage 1c_Korrekturen_NB'!$A$11:$A$78,'Anlage 3a_Zusammenfassung_KWKG'!$A1004)+SUMIFS('Anlage 1c_Korrekturen_NB'!$F$11:$F$78,'Anlage 1c_Korrekturen_NB'!$A$11:$A$78,'Anlage 3a_Zusammenfassung_KWKG'!$A1004)+SUMIFS('Anlage 1c_Korrekturen_NB'!$H$11:$H$78,'Anlage 1c_Korrekturen_NB'!$A$11:$A$78,'Anlage 3a_Zusammenfassung_KWKG'!$A1004)</f>
        <v>0</v>
      </c>
      <c r="D1004" s="145">
        <f t="shared" si="43"/>
        <v>400784</v>
      </c>
      <c r="E1004" s="143" t="s">
        <v>343</v>
      </c>
      <c r="F1004" s="99"/>
      <c r="G1004" s="99"/>
      <c r="H1004" s="99"/>
    </row>
    <row r="1005" spans="1:8" s="44" customFormat="1" hidden="1" outlineLevel="1">
      <c r="A1005" s="454" t="s">
        <v>344</v>
      </c>
      <c r="B1005" s="544">
        <f>VLOOKUP($A1005,'Anlage 1a_Zuschlagszahlungen_NB'!$A$8:$E$861,5,FALSE)</f>
        <v>9992096</v>
      </c>
      <c r="C1005" s="95">
        <f>SUMIFS('Anlage 1c_Korrekturen_NB'!$D$11:$D$78,'Anlage 1c_Korrekturen_NB'!$A$11:$A$78,'Anlage 3a_Zusammenfassung_KWKG'!$A1005)+SUMIFS('Anlage 1c_Korrekturen_NB'!$F$11:$F$78,'Anlage 1c_Korrekturen_NB'!$A$11:$A$78,'Anlage 3a_Zusammenfassung_KWKG'!$A1005)+SUMIFS('Anlage 1c_Korrekturen_NB'!$H$11:$H$78,'Anlage 1c_Korrekturen_NB'!$A$11:$A$78,'Anlage 3a_Zusammenfassung_KWKG'!$A1005)</f>
        <v>0</v>
      </c>
      <c r="D1005" s="145">
        <f t="shared" si="43"/>
        <v>9992096</v>
      </c>
      <c r="E1005" s="143" t="s">
        <v>345</v>
      </c>
      <c r="F1005" s="99"/>
      <c r="G1005" s="99"/>
      <c r="H1005" s="99"/>
    </row>
    <row r="1006" spans="1:8" s="44" customFormat="1" hidden="1" outlineLevel="1">
      <c r="A1006" s="454" t="s">
        <v>346</v>
      </c>
      <c r="B1006" s="544">
        <f>VLOOKUP($A1006,'Anlage 1a_Zuschlagszahlungen_NB'!$A$8:$E$861,5,FALSE)</f>
        <v>1371006</v>
      </c>
      <c r="C1006" s="95">
        <f>SUMIFS('Anlage 1c_Korrekturen_NB'!$D$11:$D$78,'Anlage 1c_Korrekturen_NB'!$A$11:$A$78,'Anlage 3a_Zusammenfassung_KWKG'!$A1006)+SUMIFS('Anlage 1c_Korrekturen_NB'!$F$11:$F$78,'Anlage 1c_Korrekturen_NB'!$A$11:$A$78,'Anlage 3a_Zusammenfassung_KWKG'!$A1006)+SUMIFS('Anlage 1c_Korrekturen_NB'!$H$11:$H$78,'Anlage 1c_Korrekturen_NB'!$A$11:$A$78,'Anlage 3a_Zusammenfassung_KWKG'!$A1006)</f>
        <v>0</v>
      </c>
      <c r="D1006" s="145">
        <f t="shared" si="43"/>
        <v>1371006</v>
      </c>
      <c r="E1006" s="143" t="s">
        <v>347</v>
      </c>
      <c r="F1006" s="99"/>
      <c r="G1006" s="99"/>
      <c r="H1006" s="99"/>
    </row>
    <row r="1007" spans="1:8" s="44" customFormat="1" hidden="1" outlineLevel="1">
      <c r="A1007" s="454" t="s">
        <v>348</v>
      </c>
      <c r="B1007" s="544">
        <f>VLOOKUP($A1007,'Anlage 1a_Zuschlagszahlungen_NB'!$A$8:$E$861,5,FALSE)</f>
        <v>6082799</v>
      </c>
      <c r="C1007" s="95">
        <f>SUMIFS('Anlage 1c_Korrekturen_NB'!$D$11:$D$78,'Anlage 1c_Korrekturen_NB'!$A$11:$A$78,'Anlage 3a_Zusammenfassung_KWKG'!$A1007)+SUMIFS('Anlage 1c_Korrekturen_NB'!$F$11:$F$78,'Anlage 1c_Korrekturen_NB'!$A$11:$A$78,'Anlage 3a_Zusammenfassung_KWKG'!$A1007)+SUMIFS('Anlage 1c_Korrekturen_NB'!$H$11:$H$78,'Anlage 1c_Korrekturen_NB'!$A$11:$A$78,'Anlage 3a_Zusammenfassung_KWKG'!$A1007)</f>
        <v>204770</v>
      </c>
      <c r="D1007" s="145">
        <f t="shared" si="43"/>
        <v>6287569</v>
      </c>
      <c r="E1007" s="143" t="s">
        <v>349</v>
      </c>
      <c r="F1007" s="99"/>
      <c r="G1007" s="99"/>
      <c r="H1007" s="99"/>
    </row>
    <row r="1008" spans="1:8" s="44" customFormat="1" hidden="1" outlineLevel="1">
      <c r="A1008" s="454" t="s">
        <v>350</v>
      </c>
      <c r="B1008" s="544">
        <f>VLOOKUP($A1008,'Anlage 1a_Zuschlagszahlungen_NB'!$A$8:$E$861,5,FALSE)</f>
        <v>416548</v>
      </c>
      <c r="C1008" s="95">
        <f>SUMIFS('Anlage 1c_Korrekturen_NB'!$D$11:$D$78,'Anlage 1c_Korrekturen_NB'!$A$11:$A$78,'Anlage 3a_Zusammenfassung_KWKG'!$A1008)+SUMIFS('Anlage 1c_Korrekturen_NB'!$F$11:$F$78,'Anlage 1c_Korrekturen_NB'!$A$11:$A$78,'Anlage 3a_Zusammenfassung_KWKG'!$A1008)+SUMIFS('Anlage 1c_Korrekturen_NB'!$H$11:$H$78,'Anlage 1c_Korrekturen_NB'!$A$11:$A$78,'Anlage 3a_Zusammenfassung_KWKG'!$A1008)</f>
        <v>22000</v>
      </c>
      <c r="D1008" s="145">
        <f t="shared" si="43"/>
        <v>438548</v>
      </c>
      <c r="E1008" s="143" t="s">
        <v>351</v>
      </c>
      <c r="F1008" s="99"/>
      <c r="G1008" s="99"/>
      <c r="H1008" s="99"/>
    </row>
    <row r="1009" spans="1:8" s="44" customFormat="1" hidden="1" outlineLevel="1">
      <c r="A1009" s="454" t="s">
        <v>352</v>
      </c>
      <c r="B1009" s="544">
        <f>VLOOKUP($A1009,'Anlage 1a_Zuschlagszahlungen_NB'!$A$8:$E$861,5,FALSE)</f>
        <v>1737961989</v>
      </c>
      <c r="C1009" s="95">
        <f>SUMIFS('Anlage 1c_Korrekturen_NB'!$D$11:$D$78,'Anlage 1c_Korrekturen_NB'!$A$11:$A$78,'Anlage 3a_Zusammenfassung_KWKG'!$A1009)+SUMIFS('Anlage 1c_Korrekturen_NB'!$F$11:$F$78,'Anlage 1c_Korrekturen_NB'!$A$11:$A$78,'Anlage 3a_Zusammenfassung_KWKG'!$A1009)+SUMIFS('Anlage 1c_Korrekturen_NB'!$H$11:$H$78,'Anlage 1c_Korrekturen_NB'!$A$11:$A$78,'Anlage 3a_Zusammenfassung_KWKG'!$A1009)</f>
        <v>100178515</v>
      </c>
      <c r="D1009" s="145">
        <f t="shared" si="43"/>
        <v>1838140504</v>
      </c>
      <c r="E1009" s="143" t="s">
        <v>353</v>
      </c>
      <c r="F1009" s="99"/>
      <c r="G1009" s="99"/>
      <c r="H1009" s="99"/>
    </row>
    <row r="1010" spans="1:8" s="44" customFormat="1" hidden="1" outlineLevel="1">
      <c r="A1010" s="454" t="s">
        <v>354</v>
      </c>
      <c r="B1010" s="544">
        <f>VLOOKUP($A1010,'Anlage 1a_Zuschlagszahlungen_NB'!$A$8:$E$861,5,FALSE)</f>
        <v>2602537</v>
      </c>
      <c r="C1010" s="95">
        <f>SUMIFS('Anlage 1c_Korrekturen_NB'!$D$11:$D$78,'Anlage 1c_Korrekturen_NB'!$A$11:$A$78,'Anlage 3a_Zusammenfassung_KWKG'!$A1010)+SUMIFS('Anlage 1c_Korrekturen_NB'!$F$11:$F$78,'Anlage 1c_Korrekturen_NB'!$A$11:$A$78,'Anlage 3a_Zusammenfassung_KWKG'!$A1010)+SUMIFS('Anlage 1c_Korrekturen_NB'!$H$11:$H$78,'Anlage 1c_Korrekturen_NB'!$A$11:$A$78,'Anlage 3a_Zusammenfassung_KWKG'!$A1010)</f>
        <v>-12190</v>
      </c>
      <c r="D1010" s="145">
        <f t="shared" si="43"/>
        <v>2590347</v>
      </c>
      <c r="E1010" s="143" t="s">
        <v>355</v>
      </c>
      <c r="F1010" s="99"/>
      <c r="G1010" s="99"/>
      <c r="H1010" s="99"/>
    </row>
    <row r="1011" spans="1:8" s="44" customFormat="1" hidden="1" outlineLevel="1">
      <c r="A1011" s="454" t="s">
        <v>356</v>
      </c>
      <c r="B1011" s="544">
        <f>VLOOKUP($A1011,'Anlage 1a_Zuschlagszahlungen_NB'!$A$8:$E$861,5,FALSE)</f>
        <v>0</v>
      </c>
      <c r="C1011" s="95">
        <f>SUMIFS('Anlage 1c_Korrekturen_NB'!$D$11:$D$78,'Anlage 1c_Korrekturen_NB'!$A$11:$A$78,'Anlage 3a_Zusammenfassung_KWKG'!$A1011)+SUMIFS('Anlage 1c_Korrekturen_NB'!$F$11:$F$78,'Anlage 1c_Korrekturen_NB'!$A$11:$A$78,'Anlage 3a_Zusammenfassung_KWKG'!$A1011)+SUMIFS('Anlage 1c_Korrekturen_NB'!$H$11:$H$78,'Anlage 1c_Korrekturen_NB'!$A$11:$A$78,'Anlage 3a_Zusammenfassung_KWKG'!$A1011)</f>
        <v>0</v>
      </c>
      <c r="D1011" s="145">
        <f t="shared" si="43"/>
        <v>0</v>
      </c>
      <c r="E1011" s="143" t="s">
        <v>357</v>
      </c>
      <c r="F1011" s="99"/>
      <c r="G1011" s="99"/>
      <c r="H1011" s="99"/>
    </row>
    <row r="1012" spans="1:8" s="44" customFormat="1" hidden="1" outlineLevel="1">
      <c r="A1012" s="454" t="s">
        <v>358</v>
      </c>
      <c r="B1012" s="544">
        <f>VLOOKUP($A1012,'Anlage 1a_Zuschlagszahlungen_NB'!$A$8:$E$861,5,FALSE)</f>
        <v>381766483</v>
      </c>
      <c r="C1012" s="95">
        <f>SUMIFS('Anlage 1c_Korrekturen_NB'!$D$11:$D$78,'Anlage 1c_Korrekturen_NB'!$A$11:$A$78,'Anlage 3a_Zusammenfassung_KWKG'!$A1012)+SUMIFS('Anlage 1c_Korrekturen_NB'!$F$11:$F$78,'Anlage 1c_Korrekturen_NB'!$A$11:$A$78,'Anlage 3a_Zusammenfassung_KWKG'!$A1012)+SUMIFS('Anlage 1c_Korrekturen_NB'!$H$11:$H$78,'Anlage 1c_Korrekturen_NB'!$A$11:$A$78,'Anlage 3a_Zusammenfassung_KWKG'!$A1012)</f>
        <v>578292</v>
      </c>
      <c r="D1012" s="145">
        <f t="shared" si="43"/>
        <v>382344775</v>
      </c>
      <c r="E1012" s="143" t="s">
        <v>359</v>
      </c>
      <c r="F1012" s="99"/>
      <c r="G1012" s="99"/>
      <c r="H1012" s="99"/>
    </row>
    <row r="1013" spans="1:8" s="44" customFormat="1" hidden="1" outlineLevel="1">
      <c r="A1013" s="454" t="s">
        <v>360</v>
      </c>
      <c r="B1013" s="544">
        <f>VLOOKUP($A1013,'Anlage 1a_Zuschlagszahlungen_NB'!$A$8:$E$861,5,FALSE)</f>
        <v>525561</v>
      </c>
      <c r="C1013" s="95">
        <f>SUMIFS('Anlage 1c_Korrekturen_NB'!$D$11:$D$78,'Anlage 1c_Korrekturen_NB'!$A$11:$A$78,'Anlage 3a_Zusammenfassung_KWKG'!$A1013)+SUMIFS('Anlage 1c_Korrekturen_NB'!$F$11:$F$78,'Anlage 1c_Korrekturen_NB'!$A$11:$A$78,'Anlage 3a_Zusammenfassung_KWKG'!$A1013)+SUMIFS('Anlage 1c_Korrekturen_NB'!$H$11:$H$78,'Anlage 1c_Korrekturen_NB'!$A$11:$A$78,'Anlage 3a_Zusammenfassung_KWKG'!$A1013)</f>
        <v>0</v>
      </c>
      <c r="D1013" s="145">
        <f t="shared" ref="D1013:D1034" si="44">B1013+C1013</f>
        <v>525561</v>
      </c>
      <c r="E1013" s="143" t="s">
        <v>361</v>
      </c>
      <c r="F1013" s="99"/>
      <c r="G1013" s="99"/>
      <c r="H1013" s="99"/>
    </row>
    <row r="1014" spans="1:8" s="44" customFormat="1" hidden="1" outlineLevel="1">
      <c r="A1014" s="454" t="s">
        <v>362</v>
      </c>
      <c r="B1014" s="544">
        <f>VLOOKUP($A1014,'Anlage 1a_Zuschlagszahlungen_NB'!$A$8:$E$861,5,FALSE)</f>
        <v>477805</v>
      </c>
      <c r="C1014" s="95">
        <f>SUMIFS('Anlage 1c_Korrekturen_NB'!$D$11:$D$78,'Anlage 1c_Korrekturen_NB'!$A$11:$A$78,'Anlage 3a_Zusammenfassung_KWKG'!$A1014)+SUMIFS('Anlage 1c_Korrekturen_NB'!$F$11:$F$78,'Anlage 1c_Korrekturen_NB'!$A$11:$A$78,'Anlage 3a_Zusammenfassung_KWKG'!$A1014)+SUMIFS('Anlage 1c_Korrekturen_NB'!$H$11:$H$78,'Anlage 1c_Korrekturen_NB'!$A$11:$A$78,'Anlage 3a_Zusammenfassung_KWKG'!$A1014)</f>
        <v>0</v>
      </c>
      <c r="D1014" s="145">
        <f t="shared" si="44"/>
        <v>477805</v>
      </c>
      <c r="E1014" s="143" t="s">
        <v>363</v>
      </c>
      <c r="F1014" s="99"/>
      <c r="G1014" s="99"/>
      <c r="H1014" s="99"/>
    </row>
    <row r="1015" spans="1:8" s="44" customFormat="1" hidden="1" outlineLevel="1">
      <c r="A1015" s="454" t="s">
        <v>364</v>
      </c>
      <c r="B1015" s="544">
        <f>VLOOKUP($A1015,'Anlage 1a_Zuschlagszahlungen_NB'!$A$8:$E$861,5,FALSE)</f>
        <v>0</v>
      </c>
      <c r="C1015" s="95">
        <f>SUMIFS('Anlage 1c_Korrekturen_NB'!$D$11:$D$78,'Anlage 1c_Korrekturen_NB'!$A$11:$A$78,'Anlage 3a_Zusammenfassung_KWKG'!$A1015)+SUMIFS('Anlage 1c_Korrekturen_NB'!$F$11:$F$78,'Anlage 1c_Korrekturen_NB'!$A$11:$A$78,'Anlage 3a_Zusammenfassung_KWKG'!$A1015)+SUMIFS('Anlage 1c_Korrekturen_NB'!$H$11:$H$78,'Anlage 1c_Korrekturen_NB'!$A$11:$A$78,'Anlage 3a_Zusammenfassung_KWKG'!$A1015)</f>
        <v>0</v>
      </c>
      <c r="D1015" s="145">
        <f t="shared" si="44"/>
        <v>0</v>
      </c>
      <c r="E1015" s="143" t="s">
        <v>365</v>
      </c>
      <c r="F1015" s="99"/>
      <c r="G1015" s="99"/>
      <c r="H1015" s="99"/>
    </row>
    <row r="1016" spans="1:8" s="44" customFormat="1" hidden="1" outlineLevel="1">
      <c r="A1016" s="454" t="s">
        <v>366</v>
      </c>
      <c r="B1016" s="544">
        <f>VLOOKUP($A1016,'Anlage 1a_Zuschlagszahlungen_NB'!$A$8:$E$861,5,FALSE)</f>
        <v>9291544</v>
      </c>
      <c r="C1016" s="95">
        <f>SUMIFS('Anlage 1c_Korrekturen_NB'!$D$11:$D$78,'Anlage 1c_Korrekturen_NB'!$A$11:$A$78,'Anlage 3a_Zusammenfassung_KWKG'!$A1016)+SUMIFS('Anlage 1c_Korrekturen_NB'!$F$11:$F$78,'Anlage 1c_Korrekturen_NB'!$A$11:$A$78,'Anlage 3a_Zusammenfassung_KWKG'!$A1016)+SUMIFS('Anlage 1c_Korrekturen_NB'!$H$11:$H$78,'Anlage 1c_Korrekturen_NB'!$A$11:$A$78,'Anlage 3a_Zusammenfassung_KWKG'!$A1016)</f>
        <v>0</v>
      </c>
      <c r="D1016" s="145">
        <f t="shared" si="44"/>
        <v>9291544</v>
      </c>
      <c r="E1016" s="143" t="s">
        <v>367</v>
      </c>
      <c r="F1016" s="99"/>
      <c r="G1016" s="99"/>
      <c r="H1016" s="99"/>
    </row>
    <row r="1017" spans="1:8" s="44" customFormat="1" hidden="1" outlineLevel="1">
      <c r="A1017" s="454" t="s">
        <v>368</v>
      </c>
      <c r="B1017" s="544">
        <f>VLOOKUP($A1017,'Anlage 1a_Zuschlagszahlungen_NB'!$A$8:$E$861,5,FALSE)</f>
        <v>132119870</v>
      </c>
      <c r="C1017" s="95">
        <f>SUMIFS('Anlage 1c_Korrekturen_NB'!$D$11:$D$78,'Anlage 1c_Korrekturen_NB'!$A$11:$A$78,'Anlage 3a_Zusammenfassung_KWKG'!$A1017)+SUMIFS('Anlage 1c_Korrekturen_NB'!$F$11:$F$78,'Anlage 1c_Korrekturen_NB'!$A$11:$A$78,'Anlage 3a_Zusammenfassung_KWKG'!$A1017)+SUMIFS('Anlage 1c_Korrekturen_NB'!$H$11:$H$78,'Anlage 1c_Korrekturen_NB'!$A$11:$A$78,'Anlage 3a_Zusammenfassung_KWKG'!$A1017)</f>
        <v>0</v>
      </c>
      <c r="D1017" s="145">
        <f t="shared" si="44"/>
        <v>132119870</v>
      </c>
      <c r="E1017" s="143" t="s">
        <v>369</v>
      </c>
      <c r="F1017" s="99"/>
      <c r="G1017" s="99"/>
      <c r="H1017" s="99"/>
    </row>
    <row r="1018" spans="1:8" s="44" customFormat="1" hidden="1" outlineLevel="1">
      <c r="A1018" s="454" t="s">
        <v>370</v>
      </c>
      <c r="B1018" s="544">
        <f>VLOOKUP($A1018,'Anlage 1a_Zuschlagszahlungen_NB'!$A$8:$E$861,5,FALSE)</f>
        <v>370490504</v>
      </c>
      <c r="C1018" s="95">
        <f>SUMIFS('Anlage 1c_Korrekturen_NB'!$D$11:$D$78,'Anlage 1c_Korrekturen_NB'!$A$11:$A$78,'Anlage 3a_Zusammenfassung_KWKG'!$A1018)+SUMIFS('Anlage 1c_Korrekturen_NB'!$F$11:$F$78,'Anlage 1c_Korrekturen_NB'!$A$11:$A$78,'Anlage 3a_Zusammenfassung_KWKG'!$A1018)+SUMIFS('Anlage 1c_Korrekturen_NB'!$H$11:$H$78,'Anlage 1c_Korrekturen_NB'!$A$11:$A$78,'Anlage 3a_Zusammenfassung_KWKG'!$A1018)</f>
        <v>0</v>
      </c>
      <c r="D1018" s="145">
        <f t="shared" si="44"/>
        <v>370490504</v>
      </c>
      <c r="E1018" s="143" t="s">
        <v>371</v>
      </c>
      <c r="F1018" s="99"/>
      <c r="G1018" s="99"/>
      <c r="H1018" s="99"/>
    </row>
    <row r="1019" spans="1:8" s="44" customFormat="1" hidden="1" outlineLevel="1">
      <c r="A1019" s="454" t="s">
        <v>372</v>
      </c>
      <c r="B1019" s="544">
        <f>VLOOKUP($A1019,'Anlage 1a_Zuschlagszahlungen_NB'!$A$8:$E$861,5,FALSE)</f>
        <v>63316</v>
      </c>
      <c r="C1019" s="95">
        <f>SUMIFS('Anlage 1c_Korrekturen_NB'!$D$11:$D$78,'Anlage 1c_Korrekturen_NB'!$A$11:$A$78,'Anlage 3a_Zusammenfassung_KWKG'!$A1019)+SUMIFS('Anlage 1c_Korrekturen_NB'!$F$11:$F$78,'Anlage 1c_Korrekturen_NB'!$A$11:$A$78,'Anlage 3a_Zusammenfassung_KWKG'!$A1019)+SUMIFS('Anlage 1c_Korrekturen_NB'!$H$11:$H$78,'Anlage 1c_Korrekturen_NB'!$A$11:$A$78,'Anlage 3a_Zusammenfassung_KWKG'!$A1019)</f>
        <v>0</v>
      </c>
      <c r="D1019" s="145">
        <f t="shared" si="44"/>
        <v>63316</v>
      </c>
      <c r="E1019" s="143" t="s">
        <v>373</v>
      </c>
      <c r="F1019" s="99"/>
      <c r="G1019" s="99"/>
      <c r="H1019" s="99"/>
    </row>
    <row r="1020" spans="1:8" s="44" customFormat="1" hidden="1" outlineLevel="1">
      <c r="A1020" s="454" t="s">
        <v>374</v>
      </c>
      <c r="B1020" s="544">
        <f>VLOOKUP($A1020,'Anlage 1a_Zuschlagszahlungen_NB'!$A$8:$E$861,5,FALSE)</f>
        <v>1600482</v>
      </c>
      <c r="C1020" s="95">
        <f>SUMIFS('Anlage 1c_Korrekturen_NB'!$D$11:$D$78,'Anlage 1c_Korrekturen_NB'!$A$11:$A$78,'Anlage 3a_Zusammenfassung_KWKG'!$A1020)+SUMIFS('Anlage 1c_Korrekturen_NB'!$F$11:$F$78,'Anlage 1c_Korrekturen_NB'!$A$11:$A$78,'Anlage 3a_Zusammenfassung_KWKG'!$A1020)+SUMIFS('Anlage 1c_Korrekturen_NB'!$H$11:$H$78,'Anlage 1c_Korrekturen_NB'!$A$11:$A$78,'Anlage 3a_Zusammenfassung_KWKG'!$A1020)</f>
        <v>0</v>
      </c>
      <c r="D1020" s="145">
        <f t="shared" si="44"/>
        <v>1600482</v>
      </c>
      <c r="E1020" s="143" t="s">
        <v>375</v>
      </c>
      <c r="F1020" s="99"/>
      <c r="G1020" s="99"/>
      <c r="H1020" s="99"/>
    </row>
    <row r="1021" spans="1:8" s="44" customFormat="1" hidden="1" outlineLevel="1">
      <c r="A1021" s="454" t="s">
        <v>376</v>
      </c>
      <c r="B1021" s="544">
        <f>VLOOKUP($A1021,'Anlage 1a_Zuschlagszahlungen_NB'!$A$8:$E$861,5,FALSE)</f>
        <v>919424</v>
      </c>
      <c r="C1021" s="95">
        <f>SUMIFS('Anlage 1c_Korrekturen_NB'!$D$11:$D$78,'Anlage 1c_Korrekturen_NB'!$A$11:$A$78,'Anlage 3a_Zusammenfassung_KWKG'!$A1021)+SUMIFS('Anlage 1c_Korrekturen_NB'!$F$11:$F$78,'Anlage 1c_Korrekturen_NB'!$A$11:$A$78,'Anlage 3a_Zusammenfassung_KWKG'!$A1021)+SUMIFS('Anlage 1c_Korrekturen_NB'!$H$11:$H$78,'Anlage 1c_Korrekturen_NB'!$A$11:$A$78,'Anlage 3a_Zusammenfassung_KWKG'!$A1021)</f>
        <v>0</v>
      </c>
      <c r="D1021" s="145">
        <f t="shared" si="44"/>
        <v>919424</v>
      </c>
      <c r="E1021" s="143" t="s">
        <v>377</v>
      </c>
      <c r="F1021" s="99"/>
      <c r="G1021" s="99"/>
      <c r="H1021" s="99"/>
    </row>
    <row r="1022" spans="1:8" s="44" customFormat="1" hidden="1" outlineLevel="1">
      <c r="A1022" s="454" t="s">
        <v>378</v>
      </c>
      <c r="B1022" s="544">
        <f>VLOOKUP($A1022,'Anlage 1a_Zuschlagszahlungen_NB'!$A$8:$E$861,5,FALSE)</f>
        <v>7222640</v>
      </c>
      <c r="C1022" s="95">
        <f>SUMIFS('Anlage 1c_Korrekturen_NB'!$D$11:$D$78,'Anlage 1c_Korrekturen_NB'!$A$11:$A$78,'Anlage 3a_Zusammenfassung_KWKG'!$A1022)+SUMIFS('Anlage 1c_Korrekturen_NB'!$F$11:$F$78,'Anlage 1c_Korrekturen_NB'!$A$11:$A$78,'Anlage 3a_Zusammenfassung_KWKG'!$A1022)+SUMIFS('Anlage 1c_Korrekturen_NB'!$H$11:$H$78,'Anlage 1c_Korrekturen_NB'!$A$11:$A$78,'Anlage 3a_Zusammenfassung_KWKG'!$A1022)</f>
        <v>0</v>
      </c>
      <c r="D1022" s="145">
        <f t="shared" si="44"/>
        <v>7222640</v>
      </c>
      <c r="E1022" s="143" t="s">
        <v>379</v>
      </c>
      <c r="F1022" s="99"/>
      <c r="G1022" s="99"/>
      <c r="H1022" s="99"/>
    </row>
    <row r="1023" spans="1:8" s="44" customFormat="1" hidden="1" outlineLevel="1">
      <c r="A1023" s="454" t="s">
        <v>380</v>
      </c>
      <c r="B1023" s="544">
        <f>VLOOKUP($A1023,'Anlage 1a_Zuschlagszahlungen_NB'!$A$8:$E$861,5,FALSE)</f>
        <v>121697</v>
      </c>
      <c r="C1023" s="95">
        <f>SUMIFS('Anlage 1c_Korrekturen_NB'!$D$11:$D$78,'Anlage 1c_Korrekturen_NB'!$A$11:$A$78,'Anlage 3a_Zusammenfassung_KWKG'!$A1023)+SUMIFS('Anlage 1c_Korrekturen_NB'!$F$11:$F$78,'Anlage 1c_Korrekturen_NB'!$A$11:$A$78,'Anlage 3a_Zusammenfassung_KWKG'!$A1023)+SUMIFS('Anlage 1c_Korrekturen_NB'!$H$11:$H$78,'Anlage 1c_Korrekturen_NB'!$A$11:$A$78,'Anlage 3a_Zusammenfassung_KWKG'!$A1023)</f>
        <v>0</v>
      </c>
      <c r="D1023" s="145">
        <f t="shared" si="44"/>
        <v>121697</v>
      </c>
      <c r="E1023" s="143" t="s">
        <v>381</v>
      </c>
      <c r="F1023" s="99"/>
      <c r="G1023" s="99"/>
      <c r="H1023" s="99"/>
    </row>
    <row r="1024" spans="1:8" s="44" customFormat="1" hidden="1" outlineLevel="1">
      <c r="A1024" s="454" t="s">
        <v>382</v>
      </c>
      <c r="B1024" s="544">
        <f>VLOOKUP($A1024,'Anlage 1a_Zuschlagszahlungen_NB'!$A$8:$E$861,5,FALSE)</f>
        <v>4972943</v>
      </c>
      <c r="C1024" s="95">
        <f>SUMIFS('Anlage 1c_Korrekturen_NB'!$D$11:$D$78,'Anlage 1c_Korrekturen_NB'!$A$11:$A$78,'Anlage 3a_Zusammenfassung_KWKG'!$A1024)+SUMIFS('Anlage 1c_Korrekturen_NB'!$F$11:$F$78,'Anlage 1c_Korrekturen_NB'!$A$11:$A$78,'Anlage 3a_Zusammenfassung_KWKG'!$A1024)+SUMIFS('Anlage 1c_Korrekturen_NB'!$H$11:$H$78,'Anlage 1c_Korrekturen_NB'!$A$11:$A$78,'Anlage 3a_Zusammenfassung_KWKG'!$A1024)</f>
        <v>0</v>
      </c>
      <c r="D1024" s="145">
        <f t="shared" si="44"/>
        <v>4972943</v>
      </c>
      <c r="E1024" s="143" t="s">
        <v>383</v>
      </c>
      <c r="F1024" s="99"/>
      <c r="G1024" s="99"/>
      <c r="H1024" s="99"/>
    </row>
    <row r="1025" spans="1:9" s="44" customFormat="1" hidden="1" outlineLevel="1">
      <c r="A1025" s="454" t="s">
        <v>384</v>
      </c>
      <c r="B1025" s="544">
        <f>VLOOKUP($A1025,'Anlage 1a_Zuschlagszahlungen_NB'!$A$8:$E$861,5,FALSE)</f>
        <v>193898</v>
      </c>
      <c r="C1025" s="95">
        <f>SUMIFS('Anlage 1c_Korrekturen_NB'!$D$11:$D$78,'Anlage 1c_Korrekturen_NB'!$A$11:$A$78,'Anlage 3a_Zusammenfassung_KWKG'!$A1025)+SUMIFS('Anlage 1c_Korrekturen_NB'!$F$11:$F$78,'Anlage 1c_Korrekturen_NB'!$A$11:$A$78,'Anlage 3a_Zusammenfassung_KWKG'!$A1025)+SUMIFS('Anlage 1c_Korrekturen_NB'!$H$11:$H$78,'Anlage 1c_Korrekturen_NB'!$A$11:$A$78,'Anlage 3a_Zusammenfassung_KWKG'!$A1025)</f>
        <v>0</v>
      </c>
      <c r="D1025" s="145">
        <f t="shared" si="44"/>
        <v>193898</v>
      </c>
      <c r="E1025" s="143" t="s">
        <v>385</v>
      </c>
      <c r="F1025" s="99"/>
      <c r="G1025" s="99"/>
      <c r="H1025" s="99"/>
    </row>
    <row r="1026" spans="1:9" s="44" customFormat="1" hidden="1" outlineLevel="1">
      <c r="A1026" s="454" t="s">
        <v>386</v>
      </c>
      <c r="B1026" s="544">
        <f>VLOOKUP($A1026,'Anlage 1a_Zuschlagszahlungen_NB'!$A$8:$E$861,5,FALSE)</f>
        <v>1154760</v>
      </c>
      <c r="C1026" s="95">
        <f>SUMIFS('Anlage 1c_Korrekturen_NB'!$D$11:$D$78,'Anlage 1c_Korrekturen_NB'!$A$11:$A$78,'Anlage 3a_Zusammenfassung_KWKG'!$A1026)+SUMIFS('Anlage 1c_Korrekturen_NB'!$F$11:$F$78,'Anlage 1c_Korrekturen_NB'!$A$11:$A$78,'Anlage 3a_Zusammenfassung_KWKG'!$A1026)+SUMIFS('Anlage 1c_Korrekturen_NB'!$H$11:$H$78,'Anlage 1c_Korrekturen_NB'!$A$11:$A$78,'Anlage 3a_Zusammenfassung_KWKG'!$A1026)</f>
        <v>1434</v>
      </c>
      <c r="D1026" s="145">
        <f t="shared" si="44"/>
        <v>1156194</v>
      </c>
      <c r="E1026" s="143" t="s">
        <v>387</v>
      </c>
      <c r="F1026" s="99"/>
      <c r="G1026" s="99"/>
      <c r="H1026" s="99"/>
    </row>
    <row r="1027" spans="1:9" s="44" customFormat="1" hidden="1" outlineLevel="1">
      <c r="A1027" s="454" t="s">
        <v>388</v>
      </c>
      <c r="B1027" s="544">
        <f>VLOOKUP($A1027,'Anlage 1a_Zuschlagszahlungen_NB'!$A$8:$E$861,5,FALSE)</f>
        <v>22401561</v>
      </c>
      <c r="C1027" s="95">
        <f>SUMIFS('Anlage 1c_Korrekturen_NB'!$D$11:$D$78,'Anlage 1c_Korrekturen_NB'!$A$11:$A$78,'Anlage 3a_Zusammenfassung_KWKG'!$A1027)+SUMIFS('Anlage 1c_Korrekturen_NB'!$F$11:$F$78,'Anlage 1c_Korrekturen_NB'!$A$11:$A$78,'Anlage 3a_Zusammenfassung_KWKG'!$A1027)+SUMIFS('Anlage 1c_Korrekturen_NB'!$H$11:$H$78,'Anlage 1c_Korrekturen_NB'!$A$11:$A$78,'Anlage 3a_Zusammenfassung_KWKG'!$A1027)</f>
        <v>4622829</v>
      </c>
      <c r="D1027" s="145">
        <f t="shared" si="44"/>
        <v>27024390</v>
      </c>
      <c r="E1027" s="143" t="s">
        <v>389</v>
      </c>
      <c r="F1027" s="99"/>
      <c r="G1027" s="99"/>
      <c r="H1027" s="99"/>
    </row>
    <row r="1028" spans="1:9" s="44" customFormat="1" hidden="1" outlineLevel="1">
      <c r="A1028" s="454" t="s">
        <v>390</v>
      </c>
      <c r="B1028" s="544">
        <f>VLOOKUP($A1028,'Anlage 1a_Zuschlagszahlungen_NB'!$A$8:$E$861,5,FALSE)</f>
        <v>1807697</v>
      </c>
      <c r="C1028" s="95">
        <f>SUMIFS('Anlage 1c_Korrekturen_NB'!$D$11:$D$78,'Anlage 1c_Korrekturen_NB'!$A$11:$A$78,'Anlage 3a_Zusammenfassung_KWKG'!$A1028)+SUMIFS('Anlage 1c_Korrekturen_NB'!$F$11:$F$78,'Anlage 1c_Korrekturen_NB'!$A$11:$A$78,'Anlage 3a_Zusammenfassung_KWKG'!$A1028)+SUMIFS('Anlage 1c_Korrekturen_NB'!$H$11:$H$78,'Anlage 1c_Korrekturen_NB'!$A$11:$A$78,'Anlage 3a_Zusammenfassung_KWKG'!$A1028)</f>
        <v>11841</v>
      </c>
      <c r="D1028" s="145">
        <f t="shared" si="44"/>
        <v>1819538</v>
      </c>
      <c r="E1028" s="143" t="s">
        <v>391</v>
      </c>
      <c r="F1028" s="99"/>
      <c r="G1028" s="99"/>
      <c r="H1028" s="99"/>
    </row>
    <row r="1029" spans="1:9" s="44" customFormat="1" hidden="1" outlineLevel="1">
      <c r="A1029" s="454" t="s">
        <v>392</v>
      </c>
      <c r="B1029" s="544">
        <f>VLOOKUP($A1029,'Anlage 1a_Zuschlagszahlungen_NB'!$A$8:$E$861,5,FALSE)</f>
        <v>325769</v>
      </c>
      <c r="C1029" s="95">
        <f>SUMIFS('Anlage 1c_Korrekturen_NB'!$D$11:$D$78,'Anlage 1c_Korrekturen_NB'!$A$11:$A$78,'Anlage 3a_Zusammenfassung_KWKG'!$A1029)+SUMIFS('Anlage 1c_Korrekturen_NB'!$F$11:$F$78,'Anlage 1c_Korrekturen_NB'!$A$11:$A$78,'Anlage 3a_Zusammenfassung_KWKG'!$A1029)+SUMIFS('Anlage 1c_Korrekturen_NB'!$H$11:$H$78,'Anlage 1c_Korrekturen_NB'!$A$11:$A$78,'Anlage 3a_Zusammenfassung_KWKG'!$A1029)</f>
        <v>0</v>
      </c>
      <c r="D1029" s="145">
        <f t="shared" si="44"/>
        <v>325769</v>
      </c>
      <c r="E1029" s="143" t="s">
        <v>393</v>
      </c>
      <c r="F1029" s="99"/>
      <c r="G1029" s="99"/>
      <c r="H1029" s="99"/>
    </row>
    <row r="1030" spans="1:9" s="44" customFormat="1" hidden="1" outlineLevel="1">
      <c r="A1030" s="454" t="s">
        <v>394</v>
      </c>
      <c r="B1030" s="544">
        <f>VLOOKUP($A1030,'Anlage 1a_Zuschlagszahlungen_NB'!$A$8:$E$861,5,FALSE)</f>
        <v>830451</v>
      </c>
      <c r="C1030" s="95">
        <f>SUMIFS('Anlage 1c_Korrekturen_NB'!$D$11:$D$78,'Anlage 1c_Korrekturen_NB'!$A$11:$A$78,'Anlage 3a_Zusammenfassung_KWKG'!$A1030)+SUMIFS('Anlage 1c_Korrekturen_NB'!$F$11:$F$78,'Anlage 1c_Korrekturen_NB'!$A$11:$A$78,'Anlage 3a_Zusammenfassung_KWKG'!$A1030)+SUMIFS('Anlage 1c_Korrekturen_NB'!$H$11:$H$78,'Anlage 1c_Korrekturen_NB'!$A$11:$A$78,'Anlage 3a_Zusammenfassung_KWKG'!$A1030)</f>
        <v>0</v>
      </c>
      <c r="D1030" s="145">
        <f t="shared" si="44"/>
        <v>830451</v>
      </c>
      <c r="E1030" s="143" t="s">
        <v>395</v>
      </c>
      <c r="F1030" s="99"/>
      <c r="G1030" s="99"/>
      <c r="H1030" s="99"/>
    </row>
    <row r="1031" spans="1:9" s="44" customFormat="1" hidden="1" outlineLevel="1">
      <c r="A1031" s="454" t="s">
        <v>396</v>
      </c>
      <c r="B1031" s="544">
        <f>VLOOKUP($A1031,'Anlage 1a_Zuschlagszahlungen_NB'!$A$8:$E$861,5,FALSE)</f>
        <v>360078</v>
      </c>
      <c r="C1031" s="95">
        <f>SUMIFS('Anlage 1c_Korrekturen_NB'!$D$11:$D$78,'Anlage 1c_Korrekturen_NB'!$A$11:$A$78,'Anlage 3a_Zusammenfassung_KWKG'!$A1031)+SUMIFS('Anlage 1c_Korrekturen_NB'!$F$11:$F$78,'Anlage 1c_Korrekturen_NB'!$A$11:$A$78,'Anlage 3a_Zusammenfassung_KWKG'!$A1031)+SUMIFS('Anlage 1c_Korrekturen_NB'!$H$11:$H$78,'Anlage 1c_Korrekturen_NB'!$A$11:$A$78,'Anlage 3a_Zusammenfassung_KWKG'!$A1031)</f>
        <v>0</v>
      </c>
      <c r="D1031" s="145">
        <f t="shared" si="44"/>
        <v>360078</v>
      </c>
      <c r="E1031" s="143" t="s">
        <v>397</v>
      </c>
      <c r="F1031" s="99"/>
      <c r="G1031" s="99"/>
      <c r="H1031" s="99"/>
    </row>
    <row r="1032" spans="1:9" s="44" customFormat="1" hidden="1" outlineLevel="1">
      <c r="A1032" s="454" t="s">
        <v>398</v>
      </c>
      <c r="B1032" s="544">
        <f>VLOOKUP($A1032,'Anlage 1a_Zuschlagszahlungen_NB'!$A$8:$E$861,5,FALSE)</f>
        <v>408121</v>
      </c>
      <c r="C1032" s="95">
        <f>SUMIFS('Anlage 1c_Korrekturen_NB'!$D$11:$D$78,'Anlage 1c_Korrekturen_NB'!$A$11:$A$78,'Anlage 3a_Zusammenfassung_KWKG'!$A1032)+SUMIFS('Anlage 1c_Korrekturen_NB'!$F$11:$F$78,'Anlage 1c_Korrekturen_NB'!$A$11:$A$78,'Anlage 3a_Zusammenfassung_KWKG'!$A1032)+SUMIFS('Anlage 1c_Korrekturen_NB'!$H$11:$H$78,'Anlage 1c_Korrekturen_NB'!$A$11:$A$78,'Anlage 3a_Zusammenfassung_KWKG'!$A1032)</f>
        <v>0</v>
      </c>
      <c r="D1032" s="145">
        <f t="shared" si="44"/>
        <v>408121</v>
      </c>
      <c r="E1032" s="143" t="s">
        <v>399</v>
      </c>
      <c r="F1032" s="99"/>
      <c r="G1032" s="99"/>
      <c r="H1032" s="99"/>
    </row>
    <row r="1033" spans="1:9" s="44" customFormat="1" hidden="1" outlineLevel="1">
      <c r="A1033" s="454" t="s">
        <v>400</v>
      </c>
      <c r="B1033" s="544">
        <f>VLOOKUP($A1033,'Anlage 1a_Zuschlagszahlungen_NB'!$A$8:$E$861,5,FALSE)</f>
        <v>925330</v>
      </c>
      <c r="C1033" s="95">
        <f>SUMIFS('Anlage 1c_Korrekturen_NB'!$D$11:$D$78,'Anlage 1c_Korrekturen_NB'!$A$11:$A$78,'Anlage 3a_Zusammenfassung_KWKG'!$A1033)+SUMIFS('Anlage 1c_Korrekturen_NB'!$F$11:$F$78,'Anlage 1c_Korrekturen_NB'!$A$11:$A$78,'Anlage 3a_Zusammenfassung_KWKG'!$A1033)+SUMIFS('Anlage 1c_Korrekturen_NB'!$H$11:$H$78,'Anlage 1c_Korrekturen_NB'!$A$11:$A$78,'Anlage 3a_Zusammenfassung_KWKG'!$A1033)</f>
        <v>0</v>
      </c>
      <c r="D1033" s="145">
        <f t="shared" si="44"/>
        <v>925330</v>
      </c>
      <c r="E1033" s="143" t="s">
        <v>401</v>
      </c>
      <c r="F1033" s="99"/>
      <c r="G1033" s="99"/>
      <c r="H1033" s="99"/>
    </row>
    <row r="1034" spans="1:9" s="44" customFormat="1" hidden="1" outlineLevel="1">
      <c r="A1034" s="454" t="s">
        <v>402</v>
      </c>
      <c r="B1034" s="544">
        <f>VLOOKUP($A1034,'Anlage 1a_Zuschlagszahlungen_NB'!$A$8:$E$861,5,FALSE)</f>
        <v>0</v>
      </c>
      <c r="C1034" s="95">
        <f>SUMIFS('Anlage 1c_Korrekturen_NB'!$D$11:$D$78,'Anlage 1c_Korrekturen_NB'!$A$11:$A$78,'Anlage 3a_Zusammenfassung_KWKG'!$A1034)+SUMIFS('Anlage 1c_Korrekturen_NB'!$F$11:$F$78,'Anlage 1c_Korrekturen_NB'!$A$11:$A$78,'Anlage 3a_Zusammenfassung_KWKG'!$A1034)+SUMIFS('Anlage 1c_Korrekturen_NB'!$H$11:$H$78,'Anlage 1c_Korrekturen_NB'!$A$11:$A$78,'Anlage 3a_Zusammenfassung_KWKG'!$A1034)</f>
        <v>0</v>
      </c>
      <c r="D1034" s="145">
        <f t="shared" si="44"/>
        <v>0</v>
      </c>
      <c r="E1034" s="143" t="s">
        <v>403</v>
      </c>
      <c r="F1034" s="99"/>
      <c r="G1034" s="99"/>
      <c r="H1034" s="99"/>
    </row>
    <row r="1035" spans="1:9" s="44" customFormat="1" collapsed="1">
      <c r="A1035" s="418" t="str">
        <f>A167</f>
        <v>Regelzone Amprion (gesamt)</v>
      </c>
      <c r="B1035" s="543">
        <f>SUM(B1036:B1271)</f>
        <v>6847337230</v>
      </c>
      <c r="C1035" s="451">
        <f>SUM(C1036:C1271)</f>
        <v>390004460</v>
      </c>
      <c r="D1035" s="144">
        <f t="shared" si="38"/>
        <v>7237341690</v>
      </c>
      <c r="E1035" s="72"/>
      <c r="F1035" s="72"/>
      <c r="G1035" s="72"/>
      <c r="H1035" s="72"/>
      <c r="I1035" s="54"/>
    </row>
    <row r="1036" spans="1:9" s="44" customFormat="1" hidden="1" outlineLevel="1">
      <c r="A1036" s="418" t="s">
        <v>405</v>
      </c>
      <c r="B1036" s="543">
        <v>524840</v>
      </c>
      <c r="C1036" s="95">
        <f>SUMIFS('Anlage 1c_Korrekturen_NB'!$D$80:$D$314,'Anlage 1c_Korrekturen_NB'!$A$80:$A$314,'Anlage 3a_Zusammenfassung_KWKG'!$A1036)+SUMIFS('Anlage 1c_Korrekturen_NB'!$F$80:$F$314,'Anlage 1c_Korrekturen_NB'!$A$80:$A$314,'Anlage 3a_Zusammenfassung_KWKG'!$A1036)+SUMIFS('Anlage 1c_Korrekturen_NB'!$H$80:$H$314,'Anlage 1c_Korrekturen_NB'!$A$80:$A$314,'Anlage 3a_Zusammenfassung_KWKG'!$A1036)</f>
        <v>178957</v>
      </c>
      <c r="D1036" s="144">
        <f t="shared" ref="D1036:D1140" si="45">B1036+C1036</f>
        <v>703797</v>
      </c>
      <c r="E1036" s="72" t="s">
        <v>406</v>
      </c>
      <c r="F1036" s="72"/>
      <c r="G1036" s="72"/>
      <c r="H1036" s="72"/>
      <c r="I1036" s="54"/>
    </row>
    <row r="1037" spans="1:9" s="44" customFormat="1" hidden="1" outlineLevel="1">
      <c r="A1037" s="418" t="s">
        <v>86</v>
      </c>
      <c r="B1037" s="543">
        <v>1159670</v>
      </c>
      <c r="C1037" s="95">
        <f>SUMIFS('Anlage 1c_Korrekturen_NB'!$D$80:$D$314,'Anlage 1c_Korrekturen_NB'!$A$80:$A$314,'Anlage 3a_Zusammenfassung_KWKG'!$A1037)+SUMIFS('Anlage 1c_Korrekturen_NB'!$F$80:$F$314,'Anlage 1c_Korrekturen_NB'!$A$80:$A$314,'Anlage 3a_Zusammenfassung_KWKG'!$A1037)+SUMIFS('Anlage 1c_Korrekturen_NB'!$H$80:$H$314,'Anlage 1c_Korrekturen_NB'!$A$80:$A$314,'Anlage 3a_Zusammenfassung_KWKG'!$A1037)</f>
        <v>0</v>
      </c>
      <c r="D1037" s="144">
        <f t="shared" si="45"/>
        <v>1159670</v>
      </c>
      <c r="E1037" s="72" t="s">
        <v>87</v>
      </c>
      <c r="F1037" s="72"/>
      <c r="G1037" s="72"/>
      <c r="H1037" s="72"/>
      <c r="I1037" s="54"/>
    </row>
    <row r="1038" spans="1:9" s="44" customFormat="1" hidden="1" outlineLevel="1">
      <c r="A1038" s="418" t="s">
        <v>407</v>
      </c>
      <c r="B1038" s="543">
        <v>2441843</v>
      </c>
      <c r="C1038" s="95">
        <f>SUMIFS('Anlage 1c_Korrekturen_NB'!$D$80:$D$314,'Anlage 1c_Korrekturen_NB'!$A$80:$A$314,'Anlage 3a_Zusammenfassung_KWKG'!$A1038)+SUMIFS('Anlage 1c_Korrekturen_NB'!$F$80:$F$314,'Anlage 1c_Korrekturen_NB'!$A$80:$A$314,'Anlage 3a_Zusammenfassung_KWKG'!$A1038)+SUMIFS('Anlage 1c_Korrekturen_NB'!$H$80:$H$314,'Anlage 1c_Korrekturen_NB'!$A$80:$A$314,'Anlage 3a_Zusammenfassung_KWKG'!$A1038)</f>
        <v>-150615</v>
      </c>
      <c r="D1038" s="144">
        <f t="shared" si="45"/>
        <v>2291228</v>
      </c>
      <c r="E1038" s="72" t="s">
        <v>408</v>
      </c>
      <c r="F1038" s="72"/>
      <c r="G1038" s="72"/>
      <c r="H1038" s="72"/>
      <c r="I1038" s="54"/>
    </row>
    <row r="1039" spans="1:9" s="44" customFormat="1" hidden="1" outlineLevel="1">
      <c r="A1039" s="418" t="s">
        <v>409</v>
      </c>
      <c r="B1039" s="543">
        <v>2916648</v>
      </c>
      <c r="C1039" s="95">
        <f>SUMIFS('Anlage 1c_Korrekturen_NB'!$D$80:$D$314,'Anlage 1c_Korrekturen_NB'!$A$80:$A$314,'Anlage 3a_Zusammenfassung_KWKG'!$A1039)+SUMIFS('Anlage 1c_Korrekturen_NB'!$F$80:$F$314,'Anlage 1c_Korrekturen_NB'!$A$80:$A$314,'Anlage 3a_Zusammenfassung_KWKG'!$A1039)+SUMIFS('Anlage 1c_Korrekturen_NB'!$H$80:$H$314,'Anlage 1c_Korrekturen_NB'!$A$80:$A$314,'Anlage 3a_Zusammenfassung_KWKG'!$A1039)</f>
        <v>0</v>
      </c>
      <c r="D1039" s="144">
        <f t="shared" si="45"/>
        <v>2916648</v>
      </c>
      <c r="E1039" s="72" t="s">
        <v>410</v>
      </c>
      <c r="F1039" s="72"/>
      <c r="G1039" s="72"/>
      <c r="H1039" s="72"/>
      <c r="I1039" s="54"/>
    </row>
    <row r="1040" spans="1:9" s="44" customFormat="1" hidden="1" outlineLevel="1">
      <c r="A1040" s="418" t="s">
        <v>411</v>
      </c>
      <c r="B1040" s="543">
        <v>18554522</v>
      </c>
      <c r="C1040" s="95">
        <f>SUMIFS('Anlage 1c_Korrekturen_NB'!$D$80:$D$314,'Anlage 1c_Korrekturen_NB'!$A$80:$A$314,'Anlage 3a_Zusammenfassung_KWKG'!$A1040)+SUMIFS('Anlage 1c_Korrekturen_NB'!$F$80:$F$314,'Anlage 1c_Korrekturen_NB'!$A$80:$A$314,'Anlage 3a_Zusammenfassung_KWKG'!$A1040)+SUMIFS('Anlage 1c_Korrekturen_NB'!$H$80:$H$314,'Anlage 1c_Korrekturen_NB'!$A$80:$A$314,'Anlage 3a_Zusammenfassung_KWKG'!$A1040)</f>
        <v>1139360</v>
      </c>
      <c r="D1040" s="144">
        <f t="shared" si="45"/>
        <v>19693882</v>
      </c>
      <c r="E1040" s="72" t="s">
        <v>412</v>
      </c>
      <c r="F1040" s="72"/>
      <c r="G1040" s="72"/>
      <c r="H1040" s="72"/>
      <c r="I1040" s="54"/>
    </row>
    <row r="1041" spans="1:9" s="44" customFormat="1" hidden="1" outlineLevel="1">
      <c r="A1041" s="418" t="s">
        <v>413</v>
      </c>
      <c r="B1041" s="543">
        <v>10322482</v>
      </c>
      <c r="C1041" s="95">
        <f>SUMIFS('Anlage 1c_Korrekturen_NB'!$D$80:$D$314,'Anlage 1c_Korrekturen_NB'!$A$80:$A$314,'Anlage 3a_Zusammenfassung_KWKG'!$A1041)+SUMIFS('Anlage 1c_Korrekturen_NB'!$F$80:$F$314,'Anlage 1c_Korrekturen_NB'!$A$80:$A$314,'Anlage 3a_Zusammenfassung_KWKG'!$A1041)+SUMIFS('Anlage 1c_Korrekturen_NB'!$H$80:$H$314,'Anlage 1c_Korrekturen_NB'!$A$80:$A$314,'Anlage 3a_Zusammenfassung_KWKG'!$A1041)</f>
        <v>-84604</v>
      </c>
      <c r="D1041" s="144">
        <f t="shared" si="45"/>
        <v>10237878</v>
      </c>
      <c r="E1041" s="72" t="s">
        <v>414</v>
      </c>
      <c r="F1041" s="72"/>
      <c r="G1041" s="72"/>
      <c r="H1041" s="72"/>
      <c r="I1041" s="54"/>
    </row>
    <row r="1042" spans="1:9" s="44" customFormat="1" hidden="1" outlineLevel="1">
      <c r="A1042" s="418" t="s">
        <v>415</v>
      </c>
      <c r="B1042" s="543">
        <v>2438258</v>
      </c>
      <c r="C1042" s="95">
        <f>SUMIFS('Anlage 1c_Korrekturen_NB'!$D$80:$D$314,'Anlage 1c_Korrekturen_NB'!$A$80:$A$314,'Anlage 3a_Zusammenfassung_KWKG'!$A1042)+SUMIFS('Anlage 1c_Korrekturen_NB'!$F$80:$F$314,'Anlage 1c_Korrekturen_NB'!$A$80:$A$314,'Anlage 3a_Zusammenfassung_KWKG'!$A1042)+SUMIFS('Anlage 1c_Korrekturen_NB'!$H$80:$H$314,'Anlage 1c_Korrekturen_NB'!$A$80:$A$314,'Anlage 3a_Zusammenfassung_KWKG'!$A1042)</f>
        <v>509059</v>
      </c>
      <c r="D1042" s="144">
        <f t="shared" si="45"/>
        <v>2947317</v>
      </c>
      <c r="E1042" s="72" t="s">
        <v>416</v>
      </c>
      <c r="F1042" s="72"/>
      <c r="G1042" s="72"/>
      <c r="H1042" s="72"/>
      <c r="I1042" s="54"/>
    </row>
    <row r="1043" spans="1:9" s="44" customFormat="1" hidden="1" outlineLevel="1">
      <c r="A1043" s="418" t="s">
        <v>417</v>
      </c>
      <c r="B1043" s="543">
        <v>93864193</v>
      </c>
      <c r="C1043" s="95">
        <f>SUMIFS('Anlage 1c_Korrekturen_NB'!$D$80:$D$314,'Anlage 1c_Korrekturen_NB'!$A$80:$A$314,'Anlage 3a_Zusammenfassung_KWKG'!$A1043)+SUMIFS('Anlage 1c_Korrekturen_NB'!$F$80:$F$314,'Anlage 1c_Korrekturen_NB'!$A$80:$A$314,'Anlage 3a_Zusammenfassung_KWKG'!$A1043)+SUMIFS('Anlage 1c_Korrekturen_NB'!$H$80:$H$314,'Anlage 1c_Korrekturen_NB'!$A$80:$A$314,'Anlage 3a_Zusammenfassung_KWKG'!$A1043)</f>
        <v>15550003</v>
      </c>
      <c r="D1043" s="144">
        <f t="shared" si="45"/>
        <v>109414196</v>
      </c>
      <c r="E1043" s="72" t="s">
        <v>418</v>
      </c>
      <c r="F1043" s="72"/>
      <c r="G1043" s="72"/>
      <c r="H1043" s="72"/>
      <c r="I1043" s="54"/>
    </row>
    <row r="1044" spans="1:9" s="44" customFormat="1" hidden="1" outlineLevel="1">
      <c r="A1044" s="418" t="s">
        <v>419</v>
      </c>
      <c r="B1044" s="543">
        <v>97122235</v>
      </c>
      <c r="C1044" s="95">
        <f>SUMIFS('Anlage 1c_Korrekturen_NB'!$D$80:$D$314,'Anlage 1c_Korrekturen_NB'!$A$80:$A$314,'Anlage 3a_Zusammenfassung_KWKG'!$A1044)+SUMIFS('Anlage 1c_Korrekturen_NB'!$F$80:$F$314,'Anlage 1c_Korrekturen_NB'!$A$80:$A$314,'Anlage 3a_Zusammenfassung_KWKG'!$A1044)+SUMIFS('Anlage 1c_Korrekturen_NB'!$H$80:$H$314,'Anlage 1c_Korrekturen_NB'!$A$80:$A$314,'Anlage 3a_Zusammenfassung_KWKG'!$A1044)</f>
        <v>568549</v>
      </c>
      <c r="D1044" s="144">
        <f t="shared" si="45"/>
        <v>97690784</v>
      </c>
      <c r="E1044" s="72" t="s">
        <v>420</v>
      </c>
      <c r="F1044" s="72"/>
      <c r="G1044" s="72"/>
      <c r="H1044" s="72"/>
      <c r="I1044" s="54"/>
    </row>
    <row r="1045" spans="1:9" s="44" customFormat="1" hidden="1" outlineLevel="1">
      <c r="A1045" s="418" t="s">
        <v>421</v>
      </c>
      <c r="B1045" s="543">
        <v>874457</v>
      </c>
      <c r="C1045" s="95">
        <f>SUMIFS('Anlage 1c_Korrekturen_NB'!$D$80:$D$314,'Anlage 1c_Korrekturen_NB'!$A$80:$A$314,'Anlage 3a_Zusammenfassung_KWKG'!$A1045)+SUMIFS('Anlage 1c_Korrekturen_NB'!$F$80:$F$314,'Anlage 1c_Korrekturen_NB'!$A$80:$A$314,'Anlage 3a_Zusammenfassung_KWKG'!$A1045)+SUMIFS('Anlage 1c_Korrekturen_NB'!$H$80:$H$314,'Anlage 1c_Korrekturen_NB'!$A$80:$A$314,'Anlage 3a_Zusammenfassung_KWKG'!$A1045)</f>
        <v>0</v>
      </c>
      <c r="D1045" s="144">
        <f t="shared" si="45"/>
        <v>874457</v>
      </c>
      <c r="E1045" s="72" t="s">
        <v>422</v>
      </c>
      <c r="F1045" s="72"/>
      <c r="G1045" s="72"/>
      <c r="H1045" s="72"/>
      <c r="I1045" s="54"/>
    </row>
    <row r="1046" spans="1:9" s="44" customFormat="1" hidden="1" outlineLevel="1">
      <c r="A1046" s="418" t="s">
        <v>423</v>
      </c>
      <c r="B1046" s="543">
        <v>3720553</v>
      </c>
      <c r="C1046" s="95">
        <f>SUMIFS('Anlage 1c_Korrekturen_NB'!$D$80:$D$314,'Anlage 1c_Korrekturen_NB'!$A$80:$A$314,'Anlage 3a_Zusammenfassung_KWKG'!$A1046)+SUMIFS('Anlage 1c_Korrekturen_NB'!$F$80:$F$314,'Anlage 1c_Korrekturen_NB'!$A$80:$A$314,'Anlage 3a_Zusammenfassung_KWKG'!$A1046)+SUMIFS('Anlage 1c_Korrekturen_NB'!$H$80:$H$314,'Anlage 1c_Korrekturen_NB'!$A$80:$A$314,'Anlage 3a_Zusammenfassung_KWKG'!$A1046)</f>
        <v>44038</v>
      </c>
      <c r="D1046" s="144">
        <f t="shared" si="45"/>
        <v>3764591</v>
      </c>
      <c r="E1046" s="72" t="s">
        <v>424</v>
      </c>
      <c r="F1046" s="72"/>
      <c r="G1046" s="72"/>
      <c r="H1046" s="72"/>
      <c r="I1046" s="54"/>
    </row>
    <row r="1047" spans="1:9" s="44" customFormat="1" hidden="1" outlineLevel="1">
      <c r="A1047" s="418" t="s">
        <v>425</v>
      </c>
      <c r="B1047" s="543">
        <v>10669846</v>
      </c>
      <c r="C1047" s="95">
        <f>SUMIFS('Anlage 1c_Korrekturen_NB'!$D$80:$D$314,'Anlage 1c_Korrekturen_NB'!$A$80:$A$314,'Anlage 3a_Zusammenfassung_KWKG'!$A1047)+SUMIFS('Anlage 1c_Korrekturen_NB'!$F$80:$F$314,'Anlage 1c_Korrekturen_NB'!$A$80:$A$314,'Anlage 3a_Zusammenfassung_KWKG'!$A1047)+SUMIFS('Anlage 1c_Korrekturen_NB'!$H$80:$H$314,'Anlage 1c_Korrekturen_NB'!$A$80:$A$314,'Anlage 3a_Zusammenfassung_KWKG'!$A1047)</f>
        <v>22800</v>
      </c>
      <c r="D1047" s="144">
        <f t="shared" si="45"/>
        <v>10692646</v>
      </c>
      <c r="E1047" s="72" t="s">
        <v>426</v>
      </c>
      <c r="F1047" s="72"/>
      <c r="G1047" s="72"/>
      <c r="H1047" s="72"/>
      <c r="I1047" s="54"/>
    </row>
    <row r="1048" spans="1:9" s="44" customFormat="1" hidden="1" outlineLevel="1">
      <c r="A1048" s="418" t="s">
        <v>427</v>
      </c>
      <c r="B1048" s="543">
        <v>1518746</v>
      </c>
      <c r="C1048" s="95">
        <f>SUMIFS('Anlage 1c_Korrekturen_NB'!$D$80:$D$314,'Anlage 1c_Korrekturen_NB'!$A$80:$A$314,'Anlage 3a_Zusammenfassung_KWKG'!$A1048)+SUMIFS('Anlage 1c_Korrekturen_NB'!$F$80:$F$314,'Anlage 1c_Korrekturen_NB'!$A$80:$A$314,'Anlage 3a_Zusammenfassung_KWKG'!$A1048)+SUMIFS('Anlage 1c_Korrekturen_NB'!$H$80:$H$314,'Anlage 1c_Korrekturen_NB'!$A$80:$A$314,'Anlage 3a_Zusammenfassung_KWKG'!$A1048)</f>
        <v>0</v>
      </c>
      <c r="D1048" s="144">
        <f t="shared" si="45"/>
        <v>1518746</v>
      </c>
      <c r="E1048" s="72" t="s">
        <v>428</v>
      </c>
      <c r="F1048" s="72"/>
      <c r="G1048" s="72"/>
      <c r="H1048" s="72"/>
      <c r="I1048" s="54"/>
    </row>
    <row r="1049" spans="1:9" s="44" customFormat="1" hidden="1" outlineLevel="1">
      <c r="A1049" s="418" t="s">
        <v>429</v>
      </c>
      <c r="B1049" s="543">
        <v>461341</v>
      </c>
      <c r="C1049" s="95">
        <f>SUMIFS('Anlage 1c_Korrekturen_NB'!$D$80:$D$314,'Anlage 1c_Korrekturen_NB'!$A$80:$A$314,'Anlage 3a_Zusammenfassung_KWKG'!$A1049)+SUMIFS('Anlage 1c_Korrekturen_NB'!$F$80:$F$314,'Anlage 1c_Korrekturen_NB'!$A$80:$A$314,'Anlage 3a_Zusammenfassung_KWKG'!$A1049)+SUMIFS('Anlage 1c_Korrekturen_NB'!$H$80:$H$314,'Anlage 1c_Korrekturen_NB'!$A$80:$A$314,'Anlage 3a_Zusammenfassung_KWKG'!$A1049)</f>
        <v>0</v>
      </c>
      <c r="D1049" s="144">
        <f t="shared" si="45"/>
        <v>461341</v>
      </c>
      <c r="E1049" s="72" t="s">
        <v>430</v>
      </c>
      <c r="F1049" s="72"/>
      <c r="G1049" s="72"/>
      <c r="H1049" s="72"/>
      <c r="I1049" s="54"/>
    </row>
    <row r="1050" spans="1:9" s="44" customFormat="1" hidden="1" outlineLevel="1">
      <c r="A1050" s="418" t="s">
        <v>431</v>
      </c>
      <c r="B1050" s="543">
        <v>33957</v>
      </c>
      <c r="C1050" s="95">
        <f>SUMIFS('Anlage 1c_Korrekturen_NB'!$D$80:$D$314,'Anlage 1c_Korrekturen_NB'!$A$80:$A$314,'Anlage 3a_Zusammenfassung_KWKG'!$A1050)+SUMIFS('Anlage 1c_Korrekturen_NB'!$F$80:$F$314,'Anlage 1c_Korrekturen_NB'!$A$80:$A$314,'Anlage 3a_Zusammenfassung_KWKG'!$A1050)+SUMIFS('Anlage 1c_Korrekturen_NB'!$H$80:$H$314,'Anlage 1c_Korrekturen_NB'!$A$80:$A$314,'Anlage 3a_Zusammenfassung_KWKG'!$A1050)</f>
        <v>0</v>
      </c>
      <c r="D1050" s="144">
        <f t="shared" si="45"/>
        <v>33957</v>
      </c>
      <c r="E1050" s="72" t="s">
        <v>432</v>
      </c>
      <c r="F1050" s="72"/>
      <c r="G1050" s="72"/>
      <c r="H1050" s="72"/>
      <c r="I1050" s="54"/>
    </row>
    <row r="1051" spans="1:9" s="44" customFormat="1" hidden="1" outlineLevel="1">
      <c r="A1051" s="418" t="s">
        <v>433</v>
      </c>
      <c r="B1051" s="543">
        <v>22641445</v>
      </c>
      <c r="C1051" s="95">
        <f>SUMIFS('Anlage 1c_Korrekturen_NB'!$D$80:$D$314,'Anlage 1c_Korrekturen_NB'!$A$80:$A$314,'Anlage 3a_Zusammenfassung_KWKG'!$A1051)+SUMIFS('Anlage 1c_Korrekturen_NB'!$F$80:$F$314,'Anlage 1c_Korrekturen_NB'!$A$80:$A$314,'Anlage 3a_Zusammenfassung_KWKG'!$A1051)+SUMIFS('Anlage 1c_Korrekturen_NB'!$H$80:$H$314,'Anlage 1c_Korrekturen_NB'!$A$80:$A$314,'Anlage 3a_Zusammenfassung_KWKG'!$A1051)</f>
        <v>379443</v>
      </c>
      <c r="D1051" s="144">
        <f t="shared" si="45"/>
        <v>23020888</v>
      </c>
      <c r="E1051" s="72" t="s">
        <v>434</v>
      </c>
      <c r="F1051" s="72"/>
      <c r="G1051" s="72"/>
      <c r="H1051" s="72"/>
      <c r="I1051" s="54"/>
    </row>
    <row r="1052" spans="1:9" s="44" customFormat="1" hidden="1" outlineLevel="1">
      <c r="A1052" s="418" t="s">
        <v>435</v>
      </c>
      <c r="B1052" s="543">
        <v>1218905</v>
      </c>
      <c r="C1052" s="95">
        <f>SUMIFS('Anlage 1c_Korrekturen_NB'!$D$80:$D$314,'Anlage 1c_Korrekturen_NB'!$A$80:$A$314,'Anlage 3a_Zusammenfassung_KWKG'!$A1052)+SUMIFS('Anlage 1c_Korrekturen_NB'!$F$80:$F$314,'Anlage 1c_Korrekturen_NB'!$A$80:$A$314,'Anlage 3a_Zusammenfassung_KWKG'!$A1052)+SUMIFS('Anlage 1c_Korrekturen_NB'!$H$80:$H$314,'Anlage 1c_Korrekturen_NB'!$A$80:$A$314,'Anlage 3a_Zusammenfassung_KWKG'!$A1052)</f>
        <v>29105</v>
      </c>
      <c r="D1052" s="144">
        <f t="shared" si="45"/>
        <v>1248010</v>
      </c>
      <c r="E1052" s="72" t="s">
        <v>436</v>
      </c>
      <c r="F1052" s="72"/>
      <c r="G1052" s="72"/>
      <c r="H1052" s="72"/>
      <c r="I1052" s="54"/>
    </row>
    <row r="1053" spans="1:9" s="44" customFormat="1" hidden="1" outlineLevel="1">
      <c r="A1053" s="418" t="s">
        <v>437</v>
      </c>
      <c r="B1053" s="543">
        <v>3770511</v>
      </c>
      <c r="C1053" s="95">
        <f>SUMIFS('Anlage 1c_Korrekturen_NB'!$D$80:$D$314,'Anlage 1c_Korrekturen_NB'!$A$80:$A$314,'Anlage 3a_Zusammenfassung_KWKG'!$A1053)+SUMIFS('Anlage 1c_Korrekturen_NB'!$F$80:$F$314,'Anlage 1c_Korrekturen_NB'!$A$80:$A$314,'Anlage 3a_Zusammenfassung_KWKG'!$A1053)+SUMIFS('Anlage 1c_Korrekturen_NB'!$H$80:$H$314,'Anlage 1c_Korrekturen_NB'!$A$80:$A$314,'Anlage 3a_Zusammenfassung_KWKG'!$A1053)</f>
        <v>6319</v>
      </c>
      <c r="D1053" s="144">
        <f t="shared" si="45"/>
        <v>3776830</v>
      </c>
      <c r="E1053" s="72" t="s">
        <v>438</v>
      </c>
      <c r="F1053" s="72"/>
      <c r="G1053" s="72"/>
      <c r="H1053" s="72"/>
      <c r="I1053" s="54"/>
    </row>
    <row r="1054" spans="1:9" s="44" customFormat="1" hidden="1" outlineLevel="1">
      <c r="A1054" s="418" t="s">
        <v>439</v>
      </c>
      <c r="B1054" s="543">
        <v>0</v>
      </c>
      <c r="C1054" s="95">
        <f>SUMIFS('Anlage 1c_Korrekturen_NB'!$D$80:$D$314,'Anlage 1c_Korrekturen_NB'!$A$80:$A$314,'Anlage 3a_Zusammenfassung_KWKG'!$A1054)+SUMIFS('Anlage 1c_Korrekturen_NB'!$F$80:$F$314,'Anlage 1c_Korrekturen_NB'!$A$80:$A$314,'Anlage 3a_Zusammenfassung_KWKG'!$A1054)+SUMIFS('Anlage 1c_Korrekturen_NB'!$H$80:$H$314,'Anlage 1c_Korrekturen_NB'!$A$80:$A$314,'Anlage 3a_Zusammenfassung_KWKG'!$A1054)</f>
        <v>0</v>
      </c>
      <c r="D1054" s="144">
        <f t="shared" si="45"/>
        <v>0</v>
      </c>
      <c r="E1054" s="72" t="s">
        <v>440</v>
      </c>
      <c r="F1054" s="72"/>
      <c r="G1054" s="72"/>
      <c r="H1054" s="72"/>
      <c r="I1054" s="54"/>
    </row>
    <row r="1055" spans="1:9" s="44" customFormat="1" hidden="1" outlineLevel="1">
      <c r="A1055" s="418" t="s">
        <v>441</v>
      </c>
      <c r="B1055" s="543">
        <v>127723115</v>
      </c>
      <c r="C1055" s="95">
        <f>SUMIFS('Anlage 1c_Korrekturen_NB'!$D$80:$D$314,'Anlage 1c_Korrekturen_NB'!$A$80:$A$314,'Anlage 3a_Zusammenfassung_KWKG'!$A1055)+SUMIFS('Anlage 1c_Korrekturen_NB'!$F$80:$F$314,'Anlage 1c_Korrekturen_NB'!$A$80:$A$314,'Anlage 3a_Zusammenfassung_KWKG'!$A1055)+SUMIFS('Anlage 1c_Korrekturen_NB'!$H$80:$H$314,'Anlage 1c_Korrekturen_NB'!$A$80:$A$314,'Anlage 3a_Zusammenfassung_KWKG'!$A1055)</f>
        <v>44309806</v>
      </c>
      <c r="D1055" s="144">
        <f t="shared" si="45"/>
        <v>172032921</v>
      </c>
      <c r="E1055" s="72" t="s">
        <v>442</v>
      </c>
      <c r="F1055" s="72"/>
      <c r="G1055" s="72"/>
      <c r="H1055" s="72"/>
      <c r="I1055" s="54"/>
    </row>
    <row r="1056" spans="1:9" s="44" customFormat="1" hidden="1" outlineLevel="1">
      <c r="A1056" s="418" t="s">
        <v>443</v>
      </c>
      <c r="B1056" s="543">
        <v>372654</v>
      </c>
      <c r="C1056" s="95">
        <f>SUMIFS('Anlage 1c_Korrekturen_NB'!$D$80:$D$314,'Anlage 1c_Korrekturen_NB'!$A$80:$A$314,'Anlage 3a_Zusammenfassung_KWKG'!$A1056)+SUMIFS('Anlage 1c_Korrekturen_NB'!$F$80:$F$314,'Anlage 1c_Korrekturen_NB'!$A$80:$A$314,'Anlage 3a_Zusammenfassung_KWKG'!$A1056)+SUMIFS('Anlage 1c_Korrekturen_NB'!$H$80:$H$314,'Anlage 1c_Korrekturen_NB'!$A$80:$A$314,'Anlage 3a_Zusammenfassung_KWKG'!$A1056)</f>
        <v>0</v>
      </c>
      <c r="D1056" s="144">
        <f t="shared" si="45"/>
        <v>372654</v>
      </c>
      <c r="E1056" s="72" t="s">
        <v>444</v>
      </c>
      <c r="F1056" s="72"/>
      <c r="G1056" s="72"/>
      <c r="H1056" s="72"/>
      <c r="I1056" s="54"/>
    </row>
    <row r="1057" spans="1:9" s="44" customFormat="1" hidden="1" outlineLevel="1">
      <c r="A1057" s="418" t="s">
        <v>445</v>
      </c>
      <c r="B1057" s="543">
        <v>2019007</v>
      </c>
      <c r="C1057" s="95">
        <f>SUMIFS('Anlage 1c_Korrekturen_NB'!$D$80:$D$314,'Anlage 1c_Korrekturen_NB'!$A$80:$A$314,'Anlage 3a_Zusammenfassung_KWKG'!$A1057)+SUMIFS('Anlage 1c_Korrekturen_NB'!$F$80:$F$314,'Anlage 1c_Korrekturen_NB'!$A$80:$A$314,'Anlage 3a_Zusammenfassung_KWKG'!$A1057)+SUMIFS('Anlage 1c_Korrekturen_NB'!$H$80:$H$314,'Anlage 1c_Korrekturen_NB'!$A$80:$A$314,'Anlage 3a_Zusammenfassung_KWKG'!$A1057)</f>
        <v>0</v>
      </c>
      <c r="D1057" s="144">
        <f t="shared" si="45"/>
        <v>2019007</v>
      </c>
      <c r="E1057" s="72" t="s">
        <v>446</v>
      </c>
      <c r="F1057" s="72"/>
      <c r="G1057" s="72"/>
      <c r="H1057" s="72"/>
      <c r="I1057" s="54"/>
    </row>
    <row r="1058" spans="1:9" s="44" customFormat="1" hidden="1" outlineLevel="1">
      <c r="A1058" s="418" t="s">
        <v>447</v>
      </c>
      <c r="B1058" s="543">
        <v>418115</v>
      </c>
      <c r="C1058" s="95">
        <f>SUMIFS('Anlage 1c_Korrekturen_NB'!$D$80:$D$314,'Anlage 1c_Korrekturen_NB'!$A$80:$A$314,'Anlage 3a_Zusammenfassung_KWKG'!$A1058)+SUMIFS('Anlage 1c_Korrekturen_NB'!$F$80:$F$314,'Anlage 1c_Korrekturen_NB'!$A$80:$A$314,'Anlage 3a_Zusammenfassung_KWKG'!$A1058)+SUMIFS('Anlage 1c_Korrekturen_NB'!$H$80:$H$314,'Anlage 1c_Korrekturen_NB'!$A$80:$A$314,'Anlage 3a_Zusammenfassung_KWKG'!$A1058)</f>
        <v>0</v>
      </c>
      <c r="D1058" s="144">
        <f t="shared" si="45"/>
        <v>418115</v>
      </c>
      <c r="E1058" s="72" t="s">
        <v>448</v>
      </c>
      <c r="F1058" s="72"/>
      <c r="G1058" s="72"/>
      <c r="H1058" s="72"/>
      <c r="I1058" s="54"/>
    </row>
    <row r="1059" spans="1:9" s="44" customFormat="1" hidden="1" outlineLevel="1">
      <c r="A1059" s="418" t="s">
        <v>449</v>
      </c>
      <c r="B1059" s="543">
        <v>930848745</v>
      </c>
      <c r="C1059" s="95">
        <f>SUMIFS('Anlage 1c_Korrekturen_NB'!$D$80:$D$314,'Anlage 1c_Korrekturen_NB'!$A$80:$A$314,'Anlage 3a_Zusammenfassung_KWKG'!$A1059)+SUMIFS('Anlage 1c_Korrekturen_NB'!$F$80:$F$314,'Anlage 1c_Korrekturen_NB'!$A$80:$A$314,'Anlage 3a_Zusammenfassung_KWKG'!$A1059)+SUMIFS('Anlage 1c_Korrekturen_NB'!$H$80:$H$314,'Anlage 1c_Korrekturen_NB'!$A$80:$A$314,'Anlage 3a_Zusammenfassung_KWKG'!$A1059)</f>
        <v>176615502</v>
      </c>
      <c r="D1059" s="144">
        <f t="shared" si="45"/>
        <v>1107464247</v>
      </c>
      <c r="E1059" s="72" t="s">
        <v>450</v>
      </c>
      <c r="F1059" s="72"/>
      <c r="G1059" s="72"/>
      <c r="H1059" s="72"/>
      <c r="I1059" s="54"/>
    </row>
    <row r="1060" spans="1:9" s="44" customFormat="1" hidden="1" outlineLevel="1">
      <c r="A1060" s="418" t="s">
        <v>451</v>
      </c>
      <c r="B1060" s="543">
        <v>695545</v>
      </c>
      <c r="C1060" s="95">
        <f>SUMIFS('Anlage 1c_Korrekturen_NB'!$D$80:$D$314,'Anlage 1c_Korrekturen_NB'!$A$80:$A$314,'Anlage 3a_Zusammenfassung_KWKG'!$A1060)+SUMIFS('Anlage 1c_Korrekturen_NB'!$F$80:$F$314,'Anlage 1c_Korrekturen_NB'!$A$80:$A$314,'Anlage 3a_Zusammenfassung_KWKG'!$A1060)+SUMIFS('Anlage 1c_Korrekturen_NB'!$H$80:$H$314,'Anlage 1c_Korrekturen_NB'!$A$80:$A$314,'Anlage 3a_Zusammenfassung_KWKG'!$A1060)</f>
        <v>0</v>
      </c>
      <c r="D1060" s="144">
        <f t="shared" si="45"/>
        <v>695545</v>
      </c>
      <c r="E1060" s="72" t="s">
        <v>452</v>
      </c>
      <c r="F1060" s="72"/>
      <c r="G1060" s="72"/>
      <c r="H1060" s="72"/>
      <c r="I1060" s="54"/>
    </row>
    <row r="1061" spans="1:9" s="44" customFormat="1" hidden="1" outlineLevel="1">
      <c r="A1061" s="418" t="s">
        <v>453</v>
      </c>
      <c r="B1061" s="543">
        <v>2703801</v>
      </c>
      <c r="C1061" s="95">
        <f>SUMIFS('Anlage 1c_Korrekturen_NB'!$D$80:$D$314,'Anlage 1c_Korrekturen_NB'!$A$80:$A$314,'Anlage 3a_Zusammenfassung_KWKG'!$A1061)+SUMIFS('Anlage 1c_Korrekturen_NB'!$F$80:$F$314,'Anlage 1c_Korrekturen_NB'!$A$80:$A$314,'Anlage 3a_Zusammenfassung_KWKG'!$A1061)+SUMIFS('Anlage 1c_Korrekturen_NB'!$H$80:$H$314,'Anlage 1c_Korrekturen_NB'!$A$80:$A$314,'Anlage 3a_Zusammenfassung_KWKG'!$A1061)</f>
        <v>5000</v>
      </c>
      <c r="D1061" s="144">
        <f t="shared" si="45"/>
        <v>2708801</v>
      </c>
      <c r="E1061" s="72" t="s">
        <v>454</v>
      </c>
      <c r="F1061" s="72"/>
      <c r="G1061" s="72"/>
      <c r="H1061" s="72"/>
      <c r="I1061" s="54"/>
    </row>
    <row r="1062" spans="1:9" s="44" customFormat="1" hidden="1" outlineLevel="1">
      <c r="A1062" s="418" t="s">
        <v>455</v>
      </c>
      <c r="B1062" s="543">
        <v>2495636</v>
      </c>
      <c r="C1062" s="95">
        <f>SUMIFS('Anlage 1c_Korrekturen_NB'!$D$80:$D$314,'Anlage 1c_Korrekturen_NB'!$A$80:$A$314,'Anlage 3a_Zusammenfassung_KWKG'!$A1062)+SUMIFS('Anlage 1c_Korrekturen_NB'!$F$80:$F$314,'Anlage 1c_Korrekturen_NB'!$A$80:$A$314,'Anlage 3a_Zusammenfassung_KWKG'!$A1062)+SUMIFS('Anlage 1c_Korrekturen_NB'!$H$80:$H$314,'Anlage 1c_Korrekturen_NB'!$A$80:$A$314,'Anlage 3a_Zusammenfassung_KWKG'!$A1062)</f>
        <v>19050</v>
      </c>
      <c r="D1062" s="144">
        <f t="shared" si="45"/>
        <v>2514686</v>
      </c>
      <c r="E1062" s="72" t="s">
        <v>456</v>
      </c>
      <c r="F1062" s="72"/>
      <c r="G1062" s="72"/>
      <c r="H1062" s="72"/>
      <c r="I1062" s="54"/>
    </row>
    <row r="1063" spans="1:9" s="44" customFormat="1" hidden="1" outlineLevel="1">
      <c r="A1063" s="418" t="s">
        <v>457</v>
      </c>
      <c r="B1063" s="543">
        <v>0</v>
      </c>
      <c r="C1063" s="95">
        <f>SUMIFS('Anlage 1c_Korrekturen_NB'!$D$80:$D$314,'Anlage 1c_Korrekturen_NB'!$A$80:$A$314,'Anlage 3a_Zusammenfassung_KWKG'!$A1063)+SUMIFS('Anlage 1c_Korrekturen_NB'!$F$80:$F$314,'Anlage 1c_Korrekturen_NB'!$A$80:$A$314,'Anlage 3a_Zusammenfassung_KWKG'!$A1063)+SUMIFS('Anlage 1c_Korrekturen_NB'!$H$80:$H$314,'Anlage 1c_Korrekturen_NB'!$A$80:$A$314,'Anlage 3a_Zusammenfassung_KWKG'!$A1063)</f>
        <v>0</v>
      </c>
      <c r="D1063" s="144">
        <f t="shared" si="45"/>
        <v>0</v>
      </c>
      <c r="E1063" s="72" t="s">
        <v>458</v>
      </c>
      <c r="F1063" s="72"/>
      <c r="G1063" s="72"/>
      <c r="H1063" s="72"/>
      <c r="I1063" s="54"/>
    </row>
    <row r="1064" spans="1:9" s="44" customFormat="1" hidden="1" outlineLevel="1">
      <c r="A1064" s="418" t="s">
        <v>459</v>
      </c>
      <c r="B1064" s="543">
        <v>2312756</v>
      </c>
      <c r="C1064" s="95">
        <f>SUMIFS('Anlage 1c_Korrekturen_NB'!$D$80:$D$314,'Anlage 1c_Korrekturen_NB'!$A$80:$A$314,'Anlage 3a_Zusammenfassung_KWKG'!$A1064)+SUMIFS('Anlage 1c_Korrekturen_NB'!$F$80:$F$314,'Anlage 1c_Korrekturen_NB'!$A$80:$A$314,'Anlage 3a_Zusammenfassung_KWKG'!$A1064)+SUMIFS('Anlage 1c_Korrekturen_NB'!$H$80:$H$314,'Anlage 1c_Korrekturen_NB'!$A$80:$A$314,'Anlage 3a_Zusammenfassung_KWKG'!$A1064)</f>
        <v>607996</v>
      </c>
      <c r="D1064" s="144">
        <f t="shared" si="45"/>
        <v>2920752</v>
      </c>
      <c r="E1064" s="72" t="s">
        <v>460</v>
      </c>
      <c r="F1064" s="72"/>
      <c r="G1064" s="72"/>
      <c r="H1064" s="72"/>
      <c r="I1064" s="54"/>
    </row>
    <row r="1065" spans="1:9" s="44" customFormat="1" hidden="1" outlineLevel="1">
      <c r="A1065" s="418" t="s">
        <v>461</v>
      </c>
      <c r="B1065" s="543">
        <v>576467</v>
      </c>
      <c r="C1065" s="95">
        <f>SUMIFS('Anlage 1c_Korrekturen_NB'!$D$80:$D$314,'Anlage 1c_Korrekturen_NB'!$A$80:$A$314,'Anlage 3a_Zusammenfassung_KWKG'!$A1065)+SUMIFS('Anlage 1c_Korrekturen_NB'!$F$80:$F$314,'Anlage 1c_Korrekturen_NB'!$A$80:$A$314,'Anlage 3a_Zusammenfassung_KWKG'!$A1065)+SUMIFS('Anlage 1c_Korrekturen_NB'!$H$80:$H$314,'Anlage 1c_Korrekturen_NB'!$A$80:$A$314,'Anlage 3a_Zusammenfassung_KWKG'!$A1065)</f>
        <v>0</v>
      </c>
      <c r="D1065" s="144">
        <f t="shared" si="45"/>
        <v>576467</v>
      </c>
      <c r="E1065" s="72" t="s">
        <v>462</v>
      </c>
      <c r="F1065" s="72"/>
      <c r="G1065" s="72"/>
      <c r="H1065" s="72"/>
      <c r="I1065" s="54"/>
    </row>
    <row r="1066" spans="1:9" s="44" customFormat="1" hidden="1" outlineLevel="1">
      <c r="A1066" s="418" t="s">
        <v>463</v>
      </c>
      <c r="B1066" s="543">
        <v>7339409</v>
      </c>
      <c r="C1066" s="95">
        <f>SUMIFS('Anlage 1c_Korrekturen_NB'!$D$80:$D$314,'Anlage 1c_Korrekturen_NB'!$A$80:$A$314,'Anlage 3a_Zusammenfassung_KWKG'!$A1066)+SUMIFS('Anlage 1c_Korrekturen_NB'!$F$80:$F$314,'Anlage 1c_Korrekturen_NB'!$A$80:$A$314,'Anlage 3a_Zusammenfassung_KWKG'!$A1066)+SUMIFS('Anlage 1c_Korrekturen_NB'!$H$80:$H$314,'Anlage 1c_Korrekturen_NB'!$A$80:$A$314,'Anlage 3a_Zusammenfassung_KWKG'!$A1066)</f>
        <v>1088565</v>
      </c>
      <c r="D1066" s="144">
        <f t="shared" si="45"/>
        <v>8427974</v>
      </c>
      <c r="E1066" s="72" t="s">
        <v>464</v>
      </c>
      <c r="F1066" s="72"/>
      <c r="G1066" s="72"/>
      <c r="H1066" s="72"/>
      <c r="I1066" s="54"/>
    </row>
    <row r="1067" spans="1:9" s="44" customFormat="1" hidden="1" outlineLevel="1">
      <c r="A1067" s="418" t="s">
        <v>465</v>
      </c>
      <c r="B1067" s="543">
        <v>5699</v>
      </c>
      <c r="C1067" s="95">
        <f>SUMIFS('Anlage 1c_Korrekturen_NB'!$D$80:$D$314,'Anlage 1c_Korrekturen_NB'!$A$80:$A$314,'Anlage 3a_Zusammenfassung_KWKG'!$A1067)+SUMIFS('Anlage 1c_Korrekturen_NB'!$F$80:$F$314,'Anlage 1c_Korrekturen_NB'!$A$80:$A$314,'Anlage 3a_Zusammenfassung_KWKG'!$A1067)+SUMIFS('Anlage 1c_Korrekturen_NB'!$H$80:$H$314,'Anlage 1c_Korrekturen_NB'!$A$80:$A$314,'Anlage 3a_Zusammenfassung_KWKG'!$A1067)</f>
        <v>0</v>
      </c>
      <c r="D1067" s="144">
        <f t="shared" si="45"/>
        <v>5699</v>
      </c>
      <c r="E1067" s="72" t="s">
        <v>466</v>
      </c>
      <c r="F1067" s="72"/>
      <c r="G1067" s="72"/>
      <c r="H1067" s="72"/>
      <c r="I1067" s="54"/>
    </row>
    <row r="1068" spans="1:9" s="44" customFormat="1" hidden="1" outlineLevel="1">
      <c r="A1068" s="418" t="s">
        <v>467</v>
      </c>
      <c r="B1068" s="543">
        <v>1092224</v>
      </c>
      <c r="C1068" s="95">
        <f>SUMIFS('Anlage 1c_Korrekturen_NB'!$D$80:$D$314,'Anlage 1c_Korrekturen_NB'!$A$80:$A$314,'Anlage 3a_Zusammenfassung_KWKG'!$A1068)+SUMIFS('Anlage 1c_Korrekturen_NB'!$F$80:$F$314,'Anlage 1c_Korrekturen_NB'!$A$80:$A$314,'Anlage 3a_Zusammenfassung_KWKG'!$A1068)+SUMIFS('Anlage 1c_Korrekturen_NB'!$H$80:$H$314,'Anlage 1c_Korrekturen_NB'!$A$80:$A$314,'Anlage 3a_Zusammenfassung_KWKG'!$A1068)</f>
        <v>0</v>
      </c>
      <c r="D1068" s="144">
        <f t="shared" si="45"/>
        <v>1092224</v>
      </c>
      <c r="E1068" s="72" t="s">
        <v>468</v>
      </c>
      <c r="F1068" s="72"/>
      <c r="G1068" s="72"/>
      <c r="H1068" s="72"/>
      <c r="I1068" s="54"/>
    </row>
    <row r="1069" spans="1:9" s="44" customFormat="1" hidden="1" outlineLevel="1">
      <c r="A1069" s="418" t="s">
        <v>469</v>
      </c>
      <c r="B1069" s="543">
        <v>177040724</v>
      </c>
      <c r="C1069" s="95">
        <f>SUMIFS('Anlage 1c_Korrekturen_NB'!$D$80:$D$314,'Anlage 1c_Korrekturen_NB'!$A$80:$A$314,'Anlage 3a_Zusammenfassung_KWKG'!$A1069)+SUMIFS('Anlage 1c_Korrekturen_NB'!$F$80:$F$314,'Anlage 1c_Korrekturen_NB'!$A$80:$A$314,'Anlage 3a_Zusammenfassung_KWKG'!$A1069)+SUMIFS('Anlage 1c_Korrekturen_NB'!$H$80:$H$314,'Anlage 1c_Korrekturen_NB'!$A$80:$A$314,'Anlage 3a_Zusammenfassung_KWKG'!$A1069)</f>
        <v>-10340800</v>
      </c>
      <c r="D1069" s="144">
        <f t="shared" si="45"/>
        <v>166699924</v>
      </c>
      <c r="E1069" s="72" t="s">
        <v>470</v>
      </c>
      <c r="F1069" s="72"/>
      <c r="G1069" s="72"/>
      <c r="H1069" s="72"/>
      <c r="I1069" s="54"/>
    </row>
    <row r="1070" spans="1:9" s="44" customFormat="1" hidden="1" outlineLevel="1">
      <c r="A1070" s="418" t="s">
        <v>471</v>
      </c>
      <c r="B1070" s="543">
        <v>1413398</v>
      </c>
      <c r="C1070" s="95">
        <f>SUMIFS('Anlage 1c_Korrekturen_NB'!$D$80:$D$314,'Anlage 1c_Korrekturen_NB'!$A$80:$A$314,'Anlage 3a_Zusammenfassung_KWKG'!$A1070)+SUMIFS('Anlage 1c_Korrekturen_NB'!$F$80:$F$314,'Anlage 1c_Korrekturen_NB'!$A$80:$A$314,'Anlage 3a_Zusammenfassung_KWKG'!$A1070)+SUMIFS('Anlage 1c_Korrekturen_NB'!$H$80:$H$314,'Anlage 1c_Korrekturen_NB'!$A$80:$A$314,'Anlage 3a_Zusammenfassung_KWKG'!$A1070)</f>
        <v>0</v>
      </c>
      <c r="D1070" s="144">
        <f t="shared" si="45"/>
        <v>1413398</v>
      </c>
      <c r="E1070" s="72" t="s">
        <v>472</v>
      </c>
      <c r="F1070" s="72"/>
      <c r="G1070" s="72"/>
      <c r="H1070" s="72"/>
      <c r="I1070" s="54"/>
    </row>
    <row r="1071" spans="1:9" s="44" customFormat="1" hidden="1" outlineLevel="1">
      <c r="A1071" s="418" t="s">
        <v>473</v>
      </c>
      <c r="B1071" s="543">
        <v>776330</v>
      </c>
      <c r="C1071" s="95">
        <f>SUMIFS('Anlage 1c_Korrekturen_NB'!$D$80:$D$314,'Anlage 1c_Korrekturen_NB'!$A$80:$A$314,'Anlage 3a_Zusammenfassung_KWKG'!$A1071)+SUMIFS('Anlage 1c_Korrekturen_NB'!$F$80:$F$314,'Anlage 1c_Korrekturen_NB'!$A$80:$A$314,'Anlage 3a_Zusammenfassung_KWKG'!$A1071)+SUMIFS('Anlage 1c_Korrekturen_NB'!$H$80:$H$314,'Anlage 1c_Korrekturen_NB'!$A$80:$A$314,'Anlage 3a_Zusammenfassung_KWKG'!$A1071)</f>
        <v>0</v>
      </c>
      <c r="D1071" s="144">
        <f t="shared" si="45"/>
        <v>776330</v>
      </c>
      <c r="E1071" s="72" t="s">
        <v>474</v>
      </c>
      <c r="F1071" s="72"/>
      <c r="G1071" s="72"/>
      <c r="H1071" s="72"/>
      <c r="I1071" s="54"/>
    </row>
    <row r="1072" spans="1:9" s="44" customFormat="1" hidden="1" outlineLevel="1">
      <c r="A1072" s="418" t="s">
        <v>475</v>
      </c>
      <c r="B1072" s="543">
        <v>367910</v>
      </c>
      <c r="C1072" s="95">
        <f>SUMIFS('Anlage 1c_Korrekturen_NB'!$D$80:$D$314,'Anlage 1c_Korrekturen_NB'!$A$80:$A$314,'Anlage 3a_Zusammenfassung_KWKG'!$A1072)+SUMIFS('Anlage 1c_Korrekturen_NB'!$F$80:$F$314,'Anlage 1c_Korrekturen_NB'!$A$80:$A$314,'Anlage 3a_Zusammenfassung_KWKG'!$A1072)+SUMIFS('Anlage 1c_Korrekturen_NB'!$H$80:$H$314,'Anlage 1c_Korrekturen_NB'!$A$80:$A$314,'Anlage 3a_Zusammenfassung_KWKG'!$A1072)</f>
        <v>0</v>
      </c>
      <c r="D1072" s="144">
        <f t="shared" si="45"/>
        <v>367910</v>
      </c>
      <c r="E1072" s="72" t="s">
        <v>476</v>
      </c>
      <c r="F1072" s="72"/>
      <c r="G1072" s="72"/>
      <c r="H1072" s="72"/>
      <c r="I1072" s="54"/>
    </row>
    <row r="1073" spans="1:9" s="44" customFormat="1" hidden="1" outlineLevel="1">
      <c r="A1073" s="418" t="s">
        <v>477</v>
      </c>
      <c r="B1073" s="543">
        <v>130959342</v>
      </c>
      <c r="C1073" s="95">
        <f>SUMIFS('Anlage 1c_Korrekturen_NB'!$D$80:$D$314,'Anlage 1c_Korrekturen_NB'!$A$80:$A$314,'Anlage 3a_Zusammenfassung_KWKG'!$A1073)+SUMIFS('Anlage 1c_Korrekturen_NB'!$F$80:$F$314,'Anlage 1c_Korrekturen_NB'!$A$80:$A$314,'Anlage 3a_Zusammenfassung_KWKG'!$A1073)+SUMIFS('Anlage 1c_Korrekturen_NB'!$H$80:$H$314,'Anlage 1c_Korrekturen_NB'!$A$80:$A$314,'Anlage 3a_Zusammenfassung_KWKG'!$A1073)</f>
        <v>1299769</v>
      </c>
      <c r="D1073" s="144">
        <f t="shared" si="45"/>
        <v>132259111</v>
      </c>
      <c r="E1073" s="72" t="s">
        <v>478</v>
      </c>
      <c r="F1073" s="72"/>
      <c r="G1073" s="72"/>
      <c r="H1073" s="72"/>
      <c r="I1073" s="54"/>
    </row>
    <row r="1074" spans="1:9" s="44" customFormat="1" hidden="1" outlineLevel="1">
      <c r="A1074" s="418" t="s">
        <v>479</v>
      </c>
      <c r="B1074" s="543">
        <v>1263006</v>
      </c>
      <c r="C1074" s="95">
        <f>SUMIFS('Anlage 1c_Korrekturen_NB'!$D$80:$D$314,'Anlage 1c_Korrekturen_NB'!$A$80:$A$314,'Anlage 3a_Zusammenfassung_KWKG'!$A1074)+SUMIFS('Anlage 1c_Korrekturen_NB'!$F$80:$F$314,'Anlage 1c_Korrekturen_NB'!$A$80:$A$314,'Anlage 3a_Zusammenfassung_KWKG'!$A1074)+SUMIFS('Anlage 1c_Korrekturen_NB'!$H$80:$H$314,'Anlage 1c_Korrekturen_NB'!$A$80:$A$314,'Anlage 3a_Zusammenfassung_KWKG'!$A1074)</f>
        <v>0</v>
      </c>
      <c r="D1074" s="144">
        <f t="shared" si="45"/>
        <v>1263006</v>
      </c>
      <c r="E1074" s="72" t="s">
        <v>480</v>
      </c>
      <c r="F1074" s="72"/>
      <c r="G1074" s="72"/>
      <c r="H1074" s="72"/>
      <c r="I1074" s="54"/>
    </row>
    <row r="1075" spans="1:9" s="44" customFormat="1" hidden="1" outlineLevel="1">
      <c r="A1075" s="418" t="s">
        <v>481</v>
      </c>
      <c r="B1075" s="543">
        <v>6682891</v>
      </c>
      <c r="C1075" s="95">
        <f>SUMIFS('Anlage 1c_Korrekturen_NB'!$D$80:$D$314,'Anlage 1c_Korrekturen_NB'!$A$80:$A$314,'Anlage 3a_Zusammenfassung_KWKG'!$A1075)+SUMIFS('Anlage 1c_Korrekturen_NB'!$F$80:$F$314,'Anlage 1c_Korrekturen_NB'!$A$80:$A$314,'Anlage 3a_Zusammenfassung_KWKG'!$A1075)+SUMIFS('Anlage 1c_Korrekturen_NB'!$H$80:$H$314,'Anlage 1c_Korrekturen_NB'!$A$80:$A$314,'Anlage 3a_Zusammenfassung_KWKG'!$A1075)</f>
        <v>0</v>
      </c>
      <c r="D1075" s="144">
        <f t="shared" si="45"/>
        <v>6682891</v>
      </c>
      <c r="E1075" s="72" t="s">
        <v>482</v>
      </c>
      <c r="F1075" s="72"/>
      <c r="G1075" s="72"/>
      <c r="H1075" s="72"/>
      <c r="I1075" s="54"/>
    </row>
    <row r="1076" spans="1:9" s="44" customFormat="1" hidden="1" outlineLevel="1">
      <c r="A1076" s="418" t="s">
        <v>483</v>
      </c>
      <c r="B1076" s="543">
        <v>1174925945</v>
      </c>
      <c r="C1076" s="95">
        <f>SUMIFS('Anlage 1c_Korrekturen_NB'!$D$80:$D$314,'Anlage 1c_Korrekturen_NB'!$A$80:$A$314,'Anlage 3a_Zusammenfassung_KWKG'!$A1076)+SUMIFS('Anlage 1c_Korrekturen_NB'!$F$80:$F$314,'Anlage 1c_Korrekturen_NB'!$A$80:$A$314,'Anlage 3a_Zusammenfassung_KWKG'!$A1076)+SUMIFS('Anlage 1c_Korrekturen_NB'!$H$80:$H$314,'Anlage 1c_Korrekturen_NB'!$A$80:$A$314,'Anlage 3a_Zusammenfassung_KWKG'!$A1076)</f>
        <v>25404403</v>
      </c>
      <c r="D1076" s="144">
        <f t="shared" si="45"/>
        <v>1200330348</v>
      </c>
      <c r="E1076" s="72" t="s">
        <v>484</v>
      </c>
      <c r="F1076" s="72"/>
      <c r="G1076" s="72"/>
      <c r="H1076" s="72"/>
      <c r="I1076" s="54"/>
    </row>
    <row r="1077" spans="1:9" s="44" customFormat="1" hidden="1" outlineLevel="1">
      <c r="A1077" s="418" t="s">
        <v>485</v>
      </c>
      <c r="B1077" s="543">
        <v>1681697</v>
      </c>
      <c r="C1077" s="95">
        <f>SUMIFS('Anlage 1c_Korrekturen_NB'!$D$80:$D$314,'Anlage 1c_Korrekturen_NB'!$A$80:$A$314,'Anlage 3a_Zusammenfassung_KWKG'!$A1077)+SUMIFS('Anlage 1c_Korrekturen_NB'!$F$80:$F$314,'Anlage 1c_Korrekturen_NB'!$A$80:$A$314,'Anlage 3a_Zusammenfassung_KWKG'!$A1077)+SUMIFS('Anlage 1c_Korrekturen_NB'!$H$80:$H$314,'Anlage 1c_Korrekturen_NB'!$A$80:$A$314,'Anlage 3a_Zusammenfassung_KWKG'!$A1077)</f>
        <v>60283</v>
      </c>
      <c r="D1077" s="144">
        <f t="shared" si="45"/>
        <v>1741980</v>
      </c>
      <c r="E1077" s="72" t="s">
        <v>486</v>
      </c>
      <c r="F1077" s="72"/>
      <c r="G1077" s="72"/>
      <c r="H1077" s="72"/>
      <c r="I1077" s="54"/>
    </row>
    <row r="1078" spans="1:9" s="44" customFormat="1" hidden="1" outlineLevel="1">
      <c r="A1078" s="418" t="s">
        <v>487</v>
      </c>
      <c r="B1078" s="543">
        <v>33728</v>
      </c>
      <c r="C1078" s="95">
        <f>SUMIFS('Anlage 1c_Korrekturen_NB'!$D$80:$D$314,'Anlage 1c_Korrekturen_NB'!$A$80:$A$314,'Anlage 3a_Zusammenfassung_KWKG'!$A1078)+SUMIFS('Anlage 1c_Korrekturen_NB'!$F$80:$F$314,'Anlage 1c_Korrekturen_NB'!$A$80:$A$314,'Anlage 3a_Zusammenfassung_KWKG'!$A1078)+SUMIFS('Anlage 1c_Korrekturen_NB'!$H$80:$H$314,'Anlage 1c_Korrekturen_NB'!$A$80:$A$314,'Anlage 3a_Zusammenfassung_KWKG'!$A1078)</f>
        <v>0</v>
      </c>
      <c r="D1078" s="144">
        <f t="shared" si="45"/>
        <v>33728</v>
      </c>
      <c r="E1078" s="72" t="s">
        <v>488</v>
      </c>
      <c r="F1078" s="72"/>
      <c r="G1078" s="72"/>
      <c r="H1078" s="72"/>
      <c r="I1078" s="54"/>
    </row>
    <row r="1079" spans="1:9" s="44" customFormat="1" hidden="1" outlineLevel="1">
      <c r="A1079" s="418" t="s">
        <v>489</v>
      </c>
      <c r="B1079" s="543">
        <v>9567792</v>
      </c>
      <c r="C1079" s="95">
        <f>SUMIFS('Anlage 1c_Korrekturen_NB'!$D$80:$D$314,'Anlage 1c_Korrekturen_NB'!$A$80:$A$314,'Anlage 3a_Zusammenfassung_KWKG'!$A1079)+SUMIFS('Anlage 1c_Korrekturen_NB'!$F$80:$F$314,'Anlage 1c_Korrekturen_NB'!$A$80:$A$314,'Anlage 3a_Zusammenfassung_KWKG'!$A1079)+SUMIFS('Anlage 1c_Korrekturen_NB'!$H$80:$H$314,'Anlage 1c_Korrekturen_NB'!$A$80:$A$314,'Anlage 3a_Zusammenfassung_KWKG'!$A1079)</f>
        <v>-62878</v>
      </c>
      <c r="D1079" s="144">
        <f t="shared" si="45"/>
        <v>9504914</v>
      </c>
      <c r="E1079" s="72" t="s">
        <v>490</v>
      </c>
      <c r="F1079" s="72"/>
      <c r="G1079" s="72"/>
      <c r="H1079" s="72"/>
      <c r="I1079" s="54"/>
    </row>
    <row r="1080" spans="1:9" s="44" customFormat="1" hidden="1" outlineLevel="1">
      <c r="A1080" s="418" t="s">
        <v>491</v>
      </c>
      <c r="B1080" s="543">
        <v>810537</v>
      </c>
      <c r="C1080" s="95">
        <f>SUMIFS('Anlage 1c_Korrekturen_NB'!$D$80:$D$314,'Anlage 1c_Korrekturen_NB'!$A$80:$A$314,'Anlage 3a_Zusammenfassung_KWKG'!$A1080)+SUMIFS('Anlage 1c_Korrekturen_NB'!$F$80:$F$314,'Anlage 1c_Korrekturen_NB'!$A$80:$A$314,'Anlage 3a_Zusammenfassung_KWKG'!$A1080)+SUMIFS('Anlage 1c_Korrekturen_NB'!$H$80:$H$314,'Anlage 1c_Korrekturen_NB'!$A$80:$A$314,'Anlage 3a_Zusammenfassung_KWKG'!$A1080)</f>
        <v>0</v>
      </c>
      <c r="D1080" s="144">
        <f t="shared" si="45"/>
        <v>810537</v>
      </c>
      <c r="E1080" s="72" t="s">
        <v>492</v>
      </c>
      <c r="F1080" s="72"/>
      <c r="G1080" s="72"/>
      <c r="H1080" s="72"/>
      <c r="I1080" s="54"/>
    </row>
    <row r="1081" spans="1:9" s="44" customFormat="1" hidden="1" outlineLevel="1">
      <c r="A1081" s="418" t="s">
        <v>493</v>
      </c>
      <c r="B1081" s="543">
        <v>7871629</v>
      </c>
      <c r="C1081" s="95">
        <f>SUMIFS('Anlage 1c_Korrekturen_NB'!$D$80:$D$314,'Anlage 1c_Korrekturen_NB'!$A$80:$A$314,'Anlage 3a_Zusammenfassung_KWKG'!$A1081)+SUMIFS('Anlage 1c_Korrekturen_NB'!$F$80:$F$314,'Anlage 1c_Korrekturen_NB'!$A$80:$A$314,'Anlage 3a_Zusammenfassung_KWKG'!$A1081)+SUMIFS('Anlage 1c_Korrekturen_NB'!$H$80:$H$314,'Anlage 1c_Korrekturen_NB'!$A$80:$A$314,'Anlage 3a_Zusammenfassung_KWKG'!$A1081)</f>
        <v>-4422</v>
      </c>
      <c r="D1081" s="144">
        <f t="shared" si="45"/>
        <v>7867207</v>
      </c>
      <c r="E1081" s="72" t="s">
        <v>494</v>
      </c>
      <c r="F1081" s="72"/>
      <c r="G1081" s="72"/>
      <c r="H1081" s="72"/>
      <c r="I1081" s="54"/>
    </row>
    <row r="1082" spans="1:9" s="44" customFormat="1" hidden="1" outlineLevel="1">
      <c r="A1082" s="418" t="s">
        <v>495</v>
      </c>
      <c r="B1082" s="543">
        <v>22396897</v>
      </c>
      <c r="C1082" s="95">
        <f>SUMIFS('Anlage 1c_Korrekturen_NB'!$D$80:$D$314,'Anlage 1c_Korrekturen_NB'!$A$80:$A$314,'Anlage 3a_Zusammenfassung_KWKG'!$A1082)+SUMIFS('Anlage 1c_Korrekturen_NB'!$F$80:$F$314,'Anlage 1c_Korrekturen_NB'!$A$80:$A$314,'Anlage 3a_Zusammenfassung_KWKG'!$A1082)+SUMIFS('Anlage 1c_Korrekturen_NB'!$H$80:$H$314,'Anlage 1c_Korrekturen_NB'!$A$80:$A$314,'Anlage 3a_Zusammenfassung_KWKG'!$A1082)</f>
        <v>309751</v>
      </c>
      <c r="D1082" s="144">
        <f t="shared" si="45"/>
        <v>22706648</v>
      </c>
      <c r="E1082" s="72" t="s">
        <v>496</v>
      </c>
      <c r="F1082" s="72"/>
      <c r="G1082" s="72"/>
      <c r="H1082" s="72"/>
      <c r="I1082" s="54"/>
    </row>
    <row r="1083" spans="1:9" s="44" customFormat="1" hidden="1" outlineLevel="1">
      <c r="A1083" s="418" t="s">
        <v>497</v>
      </c>
      <c r="B1083" s="543">
        <v>169200</v>
      </c>
      <c r="C1083" s="95">
        <f>SUMIFS('Anlage 1c_Korrekturen_NB'!$D$80:$D$314,'Anlage 1c_Korrekturen_NB'!$A$80:$A$314,'Anlage 3a_Zusammenfassung_KWKG'!$A1083)+SUMIFS('Anlage 1c_Korrekturen_NB'!$F$80:$F$314,'Anlage 1c_Korrekturen_NB'!$A$80:$A$314,'Anlage 3a_Zusammenfassung_KWKG'!$A1083)+SUMIFS('Anlage 1c_Korrekturen_NB'!$H$80:$H$314,'Anlage 1c_Korrekturen_NB'!$A$80:$A$314,'Anlage 3a_Zusammenfassung_KWKG'!$A1083)</f>
        <v>0</v>
      </c>
      <c r="D1083" s="144">
        <f t="shared" si="45"/>
        <v>169200</v>
      </c>
      <c r="E1083" s="72" t="s">
        <v>498</v>
      </c>
      <c r="F1083" s="72"/>
      <c r="G1083" s="72"/>
      <c r="H1083" s="72"/>
      <c r="I1083" s="54"/>
    </row>
    <row r="1084" spans="1:9" s="44" customFormat="1" hidden="1" outlineLevel="1">
      <c r="A1084" s="418" t="s">
        <v>499</v>
      </c>
      <c r="B1084" s="543">
        <v>0</v>
      </c>
      <c r="C1084" s="95">
        <f>SUMIFS('Anlage 1c_Korrekturen_NB'!$D$80:$D$314,'Anlage 1c_Korrekturen_NB'!$A$80:$A$314,'Anlage 3a_Zusammenfassung_KWKG'!$A1084)+SUMIFS('Anlage 1c_Korrekturen_NB'!$F$80:$F$314,'Anlage 1c_Korrekturen_NB'!$A$80:$A$314,'Anlage 3a_Zusammenfassung_KWKG'!$A1084)+SUMIFS('Anlage 1c_Korrekturen_NB'!$H$80:$H$314,'Anlage 1c_Korrekturen_NB'!$A$80:$A$314,'Anlage 3a_Zusammenfassung_KWKG'!$A1084)</f>
        <v>0</v>
      </c>
      <c r="D1084" s="144">
        <f t="shared" si="45"/>
        <v>0</v>
      </c>
      <c r="E1084" s="72" t="s">
        <v>500</v>
      </c>
      <c r="F1084" s="72"/>
      <c r="G1084" s="72"/>
      <c r="H1084" s="72"/>
      <c r="I1084" s="54"/>
    </row>
    <row r="1085" spans="1:9" s="44" customFormat="1" hidden="1" outlineLevel="1">
      <c r="A1085" s="418" t="s">
        <v>501</v>
      </c>
      <c r="B1085" s="543">
        <v>1151434</v>
      </c>
      <c r="C1085" s="95">
        <f>SUMIFS('Anlage 1c_Korrekturen_NB'!$D$80:$D$314,'Anlage 1c_Korrekturen_NB'!$A$80:$A$314,'Anlage 3a_Zusammenfassung_KWKG'!$A1085)+SUMIFS('Anlage 1c_Korrekturen_NB'!$F$80:$F$314,'Anlage 1c_Korrekturen_NB'!$A$80:$A$314,'Anlage 3a_Zusammenfassung_KWKG'!$A1085)+SUMIFS('Anlage 1c_Korrekturen_NB'!$H$80:$H$314,'Anlage 1c_Korrekturen_NB'!$A$80:$A$314,'Anlage 3a_Zusammenfassung_KWKG'!$A1085)</f>
        <v>0</v>
      </c>
      <c r="D1085" s="144">
        <f t="shared" si="45"/>
        <v>1151434</v>
      </c>
      <c r="E1085" s="72" t="s">
        <v>502</v>
      </c>
      <c r="F1085" s="72"/>
      <c r="G1085" s="72"/>
      <c r="H1085" s="72"/>
      <c r="I1085" s="54"/>
    </row>
    <row r="1086" spans="1:9" s="44" customFormat="1" hidden="1" outlineLevel="1">
      <c r="A1086" s="418" t="s">
        <v>503</v>
      </c>
      <c r="B1086" s="543">
        <v>2292831</v>
      </c>
      <c r="C1086" s="95">
        <f>SUMIFS('Anlage 1c_Korrekturen_NB'!$D$80:$D$314,'Anlage 1c_Korrekturen_NB'!$A$80:$A$314,'Anlage 3a_Zusammenfassung_KWKG'!$A1086)+SUMIFS('Anlage 1c_Korrekturen_NB'!$F$80:$F$314,'Anlage 1c_Korrekturen_NB'!$A$80:$A$314,'Anlage 3a_Zusammenfassung_KWKG'!$A1086)+SUMIFS('Anlage 1c_Korrekturen_NB'!$H$80:$H$314,'Anlage 1c_Korrekturen_NB'!$A$80:$A$314,'Anlage 3a_Zusammenfassung_KWKG'!$A1086)</f>
        <v>592492</v>
      </c>
      <c r="D1086" s="144">
        <f t="shared" si="45"/>
        <v>2885323</v>
      </c>
      <c r="E1086" s="72" t="s">
        <v>504</v>
      </c>
      <c r="F1086" s="72"/>
      <c r="G1086" s="72"/>
      <c r="H1086" s="72"/>
      <c r="I1086" s="54"/>
    </row>
    <row r="1087" spans="1:9" s="44" customFormat="1" hidden="1" outlineLevel="1">
      <c r="A1087" s="418" t="s">
        <v>505</v>
      </c>
      <c r="B1087" s="543">
        <v>1043346</v>
      </c>
      <c r="C1087" s="95">
        <f>SUMIFS('Anlage 1c_Korrekturen_NB'!$D$80:$D$314,'Anlage 1c_Korrekturen_NB'!$A$80:$A$314,'Anlage 3a_Zusammenfassung_KWKG'!$A1087)+SUMIFS('Anlage 1c_Korrekturen_NB'!$F$80:$F$314,'Anlage 1c_Korrekturen_NB'!$A$80:$A$314,'Anlage 3a_Zusammenfassung_KWKG'!$A1087)+SUMIFS('Anlage 1c_Korrekturen_NB'!$H$80:$H$314,'Anlage 1c_Korrekturen_NB'!$A$80:$A$314,'Anlage 3a_Zusammenfassung_KWKG'!$A1087)</f>
        <v>0</v>
      </c>
      <c r="D1087" s="144">
        <f t="shared" si="45"/>
        <v>1043346</v>
      </c>
      <c r="E1087" s="72" t="s">
        <v>506</v>
      </c>
      <c r="F1087" s="72"/>
      <c r="G1087" s="72"/>
      <c r="H1087" s="72"/>
      <c r="I1087" s="54"/>
    </row>
    <row r="1088" spans="1:9" s="44" customFormat="1" hidden="1" outlineLevel="1">
      <c r="A1088" s="418" t="s">
        <v>507</v>
      </c>
      <c r="B1088" s="543">
        <v>1200038</v>
      </c>
      <c r="C1088" s="95">
        <f>SUMIFS('Anlage 1c_Korrekturen_NB'!$D$80:$D$314,'Anlage 1c_Korrekturen_NB'!$A$80:$A$314,'Anlage 3a_Zusammenfassung_KWKG'!$A1088)+SUMIFS('Anlage 1c_Korrekturen_NB'!$F$80:$F$314,'Anlage 1c_Korrekturen_NB'!$A$80:$A$314,'Anlage 3a_Zusammenfassung_KWKG'!$A1088)+SUMIFS('Anlage 1c_Korrekturen_NB'!$H$80:$H$314,'Anlage 1c_Korrekturen_NB'!$A$80:$A$314,'Anlage 3a_Zusammenfassung_KWKG'!$A1088)</f>
        <v>-59884</v>
      </c>
      <c r="D1088" s="144">
        <f t="shared" si="45"/>
        <v>1140154</v>
      </c>
      <c r="E1088" s="72" t="s">
        <v>508</v>
      </c>
      <c r="F1088" s="72"/>
      <c r="G1088" s="72"/>
      <c r="H1088" s="72"/>
      <c r="I1088" s="54"/>
    </row>
    <row r="1089" spans="1:9" s="44" customFormat="1" hidden="1" outlineLevel="1">
      <c r="A1089" s="418" t="s">
        <v>509</v>
      </c>
      <c r="B1089" s="543">
        <v>1134901</v>
      </c>
      <c r="C1089" s="95">
        <f>SUMIFS('Anlage 1c_Korrekturen_NB'!$D$80:$D$314,'Anlage 1c_Korrekturen_NB'!$A$80:$A$314,'Anlage 3a_Zusammenfassung_KWKG'!$A1089)+SUMIFS('Anlage 1c_Korrekturen_NB'!$F$80:$F$314,'Anlage 1c_Korrekturen_NB'!$A$80:$A$314,'Anlage 3a_Zusammenfassung_KWKG'!$A1089)+SUMIFS('Anlage 1c_Korrekturen_NB'!$H$80:$H$314,'Anlage 1c_Korrekturen_NB'!$A$80:$A$314,'Anlage 3a_Zusammenfassung_KWKG'!$A1089)</f>
        <v>276882</v>
      </c>
      <c r="D1089" s="144">
        <f t="shared" si="45"/>
        <v>1411783</v>
      </c>
      <c r="E1089" s="72" t="s">
        <v>510</v>
      </c>
      <c r="F1089" s="72"/>
      <c r="G1089" s="72"/>
      <c r="H1089" s="72"/>
      <c r="I1089" s="54"/>
    </row>
    <row r="1090" spans="1:9" s="44" customFormat="1" hidden="1" outlineLevel="1">
      <c r="A1090" s="418" t="s">
        <v>511</v>
      </c>
      <c r="B1090" s="543">
        <v>0</v>
      </c>
      <c r="C1090" s="95">
        <f>SUMIFS('Anlage 1c_Korrekturen_NB'!$D$80:$D$314,'Anlage 1c_Korrekturen_NB'!$A$80:$A$314,'Anlage 3a_Zusammenfassung_KWKG'!$A1090)+SUMIFS('Anlage 1c_Korrekturen_NB'!$F$80:$F$314,'Anlage 1c_Korrekturen_NB'!$A$80:$A$314,'Anlage 3a_Zusammenfassung_KWKG'!$A1090)+SUMIFS('Anlage 1c_Korrekturen_NB'!$H$80:$H$314,'Anlage 1c_Korrekturen_NB'!$A$80:$A$314,'Anlage 3a_Zusammenfassung_KWKG'!$A1090)</f>
        <v>0</v>
      </c>
      <c r="D1090" s="144">
        <f t="shared" si="45"/>
        <v>0</v>
      </c>
      <c r="E1090" s="72" t="s">
        <v>512</v>
      </c>
      <c r="F1090" s="72"/>
      <c r="G1090" s="72"/>
      <c r="H1090" s="72"/>
      <c r="I1090" s="54"/>
    </row>
    <row r="1091" spans="1:9" s="44" customFormat="1" hidden="1" outlineLevel="1">
      <c r="A1091" s="418" t="s">
        <v>172</v>
      </c>
      <c r="B1091" s="543">
        <v>0</v>
      </c>
      <c r="C1091" s="95">
        <f>SUMIFS('Anlage 1c_Korrekturen_NB'!$D$80:$D$314,'Anlage 1c_Korrekturen_NB'!$A$80:$A$314,'Anlage 3a_Zusammenfassung_KWKG'!$A1091)+SUMIFS('Anlage 1c_Korrekturen_NB'!$F$80:$F$314,'Anlage 1c_Korrekturen_NB'!$A$80:$A$314,'Anlage 3a_Zusammenfassung_KWKG'!$A1091)+SUMIFS('Anlage 1c_Korrekturen_NB'!$H$80:$H$314,'Anlage 1c_Korrekturen_NB'!$A$80:$A$314,'Anlage 3a_Zusammenfassung_KWKG'!$A1091)</f>
        <v>0</v>
      </c>
      <c r="D1091" s="144">
        <f t="shared" si="45"/>
        <v>0</v>
      </c>
      <c r="E1091" s="72" t="s">
        <v>173</v>
      </c>
      <c r="F1091" s="72"/>
      <c r="G1091" s="72"/>
      <c r="H1091" s="72"/>
      <c r="I1091" s="54"/>
    </row>
    <row r="1092" spans="1:9" s="44" customFormat="1" hidden="1" outlineLevel="1">
      <c r="A1092" s="418" t="s">
        <v>513</v>
      </c>
      <c r="B1092" s="543">
        <v>498151</v>
      </c>
      <c r="C1092" s="95">
        <f>SUMIFS('Anlage 1c_Korrekturen_NB'!$D$80:$D$314,'Anlage 1c_Korrekturen_NB'!$A$80:$A$314,'Anlage 3a_Zusammenfassung_KWKG'!$A1092)+SUMIFS('Anlage 1c_Korrekturen_NB'!$F$80:$F$314,'Anlage 1c_Korrekturen_NB'!$A$80:$A$314,'Anlage 3a_Zusammenfassung_KWKG'!$A1092)+SUMIFS('Anlage 1c_Korrekturen_NB'!$H$80:$H$314,'Anlage 1c_Korrekturen_NB'!$A$80:$A$314,'Anlage 3a_Zusammenfassung_KWKG'!$A1092)</f>
        <v>-8942254</v>
      </c>
      <c r="D1092" s="144">
        <f t="shared" si="45"/>
        <v>-8444103</v>
      </c>
      <c r="E1092" s="72" t="s">
        <v>514</v>
      </c>
      <c r="F1092" s="72"/>
      <c r="G1092" s="72"/>
      <c r="H1092" s="72"/>
      <c r="I1092" s="54"/>
    </row>
    <row r="1093" spans="1:9" s="44" customFormat="1" hidden="1" outlineLevel="1">
      <c r="A1093" s="418" t="s">
        <v>515</v>
      </c>
      <c r="B1093" s="543">
        <v>27395</v>
      </c>
      <c r="C1093" s="95">
        <f>SUMIFS('Anlage 1c_Korrekturen_NB'!$D$80:$D$314,'Anlage 1c_Korrekturen_NB'!$A$80:$A$314,'Anlage 3a_Zusammenfassung_KWKG'!$A1093)+SUMIFS('Anlage 1c_Korrekturen_NB'!$F$80:$F$314,'Anlage 1c_Korrekturen_NB'!$A$80:$A$314,'Anlage 3a_Zusammenfassung_KWKG'!$A1093)+SUMIFS('Anlage 1c_Korrekturen_NB'!$H$80:$H$314,'Anlage 1c_Korrekturen_NB'!$A$80:$A$314,'Anlage 3a_Zusammenfassung_KWKG'!$A1093)</f>
        <v>0</v>
      </c>
      <c r="D1093" s="144">
        <f t="shared" si="45"/>
        <v>27395</v>
      </c>
      <c r="E1093" s="72" t="s">
        <v>516</v>
      </c>
      <c r="F1093" s="72"/>
      <c r="G1093" s="72"/>
      <c r="H1093" s="72"/>
      <c r="I1093" s="54"/>
    </row>
    <row r="1094" spans="1:9" s="44" customFormat="1" hidden="1" outlineLevel="1">
      <c r="A1094" s="418" t="s">
        <v>517</v>
      </c>
      <c r="B1094" s="543">
        <v>614842</v>
      </c>
      <c r="C1094" s="95">
        <f>SUMIFS('Anlage 1c_Korrekturen_NB'!$D$80:$D$314,'Anlage 1c_Korrekturen_NB'!$A$80:$A$314,'Anlage 3a_Zusammenfassung_KWKG'!$A1094)+SUMIFS('Anlage 1c_Korrekturen_NB'!$F$80:$F$314,'Anlage 1c_Korrekturen_NB'!$A$80:$A$314,'Anlage 3a_Zusammenfassung_KWKG'!$A1094)+SUMIFS('Anlage 1c_Korrekturen_NB'!$H$80:$H$314,'Anlage 1c_Korrekturen_NB'!$A$80:$A$314,'Anlage 3a_Zusammenfassung_KWKG'!$A1094)</f>
        <v>244</v>
      </c>
      <c r="D1094" s="144">
        <f t="shared" si="45"/>
        <v>615086</v>
      </c>
      <c r="E1094" s="72" t="s">
        <v>518</v>
      </c>
      <c r="F1094" s="72"/>
      <c r="G1094" s="72"/>
      <c r="H1094" s="72"/>
      <c r="I1094" s="54"/>
    </row>
    <row r="1095" spans="1:9" s="44" customFormat="1" hidden="1" outlineLevel="1">
      <c r="A1095" s="418" t="s">
        <v>519</v>
      </c>
      <c r="B1095" s="543">
        <v>1171149</v>
      </c>
      <c r="C1095" s="95">
        <f>SUMIFS('Anlage 1c_Korrekturen_NB'!$D$80:$D$314,'Anlage 1c_Korrekturen_NB'!$A$80:$A$314,'Anlage 3a_Zusammenfassung_KWKG'!$A1095)+SUMIFS('Anlage 1c_Korrekturen_NB'!$F$80:$F$314,'Anlage 1c_Korrekturen_NB'!$A$80:$A$314,'Anlage 3a_Zusammenfassung_KWKG'!$A1095)+SUMIFS('Anlage 1c_Korrekturen_NB'!$H$80:$H$314,'Anlage 1c_Korrekturen_NB'!$A$80:$A$314,'Anlage 3a_Zusammenfassung_KWKG'!$A1095)</f>
        <v>-4707086</v>
      </c>
      <c r="D1095" s="144">
        <f t="shared" si="45"/>
        <v>-3535937</v>
      </c>
      <c r="E1095" s="72" t="s">
        <v>520</v>
      </c>
      <c r="F1095" s="72"/>
      <c r="G1095" s="72"/>
      <c r="H1095" s="72"/>
      <c r="I1095" s="54"/>
    </row>
    <row r="1096" spans="1:9" s="44" customFormat="1" hidden="1" outlineLevel="1">
      <c r="A1096" s="418" t="s">
        <v>521</v>
      </c>
      <c r="B1096" s="543">
        <v>1412150</v>
      </c>
      <c r="C1096" s="95">
        <f>SUMIFS('Anlage 1c_Korrekturen_NB'!$D$80:$D$314,'Anlage 1c_Korrekturen_NB'!$A$80:$A$314,'Anlage 3a_Zusammenfassung_KWKG'!$A1096)+SUMIFS('Anlage 1c_Korrekturen_NB'!$F$80:$F$314,'Anlage 1c_Korrekturen_NB'!$A$80:$A$314,'Anlage 3a_Zusammenfassung_KWKG'!$A1096)+SUMIFS('Anlage 1c_Korrekturen_NB'!$H$80:$H$314,'Anlage 1c_Korrekturen_NB'!$A$80:$A$314,'Anlage 3a_Zusammenfassung_KWKG'!$A1096)</f>
        <v>0</v>
      </c>
      <c r="D1096" s="144">
        <f t="shared" si="45"/>
        <v>1412150</v>
      </c>
      <c r="E1096" s="72" t="s">
        <v>522</v>
      </c>
      <c r="F1096" s="72"/>
      <c r="G1096" s="72"/>
      <c r="H1096" s="72"/>
      <c r="I1096" s="54"/>
    </row>
    <row r="1097" spans="1:9" s="44" customFormat="1" hidden="1" outlineLevel="1">
      <c r="A1097" s="418" t="s">
        <v>523</v>
      </c>
      <c r="B1097" s="543">
        <v>552522</v>
      </c>
      <c r="C1097" s="95">
        <f>SUMIFS('Anlage 1c_Korrekturen_NB'!$D$80:$D$314,'Anlage 1c_Korrekturen_NB'!$A$80:$A$314,'Anlage 3a_Zusammenfassung_KWKG'!$A1097)+SUMIFS('Anlage 1c_Korrekturen_NB'!$F$80:$F$314,'Anlage 1c_Korrekturen_NB'!$A$80:$A$314,'Anlage 3a_Zusammenfassung_KWKG'!$A1097)+SUMIFS('Anlage 1c_Korrekturen_NB'!$H$80:$H$314,'Anlage 1c_Korrekturen_NB'!$A$80:$A$314,'Anlage 3a_Zusammenfassung_KWKG'!$A1097)</f>
        <v>2802612</v>
      </c>
      <c r="D1097" s="144">
        <f t="shared" si="45"/>
        <v>3355134</v>
      </c>
      <c r="E1097" s="72" t="s">
        <v>524</v>
      </c>
      <c r="F1097" s="72"/>
      <c r="G1097" s="72"/>
      <c r="H1097" s="72"/>
      <c r="I1097" s="54"/>
    </row>
    <row r="1098" spans="1:9" s="44" customFormat="1" hidden="1" outlineLevel="1">
      <c r="A1098" s="418" t="s">
        <v>525</v>
      </c>
      <c r="B1098" s="543">
        <v>66453</v>
      </c>
      <c r="C1098" s="95">
        <f>SUMIFS('Anlage 1c_Korrekturen_NB'!$D$80:$D$314,'Anlage 1c_Korrekturen_NB'!$A$80:$A$314,'Anlage 3a_Zusammenfassung_KWKG'!$A1098)+SUMIFS('Anlage 1c_Korrekturen_NB'!$F$80:$F$314,'Anlage 1c_Korrekturen_NB'!$A$80:$A$314,'Anlage 3a_Zusammenfassung_KWKG'!$A1098)+SUMIFS('Anlage 1c_Korrekturen_NB'!$H$80:$H$314,'Anlage 1c_Korrekturen_NB'!$A$80:$A$314,'Anlage 3a_Zusammenfassung_KWKG'!$A1098)</f>
        <v>0</v>
      </c>
      <c r="D1098" s="144">
        <f t="shared" si="45"/>
        <v>66453</v>
      </c>
      <c r="E1098" s="72" t="s">
        <v>526</v>
      </c>
      <c r="F1098" s="72"/>
      <c r="G1098" s="72"/>
      <c r="H1098" s="72"/>
      <c r="I1098" s="54"/>
    </row>
    <row r="1099" spans="1:9" s="44" customFormat="1" hidden="1" outlineLevel="1">
      <c r="A1099" s="418" t="s">
        <v>527</v>
      </c>
      <c r="B1099" s="543">
        <v>1800592</v>
      </c>
      <c r="C1099" s="95">
        <f>SUMIFS('Anlage 1c_Korrekturen_NB'!$D$80:$D$314,'Anlage 1c_Korrekturen_NB'!$A$80:$A$314,'Anlage 3a_Zusammenfassung_KWKG'!$A1099)+SUMIFS('Anlage 1c_Korrekturen_NB'!$F$80:$F$314,'Anlage 1c_Korrekturen_NB'!$A$80:$A$314,'Anlage 3a_Zusammenfassung_KWKG'!$A1099)+SUMIFS('Anlage 1c_Korrekturen_NB'!$H$80:$H$314,'Anlage 1c_Korrekturen_NB'!$A$80:$A$314,'Anlage 3a_Zusammenfassung_KWKG'!$A1099)</f>
        <v>-13937</v>
      </c>
      <c r="D1099" s="144">
        <f t="shared" si="45"/>
        <v>1786655</v>
      </c>
      <c r="E1099" s="72" t="s">
        <v>528</v>
      </c>
      <c r="F1099" s="72"/>
      <c r="G1099" s="72"/>
      <c r="H1099" s="72"/>
      <c r="I1099" s="54"/>
    </row>
    <row r="1100" spans="1:9" s="44" customFormat="1" hidden="1" outlineLevel="1">
      <c r="A1100" s="418" t="s">
        <v>529</v>
      </c>
      <c r="B1100" s="543">
        <v>0</v>
      </c>
      <c r="C1100" s="95">
        <f>SUMIFS('Anlage 1c_Korrekturen_NB'!$D$80:$D$314,'Anlage 1c_Korrekturen_NB'!$A$80:$A$314,'Anlage 3a_Zusammenfassung_KWKG'!$A1100)+SUMIFS('Anlage 1c_Korrekturen_NB'!$F$80:$F$314,'Anlage 1c_Korrekturen_NB'!$A$80:$A$314,'Anlage 3a_Zusammenfassung_KWKG'!$A1100)+SUMIFS('Anlage 1c_Korrekturen_NB'!$H$80:$H$314,'Anlage 1c_Korrekturen_NB'!$A$80:$A$314,'Anlage 3a_Zusammenfassung_KWKG'!$A1100)</f>
        <v>0</v>
      </c>
      <c r="D1100" s="144">
        <f t="shared" si="45"/>
        <v>0</v>
      </c>
      <c r="E1100" s="72" t="s">
        <v>530</v>
      </c>
      <c r="F1100" s="72"/>
      <c r="G1100" s="72"/>
      <c r="H1100" s="72"/>
      <c r="I1100" s="54"/>
    </row>
    <row r="1101" spans="1:9" s="44" customFormat="1" hidden="1" outlineLevel="1">
      <c r="A1101" s="418" t="s">
        <v>531</v>
      </c>
      <c r="B1101" s="543">
        <v>1947840</v>
      </c>
      <c r="C1101" s="95">
        <f>SUMIFS('Anlage 1c_Korrekturen_NB'!$D$80:$D$314,'Anlage 1c_Korrekturen_NB'!$A$80:$A$314,'Anlage 3a_Zusammenfassung_KWKG'!$A1101)+SUMIFS('Anlage 1c_Korrekturen_NB'!$F$80:$F$314,'Anlage 1c_Korrekturen_NB'!$A$80:$A$314,'Anlage 3a_Zusammenfassung_KWKG'!$A1101)+SUMIFS('Anlage 1c_Korrekturen_NB'!$H$80:$H$314,'Anlage 1c_Korrekturen_NB'!$A$80:$A$314,'Anlage 3a_Zusammenfassung_KWKG'!$A1101)</f>
        <v>455344</v>
      </c>
      <c r="D1101" s="144">
        <f t="shared" si="45"/>
        <v>2403184</v>
      </c>
      <c r="E1101" s="72" t="s">
        <v>532</v>
      </c>
      <c r="F1101" s="72"/>
      <c r="G1101" s="72"/>
      <c r="H1101" s="72"/>
      <c r="I1101" s="54"/>
    </row>
    <row r="1102" spans="1:9" s="44" customFormat="1" hidden="1" outlineLevel="1">
      <c r="A1102" s="418" t="s">
        <v>533</v>
      </c>
      <c r="B1102" s="543">
        <v>2741238</v>
      </c>
      <c r="C1102" s="95">
        <f>SUMIFS('Anlage 1c_Korrekturen_NB'!$D$80:$D$314,'Anlage 1c_Korrekturen_NB'!$A$80:$A$314,'Anlage 3a_Zusammenfassung_KWKG'!$A1102)+SUMIFS('Anlage 1c_Korrekturen_NB'!$F$80:$F$314,'Anlage 1c_Korrekturen_NB'!$A$80:$A$314,'Anlage 3a_Zusammenfassung_KWKG'!$A1102)+SUMIFS('Anlage 1c_Korrekturen_NB'!$H$80:$H$314,'Anlage 1c_Korrekturen_NB'!$A$80:$A$314,'Anlage 3a_Zusammenfassung_KWKG'!$A1102)</f>
        <v>0</v>
      </c>
      <c r="D1102" s="144">
        <f t="shared" si="45"/>
        <v>2741238</v>
      </c>
      <c r="E1102" s="72" t="s">
        <v>534</v>
      </c>
      <c r="F1102" s="72"/>
      <c r="G1102" s="72"/>
      <c r="H1102" s="72"/>
      <c r="I1102" s="54"/>
    </row>
    <row r="1103" spans="1:9" s="44" customFormat="1" hidden="1" outlineLevel="1">
      <c r="A1103" s="418" t="s">
        <v>535</v>
      </c>
      <c r="B1103" s="543">
        <v>1649864</v>
      </c>
      <c r="C1103" s="95">
        <f>SUMIFS('Anlage 1c_Korrekturen_NB'!$D$80:$D$314,'Anlage 1c_Korrekturen_NB'!$A$80:$A$314,'Anlage 3a_Zusammenfassung_KWKG'!$A1103)+SUMIFS('Anlage 1c_Korrekturen_NB'!$F$80:$F$314,'Anlage 1c_Korrekturen_NB'!$A$80:$A$314,'Anlage 3a_Zusammenfassung_KWKG'!$A1103)+SUMIFS('Anlage 1c_Korrekturen_NB'!$H$80:$H$314,'Anlage 1c_Korrekturen_NB'!$A$80:$A$314,'Anlage 3a_Zusammenfassung_KWKG'!$A1103)</f>
        <v>-72210</v>
      </c>
      <c r="D1103" s="144">
        <f t="shared" si="45"/>
        <v>1577654</v>
      </c>
      <c r="E1103" s="72" t="s">
        <v>536</v>
      </c>
      <c r="F1103" s="72"/>
      <c r="G1103" s="72"/>
      <c r="H1103" s="72"/>
      <c r="I1103" s="54"/>
    </row>
    <row r="1104" spans="1:9" s="44" customFormat="1" hidden="1" outlineLevel="1">
      <c r="A1104" s="418" t="s">
        <v>537</v>
      </c>
      <c r="B1104" s="543">
        <v>0</v>
      </c>
      <c r="C1104" s="95">
        <f>SUMIFS('Anlage 1c_Korrekturen_NB'!$D$80:$D$314,'Anlage 1c_Korrekturen_NB'!$A$80:$A$314,'Anlage 3a_Zusammenfassung_KWKG'!$A1104)+SUMIFS('Anlage 1c_Korrekturen_NB'!$F$80:$F$314,'Anlage 1c_Korrekturen_NB'!$A$80:$A$314,'Anlage 3a_Zusammenfassung_KWKG'!$A1104)+SUMIFS('Anlage 1c_Korrekturen_NB'!$H$80:$H$314,'Anlage 1c_Korrekturen_NB'!$A$80:$A$314,'Anlage 3a_Zusammenfassung_KWKG'!$A1104)</f>
        <v>0</v>
      </c>
      <c r="D1104" s="144">
        <f t="shared" si="45"/>
        <v>0</v>
      </c>
      <c r="E1104" s="72" t="s">
        <v>538</v>
      </c>
      <c r="F1104" s="72"/>
      <c r="G1104" s="72"/>
      <c r="H1104" s="72"/>
      <c r="I1104" s="54"/>
    </row>
    <row r="1105" spans="1:9" s="44" customFormat="1" hidden="1" outlineLevel="1">
      <c r="A1105" s="418" t="s">
        <v>539</v>
      </c>
      <c r="B1105" s="543">
        <v>1954903</v>
      </c>
      <c r="C1105" s="95">
        <f>SUMIFS('Anlage 1c_Korrekturen_NB'!$D$80:$D$314,'Anlage 1c_Korrekturen_NB'!$A$80:$A$314,'Anlage 3a_Zusammenfassung_KWKG'!$A1105)+SUMIFS('Anlage 1c_Korrekturen_NB'!$F$80:$F$314,'Anlage 1c_Korrekturen_NB'!$A$80:$A$314,'Anlage 3a_Zusammenfassung_KWKG'!$A1105)+SUMIFS('Anlage 1c_Korrekturen_NB'!$H$80:$H$314,'Anlage 1c_Korrekturen_NB'!$A$80:$A$314,'Anlage 3a_Zusammenfassung_KWKG'!$A1105)</f>
        <v>-17715</v>
      </c>
      <c r="D1105" s="144">
        <f t="shared" si="45"/>
        <v>1937188</v>
      </c>
      <c r="E1105" s="72" t="s">
        <v>540</v>
      </c>
      <c r="F1105" s="72"/>
      <c r="G1105" s="72"/>
      <c r="H1105" s="72"/>
      <c r="I1105" s="54"/>
    </row>
    <row r="1106" spans="1:9" s="44" customFormat="1" hidden="1" outlineLevel="1">
      <c r="A1106" s="418" t="s">
        <v>541</v>
      </c>
      <c r="B1106" s="543">
        <v>793180784</v>
      </c>
      <c r="C1106" s="95">
        <f>SUMIFS('Anlage 1c_Korrekturen_NB'!$D$80:$D$314,'Anlage 1c_Korrekturen_NB'!$A$80:$A$314,'Anlage 3a_Zusammenfassung_KWKG'!$A1106)+SUMIFS('Anlage 1c_Korrekturen_NB'!$F$80:$F$314,'Anlage 1c_Korrekturen_NB'!$A$80:$A$314,'Anlage 3a_Zusammenfassung_KWKG'!$A1106)+SUMIFS('Anlage 1c_Korrekturen_NB'!$H$80:$H$314,'Anlage 1c_Korrekturen_NB'!$A$80:$A$314,'Anlage 3a_Zusammenfassung_KWKG'!$A1106)</f>
        <v>2096797</v>
      </c>
      <c r="D1106" s="144">
        <f t="shared" si="45"/>
        <v>795277581</v>
      </c>
      <c r="E1106" s="72" t="s">
        <v>542</v>
      </c>
      <c r="F1106" s="72"/>
      <c r="G1106" s="72"/>
      <c r="H1106" s="72"/>
      <c r="I1106" s="54"/>
    </row>
    <row r="1107" spans="1:9" s="44" customFormat="1" hidden="1" outlineLevel="1">
      <c r="A1107" s="418" t="s">
        <v>543</v>
      </c>
      <c r="B1107" s="543">
        <v>39305025</v>
      </c>
      <c r="C1107" s="95">
        <f>SUMIFS('Anlage 1c_Korrekturen_NB'!$D$80:$D$314,'Anlage 1c_Korrekturen_NB'!$A$80:$A$314,'Anlage 3a_Zusammenfassung_KWKG'!$A1107)+SUMIFS('Anlage 1c_Korrekturen_NB'!$F$80:$F$314,'Anlage 1c_Korrekturen_NB'!$A$80:$A$314,'Anlage 3a_Zusammenfassung_KWKG'!$A1107)+SUMIFS('Anlage 1c_Korrekturen_NB'!$H$80:$H$314,'Anlage 1c_Korrekturen_NB'!$A$80:$A$314,'Anlage 3a_Zusammenfassung_KWKG'!$A1107)</f>
        <v>0</v>
      </c>
      <c r="D1107" s="144">
        <f t="shared" si="45"/>
        <v>39305025</v>
      </c>
      <c r="E1107" s="72" t="s">
        <v>544</v>
      </c>
      <c r="F1107" s="72"/>
      <c r="G1107" s="72"/>
      <c r="H1107" s="72"/>
      <c r="I1107" s="54"/>
    </row>
    <row r="1108" spans="1:9" s="44" customFormat="1" hidden="1" outlineLevel="1">
      <c r="A1108" s="418" t="s">
        <v>545</v>
      </c>
      <c r="B1108" s="543">
        <v>169607</v>
      </c>
      <c r="C1108" s="95">
        <f>SUMIFS('Anlage 1c_Korrekturen_NB'!$D$80:$D$314,'Anlage 1c_Korrekturen_NB'!$A$80:$A$314,'Anlage 3a_Zusammenfassung_KWKG'!$A1108)+SUMIFS('Anlage 1c_Korrekturen_NB'!$F$80:$F$314,'Anlage 1c_Korrekturen_NB'!$A$80:$A$314,'Anlage 3a_Zusammenfassung_KWKG'!$A1108)+SUMIFS('Anlage 1c_Korrekturen_NB'!$H$80:$H$314,'Anlage 1c_Korrekturen_NB'!$A$80:$A$314,'Anlage 3a_Zusammenfassung_KWKG'!$A1108)</f>
        <v>0</v>
      </c>
      <c r="D1108" s="144">
        <f t="shared" si="45"/>
        <v>169607</v>
      </c>
      <c r="E1108" s="72" t="s">
        <v>546</v>
      </c>
      <c r="F1108" s="72"/>
      <c r="G1108" s="72"/>
      <c r="H1108" s="72"/>
      <c r="I1108" s="54"/>
    </row>
    <row r="1109" spans="1:9" s="44" customFormat="1" hidden="1" outlineLevel="1">
      <c r="A1109" s="418" t="s">
        <v>547</v>
      </c>
      <c r="B1109" s="543">
        <v>2209907</v>
      </c>
      <c r="C1109" s="95">
        <f>SUMIFS('Anlage 1c_Korrekturen_NB'!$D$80:$D$314,'Anlage 1c_Korrekturen_NB'!$A$80:$A$314,'Anlage 3a_Zusammenfassung_KWKG'!$A1109)+SUMIFS('Anlage 1c_Korrekturen_NB'!$F$80:$F$314,'Anlage 1c_Korrekturen_NB'!$A$80:$A$314,'Anlage 3a_Zusammenfassung_KWKG'!$A1109)+SUMIFS('Anlage 1c_Korrekturen_NB'!$H$80:$H$314,'Anlage 1c_Korrekturen_NB'!$A$80:$A$314,'Anlage 3a_Zusammenfassung_KWKG'!$A1109)</f>
        <v>0</v>
      </c>
      <c r="D1109" s="144">
        <f t="shared" si="45"/>
        <v>2209907</v>
      </c>
      <c r="E1109" s="72" t="s">
        <v>548</v>
      </c>
      <c r="F1109" s="72"/>
      <c r="G1109" s="72"/>
      <c r="H1109" s="72"/>
      <c r="I1109" s="54"/>
    </row>
    <row r="1110" spans="1:9" s="44" customFormat="1" hidden="1" outlineLevel="1">
      <c r="A1110" s="418" t="s">
        <v>549</v>
      </c>
      <c r="B1110" s="543">
        <v>1524255</v>
      </c>
      <c r="C1110" s="95">
        <f>SUMIFS('Anlage 1c_Korrekturen_NB'!$D$80:$D$314,'Anlage 1c_Korrekturen_NB'!$A$80:$A$314,'Anlage 3a_Zusammenfassung_KWKG'!$A1110)+SUMIFS('Anlage 1c_Korrekturen_NB'!$F$80:$F$314,'Anlage 1c_Korrekturen_NB'!$A$80:$A$314,'Anlage 3a_Zusammenfassung_KWKG'!$A1110)+SUMIFS('Anlage 1c_Korrekturen_NB'!$H$80:$H$314,'Anlage 1c_Korrekturen_NB'!$A$80:$A$314,'Anlage 3a_Zusammenfassung_KWKG'!$A1110)</f>
        <v>0</v>
      </c>
      <c r="D1110" s="144">
        <f t="shared" si="45"/>
        <v>1524255</v>
      </c>
      <c r="E1110" s="72" t="s">
        <v>550</v>
      </c>
      <c r="F1110" s="72"/>
      <c r="G1110" s="72"/>
      <c r="H1110" s="72"/>
      <c r="I1110" s="54"/>
    </row>
    <row r="1111" spans="1:9" s="44" customFormat="1" hidden="1" outlineLevel="1">
      <c r="A1111" s="418" t="s">
        <v>551</v>
      </c>
      <c r="B1111" s="543">
        <v>2954341</v>
      </c>
      <c r="C1111" s="95">
        <f>SUMIFS('Anlage 1c_Korrekturen_NB'!$D$80:$D$314,'Anlage 1c_Korrekturen_NB'!$A$80:$A$314,'Anlage 3a_Zusammenfassung_KWKG'!$A1111)+SUMIFS('Anlage 1c_Korrekturen_NB'!$F$80:$F$314,'Anlage 1c_Korrekturen_NB'!$A$80:$A$314,'Anlage 3a_Zusammenfassung_KWKG'!$A1111)+SUMIFS('Anlage 1c_Korrekturen_NB'!$H$80:$H$314,'Anlage 1c_Korrekturen_NB'!$A$80:$A$314,'Anlage 3a_Zusammenfassung_KWKG'!$A1111)</f>
        <v>551</v>
      </c>
      <c r="D1111" s="144">
        <f t="shared" si="45"/>
        <v>2954892</v>
      </c>
      <c r="E1111" s="72" t="s">
        <v>552</v>
      </c>
      <c r="F1111" s="72"/>
      <c r="G1111" s="72"/>
      <c r="H1111" s="72"/>
      <c r="I1111" s="54"/>
    </row>
    <row r="1112" spans="1:9" s="44" customFormat="1" hidden="1" outlineLevel="1">
      <c r="A1112" s="418" t="s">
        <v>553</v>
      </c>
      <c r="B1112" s="543">
        <v>1115303</v>
      </c>
      <c r="C1112" s="95">
        <f>SUMIFS('Anlage 1c_Korrekturen_NB'!$D$80:$D$314,'Anlage 1c_Korrekturen_NB'!$A$80:$A$314,'Anlage 3a_Zusammenfassung_KWKG'!$A1112)+SUMIFS('Anlage 1c_Korrekturen_NB'!$F$80:$F$314,'Anlage 1c_Korrekturen_NB'!$A$80:$A$314,'Anlage 3a_Zusammenfassung_KWKG'!$A1112)+SUMIFS('Anlage 1c_Korrekturen_NB'!$H$80:$H$314,'Anlage 1c_Korrekturen_NB'!$A$80:$A$314,'Anlage 3a_Zusammenfassung_KWKG'!$A1112)</f>
        <v>84781</v>
      </c>
      <c r="D1112" s="144">
        <f t="shared" si="45"/>
        <v>1200084</v>
      </c>
      <c r="E1112" s="72" t="s">
        <v>554</v>
      </c>
      <c r="F1112" s="72"/>
      <c r="G1112" s="72"/>
      <c r="H1112" s="72"/>
      <c r="I1112" s="54"/>
    </row>
    <row r="1113" spans="1:9" s="44" customFormat="1" hidden="1" outlineLevel="1">
      <c r="A1113" s="418" t="s">
        <v>555</v>
      </c>
      <c r="B1113" s="543">
        <v>1789527</v>
      </c>
      <c r="C1113" s="95">
        <f>SUMIFS('Anlage 1c_Korrekturen_NB'!$D$80:$D$314,'Anlage 1c_Korrekturen_NB'!$A$80:$A$314,'Anlage 3a_Zusammenfassung_KWKG'!$A1113)+SUMIFS('Anlage 1c_Korrekturen_NB'!$F$80:$F$314,'Anlage 1c_Korrekturen_NB'!$A$80:$A$314,'Anlage 3a_Zusammenfassung_KWKG'!$A1113)+SUMIFS('Anlage 1c_Korrekturen_NB'!$H$80:$H$314,'Anlage 1c_Korrekturen_NB'!$A$80:$A$314,'Anlage 3a_Zusammenfassung_KWKG'!$A1113)</f>
        <v>0</v>
      </c>
      <c r="D1113" s="144">
        <f t="shared" si="45"/>
        <v>1789527</v>
      </c>
      <c r="E1113" s="72" t="s">
        <v>556</v>
      </c>
      <c r="F1113" s="72"/>
      <c r="G1113" s="72"/>
      <c r="H1113" s="72"/>
      <c r="I1113" s="54"/>
    </row>
    <row r="1114" spans="1:9" s="44" customFormat="1" hidden="1" outlineLevel="1">
      <c r="A1114" s="418" t="s">
        <v>557</v>
      </c>
      <c r="B1114" s="543">
        <v>0</v>
      </c>
      <c r="C1114" s="95">
        <f>SUMIFS('Anlage 1c_Korrekturen_NB'!$D$80:$D$314,'Anlage 1c_Korrekturen_NB'!$A$80:$A$314,'Anlage 3a_Zusammenfassung_KWKG'!$A1114)+SUMIFS('Anlage 1c_Korrekturen_NB'!$F$80:$F$314,'Anlage 1c_Korrekturen_NB'!$A$80:$A$314,'Anlage 3a_Zusammenfassung_KWKG'!$A1114)+SUMIFS('Anlage 1c_Korrekturen_NB'!$H$80:$H$314,'Anlage 1c_Korrekturen_NB'!$A$80:$A$314,'Anlage 3a_Zusammenfassung_KWKG'!$A1114)</f>
        <v>0</v>
      </c>
      <c r="D1114" s="144">
        <f t="shared" si="45"/>
        <v>0</v>
      </c>
      <c r="E1114" s="72" t="s">
        <v>558</v>
      </c>
      <c r="F1114" s="72"/>
      <c r="G1114" s="72"/>
      <c r="H1114" s="72"/>
      <c r="I1114" s="54"/>
    </row>
    <row r="1115" spans="1:9" s="44" customFormat="1" hidden="1" outlineLevel="1">
      <c r="A1115" s="418" t="s">
        <v>559</v>
      </c>
      <c r="B1115" s="543">
        <v>0</v>
      </c>
      <c r="C1115" s="95">
        <f>SUMIFS('Anlage 1c_Korrekturen_NB'!$D$80:$D$314,'Anlage 1c_Korrekturen_NB'!$A$80:$A$314,'Anlage 3a_Zusammenfassung_KWKG'!$A1115)+SUMIFS('Anlage 1c_Korrekturen_NB'!$F$80:$F$314,'Anlage 1c_Korrekturen_NB'!$A$80:$A$314,'Anlage 3a_Zusammenfassung_KWKG'!$A1115)+SUMIFS('Anlage 1c_Korrekturen_NB'!$H$80:$H$314,'Anlage 1c_Korrekturen_NB'!$A$80:$A$314,'Anlage 3a_Zusammenfassung_KWKG'!$A1115)</f>
        <v>0</v>
      </c>
      <c r="D1115" s="144">
        <f t="shared" si="45"/>
        <v>0</v>
      </c>
      <c r="E1115" s="72" t="s">
        <v>560</v>
      </c>
      <c r="F1115" s="72"/>
      <c r="G1115" s="72"/>
      <c r="H1115" s="72"/>
      <c r="I1115" s="54"/>
    </row>
    <row r="1116" spans="1:9" s="44" customFormat="1" hidden="1" outlineLevel="1">
      <c r="A1116" s="418" t="s">
        <v>561</v>
      </c>
      <c r="B1116" s="543">
        <v>0</v>
      </c>
      <c r="C1116" s="95">
        <f>SUMIFS('Anlage 1c_Korrekturen_NB'!$D$80:$D$314,'Anlage 1c_Korrekturen_NB'!$A$80:$A$314,'Anlage 3a_Zusammenfassung_KWKG'!$A1116)+SUMIFS('Anlage 1c_Korrekturen_NB'!$F$80:$F$314,'Anlage 1c_Korrekturen_NB'!$A$80:$A$314,'Anlage 3a_Zusammenfassung_KWKG'!$A1116)+SUMIFS('Anlage 1c_Korrekturen_NB'!$H$80:$H$314,'Anlage 1c_Korrekturen_NB'!$A$80:$A$314,'Anlage 3a_Zusammenfassung_KWKG'!$A1116)</f>
        <v>0</v>
      </c>
      <c r="D1116" s="144">
        <f t="shared" si="45"/>
        <v>0</v>
      </c>
      <c r="E1116" s="72" t="s">
        <v>562</v>
      </c>
      <c r="F1116" s="72"/>
      <c r="G1116" s="72"/>
      <c r="H1116" s="72"/>
      <c r="I1116" s="54"/>
    </row>
    <row r="1117" spans="1:9" s="44" customFormat="1" hidden="1" outlineLevel="1">
      <c r="A1117" s="418" t="s">
        <v>563</v>
      </c>
      <c r="B1117" s="543">
        <v>231565</v>
      </c>
      <c r="C1117" s="95">
        <f>SUMIFS('Anlage 1c_Korrekturen_NB'!$D$80:$D$314,'Anlage 1c_Korrekturen_NB'!$A$80:$A$314,'Anlage 3a_Zusammenfassung_KWKG'!$A1117)+SUMIFS('Anlage 1c_Korrekturen_NB'!$F$80:$F$314,'Anlage 1c_Korrekturen_NB'!$A$80:$A$314,'Anlage 3a_Zusammenfassung_KWKG'!$A1117)+SUMIFS('Anlage 1c_Korrekturen_NB'!$H$80:$H$314,'Anlage 1c_Korrekturen_NB'!$A$80:$A$314,'Anlage 3a_Zusammenfassung_KWKG'!$A1117)</f>
        <v>160752</v>
      </c>
      <c r="D1117" s="144">
        <f t="shared" si="45"/>
        <v>392317</v>
      </c>
      <c r="E1117" s="72" t="s">
        <v>564</v>
      </c>
      <c r="F1117" s="72"/>
      <c r="G1117" s="72"/>
      <c r="H1117" s="72"/>
      <c r="I1117" s="54"/>
    </row>
    <row r="1118" spans="1:9" s="44" customFormat="1" hidden="1" outlineLevel="1">
      <c r="A1118" s="418" t="s">
        <v>565</v>
      </c>
      <c r="B1118" s="543">
        <v>77327886</v>
      </c>
      <c r="C1118" s="95">
        <f>SUMIFS('Anlage 1c_Korrekturen_NB'!$D$80:$D$314,'Anlage 1c_Korrekturen_NB'!$A$80:$A$314,'Anlage 3a_Zusammenfassung_KWKG'!$A1118)+SUMIFS('Anlage 1c_Korrekturen_NB'!$F$80:$F$314,'Anlage 1c_Korrekturen_NB'!$A$80:$A$314,'Anlage 3a_Zusammenfassung_KWKG'!$A1118)+SUMIFS('Anlage 1c_Korrekturen_NB'!$H$80:$H$314,'Anlage 1c_Korrekturen_NB'!$A$80:$A$314,'Anlage 3a_Zusammenfassung_KWKG'!$A1118)</f>
        <v>0</v>
      </c>
      <c r="D1118" s="144">
        <f t="shared" si="45"/>
        <v>77327886</v>
      </c>
      <c r="E1118" s="72" t="s">
        <v>566</v>
      </c>
      <c r="F1118" s="72"/>
      <c r="G1118" s="72"/>
      <c r="H1118" s="72"/>
      <c r="I1118" s="54"/>
    </row>
    <row r="1119" spans="1:9" s="44" customFormat="1" hidden="1" outlineLevel="1">
      <c r="A1119" s="418" t="s">
        <v>567</v>
      </c>
      <c r="B1119" s="543">
        <v>9117893</v>
      </c>
      <c r="C1119" s="95">
        <f>SUMIFS('Anlage 1c_Korrekturen_NB'!$D$80:$D$314,'Anlage 1c_Korrekturen_NB'!$A$80:$A$314,'Anlage 3a_Zusammenfassung_KWKG'!$A1119)+SUMIFS('Anlage 1c_Korrekturen_NB'!$F$80:$F$314,'Anlage 1c_Korrekturen_NB'!$A$80:$A$314,'Anlage 3a_Zusammenfassung_KWKG'!$A1119)+SUMIFS('Anlage 1c_Korrekturen_NB'!$H$80:$H$314,'Anlage 1c_Korrekturen_NB'!$A$80:$A$314,'Anlage 3a_Zusammenfassung_KWKG'!$A1119)</f>
        <v>3503709</v>
      </c>
      <c r="D1119" s="144">
        <f t="shared" si="45"/>
        <v>12621602</v>
      </c>
      <c r="E1119" s="72" t="s">
        <v>568</v>
      </c>
      <c r="F1119" s="72"/>
      <c r="G1119" s="72"/>
      <c r="H1119" s="72"/>
      <c r="I1119" s="54"/>
    </row>
    <row r="1120" spans="1:9" s="44" customFormat="1" hidden="1" outlineLevel="1">
      <c r="A1120" s="418" t="s">
        <v>569</v>
      </c>
      <c r="B1120" s="543">
        <v>1010097</v>
      </c>
      <c r="C1120" s="95">
        <f>SUMIFS('Anlage 1c_Korrekturen_NB'!$D$80:$D$314,'Anlage 1c_Korrekturen_NB'!$A$80:$A$314,'Anlage 3a_Zusammenfassung_KWKG'!$A1120)+SUMIFS('Anlage 1c_Korrekturen_NB'!$F$80:$F$314,'Anlage 1c_Korrekturen_NB'!$A$80:$A$314,'Anlage 3a_Zusammenfassung_KWKG'!$A1120)+SUMIFS('Anlage 1c_Korrekturen_NB'!$H$80:$H$314,'Anlage 1c_Korrekturen_NB'!$A$80:$A$314,'Anlage 3a_Zusammenfassung_KWKG'!$A1120)</f>
        <v>0</v>
      </c>
      <c r="D1120" s="144">
        <f t="shared" si="45"/>
        <v>1010097</v>
      </c>
      <c r="E1120" s="72" t="s">
        <v>570</v>
      </c>
      <c r="F1120" s="72"/>
      <c r="G1120" s="72"/>
      <c r="H1120" s="72"/>
      <c r="I1120" s="54"/>
    </row>
    <row r="1121" spans="1:9" s="44" customFormat="1" hidden="1" outlineLevel="1">
      <c r="A1121" s="418" t="s">
        <v>571</v>
      </c>
      <c r="B1121" s="543">
        <v>0</v>
      </c>
      <c r="C1121" s="95">
        <f>SUMIFS('Anlage 1c_Korrekturen_NB'!$D$80:$D$314,'Anlage 1c_Korrekturen_NB'!$A$80:$A$314,'Anlage 3a_Zusammenfassung_KWKG'!$A1121)+SUMIFS('Anlage 1c_Korrekturen_NB'!$F$80:$F$314,'Anlage 1c_Korrekturen_NB'!$A$80:$A$314,'Anlage 3a_Zusammenfassung_KWKG'!$A1121)+SUMIFS('Anlage 1c_Korrekturen_NB'!$H$80:$H$314,'Anlage 1c_Korrekturen_NB'!$A$80:$A$314,'Anlage 3a_Zusammenfassung_KWKG'!$A1121)</f>
        <v>0</v>
      </c>
      <c r="D1121" s="144">
        <f t="shared" si="45"/>
        <v>0</v>
      </c>
      <c r="E1121" s="72" t="s">
        <v>572</v>
      </c>
      <c r="F1121" s="72"/>
      <c r="G1121" s="72"/>
      <c r="H1121" s="72"/>
      <c r="I1121" s="54"/>
    </row>
    <row r="1122" spans="1:9" s="44" customFormat="1" hidden="1" outlineLevel="1">
      <c r="A1122" s="418" t="s">
        <v>573</v>
      </c>
      <c r="B1122" s="543">
        <v>1109453</v>
      </c>
      <c r="C1122" s="95">
        <f>SUMIFS('Anlage 1c_Korrekturen_NB'!$D$80:$D$314,'Anlage 1c_Korrekturen_NB'!$A$80:$A$314,'Anlage 3a_Zusammenfassung_KWKG'!$A1122)+SUMIFS('Anlage 1c_Korrekturen_NB'!$F$80:$F$314,'Anlage 1c_Korrekturen_NB'!$A$80:$A$314,'Anlage 3a_Zusammenfassung_KWKG'!$A1122)+SUMIFS('Anlage 1c_Korrekturen_NB'!$H$80:$H$314,'Anlage 1c_Korrekturen_NB'!$A$80:$A$314,'Anlage 3a_Zusammenfassung_KWKG'!$A1122)</f>
        <v>16078</v>
      </c>
      <c r="D1122" s="144">
        <f t="shared" si="45"/>
        <v>1125531</v>
      </c>
      <c r="E1122" s="72" t="s">
        <v>574</v>
      </c>
      <c r="F1122" s="72"/>
      <c r="G1122" s="72"/>
      <c r="H1122" s="72"/>
      <c r="I1122" s="54"/>
    </row>
    <row r="1123" spans="1:9" s="44" customFormat="1" hidden="1" outlineLevel="1">
      <c r="A1123" s="418" t="s">
        <v>575</v>
      </c>
      <c r="B1123" s="543">
        <v>1695462</v>
      </c>
      <c r="C1123" s="95">
        <f>SUMIFS('Anlage 1c_Korrekturen_NB'!$D$80:$D$314,'Anlage 1c_Korrekturen_NB'!$A$80:$A$314,'Anlage 3a_Zusammenfassung_KWKG'!$A1123)+SUMIFS('Anlage 1c_Korrekturen_NB'!$F$80:$F$314,'Anlage 1c_Korrekturen_NB'!$A$80:$A$314,'Anlage 3a_Zusammenfassung_KWKG'!$A1123)+SUMIFS('Anlage 1c_Korrekturen_NB'!$H$80:$H$314,'Anlage 1c_Korrekturen_NB'!$A$80:$A$314,'Anlage 3a_Zusammenfassung_KWKG'!$A1123)</f>
        <v>0</v>
      </c>
      <c r="D1123" s="144">
        <f t="shared" si="45"/>
        <v>1695462</v>
      </c>
      <c r="E1123" s="72" t="s">
        <v>576</v>
      </c>
      <c r="F1123" s="72"/>
      <c r="G1123" s="72"/>
      <c r="H1123" s="72"/>
      <c r="I1123" s="54"/>
    </row>
    <row r="1124" spans="1:9" s="44" customFormat="1" hidden="1" outlineLevel="1">
      <c r="A1124" s="418" t="s">
        <v>577</v>
      </c>
      <c r="B1124" s="543">
        <v>0</v>
      </c>
      <c r="C1124" s="95">
        <f>SUMIFS('Anlage 1c_Korrekturen_NB'!$D$80:$D$314,'Anlage 1c_Korrekturen_NB'!$A$80:$A$314,'Anlage 3a_Zusammenfassung_KWKG'!$A1124)+SUMIFS('Anlage 1c_Korrekturen_NB'!$F$80:$F$314,'Anlage 1c_Korrekturen_NB'!$A$80:$A$314,'Anlage 3a_Zusammenfassung_KWKG'!$A1124)+SUMIFS('Anlage 1c_Korrekturen_NB'!$H$80:$H$314,'Anlage 1c_Korrekturen_NB'!$A$80:$A$314,'Anlage 3a_Zusammenfassung_KWKG'!$A1124)</f>
        <v>0</v>
      </c>
      <c r="D1124" s="144">
        <f t="shared" si="45"/>
        <v>0</v>
      </c>
      <c r="E1124" s="72" t="s">
        <v>578</v>
      </c>
      <c r="F1124" s="72"/>
      <c r="G1124" s="72"/>
      <c r="H1124" s="72"/>
      <c r="I1124" s="54"/>
    </row>
    <row r="1125" spans="1:9" s="44" customFormat="1" hidden="1" outlineLevel="1">
      <c r="A1125" s="418" t="s">
        <v>579</v>
      </c>
      <c r="B1125" s="543">
        <v>13385349</v>
      </c>
      <c r="C1125" s="95">
        <f>SUMIFS('Anlage 1c_Korrekturen_NB'!$D$80:$D$314,'Anlage 1c_Korrekturen_NB'!$A$80:$A$314,'Anlage 3a_Zusammenfassung_KWKG'!$A1125)+SUMIFS('Anlage 1c_Korrekturen_NB'!$F$80:$F$314,'Anlage 1c_Korrekturen_NB'!$A$80:$A$314,'Anlage 3a_Zusammenfassung_KWKG'!$A1125)+SUMIFS('Anlage 1c_Korrekturen_NB'!$H$80:$H$314,'Anlage 1c_Korrekturen_NB'!$A$80:$A$314,'Anlage 3a_Zusammenfassung_KWKG'!$A1125)</f>
        <v>462108</v>
      </c>
      <c r="D1125" s="144">
        <f t="shared" si="45"/>
        <v>13847457</v>
      </c>
      <c r="E1125" s="72" t="s">
        <v>580</v>
      </c>
      <c r="F1125" s="72"/>
      <c r="G1125" s="72"/>
      <c r="H1125" s="72"/>
      <c r="I1125" s="54"/>
    </row>
    <row r="1126" spans="1:9" s="44" customFormat="1" hidden="1" outlineLevel="1">
      <c r="A1126" s="418" t="s">
        <v>581</v>
      </c>
      <c r="B1126" s="543">
        <v>179791</v>
      </c>
      <c r="C1126" s="95">
        <f>SUMIFS('Anlage 1c_Korrekturen_NB'!$D$80:$D$314,'Anlage 1c_Korrekturen_NB'!$A$80:$A$314,'Anlage 3a_Zusammenfassung_KWKG'!$A1126)+SUMIFS('Anlage 1c_Korrekturen_NB'!$F$80:$F$314,'Anlage 1c_Korrekturen_NB'!$A$80:$A$314,'Anlage 3a_Zusammenfassung_KWKG'!$A1126)+SUMIFS('Anlage 1c_Korrekturen_NB'!$H$80:$H$314,'Anlage 1c_Korrekturen_NB'!$A$80:$A$314,'Anlage 3a_Zusammenfassung_KWKG'!$A1126)</f>
        <v>0</v>
      </c>
      <c r="D1126" s="144">
        <f t="shared" si="45"/>
        <v>179791</v>
      </c>
      <c r="E1126" s="72" t="s">
        <v>582</v>
      </c>
      <c r="F1126" s="72"/>
      <c r="G1126" s="72"/>
      <c r="H1126" s="72"/>
      <c r="I1126" s="54"/>
    </row>
    <row r="1127" spans="1:9" s="44" customFormat="1" hidden="1" outlineLevel="1">
      <c r="A1127" s="418" t="s">
        <v>583</v>
      </c>
      <c r="B1127" s="543">
        <v>25046280</v>
      </c>
      <c r="C1127" s="95">
        <f>SUMIFS('Anlage 1c_Korrekturen_NB'!$D$80:$D$314,'Anlage 1c_Korrekturen_NB'!$A$80:$A$314,'Anlage 3a_Zusammenfassung_KWKG'!$A1127)+SUMIFS('Anlage 1c_Korrekturen_NB'!$F$80:$F$314,'Anlage 1c_Korrekturen_NB'!$A$80:$A$314,'Anlage 3a_Zusammenfassung_KWKG'!$A1127)+SUMIFS('Anlage 1c_Korrekturen_NB'!$H$80:$H$314,'Anlage 1c_Korrekturen_NB'!$A$80:$A$314,'Anlage 3a_Zusammenfassung_KWKG'!$A1127)</f>
        <v>-43</v>
      </c>
      <c r="D1127" s="144">
        <f t="shared" si="45"/>
        <v>25046237</v>
      </c>
      <c r="E1127" s="72" t="s">
        <v>584</v>
      </c>
      <c r="F1127" s="72"/>
      <c r="G1127" s="72"/>
      <c r="H1127" s="72"/>
      <c r="I1127" s="54"/>
    </row>
    <row r="1128" spans="1:9" s="44" customFormat="1" hidden="1" outlineLevel="1">
      <c r="A1128" s="418" t="s">
        <v>585</v>
      </c>
      <c r="B1128" s="543">
        <v>0</v>
      </c>
      <c r="C1128" s="95">
        <f>SUMIFS('Anlage 1c_Korrekturen_NB'!$D$80:$D$314,'Anlage 1c_Korrekturen_NB'!$A$80:$A$314,'Anlage 3a_Zusammenfassung_KWKG'!$A1128)+SUMIFS('Anlage 1c_Korrekturen_NB'!$F$80:$F$314,'Anlage 1c_Korrekturen_NB'!$A$80:$A$314,'Anlage 3a_Zusammenfassung_KWKG'!$A1128)+SUMIFS('Anlage 1c_Korrekturen_NB'!$H$80:$H$314,'Anlage 1c_Korrekturen_NB'!$A$80:$A$314,'Anlage 3a_Zusammenfassung_KWKG'!$A1128)</f>
        <v>0</v>
      </c>
      <c r="D1128" s="144">
        <f t="shared" si="45"/>
        <v>0</v>
      </c>
      <c r="E1128" s="72" t="s">
        <v>586</v>
      </c>
      <c r="F1128" s="72"/>
      <c r="G1128" s="72"/>
      <c r="H1128" s="72"/>
      <c r="I1128" s="54"/>
    </row>
    <row r="1129" spans="1:9" s="44" customFormat="1" hidden="1" outlineLevel="1">
      <c r="A1129" s="418" t="s">
        <v>585</v>
      </c>
      <c r="B1129" s="543">
        <v>0</v>
      </c>
      <c r="C1129" s="95">
        <f>SUMIFS('Anlage 1c_Korrekturen_NB'!$D$80:$D$314,'Anlage 1c_Korrekturen_NB'!$A$80:$A$314,'Anlage 3a_Zusammenfassung_KWKG'!$A1129)+SUMIFS('Anlage 1c_Korrekturen_NB'!$F$80:$F$314,'Anlage 1c_Korrekturen_NB'!$A$80:$A$314,'Anlage 3a_Zusammenfassung_KWKG'!$A1129)+SUMIFS('Anlage 1c_Korrekturen_NB'!$H$80:$H$314,'Anlage 1c_Korrekturen_NB'!$A$80:$A$314,'Anlage 3a_Zusammenfassung_KWKG'!$A1129)</f>
        <v>0</v>
      </c>
      <c r="D1129" s="144">
        <f t="shared" si="45"/>
        <v>0</v>
      </c>
      <c r="E1129" s="72" t="s">
        <v>586</v>
      </c>
      <c r="F1129" s="72"/>
      <c r="G1129" s="72"/>
      <c r="H1129" s="72"/>
      <c r="I1129" s="54"/>
    </row>
    <row r="1130" spans="1:9" s="44" customFormat="1" hidden="1" outlineLevel="1">
      <c r="A1130" s="418" t="s">
        <v>587</v>
      </c>
      <c r="B1130" s="543">
        <v>2865947</v>
      </c>
      <c r="C1130" s="95">
        <f>SUMIFS('Anlage 1c_Korrekturen_NB'!$D$80:$D$314,'Anlage 1c_Korrekturen_NB'!$A$80:$A$314,'Anlage 3a_Zusammenfassung_KWKG'!$A1130)+SUMIFS('Anlage 1c_Korrekturen_NB'!$F$80:$F$314,'Anlage 1c_Korrekturen_NB'!$A$80:$A$314,'Anlage 3a_Zusammenfassung_KWKG'!$A1130)+SUMIFS('Anlage 1c_Korrekturen_NB'!$H$80:$H$314,'Anlage 1c_Korrekturen_NB'!$A$80:$A$314,'Anlage 3a_Zusammenfassung_KWKG'!$A1130)</f>
        <v>0</v>
      </c>
      <c r="D1130" s="144">
        <f t="shared" si="45"/>
        <v>2865947</v>
      </c>
      <c r="E1130" s="72" t="s">
        <v>588</v>
      </c>
      <c r="F1130" s="72"/>
      <c r="G1130" s="72"/>
      <c r="H1130" s="72"/>
      <c r="I1130" s="54"/>
    </row>
    <row r="1131" spans="1:9" s="44" customFormat="1" hidden="1" outlineLevel="1">
      <c r="A1131" s="418" t="s">
        <v>589</v>
      </c>
      <c r="B1131" s="543">
        <v>939010</v>
      </c>
      <c r="C1131" s="95">
        <f>SUMIFS('Anlage 1c_Korrekturen_NB'!$D$80:$D$314,'Anlage 1c_Korrekturen_NB'!$A$80:$A$314,'Anlage 3a_Zusammenfassung_KWKG'!$A1131)+SUMIFS('Anlage 1c_Korrekturen_NB'!$F$80:$F$314,'Anlage 1c_Korrekturen_NB'!$A$80:$A$314,'Anlage 3a_Zusammenfassung_KWKG'!$A1131)+SUMIFS('Anlage 1c_Korrekturen_NB'!$H$80:$H$314,'Anlage 1c_Korrekturen_NB'!$A$80:$A$314,'Anlage 3a_Zusammenfassung_KWKG'!$A1131)</f>
        <v>226088</v>
      </c>
      <c r="D1131" s="144">
        <f t="shared" si="45"/>
        <v>1165098</v>
      </c>
      <c r="E1131" s="72" t="s">
        <v>590</v>
      </c>
      <c r="F1131" s="72"/>
      <c r="G1131" s="72"/>
      <c r="H1131" s="72"/>
      <c r="I1131" s="54"/>
    </row>
    <row r="1132" spans="1:9" s="44" customFormat="1" hidden="1" outlineLevel="1">
      <c r="A1132" s="418" t="s">
        <v>591</v>
      </c>
      <c r="B1132" s="543">
        <v>20014789</v>
      </c>
      <c r="C1132" s="95">
        <f>SUMIFS('Anlage 1c_Korrekturen_NB'!$D$80:$D$314,'Anlage 1c_Korrekturen_NB'!$A$80:$A$314,'Anlage 3a_Zusammenfassung_KWKG'!$A1132)+SUMIFS('Anlage 1c_Korrekturen_NB'!$F$80:$F$314,'Anlage 1c_Korrekturen_NB'!$A$80:$A$314,'Anlage 3a_Zusammenfassung_KWKG'!$A1132)+SUMIFS('Anlage 1c_Korrekturen_NB'!$H$80:$H$314,'Anlage 1c_Korrekturen_NB'!$A$80:$A$314,'Anlage 3a_Zusammenfassung_KWKG'!$A1132)</f>
        <v>52736299</v>
      </c>
      <c r="D1132" s="144">
        <f t="shared" si="45"/>
        <v>72751088</v>
      </c>
      <c r="E1132" s="72" t="s">
        <v>592</v>
      </c>
      <c r="F1132" s="72"/>
      <c r="G1132" s="72"/>
      <c r="H1132" s="72"/>
      <c r="I1132" s="54"/>
    </row>
    <row r="1133" spans="1:9" s="44" customFormat="1" hidden="1" outlineLevel="1">
      <c r="A1133" s="418" t="s">
        <v>593</v>
      </c>
      <c r="B1133" s="543">
        <v>512556</v>
      </c>
      <c r="C1133" s="95">
        <f>SUMIFS('Anlage 1c_Korrekturen_NB'!$D$80:$D$314,'Anlage 1c_Korrekturen_NB'!$A$80:$A$314,'Anlage 3a_Zusammenfassung_KWKG'!$A1133)+SUMIFS('Anlage 1c_Korrekturen_NB'!$F$80:$F$314,'Anlage 1c_Korrekturen_NB'!$A$80:$A$314,'Anlage 3a_Zusammenfassung_KWKG'!$A1133)+SUMIFS('Anlage 1c_Korrekturen_NB'!$H$80:$H$314,'Anlage 1c_Korrekturen_NB'!$A$80:$A$314,'Anlage 3a_Zusammenfassung_KWKG'!$A1133)</f>
        <v>0</v>
      </c>
      <c r="D1133" s="144">
        <f t="shared" si="45"/>
        <v>512556</v>
      </c>
      <c r="E1133" s="72" t="s">
        <v>594</v>
      </c>
      <c r="F1133" s="72"/>
      <c r="G1133" s="72"/>
      <c r="H1133" s="72"/>
      <c r="I1133" s="54"/>
    </row>
    <row r="1134" spans="1:9" s="44" customFormat="1" hidden="1" outlineLevel="1">
      <c r="A1134" s="418" t="s">
        <v>595</v>
      </c>
      <c r="B1134" s="543">
        <v>690470</v>
      </c>
      <c r="C1134" s="95">
        <f>SUMIFS('Anlage 1c_Korrekturen_NB'!$D$80:$D$314,'Anlage 1c_Korrekturen_NB'!$A$80:$A$314,'Anlage 3a_Zusammenfassung_KWKG'!$A1134)+SUMIFS('Anlage 1c_Korrekturen_NB'!$F$80:$F$314,'Anlage 1c_Korrekturen_NB'!$A$80:$A$314,'Anlage 3a_Zusammenfassung_KWKG'!$A1134)+SUMIFS('Anlage 1c_Korrekturen_NB'!$H$80:$H$314,'Anlage 1c_Korrekturen_NB'!$A$80:$A$314,'Anlage 3a_Zusammenfassung_KWKG'!$A1134)</f>
        <v>0</v>
      </c>
      <c r="D1134" s="144">
        <f t="shared" si="45"/>
        <v>690470</v>
      </c>
      <c r="E1134" s="72" t="s">
        <v>596</v>
      </c>
      <c r="F1134" s="72"/>
      <c r="G1134" s="72"/>
      <c r="H1134" s="72"/>
      <c r="I1134" s="54"/>
    </row>
    <row r="1135" spans="1:9" s="44" customFormat="1" hidden="1" outlineLevel="1">
      <c r="A1135" s="418" t="s">
        <v>597</v>
      </c>
      <c r="B1135" s="543">
        <v>773408</v>
      </c>
      <c r="C1135" s="95">
        <f>SUMIFS('Anlage 1c_Korrekturen_NB'!$D$80:$D$314,'Anlage 1c_Korrekturen_NB'!$A$80:$A$314,'Anlage 3a_Zusammenfassung_KWKG'!$A1135)+SUMIFS('Anlage 1c_Korrekturen_NB'!$F$80:$F$314,'Anlage 1c_Korrekturen_NB'!$A$80:$A$314,'Anlage 3a_Zusammenfassung_KWKG'!$A1135)+SUMIFS('Anlage 1c_Korrekturen_NB'!$H$80:$H$314,'Anlage 1c_Korrekturen_NB'!$A$80:$A$314,'Anlage 3a_Zusammenfassung_KWKG'!$A1135)</f>
        <v>0</v>
      </c>
      <c r="D1135" s="144">
        <f t="shared" si="45"/>
        <v>773408</v>
      </c>
      <c r="E1135" s="72" t="s">
        <v>598</v>
      </c>
      <c r="F1135" s="72"/>
      <c r="G1135" s="72"/>
      <c r="H1135" s="72"/>
      <c r="I1135" s="54"/>
    </row>
    <row r="1136" spans="1:9" s="44" customFormat="1" hidden="1" outlineLevel="1">
      <c r="A1136" s="418" t="s">
        <v>599</v>
      </c>
      <c r="B1136" s="543">
        <v>1347460</v>
      </c>
      <c r="C1136" s="95">
        <f>SUMIFS('Anlage 1c_Korrekturen_NB'!$D$80:$D$314,'Anlage 1c_Korrekturen_NB'!$A$80:$A$314,'Anlage 3a_Zusammenfassung_KWKG'!$A1136)+SUMIFS('Anlage 1c_Korrekturen_NB'!$F$80:$F$314,'Anlage 1c_Korrekturen_NB'!$A$80:$A$314,'Anlage 3a_Zusammenfassung_KWKG'!$A1136)+SUMIFS('Anlage 1c_Korrekturen_NB'!$H$80:$H$314,'Anlage 1c_Korrekturen_NB'!$A$80:$A$314,'Anlage 3a_Zusammenfassung_KWKG'!$A1136)</f>
        <v>0</v>
      </c>
      <c r="D1136" s="144">
        <f t="shared" si="45"/>
        <v>1347460</v>
      </c>
      <c r="E1136" s="72" t="s">
        <v>600</v>
      </c>
      <c r="F1136" s="72"/>
      <c r="G1136" s="72"/>
      <c r="H1136" s="72"/>
      <c r="I1136" s="54"/>
    </row>
    <row r="1137" spans="1:9" s="44" customFormat="1" hidden="1" outlineLevel="1">
      <c r="A1137" s="418" t="s">
        <v>601</v>
      </c>
      <c r="B1137" s="543">
        <v>1290444</v>
      </c>
      <c r="C1137" s="95">
        <f>SUMIFS('Anlage 1c_Korrekturen_NB'!$D$80:$D$314,'Anlage 1c_Korrekturen_NB'!$A$80:$A$314,'Anlage 3a_Zusammenfassung_KWKG'!$A1137)+SUMIFS('Anlage 1c_Korrekturen_NB'!$F$80:$F$314,'Anlage 1c_Korrekturen_NB'!$A$80:$A$314,'Anlage 3a_Zusammenfassung_KWKG'!$A1137)+SUMIFS('Anlage 1c_Korrekturen_NB'!$H$80:$H$314,'Anlage 1c_Korrekturen_NB'!$A$80:$A$314,'Anlage 3a_Zusammenfassung_KWKG'!$A1137)</f>
        <v>0</v>
      </c>
      <c r="D1137" s="144">
        <f t="shared" si="45"/>
        <v>1290444</v>
      </c>
      <c r="E1137" s="72" t="s">
        <v>602</v>
      </c>
      <c r="F1137" s="72"/>
      <c r="G1137" s="72"/>
      <c r="H1137" s="72"/>
      <c r="I1137" s="54"/>
    </row>
    <row r="1138" spans="1:9" s="44" customFormat="1" hidden="1" outlineLevel="1">
      <c r="A1138" s="418" t="s">
        <v>603</v>
      </c>
      <c r="B1138" s="543">
        <v>340667</v>
      </c>
      <c r="C1138" s="95">
        <f>SUMIFS('Anlage 1c_Korrekturen_NB'!$D$80:$D$314,'Anlage 1c_Korrekturen_NB'!$A$80:$A$314,'Anlage 3a_Zusammenfassung_KWKG'!$A1138)+SUMIFS('Anlage 1c_Korrekturen_NB'!$F$80:$F$314,'Anlage 1c_Korrekturen_NB'!$A$80:$A$314,'Anlage 3a_Zusammenfassung_KWKG'!$A1138)+SUMIFS('Anlage 1c_Korrekturen_NB'!$H$80:$H$314,'Anlage 1c_Korrekturen_NB'!$A$80:$A$314,'Anlage 3a_Zusammenfassung_KWKG'!$A1138)</f>
        <v>0</v>
      </c>
      <c r="D1138" s="144">
        <f t="shared" si="45"/>
        <v>340667</v>
      </c>
      <c r="E1138" s="72" t="s">
        <v>604</v>
      </c>
      <c r="F1138" s="72"/>
      <c r="G1138" s="72"/>
      <c r="H1138" s="72"/>
      <c r="I1138" s="54"/>
    </row>
    <row r="1139" spans="1:9" s="44" customFormat="1" hidden="1" outlineLevel="1">
      <c r="A1139" s="418" t="s">
        <v>605</v>
      </c>
      <c r="B1139" s="543">
        <v>2926567</v>
      </c>
      <c r="C1139" s="95">
        <f>SUMIFS('Anlage 1c_Korrekturen_NB'!$D$80:$D$314,'Anlage 1c_Korrekturen_NB'!$A$80:$A$314,'Anlage 3a_Zusammenfassung_KWKG'!$A1139)+SUMIFS('Anlage 1c_Korrekturen_NB'!$F$80:$F$314,'Anlage 1c_Korrekturen_NB'!$A$80:$A$314,'Anlage 3a_Zusammenfassung_KWKG'!$A1139)+SUMIFS('Anlage 1c_Korrekturen_NB'!$H$80:$H$314,'Anlage 1c_Korrekturen_NB'!$A$80:$A$314,'Anlage 3a_Zusammenfassung_KWKG'!$A1139)</f>
        <v>0</v>
      </c>
      <c r="D1139" s="144">
        <f t="shared" si="45"/>
        <v>2926567</v>
      </c>
      <c r="E1139" s="72" t="s">
        <v>606</v>
      </c>
      <c r="F1139" s="72"/>
      <c r="G1139" s="72"/>
      <c r="H1139" s="72"/>
      <c r="I1139" s="54"/>
    </row>
    <row r="1140" spans="1:9" s="44" customFormat="1" hidden="1" outlineLevel="1">
      <c r="A1140" s="418" t="s">
        <v>607</v>
      </c>
      <c r="B1140" s="543">
        <v>3000</v>
      </c>
      <c r="C1140" s="95">
        <f>SUMIFS('Anlage 1c_Korrekturen_NB'!$D$80:$D$314,'Anlage 1c_Korrekturen_NB'!$A$80:$A$314,'Anlage 3a_Zusammenfassung_KWKG'!$A1140)+SUMIFS('Anlage 1c_Korrekturen_NB'!$F$80:$F$314,'Anlage 1c_Korrekturen_NB'!$A$80:$A$314,'Anlage 3a_Zusammenfassung_KWKG'!$A1140)+SUMIFS('Anlage 1c_Korrekturen_NB'!$H$80:$H$314,'Anlage 1c_Korrekturen_NB'!$A$80:$A$314,'Anlage 3a_Zusammenfassung_KWKG'!$A1140)</f>
        <v>0</v>
      </c>
      <c r="D1140" s="144">
        <f t="shared" si="45"/>
        <v>3000</v>
      </c>
      <c r="E1140" s="72" t="s">
        <v>608</v>
      </c>
      <c r="F1140" s="72"/>
      <c r="G1140" s="72"/>
      <c r="H1140" s="72"/>
      <c r="I1140" s="54"/>
    </row>
    <row r="1141" spans="1:9" s="44" customFormat="1" hidden="1" outlineLevel="1">
      <c r="A1141" s="418" t="s">
        <v>609</v>
      </c>
      <c r="B1141" s="543">
        <v>2676163</v>
      </c>
      <c r="C1141" s="95">
        <f>SUMIFS('Anlage 1c_Korrekturen_NB'!$D$80:$D$314,'Anlage 1c_Korrekturen_NB'!$A$80:$A$314,'Anlage 3a_Zusammenfassung_KWKG'!$A1141)+SUMIFS('Anlage 1c_Korrekturen_NB'!$F$80:$F$314,'Anlage 1c_Korrekturen_NB'!$A$80:$A$314,'Anlage 3a_Zusammenfassung_KWKG'!$A1141)+SUMIFS('Anlage 1c_Korrekturen_NB'!$H$80:$H$314,'Anlage 1c_Korrekturen_NB'!$A$80:$A$314,'Anlage 3a_Zusammenfassung_KWKG'!$A1141)</f>
        <v>356214</v>
      </c>
      <c r="D1141" s="144">
        <f t="shared" ref="D1141:D1204" si="46">B1141+C1141</f>
        <v>3032377</v>
      </c>
      <c r="E1141" s="72" t="s">
        <v>610</v>
      </c>
      <c r="F1141" s="72"/>
      <c r="G1141" s="72"/>
      <c r="H1141" s="72"/>
      <c r="I1141" s="54"/>
    </row>
    <row r="1142" spans="1:9" s="44" customFormat="1" hidden="1" outlineLevel="1">
      <c r="A1142" s="418" t="s">
        <v>611</v>
      </c>
      <c r="B1142" s="543">
        <v>1963746</v>
      </c>
      <c r="C1142" s="95">
        <f>SUMIFS('Anlage 1c_Korrekturen_NB'!$D$80:$D$314,'Anlage 1c_Korrekturen_NB'!$A$80:$A$314,'Anlage 3a_Zusammenfassung_KWKG'!$A1142)+SUMIFS('Anlage 1c_Korrekturen_NB'!$F$80:$F$314,'Anlage 1c_Korrekturen_NB'!$A$80:$A$314,'Anlage 3a_Zusammenfassung_KWKG'!$A1142)+SUMIFS('Anlage 1c_Korrekturen_NB'!$H$80:$H$314,'Anlage 1c_Korrekturen_NB'!$A$80:$A$314,'Anlage 3a_Zusammenfassung_KWKG'!$A1142)</f>
        <v>-237364</v>
      </c>
      <c r="D1142" s="144">
        <f t="shared" si="46"/>
        <v>1726382</v>
      </c>
      <c r="E1142" s="72" t="s">
        <v>612</v>
      </c>
      <c r="F1142" s="72"/>
      <c r="G1142" s="72"/>
      <c r="H1142" s="72"/>
      <c r="I1142" s="54"/>
    </row>
    <row r="1143" spans="1:9" s="44" customFormat="1" hidden="1" outlineLevel="1">
      <c r="A1143" s="418" t="s">
        <v>613</v>
      </c>
      <c r="B1143" s="543">
        <v>0</v>
      </c>
      <c r="C1143" s="95">
        <f>SUMIFS('Anlage 1c_Korrekturen_NB'!$D$80:$D$314,'Anlage 1c_Korrekturen_NB'!$A$80:$A$314,'Anlage 3a_Zusammenfassung_KWKG'!$A1143)+SUMIFS('Anlage 1c_Korrekturen_NB'!$F$80:$F$314,'Anlage 1c_Korrekturen_NB'!$A$80:$A$314,'Anlage 3a_Zusammenfassung_KWKG'!$A1143)+SUMIFS('Anlage 1c_Korrekturen_NB'!$H$80:$H$314,'Anlage 1c_Korrekturen_NB'!$A$80:$A$314,'Anlage 3a_Zusammenfassung_KWKG'!$A1143)</f>
        <v>0</v>
      </c>
      <c r="D1143" s="144">
        <f t="shared" si="46"/>
        <v>0</v>
      </c>
      <c r="E1143" s="72" t="s">
        <v>614</v>
      </c>
      <c r="F1143" s="72"/>
      <c r="G1143" s="72"/>
      <c r="H1143" s="72"/>
      <c r="I1143" s="54"/>
    </row>
    <row r="1144" spans="1:9" s="44" customFormat="1" hidden="1" outlineLevel="1">
      <c r="A1144" s="418" t="s">
        <v>615</v>
      </c>
      <c r="B1144" s="543">
        <v>0</v>
      </c>
      <c r="C1144" s="95">
        <f>SUMIFS('Anlage 1c_Korrekturen_NB'!$D$80:$D$314,'Anlage 1c_Korrekturen_NB'!$A$80:$A$314,'Anlage 3a_Zusammenfassung_KWKG'!$A1144)+SUMIFS('Anlage 1c_Korrekturen_NB'!$F$80:$F$314,'Anlage 1c_Korrekturen_NB'!$A$80:$A$314,'Anlage 3a_Zusammenfassung_KWKG'!$A1144)+SUMIFS('Anlage 1c_Korrekturen_NB'!$H$80:$H$314,'Anlage 1c_Korrekturen_NB'!$A$80:$A$314,'Anlage 3a_Zusammenfassung_KWKG'!$A1144)</f>
        <v>0</v>
      </c>
      <c r="D1144" s="144">
        <f t="shared" si="46"/>
        <v>0</v>
      </c>
      <c r="E1144" s="72" t="s">
        <v>616</v>
      </c>
      <c r="F1144" s="72"/>
      <c r="G1144" s="72"/>
      <c r="H1144" s="72"/>
      <c r="I1144" s="54"/>
    </row>
    <row r="1145" spans="1:9" s="44" customFormat="1" hidden="1" outlineLevel="1">
      <c r="A1145" s="418" t="s">
        <v>617</v>
      </c>
      <c r="B1145" s="543">
        <v>928233</v>
      </c>
      <c r="C1145" s="95">
        <f>SUMIFS('Anlage 1c_Korrekturen_NB'!$D$80:$D$314,'Anlage 1c_Korrekturen_NB'!$A$80:$A$314,'Anlage 3a_Zusammenfassung_KWKG'!$A1145)+SUMIFS('Anlage 1c_Korrekturen_NB'!$F$80:$F$314,'Anlage 1c_Korrekturen_NB'!$A$80:$A$314,'Anlage 3a_Zusammenfassung_KWKG'!$A1145)+SUMIFS('Anlage 1c_Korrekturen_NB'!$H$80:$H$314,'Anlage 1c_Korrekturen_NB'!$A$80:$A$314,'Anlage 3a_Zusammenfassung_KWKG'!$A1145)</f>
        <v>4318</v>
      </c>
      <c r="D1145" s="144">
        <f t="shared" si="46"/>
        <v>932551</v>
      </c>
      <c r="E1145" s="72" t="s">
        <v>618</v>
      </c>
      <c r="F1145" s="72"/>
      <c r="G1145" s="72"/>
      <c r="H1145" s="72"/>
      <c r="I1145" s="54"/>
    </row>
    <row r="1146" spans="1:9" s="44" customFormat="1" hidden="1" outlineLevel="1">
      <c r="A1146" s="418" t="s">
        <v>619</v>
      </c>
      <c r="B1146" s="543">
        <v>3676548</v>
      </c>
      <c r="C1146" s="95">
        <f>SUMIFS('Anlage 1c_Korrekturen_NB'!$D$80:$D$314,'Anlage 1c_Korrekturen_NB'!$A$80:$A$314,'Anlage 3a_Zusammenfassung_KWKG'!$A1146)+SUMIFS('Anlage 1c_Korrekturen_NB'!$F$80:$F$314,'Anlage 1c_Korrekturen_NB'!$A$80:$A$314,'Anlage 3a_Zusammenfassung_KWKG'!$A1146)+SUMIFS('Anlage 1c_Korrekturen_NB'!$H$80:$H$314,'Anlage 1c_Korrekturen_NB'!$A$80:$A$314,'Anlage 3a_Zusammenfassung_KWKG'!$A1146)</f>
        <v>0</v>
      </c>
      <c r="D1146" s="144">
        <f t="shared" si="46"/>
        <v>3676548</v>
      </c>
      <c r="E1146" s="72" t="s">
        <v>620</v>
      </c>
      <c r="F1146" s="72"/>
      <c r="G1146" s="72"/>
      <c r="H1146" s="72"/>
      <c r="I1146" s="54"/>
    </row>
    <row r="1147" spans="1:9" s="44" customFormat="1" hidden="1" outlineLevel="1">
      <c r="A1147" s="418" t="s">
        <v>621</v>
      </c>
      <c r="B1147" s="543">
        <v>5867798</v>
      </c>
      <c r="C1147" s="95">
        <f>SUMIFS('Anlage 1c_Korrekturen_NB'!$D$80:$D$314,'Anlage 1c_Korrekturen_NB'!$A$80:$A$314,'Anlage 3a_Zusammenfassung_KWKG'!$A1147)+SUMIFS('Anlage 1c_Korrekturen_NB'!$F$80:$F$314,'Anlage 1c_Korrekturen_NB'!$A$80:$A$314,'Anlage 3a_Zusammenfassung_KWKG'!$A1147)+SUMIFS('Anlage 1c_Korrekturen_NB'!$H$80:$H$314,'Anlage 1c_Korrekturen_NB'!$A$80:$A$314,'Anlage 3a_Zusammenfassung_KWKG'!$A1147)</f>
        <v>3213881</v>
      </c>
      <c r="D1147" s="144">
        <f t="shared" si="46"/>
        <v>9081679</v>
      </c>
      <c r="E1147" s="72" t="s">
        <v>622</v>
      </c>
      <c r="F1147" s="72"/>
      <c r="G1147" s="72"/>
      <c r="H1147" s="72"/>
      <c r="I1147" s="54"/>
    </row>
    <row r="1148" spans="1:9" s="44" customFormat="1" hidden="1" outlineLevel="1">
      <c r="A1148" s="418" t="s">
        <v>623</v>
      </c>
      <c r="B1148" s="543">
        <v>79380</v>
      </c>
      <c r="C1148" s="95">
        <f>SUMIFS('Anlage 1c_Korrekturen_NB'!$D$80:$D$314,'Anlage 1c_Korrekturen_NB'!$A$80:$A$314,'Anlage 3a_Zusammenfassung_KWKG'!$A1148)+SUMIFS('Anlage 1c_Korrekturen_NB'!$F$80:$F$314,'Anlage 1c_Korrekturen_NB'!$A$80:$A$314,'Anlage 3a_Zusammenfassung_KWKG'!$A1148)+SUMIFS('Anlage 1c_Korrekturen_NB'!$H$80:$H$314,'Anlage 1c_Korrekturen_NB'!$A$80:$A$314,'Anlage 3a_Zusammenfassung_KWKG'!$A1148)</f>
        <v>0</v>
      </c>
      <c r="D1148" s="144">
        <f t="shared" si="46"/>
        <v>79380</v>
      </c>
      <c r="E1148" s="72" t="s">
        <v>624</v>
      </c>
      <c r="F1148" s="72"/>
      <c r="G1148" s="72"/>
      <c r="H1148" s="72"/>
      <c r="I1148" s="54"/>
    </row>
    <row r="1149" spans="1:9" s="44" customFormat="1" hidden="1" outlineLevel="1">
      <c r="A1149" s="418" t="s">
        <v>625</v>
      </c>
      <c r="B1149" s="543">
        <v>346204</v>
      </c>
      <c r="C1149" s="95">
        <f>SUMIFS('Anlage 1c_Korrekturen_NB'!$D$80:$D$314,'Anlage 1c_Korrekturen_NB'!$A$80:$A$314,'Anlage 3a_Zusammenfassung_KWKG'!$A1149)+SUMIFS('Anlage 1c_Korrekturen_NB'!$F$80:$F$314,'Anlage 1c_Korrekturen_NB'!$A$80:$A$314,'Anlage 3a_Zusammenfassung_KWKG'!$A1149)+SUMIFS('Anlage 1c_Korrekturen_NB'!$H$80:$H$314,'Anlage 1c_Korrekturen_NB'!$A$80:$A$314,'Anlage 3a_Zusammenfassung_KWKG'!$A1149)</f>
        <v>0</v>
      </c>
      <c r="D1149" s="144">
        <f t="shared" si="46"/>
        <v>346204</v>
      </c>
      <c r="E1149" s="72" t="s">
        <v>626</v>
      </c>
      <c r="F1149" s="72"/>
      <c r="G1149" s="72"/>
      <c r="H1149" s="72"/>
      <c r="I1149" s="54"/>
    </row>
    <row r="1150" spans="1:9" s="44" customFormat="1" hidden="1" outlineLevel="1">
      <c r="A1150" s="418" t="s">
        <v>627</v>
      </c>
      <c r="B1150" s="543">
        <v>13483031</v>
      </c>
      <c r="C1150" s="95">
        <f>SUMIFS('Anlage 1c_Korrekturen_NB'!$D$80:$D$314,'Anlage 1c_Korrekturen_NB'!$A$80:$A$314,'Anlage 3a_Zusammenfassung_KWKG'!$A1150)+SUMIFS('Anlage 1c_Korrekturen_NB'!$F$80:$F$314,'Anlage 1c_Korrekturen_NB'!$A$80:$A$314,'Anlage 3a_Zusammenfassung_KWKG'!$A1150)+SUMIFS('Anlage 1c_Korrekturen_NB'!$H$80:$H$314,'Anlage 1c_Korrekturen_NB'!$A$80:$A$314,'Anlage 3a_Zusammenfassung_KWKG'!$A1150)</f>
        <v>234524</v>
      </c>
      <c r="D1150" s="144">
        <f t="shared" si="46"/>
        <v>13717555</v>
      </c>
      <c r="E1150" s="72" t="s">
        <v>628</v>
      </c>
      <c r="F1150" s="72"/>
      <c r="G1150" s="72"/>
      <c r="H1150" s="72"/>
      <c r="I1150" s="54"/>
    </row>
    <row r="1151" spans="1:9" s="44" customFormat="1" hidden="1" outlineLevel="1">
      <c r="A1151" s="418" t="s">
        <v>629</v>
      </c>
      <c r="B1151" s="543">
        <v>72271</v>
      </c>
      <c r="C1151" s="95">
        <f>SUMIFS('Anlage 1c_Korrekturen_NB'!$D$80:$D$314,'Anlage 1c_Korrekturen_NB'!$A$80:$A$314,'Anlage 3a_Zusammenfassung_KWKG'!$A1151)+SUMIFS('Anlage 1c_Korrekturen_NB'!$F$80:$F$314,'Anlage 1c_Korrekturen_NB'!$A$80:$A$314,'Anlage 3a_Zusammenfassung_KWKG'!$A1151)+SUMIFS('Anlage 1c_Korrekturen_NB'!$H$80:$H$314,'Anlage 1c_Korrekturen_NB'!$A$80:$A$314,'Anlage 3a_Zusammenfassung_KWKG'!$A1151)</f>
        <v>294254</v>
      </c>
      <c r="D1151" s="144">
        <f t="shared" si="46"/>
        <v>366525</v>
      </c>
      <c r="E1151" s="72" t="s">
        <v>630</v>
      </c>
      <c r="F1151" s="72"/>
      <c r="G1151" s="72"/>
      <c r="H1151" s="72"/>
      <c r="I1151" s="54"/>
    </row>
    <row r="1152" spans="1:9" s="44" customFormat="1" hidden="1" outlineLevel="1">
      <c r="A1152" s="418" t="s">
        <v>631</v>
      </c>
      <c r="B1152" s="543">
        <v>1793756</v>
      </c>
      <c r="C1152" s="95">
        <f>SUMIFS('Anlage 1c_Korrekturen_NB'!$D$80:$D$314,'Anlage 1c_Korrekturen_NB'!$A$80:$A$314,'Anlage 3a_Zusammenfassung_KWKG'!$A1152)+SUMIFS('Anlage 1c_Korrekturen_NB'!$F$80:$F$314,'Anlage 1c_Korrekturen_NB'!$A$80:$A$314,'Anlage 3a_Zusammenfassung_KWKG'!$A1152)+SUMIFS('Anlage 1c_Korrekturen_NB'!$H$80:$H$314,'Anlage 1c_Korrekturen_NB'!$A$80:$A$314,'Anlage 3a_Zusammenfassung_KWKG'!$A1152)</f>
        <v>0</v>
      </c>
      <c r="D1152" s="144">
        <f t="shared" si="46"/>
        <v>1793756</v>
      </c>
      <c r="E1152" s="72" t="s">
        <v>632</v>
      </c>
      <c r="F1152" s="72"/>
      <c r="G1152" s="72"/>
      <c r="H1152" s="72"/>
      <c r="I1152" s="54"/>
    </row>
    <row r="1153" spans="1:9" s="44" customFormat="1" hidden="1" outlineLevel="1">
      <c r="A1153" s="418" t="s">
        <v>633</v>
      </c>
      <c r="B1153" s="543">
        <v>566771</v>
      </c>
      <c r="C1153" s="95">
        <f>SUMIFS('Anlage 1c_Korrekturen_NB'!$D$80:$D$314,'Anlage 1c_Korrekturen_NB'!$A$80:$A$314,'Anlage 3a_Zusammenfassung_KWKG'!$A1153)+SUMIFS('Anlage 1c_Korrekturen_NB'!$F$80:$F$314,'Anlage 1c_Korrekturen_NB'!$A$80:$A$314,'Anlage 3a_Zusammenfassung_KWKG'!$A1153)+SUMIFS('Anlage 1c_Korrekturen_NB'!$H$80:$H$314,'Anlage 1c_Korrekturen_NB'!$A$80:$A$314,'Anlage 3a_Zusammenfassung_KWKG'!$A1153)</f>
        <v>0</v>
      </c>
      <c r="D1153" s="144">
        <f t="shared" si="46"/>
        <v>566771</v>
      </c>
      <c r="E1153" s="72" t="s">
        <v>634</v>
      </c>
      <c r="F1153" s="72"/>
      <c r="G1153" s="72"/>
      <c r="H1153" s="72"/>
      <c r="I1153" s="54"/>
    </row>
    <row r="1154" spans="1:9" s="44" customFormat="1" hidden="1" outlineLevel="1">
      <c r="A1154" s="418" t="s">
        <v>635</v>
      </c>
      <c r="B1154" s="543">
        <v>440663</v>
      </c>
      <c r="C1154" s="95">
        <f>SUMIFS('Anlage 1c_Korrekturen_NB'!$D$80:$D$314,'Anlage 1c_Korrekturen_NB'!$A$80:$A$314,'Anlage 3a_Zusammenfassung_KWKG'!$A1154)+SUMIFS('Anlage 1c_Korrekturen_NB'!$F$80:$F$314,'Anlage 1c_Korrekturen_NB'!$A$80:$A$314,'Anlage 3a_Zusammenfassung_KWKG'!$A1154)+SUMIFS('Anlage 1c_Korrekturen_NB'!$H$80:$H$314,'Anlage 1c_Korrekturen_NB'!$A$80:$A$314,'Anlage 3a_Zusammenfassung_KWKG'!$A1154)</f>
        <v>0</v>
      </c>
      <c r="D1154" s="144">
        <f t="shared" si="46"/>
        <v>440663</v>
      </c>
      <c r="E1154" s="72" t="s">
        <v>636</v>
      </c>
      <c r="F1154" s="72"/>
      <c r="G1154" s="72"/>
      <c r="H1154" s="72"/>
      <c r="I1154" s="54"/>
    </row>
    <row r="1155" spans="1:9" s="44" customFormat="1" hidden="1" outlineLevel="1">
      <c r="A1155" s="418" t="s">
        <v>637</v>
      </c>
      <c r="B1155" s="543">
        <v>831832171</v>
      </c>
      <c r="C1155" s="95">
        <f>SUMIFS('Anlage 1c_Korrekturen_NB'!$D$80:$D$314,'Anlage 1c_Korrekturen_NB'!$A$80:$A$314,'Anlage 3a_Zusammenfassung_KWKG'!$A1155)+SUMIFS('Anlage 1c_Korrekturen_NB'!$F$80:$F$314,'Anlage 1c_Korrekturen_NB'!$A$80:$A$314,'Anlage 3a_Zusammenfassung_KWKG'!$A1155)+SUMIFS('Anlage 1c_Korrekturen_NB'!$H$80:$H$314,'Anlage 1c_Korrekturen_NB'!$A$80:$A$314,'Anlage 3a_Zusammenfassung_KWKG'!$A1155)</f>
        <v>0</v>
      </c>
      <c r="D1155" s="144">
        <f t="shared" si="46"/>
        <v>831832171</v>
      </c>
      <c r="E1155" s="72" t="s">
        <v>638</v>
      </c>
      <c r="F1155" s="72"/>
      <c r="G1155" s="72"/>
      <c r="H1155" s="72"/>
      <c r="I1155" s="54"/>
    </row>
    <row r="1156" spans="1:9" s="44" customFormat="1" hidden="1" outlineLevel="1">
      <c r="A1156" s="418" t="s">
        <v>639</v>
      </c>
      <c r="B1156" s="543">
        <v>23220688</v>
      </c>
      <c r="C1156" s="95">
        <f>SUMIFS('Anlage 1c_Korrekturen_NB'!$D$80:$D$314,'Anlage 1c_Korrekturen_NB'!$A$80:$A$314,'Anlage 3a_Zusammenfassung_KWKG'!$A1156)+SUMIFS('Anlage 1c_Korrekturen_NB'!$F$80:$F$314,'Anlage 1c_Korrekturen_NB'!$A$80:$A$314,'Anlage 3a_Zusammenfassung_KWKG'!$A1156)+SUMIFS('Anlage 1c_Korrekturen_NB'!$H$80:$H$314,'Anlage 1c_Korrekturen_NB'!$A$80:$A$314,'Anlage 3a_Zusammenfassung_KWKG'!$A1156)</f>
        <v>4040645</v>
      </c>
      <c r="D1156" s="144">
        <f t="shared" si="46"/>
        <v>27261333</v>
      </c>
      <c r="E1156" s="72" t="s">
        <v>640</v>
      </c>
      <c r="F1156" s="72"/>
      <c r="G1156" s="72"/>
      <c r="H1156" s="72"/>
      <c r="I1156" s="54"/>
    </row>
    <row r="1157" spans="1:9" s="44" customFormat="1" hidden="1" outlineLevel="1">
      <c r="A1157" s="418" t="s">
        <v>641</v>
      </c>
      <c r="B1157" s="543">
        <v>113749</v>
      </c>
      <c r="C1157" s="95">
        <f>SUMIFS('Anlage 1c_Korrekturen_NB'!$D$80:$D$314,'Anlage 1c_Korrekturen_NB'!$A$80:$A$314,'Anlage 3a_Zusammenfassung_KWKG'!$A1157)+SUMIFS('Anlage 1c_Korrekturen_NB'!$F$80:$F$314,'Anlage 1c_Korrekturen_NB'!$A$80:$A$314,'Anlage 3a_Zusammenfassung_KWKG'!$A1157)+SUMIFS('Anlage 1c_Korrekturen_NB'!$H$80:$H$314,'Anlage 1c_Korrekturen_NB'!$A$80:$A$314,'Anlage 3a_Zusammenfassung_KWKG'!$A1157)</f>
        <v>-3341</v>
      </c>
      <c r="D1157" s="144">
        <f t="shared" si="46"/>
        <v>110408</v>
      </c>
      <c r="E1157" s="72" t="s">
        <v>642</v>
      </c>
      <c r="F1157" s="72"/>
      <c r="G1157" s="72"/>
      <c r="H1157" s="72"/>
      <c r="I1157" s="54"/>
    </row>
    <row r="1158" spans="1:9" s="44" customFormat="1" hidden="1" outlineLevel="1">
      <c r="A1158" s="418" t="s">
        <v>643</v>
      </c>
      <c r="B1158" s="543">
        <v>296874</v>
      </c>
      <c r="C1158" s="95">
        <f>SUMIFS('Anlage 1c_Korrekturen_NB'!$D$80:$D$314,'Anlage 1c_Korrekturen_NB'!$A$80:$A$314,'Anlage 3a_Zusammenfassung_KWKG'!$A1158)+SUMIFS('Anlage 1c_Korrekturen_NB'!$F$80:$F$314,'Anlage 1c_Korrekturen_NB'!$A$80:$A$314,'Anlage 3a_Zusammenfassung_KWKG'!$A1158)+SUMIFS('Anlage 1c_Korrekturen_NB'!$H$80:$H$314,'Anlage 1c_Korrekturen_NB'!$A$80:$A$314,'Anlage 3a_Zusammenfassung_KWKG'!$A1158)</f>
        <v>0</v>
      </c>
      <c r="D1158" s="144">
        <f t="shared" si="46"/>
        <v>296874</v>
      </c>
      <c r="E1158" s="72" t="s">
        <v>644</v>
      </c>
      <c r="F1158" s="72"/>
      <c r="G1158" s="72"/>
      <c r="H1158" s="72"/>
      <c r="I1158" s="54"/>
    </row>
    <row r="1159" spans="1:9" s="44" customFormat="1" hidden="1" outlineLevel="1">
      <c r="A1159" s="418" t="s">
        <v>645</v>
      </c>
      <c r="B1159" s="543">
        <v>3939540</v>
      </c>
      <c r="C1159" s="95">
        <f>SUMIFS('Anlage 1c_Korrekturen_NB'!$D$80:$D$314,'Anlage 1c_Korrekturen_NB'!$A$80:$A$314,'Anlage 3a_Zusammenfassung_KWKG'!$A1159)+SUMIFS('Anlage 1c_Korrekturen_NB'!$F$80:$F$314,'Anlage 1c_Korrekturen_NB'!$A$80:$A$314,'Anlage 3a_Zusammenfassung_KWKG'!$A1159)+SUMIFS('Anlage 1c_Korrekturen_NB'!$H$80:$H$314,'Anlage 1c_Korrekturen_NB'!$A$80:$A$314,'Anlage 3a_Zusammenfassung_KWKG'!$A1159)</f>
        <v>0</v>
      </c>
      <c r="D1159" s="144">
        <f t="shared" si="46"/>
        <v>3939540</v>
      </c>
      <c r="E1159" s="72" t="s">
        <v>646</v>
      </c>
      <c r="F1159" s="72"/>
      <c r="G1159" s="72"/>
      <c r="H1159" s="72"/>
      <c r="I1159" s="54"/>
    </row>
    <row r="1160" spans="1:9" s="44" customFormat="1" hidden="1" outlineLevel="1">
      <c r="A1160" s="418" t="s">
        <v>647</v>
      </c>
      <c r="B1160" s="543">
        <v>0</v>
      </c>
      <c r="C1160" s="95">
        <f>SUMIFS('Anlage 1c_Korrekturen_NB'!$D$80:$D$314,'Anlage 1c_Korrekturen_NB'!$A$80:$A$314,'Anlage 3a_Zusammenfassung_KWKG'!$A1160)+SUMIFS('Anlage 1c_Korrekturen_NB'!$F$80:$F$314,'Anlage 1c_Korrekturen_NB'!$A$80:$A$314,'Anlage 3a_Zusammenfassung_KWKG'!$A1160)+SUMIFS('Anlage 1c_Korrekturen_NB'!$H$80:$H$314,'Anlage 1c_Korrekturen_NB'!$A$80:$A$314,'Anlage 3a_Zusammenfassung_KWKG'!$A1160)</f>
        <v>0</v>
      </c>
      <c r="D1160" s="144">
        <f t="shared" si="46"/>
        <v>0</v>
      </c>
      <c r="E1160" s="72" t="s">
        <v>648</v>
      </c>
      <c r="F1160" s="72"/>
      <c r="G1160" s="72"/>
      <c r="H1160" s="72"/>
      <c r="I1160" s="54"/>
    </row>
    <row r="1161" spans="1:9" s="44" customFormat="1" hidden="1" outlineLevel="1">
      <c r="A1161" s="418" t="s">
        <v>649</v>
      </c>
      <c r="B1161" s="543">
        <v>1649343</v>
      </c>
      <c r="C1161" s="95">
        <f>SUMIFS('Anlage 1c_Korrekturen_NB'!$D$80:$D$314,'Anlage 1c_Korrekturen_NB'!$A$80:$A$314,'Anlage 3a_Zusammenfassung_KWKG'!$A1161)+SUMIFS('Anlage 1c_Korrekturen_NB'!$F$80:$F$314,'Anlage 1c_Korrekturen_NB'!$A$80:$A$314,'Anlage 3a_Zusammenfassung_KWKG'!$A1161)+SUMIFS('Anlage 1c_Korrekturen_NB'!$H$80:$H$314,'Anlage 1c_Korrekturen_NB'!$A$80:$A$314,'Anlage 3a_Zusammenfassung_KWKG'!$A1161)</f>
        <v>0</v>
      </c>
      <c r="D1161" s="144">
        <f t="shared" si="46"/>
        <v>1649343</v>
      </c>
      <c r="E1161" s="72" t="s">
        <v>650</v>
      </c>
      <c r="F1161" s="72"/>
      <c r="G1161" s="72"/>
      <c r="H1161" s="72"/>
      <c r="I1161" s="54"/>
    </row>
    <row r="1162" spans="1:9" s="44" customFormat="1" hidden="1" outlineLevel="1">
      <c r="A1162" s="418" t="s">
        <v>651</v>
      </c>
      <c r="B1162" s="543">
        <v>104224157</v>
      </c>
      <c r="C1162" s="95">
        <f>SUMIFS('Anlage 1c_Korrekturen_NB'!$D$80:$D$314,'Anlage 1c_Korrekturen_NB'!$A$80:$A$314,'Anlage 3a_Zusammenfassung_KWKG'!$A1162)+SUMIFS('Anlage 1c_Korrekturen_NB'!$F$80:$F$314,'Anlage 1c_Korrekturen_NB'!$A$80:$A$314,'Anlage 3a_Zusammenfassung_KWKG'!$A1162)+SUMIFS('Anlage 1c_Korrekturen_NB'!$H$80:$H$314,'Anlage 1c_Korrekturen_NB'!$A$80:$A$314,'Anlage 3a_Zusammenfassung_KWKG'!$A1162)</f>
        <v>2142320</v>
      </c>
      <c r="D1162" s="144">
        <f t="shared" si="46"/>
        <v>106366477</v>
      </c>
      <c r="E1162" s="72" t="s">
        <v>652</v>
      </c>
      <c r="F1162" s="72"/>
      <c r="G1162" s="72"/>
      <c r="H1162" s="72"/>
      <c r="I1162" s="54"/>
    </row>
    <row r="1163" spans="1:9" s="44" customFormat="1" hidden="1" outlineLevel="1">
      <c r="A1163" s="418" t="s">
        <v>653</v>
      </c>
      <c r="B1163" s="543">
        <v>12466</v>
      </c>
      <c r="C1163" s="95">
        <f>SUMIFS('Anlage 1c_Korrekturen_NB'!$D$80:$D$314,'Anlage 1c_Korrekturen_NB'!$A$80:$A$314,'Anlage 3a_Zusammenfassung_KWKG'!$A1163)+SUMIFS('Anlage 1c_Korrekturen_NB'!$F$80:$F$314,'Anlage 1c_Korrekturen_NB'!$A$80:$A$314,'Anlage 3a_Zusammenfassung_KWKG'!$A1163)+SUMIFS('Anlage 1c_Korrekturen_NB'!$H$80:$H$314,'Anlage 1c_Korrekturen_NB'!$A$80:$A$314,'Anlage 3a_Zusammenfassung_KWKG'!$A1163)</f>
        <v>0</v>
      </c>
      <c r="D1163" s="144">
        <f t="shared" si="46"/>
        <v>12466</v>
      </c>
      <c r="E1163" s="72" t="s">
        <v>654</v>
      </c>
      <c r="F1163" s="72"/>
      <c r="G1163" s="72"/>
      <c r="H1163" s="72"/>
      <c r="I1163" s="54"/>
    </row>
    <row r="1164" spans="1:9" s="44" customFormat="1" hidden="1" outlineLevel="1">
      <c r="A1164" s="418" t="s">
        <v>655</v>
      </c>
      <c r="B1164" s="543">
        <v>0</v>
      </c>
      <c r="C1164" s="95">
        <f>SUMIFS('Anlage 1c_Korrekturen_NB'!$D$80:$D$314,'Anlage 1c_Korrekturen_NB'!$A$80:$A$314,'Anlage 3a_Zusammenfassung_KWKG'!$A1164)+SUMIFS('Anlage 1c_Korrekturen_NB'!$F$80:$F$314,'Anlage 1c_Korrekturen_NB'!$A$80:$A$314,'Anlage 3a_Zusammenfassung_KWKG'!$A1164)+SUMIFS('Anlage 1c_Korrekturen_NB'!$H$80:$H$314,'Anlage 1c_Korrekturen_NB'!$A$80:$A$314,'Anlage 3a_Zusammenfassung_KWKG'!$A1164)</f>
        <v>0</v>
      </c>
      <c r="D1164" s="144">
        <f t="shared" si="46"/>
        <v>0</v>
      </c>
      <c r="E1164" s="72" t="s">
        <v>578</v>
      </c>
      <c r="F1164" s="72"/>
      <c r="G1164" s="72"/>
      <c r="H1164" s="72"/>
      <c r="I1164" s="54"/>
    </row>
    <row r="1165" spans="1:9" s="44" customFormat="1" hidden="1" outlineLevel="1">
      <c r="A1165" s="418" t="s">
        <v>656</v>
      </c>
      <c r="B1165" s="543">
        <v>1554897</v>
      </c>
      <c r="C1165" s="95">
        <f>SUMIFS('Anlage 1c_Korrekturen_NB'!$D$80:$D$314,'Anlage 1c_Korrekturen_NB'!$A$80:$A$314,'Anlage 3a_Zusammenfassung_KWKG'!$A1165)+SUMIFS('Anlage 1c_Korrekturen_NB'!$F$80:$F$314,'Anlage 1c_Korrekturen_NB'!$A$80:$A$314,'Anlage 3a_Zusammenfassung_KWKG'!$A1165)+SUMIFS('Anlage 1c_Korrekturen_NB'!$H$80:$H$314,'Anlage 1c_Korrekturen_NB'!$A$80:$A$314,'Anlage 3a_Zusammenfassung_KWKG'!$A1165)</f>
        <v>0</v>
      </c>
      <c r="D1165" s="144">
        <f t="shared" si="46"/>
        <v>1554897</v>
      </c>
      <c r="E1165" s="72" t="s">
        <v>657</v>
      </c>
      <c r="F1165" s="72"/>
      <c r="G1165" s="72"/>
      <c r="H1165" s="72"/>
      <c r="I1165" s="54"/>
    </row>
    <row r="1166" spans="1:9" s="44" customFormat="1" hidden="1" outlineLevel="1">
      <c r="A1166" s="418" t="s">
        <v>658</v>
      </c>
      <c r="B1166" s="543">
        <v>204067949</v>
      </c>
      <c r="C1166" s="95">
        <f>SUMIFS('Anlage 1c_Korrekturen_NB'!$D$80:$D$314,'Anlage 1c_Korrekturen_NB'!$A$80:$A$314,'Anlage 3a_Zusammenfassung_KWKG'!$A1166)+SUMIFS('Anlage 1c_Korrekturen_NB'!$F$80:$F$314,'Anlage 1c_Korrekturen_NB'!$A$80:$A$314,'Anlage 3a_Zusammenfassung_KWKG'!$A1166)+SUMIFS('Anlage 1c_Korrekturen_NB'!$H$80:$H$314,'Anlage 1c_Korrekturen_NB'!$A$80:$A$314,'Anlage 3a_Zusammenfassung_KWKG'!$A1166)</f>
        <v>6207454</v>
      </c>
      <c r="D1166" s="144">
        <f t="shared" si="46"/>
        <v>210275403</v>
      </c>
      <c r="E1166" s="72" t="s">
        <v>659</v>
      </c>
      <c r="F1166" s="72"/>
      <c r="G1166" s="72"/>
      <c r="H1166" s="72"/>
      <c r="I1166" s="54"/>
    </row>
    <row r="1167" spans="1:9" s="44" customFormat="1" hidden="1" outlineLevel="1">
      <c r="A1167" s="418" t="s">
        <v>660</v>
      </c>
      <c r="B1167" s="543">
        <v>1152701</v>
      </c>
      <c r="C1167" s="95">
        <f>SUMIFS('Anlage 1c_Korrekturen_NB'!$D$80:$D$314,'Anlage 1c_Korrekturen_NB'!$A$80:$A$314,'Anlage 3a_Zusammenfassung_KWKG'!$A1167)+SUMIFS('Anlage 1c_Korrekturen_NB'!$F$80:$F$314,'Anlage 1c_Korrekturen_NB'!$A$80:$A$314,'Anlage 3a_Zusammenfassung_KWKG'!$A1167)+SUMIFS('Anlage 1c_Korrekturen_NB'!$H$80:$H$314,'Anlage 1c_Korrekturen_NB'!$A$80:$A$314,'Anlage 3a_Zusammenfassung_KWKG'!$A1167)</f>
        <v>177129</v>
      </c>
      <c r="D1167" s="144">
        <f t="shared" si="46"/>
        <v>1329830</v>
      </c>
      <c r="E1167" s="72" t="s">
        <v>661</v>
      </c>
      <c r="F1167" s="72"/>
      <c r="G1167" s="72"/>
      <c r="H1167" s="72"/>
      <c r="I1167" s="54"/>
    </row>
    <row r="1168" spans="1:9" s="44" customFormat="1" hidden="1" outlineLevel="1">
      <c r="A1168" s="418" t="s">
        <v>662</v>
      </c>
      <c r="B1168" s="543">
        <v>297055193</v>
      </c>
      <c r="C1168" s="95">
        <f>SUMIFS('Anlage 1c_Korrekturen_NB'!$D$80:$D$314,'Anlage 1c_Korrekturen_NB'!$A$80:$A$314,'Anlage 3a_Zusammenfassung_KWKG'!$A1168)+SUMIFS('Anlage 1c_Korrekturen_NB'!$F$80:$F$314,'Anlage 1c_Korrekturen_NB'!$A$80:$A$314,'Anlage 3a_Zusammenfassung_KWKG'!$A1168)+SUMIFS('Anlage 1c_Korrekturen_NB'!$H$80:$H$314,'Anlage 1c_Korrekturen_NB'!$A$80:$A$314,'Anlage 3a_Zusammenfassung_KWKG'!$A1168)</f>
        <v>2398153</v>
      </c>
      <c r="D1168" s="144">
        <f t="shared" si="46"/>
        <v>299453346</v>
      </c>
      <c r="E1168" s="72" t="s">
        <v>663</v>
      </c>
      <c r="F1168" s="72"/>
      <c r="G1168" s="72"/>
      <c r="H1168" s="72"/>
      <c r="I1168" s="54"/>
    </row>
    <row r="1169" spans="1:9" s="44" customFormat="1" hidden="1" outlineLevel="1">
      <c r="A1169" s="418" t="s">
        <v>664</v>
      </c>
      <c r="B1169" s="543">
        <v>1056514</v>
      </c>
      <c r="C1169" s="95">
        <f>SUMIFS('Anlage 1c_Korrekturen_NB'!$D$80:$D$314,'Anlage 1c_Korrekturen_NB'!$A$80:$A$314,'Anlage 3a_Zusammenfassung_KWKG'!$A1169)+SUMIFS('Anlage 1c_Korrekturen_NB'!$F$80:$F$314,'Anlage 1c_Korrekturen_NB'!$A$80:$A$314,'Anlage 3a_Zusammenfassung_KWKG'!$A1169)+SUMIFS('Anlage 1c_Korrekturen_NB'!$H$80:$H$314,'Anlage 1c_Korrekturen_NB'!$A$80:$A$314,'Anlage 3a_Zusammenfassung_KWKG'!$A1169)</f>
        <v>958277</v>
      </c>
      <c r="D1169" s="144">
        <f t="shared" si="46"/>
        <v>2014791</v>
      </c>
      <c r="E1169" s="72" t="s">
        <v>665</v>
      </c>
      <c r="F1169" s="72"/>
      <c r="G1169" s="72"/>
      <c r="H1169" s="72"/>
      <c r="I1169" s="54"/>
    </row>
    <row r="1170" spans="1:9" s="44" customFormat="1" hidden="1" outlineLevel="1">
      <c r="A1170" s="418" t="s">
        <v>666</v>
      </c>
      <c r="B1170" s="543">
        <v>644172</v>
      </c>
      <c r="C1170" s="95">
        <f>SUMIFS('Anlage 1c_Korrekturen_NB'!$D$80:$D$314,'Anlage 1c_Korrekturen_NB'!$A$80:$A$314,'Anlage 3a_Zusammenfassung_KWKG'!$A1170)+SUMIFS('Anlage 1c_Korrekturen_NB'!$F$80:$F$314,'Anlage 1c_Korrekturen_NB'!$A$80:$A$314,'Anlage 3a_Zusammenfassung_KWKG'!$A1170)+SUMIFS('Anlage 1c_Korrekturen_NB'!$H$80:$H$314,'Anlage 1c_Korrekturen_NB'!$A$80:$A$314,'Anlage 3a_Zusammenfassung_KWKG'!$A1170)</f>
        <v>0</v>
      </c>
      <c r="D1170" s="144">
        <f t="shared" si="46"/>
        <v>644172</v>
      </c>
      <c r="E1170" s="72" t="s">
        <v>667</v>
      </c>
      <c r="F1170" s="72"/>
      <c r="G1170" s="72"/>
      <c r="H1170" s="72"/>
      <c r="I1170" s="54"/>
    </row>
    <row r="1171" spans="1:9" s="44" customFormat="1" hidden="1" outlineLevel="1">
      <c r="A1171" s="418" t="s">
        <v>668</v>
      </c>
      <c r="B1171" s="543">
        <v>0</v>
      </c>
      <c r="C1171" s="95">
        <f>SUMIFS('Anlage 1c_Korrekturen_NB'!$D$80:$D$314,'Anlage 1c_Korrekturen_NB'!$A$80:$A$314,'Anlage 3a_Zusammenfassung_KWKG'!$A1171)+SUMIFS('Anlage 1c_Korrekturen_NB'!$F$80:$F$314,'Anlage 1c_Korrekturen_NB'!$A$80:$A$314,'Anlage 3a_Zusammenfassung_KWKG'!$A1171)+SUMIFS('Anlage 1c_Korrekturen_NB'!$H$80:$H$314,'Anlage 1c_Korrekturen_NB'!$A$80:$A$314,'Anlage 3a_Zusammenfassung_KWKG'!$A1171)</f>
        <v>0</v>
      </c>
      <c r="D1171" s="144">
        <f t="shared" si="46"/>
        <v>0</v>
      </c>
      <c r="E1171" s="72" t="s">
        <v>669</v>
      </c>
      <c r="F1171" s="72"/>
      <c r="G1171" s="72"/>
      <c r="H1171" s="72"/>
      <c r="I1171" s="54"/>
    </row>
    <row r="1172" spans="1:9" s="44" customFormat="1" hidden="1" outlineLevel="1">
      <c r="A1172" s="418" t="s">
        <v>670</v>
      </c>
      <c r="B1172" s="543">
        <v>953359</v>
      </c>
      <c r="C1172" s="95">
        <f>SUMIFS('Anlage 1c_Korrekturen_NB'!$D$80:$D$314,'Anlage 1c_Korrekturen_NB'!$A$80:$A$314,'Anlage 3a_Zusammenfassung_KWKG'!$A1172)+SUMIFS('Anlage 1c_Korrekturen_NB'!$F$80:$F$314,'Anlage 1c_Korrekturen_NB'!$A$80:$A$314,'Anlage 3a_Zusammenfassung_KWKG'!$A1172)+SUMIFS('Anlage 1c_Korrekturen_NB'!$H$80:$H$314,'Anlage 1c_Korrekturen_NB'!$A$80:$A$314,'Anlage 3a_Zusammenfassung_KWKG'!$A1172)</f>
        <v>0</v>
      </c>
      <c r="D1172" s="144">
        <f t="shared" si="46"/>
        <v>953359</v>
      </c>
      <c r="E1172" s="72" t="s">
        <v>671</v>
      </c>
      <c r="F1172" s="72"/>
      <c r="G1172" s="72"/>
      <c r="H1172" s="72"/>
      <c r="I1172" s="54"/>
    </row>
    <row r="1173" spans="1:9" s="44" customFormat="1" hidden="1" outlineLevel="1">
      <c r="A1173" s="418" t="s">
        <v>672</v>
      </c>
      <c r="B1173" s="543">
        <v>48696</v>
      </c>
      <c r="C1173" s="95">
        <f>SUMIFS('Anlage 1c_Korrekturen_NB'!$D$80:$D$314,'Anlage 1c_Korrekturen_NB'!$A$80:$A$314,'Anlage 3a_Zusammenfassung_KWKG'!$A1173)+SUMIFS('Anlage 1c_Korrekturen_NB'!$F$80:$F$314,'Anlage 1c_Korrekturen_NB'!$A$80:$A$314,'Anlage 3a_Zusammenfassung_KWKG'!$A1173)+SUMIFS('Anlage 1c_Korrekturen_NB'!$H$80:$H$314,'Anlage 1c_Korrekturen_NB'!$A$80:$A$314,'Anlage 3a_Zusammenfassung_KWKG'!$A1173)</f>
        <v>0</v>
      </c>
      <c r="D1173" s="144">
        <f t="shared" si="46"/>
        <v>48696</v>
      </c>
      <c r="E1173" s="72" t="s">
        <v>673</v>
      </c>
      <c r="F1173" s="72"/>
      <c r="G1173" s="72"/>
      <c r="H1173" s="72"/>
      <c r="I1173" s="54"/>
    </row>
    <row r="1174" spans="1:9" s="44" customFormat="1" hidden="1" outlineLevel="1">
      <c r="A1174" s="418" t="s">
        <v>674</v>
      </c>
      <c r="B1174" s="543">
        <v>2693603</v>
      </c>
      <c r="C1174" s="95">
        <f>SUMIFS('Anlage 1c_Korrekturen_NB'!$D$80:$D$314,'Anlage 1c_Korrekturen_NB'!$A$80:$A$314,'Anlage 3a_Zusammenfassung_KWKG'!$A1174)+SUMIFS('Anlage 1c_Korrekturen_NB'!$F$80:$F$314,'Anlage 1c_Korrekturen_NB'!$A$80:$A$314,'Anlage 3a_Zusammenfassung_KWKG'!$A1174)+SUMIFS('Anlage 1c_Korrekturen_NB'!$H$80:$H$314,'Anlage 1c_Korrekturen_NB'!$A$80:$A$314,'Anlage 3a_Zusammenfassung_KWKG'!$A1174)</f>
        <v>0</v>
      </c>
      <c r="D1174" s="144">
        <f t="shared" si="46"/>
        <v>2693603</v>
      </c>
      <c r="E1174" s="72" t="s">
        <v>675</v>
      </c>
      <c r="F1174" s="72"/>
      <c r="G1174" s="72"/>
      <c r="H1174" s="72"/>
      <c r="I1174" s="54"/>
    </row>
    <row r="1175" spans="1:9" s="44" customFormat="1" hidden="1" outlineLevel="1">
      <c r="A1175" s="418" t="s">
        <v>676</v>
      </c>
      <c r="B1175" s="543">
        <v>3255039</v>
      </c>
      <c r="C1175" s="95">
        <f>SUMIFS('Anlage 1c_Korrekturen_NB'!$D$80:$D$314,'Anlage 1c_Korrekturen_NB'!$A$80:$A$314,'Anlage 3a_Zusammenfassung_KWKG'!$A1175)+SUMIFS('Anlage 1c_Korrekturen_NB'!$F$80:$F$314,'Anlage 1c_Korrekturen_NB'!$A$80:$A$314,'Anlage 3a_Zusammenfassung_KWKG'!$A1175)+SUMIFS('Anlage 1c_Korrekturen_NB'!$H$80:$H$314,'Anlage 1c_Korrekturen_NB'!$A$80:$A$314,'Anlage 3a_Zusammenfassung_KWKG'!$A1175)</f>
        <v>123441</v>
      </c>
      <c r="D1175" s="144">
        <f t="shared" si="46"/>
        <v>3378480</v>
      </c>
      <c r="E1175" s="72" t="s">
        <v>677</v>
      </c>
      <c r="F1175" s="72"/>
      <c r="G1175" s="72"/>
      <c r="H1175" s="72"/>
      <c r="I1175" s="54"/>
    </row>
    <row r="1176" spans="1:9" s="44" customFormat="1" hidden="1" outlineLevel="1">
      <c r="A1176" s="418" t="s">
        <v>678</v>
      </c>
      <c r="B1176" s="543">
        <v>2715715</v>
      </c>
      <c r="C1176" s="95">
        <f>SUMIFS('Anlage 1c_Korrekturen_NB'!$D$80:$D$314,'Anlage 1c_Korrekturen_NB'!$A$80:$A$314,'Anlage 3a_Zusammenfassung_KWKG'!$A1176)+SUMIFS('Anlage 1c_Korrekturen_NB'!$F$80:$F$314,'Anlage 1c_Korrekturen_NB'!$A$80:$A$314,'Anlage 3a_Zusammenfassung_KWKG'!$A1176)+SUMIFS('Anlage 1c_Korrekturen_NB'!$H$80:$H$314,'Anlage 1c_Korrekturen_NB'!$A$80:$A$314,'Anlage 3a_Zusammenfassung_KWKG'!$A1176)</f>
        <v>400346</v>
      </c>
      <c r="D1176" s="144">
        <f t="shared" si="46"/>
        <v>3116061</v>
      </c>
      <c r="E1176" s="72" t="s">
        <v>679</v>
      </c>
      <c r="F1176" s="72"/>
      <c r="G1176" s="72"/>
      <c r="H1176" s="72"/>
      <c r="I1176" s="54"/>
    </row>
    <row r="1177" spans="1:9" s="44" customFormat="1" hidden="1" outlineLevel="1">
      <c r="A1177" s="418" t="s">
        <v>680</v>
      </c>
      <c r="B1177" s="543">
        <v>0</v>
      </c>
      <c r="C1177" s="95">
        <f>SUMIFS('Anlage 1c_Korrekturen_NB'!$D$80:$D$314,'Anlage 1c_Korrekturen_NB'!$A$80:$A$314,'Anlage 3a_Zusammenfassung_KWKG'!$A1177)+SUMIFS('Anlage 1c_Korrekturen_NB'!$F$80:$F$314,'Anlage 1c_Korrekturen_NB'!$A$80:$A$314,'Anlage 3a_Zusammenfassung_KWKG'!$A1177)+SUMIFS('Anlage 1c_Korrekturen_NB'!$H$80:$H$314,'Anlage 1c_Korrekturen_NB'!$A$80:$A$314,'Anlage 3a_Zusammenfassung_KWKG'!$A1177)</f>
        <v>0</v>
      </c>
      <c r="D1177" s="144">
        <f t="shared" si="46"/>
        <v>0</v>
      </c>
      <c r="E1177" s="72" t="s">
        <v>681</v>
      </c>
      <c r="F1177" s="72"/>
      <c r="G1177" s="72"/>
      <c r="H1177" s="72"/>
      <c r="I1177" s="54"/>
    </row>
    <row r="1178" spans="1:9" s="44" customFormat="1" hidden="1" outlineLevel="1">
      <c r="A1178" s="418" t="s">
        <v>682</v>
      </c>
      <c r="B1178" s="543">
        <v>3338050</v>
      </c>
      <c r="C1178" s="95">
        <f>SUMIFS('Anlage 1c_Korrekturen_NB'!$D$80:$D$314,'Anlage 1c_Korrekturen_NB'!$A$80:$A$314,'Anlage 3a_Zusammenfassung_KWKG'!$A1178)+SUMIFS('Anlage 1c_Korrekturen_NB'!$F$80:$F$314,'Anlage 1c_Korrekturen_NB'!$A$80:$A$314,'Anlage 3a_Zusammenfassung_KWKG'!$A1178)+SUMIFS('Anlage 1c_Korrekturen_NB'!$H$80:$H$314,'Anlage 1c_Korrekturen_NB'!$A$80:$A$314,'Anlage 3a_Zusammenfassung_KWKG'!$A1178)</f>
        <v>0</v>
      </c>
      <c r="D1178" s="144">
        <f t="shared" si="46"/>
        <v>3338050</v>
      </c>
      <c r="E1178" s="72" t="s">
        <v>683</v>
      </c>
      <c r="F1178" s="72"/>
      <c r="G1178" s="72"/>
      <c r="H1178" s="72"/>
      <c r="I1178" s="54"/>
    </row>
    <row r="1179" spans="1:9" s="44" customFormat="1" hidden="1" outlineLevel="1">
      <c r="A1179" s="418" t="s">
        <v>684</v>
      </c>
      <c r="B1179" s="543">
        <v>17029105</v>
      </c>
      <c r="C1179" s="95">
        <f>SUMIFS('Anlage 1c_Korrekturen_NB'!$D$80:$D$314,'Anlage 1c_Korrekturen_NB'!$A$80:$A$314,'Anlage 3a_Zusammenfassung_KWKG'!$A1179)+SUMIFS('Anlage 1c_Korrekturen_NB'!$F$80:$F$314,'Anlage 1c_Korrekturen_NB'!$A$80:$A$314,'Anlage 3a_Zusammenfassung_KWKG'!$A1179)+SUMIFS('Anlage 1c_Korrekturen_NB'!$H$80:$H$314,'Anlage 1c_Korrekturen_NB'!$A$80:$A$314,'Anlage 3a_Zusammenfassung_KWKG'!$A1179)</f>
        <v>0</v>
      </c>
      <c r="D1179" s="144">
        <f t="shared" si="46"/>
        <v>17029105</v>
      </c>
      <c r="E1179" s="72" t="s">
        <v>685</v>
      </c>
      <c r="F1179" s="72"/>
      <c r="G1179" s="72"/>
      <c r="H1179" s="72"/>
      <c r="I1179" s="54"/>
    </row>
    <row r="1180" spans="1:9" s="44" customFormat="1" hidden="1" outlineLevel="1">
      <c r="A1180" s="418" t="s">
        <v>686</v>
      </c>
      <c r="B1180" s="543">
        <v>0</v>
      </c>
      <c r="C1180" s="95">
        <f>SUMIFS('Anlage 1c_Korrekturen_NB'!$D$80:$D$314,'Anlage 1c_Korrekturen_NB'!$A$80:$A$314,'Anlage 3a_Zusammenfassung_KWKG'!$A1180)+SUMIFS('Anlage 1c_Korrekturen_NB'!$F$80:$F$314,'Anlage 1c_Korrekturen_NB'!$A$80:$A$314,'Anlage 3a_Zusammenfassung_KWKG'!$A1180)+SUMIFS('Anlage 1c_Korrekturen_NB'!$H$80:$H$314,'Anlage 1c_Korrekturen_NB'!$A$80:$A$314,'Anlage 3a_Zusammenfassung_KWKG'!$A1180)</f>
        <v>0</v>
      </c>
      <c r="D1180" s="144">
        <f t="shared" si="46"/>
        <v>0</v>
      </c>
      <c r="E1180" s="72" t="s">
        <v>687</v>
      </c>
      <c r="F1180" s="72"/>
      <c r="G1180" s="72"/>
      <c r="H1180" s="72"/>
      <c r="I1180" s="54"/>
    </row>
    <row r="1181" spans="1:9" s="44" customFormat="1" hidden="1" outlineLevel="1">
      <c r="A1181" s="418" t="s">
        <v>688</v>
      </c>
      <c r="B1181" s="543">
        <v>5456045</v>
      </c>
      <c r="C1181" s="95">
        <f>SUMIFS('Anlage 1c_Korrekturen_NB'!$D$80:$D$314,'Anlage 1c_Korrekturen_NB'!$A$80:$A$314,'Anlage 3a_Zusammenfassung_KWKG'!$A1181)+SUMIFS('Anlage 1c_Korrekturen_NB'!$F$80:$F$314,'Anlage 1c_Korrekturen_NB'!$A$80:$A$314,'Anlage 3a_Zusammenfassung_KWKG'!$A1181)+SUMIFS('Anlage 1c_Korrekturen_NB'!$H$80:$H$314,'Anlage 1c_Korrekturen_NB'!$A$80:$A$314,'Anlage 3a_Zusammenfassung_KWKG'!$A1181)</f>
        <v>0</v>
      </c>
      <c r="D1181" s="144">
        <f t="shared" si="46"/>
        <v>5456045</v>
      </c>
      <c r="E1181" s="72" t="s">
        <v>689</v>
      </c>
      <c r="F1181" s="72"/>
      <c r="G1181" s="72"/>
      <c r="H1181" s="72"/>
      <c r="I1181" s="54"/>
    </row>
    <row r="1182" spans="1:9" s="44" customFormat="1" hidden="1" outlineLevel="1">
      <c r="A1182" s="418" t="s">
        <v>690</v>
      </c>
      <c r="B1182" s="543">
        <v>1634067</v>
      </c>
      <c r="C1182" s="95">
        <f>SUMIFS('Anlage 1c_Korrekturen_NB'!$D$80:$D$314,'Anlage 1c_Korrekturen_NB'!$A$80:$A$314,'Anlage 3a_Zusammenfassung_KWKG'!$A1182)+SUMIFS('Anlage 1c_Korrekturen_NB'!$F$80:$F$314,'Anlage 1c_Korrekturen_NB'!$A$80:$A$314,'Anlage 3a_Zusammenfassung_KWKG'!$A1182)+SUMIFS('Anlage 1c_Korrekturen_NB'!$H$80:$H$314,'Anlage 1c_Korrekturen_NB'!$A$80:$A$314,'Anlage 3a_Zusammenfassung_KWKG'!$A1182)</f>
        <v>0</v>
      </c>
      <c r="D1182" s="144">
        <f t="shared" si="46"/>
        <v>1634067</v>
      </c>
      <c r="E1182" s="72" t="s">
        <v>691</v>
      </c>
      <c r="F1182" s="72"/>
      <c r="G1182" s="72"/>
      <c r="H1182" s="72"/>
      <c r="I1182" s="54"/>
    </row>
    <row r="1183" spans="1:9" s="44" customFormat="1" hidden="1" outlineLevel="1">
      <c r="A1183" s="418" t="s">
        <v>692</v>
      </c>
      <c r="B1183" s="543">
        <v>2755628</v>
      </c>
      <c r="C1183" s="95">
        <f>SUMIFS('Anlage 1c_Korrekturen_NB'!$D$80:$D$314,'Anlage 1c_Korrekturen_NB'!$A$80:$A$314,'Anlage 3a_Zusammenfassung_KWKG'!$A1183)+SUMIFS('Anlage 1c_Korrekturen_NB'!$F$80:$F$314,'Anlage 1c_Korrekturen_NB'!$A$80:$A$314,'Anlage 3a_Zusammenfassung_KWKG'!$A1183)+SUMIFS('Anlage 1c_Korrekturen_NB'!$H$80:$H$314,'Anlage 1c_Korrekturen_NB'!$A$80:$A$314,'Anlage 3a_Zusammenfassung_KWKG'!$A1183)</f>
        <v>0</v>
      </c>
      <c r="D1183" s="144">
        <f t="shared" si="46"/>
        <v>2755628</v>
      </c>
      <c r="E1183" s="72" t="s">
        <v>693</v>
      </c>
      <c r="F1183" s="72"/>
      <c r="G1183" s="72"/>
      <c r="H1183" s="72"/>
      <c r="I1183" s="54"/>
    </row>
    <row r="1184" spans="1:9" s="44" customFormat="1" hidden="1" outlineLevel="1">
      <c r="A1184" s="418" t="s">
        <v>694</v>
      </c>
      <c r="B1184" s="543">
        <v>0</v>
      </c>
      <c r="C1184" s="95">
        <f>SUMIFS('Anlage 1c_Korrekturen_NB'!$D$80:$D$314,'Anlage 1c_Korrekturen_NB'!$A$80:$A$314,'Anlage 3a_Zusammenfassung_KWKG'!$A1184)+SUMIFS('Anlage 1c_Korrekturen_NB'!$F$80:$F$314,'Anlage 1c_Korrekturen_NB'!$A$80:$A$314,'Anlage 3a_Zusammenfassung_KWKG'!$A1184)+SUMIFS('Anlage 1c_Korrekturen_NB'!$H$80:$H$314,'Anlage 1c_Korrekturen_NB'!$A$80:$A$314,'Anlage 3a_Zusammenfassung_KWKG'!$A1184)</f>
        <v>0</v>
      </c>
      <c r="D1184" s="144">
        <f t="shared" si="46"/>
        <v>0</v>
      </c>
      <c r="E1184" s="72" t="s">
        <v>695</v>
      </c>
      <c r="F1184" s="72"/>
      <c r="G1184" s="72"/>
      <c r="H1184" s="72"/>
      <c r="I1184" s="54"/>
    </row>
    <row r="1185" spans="1:9" s="44" customFormat="1" hidden="1" outlineLevel="1">
      <c r="A1185" s="418" t="s">
        <v>696</v>
      </c>
      <c r="B1185" s="543">
        <v>4108181</v>
      </c>
      <c r="C1185" s="95">
        <f>SUMIFS('Anlage 1c_Korrekturen_NB'!$D$80:$D$314,'Anlage 1c_Korrekturen_NB'!$A$80:$A$314,'Anlage 3a_Zusammenfassung_KWKG'!$A1185)+SUMIFS('Anlage 1c_Korrekturen_NB'!$F$80:$F$314,'Anlage 1c_Korrekturen_NB'!$A$80:$A$314,'Anlage 3a_Zusammenfassung_KWKG'!$A1185)+SUMIFS('Anlage 1c_Korrekturen_NB'!$H$80:$H$314,'Anlage 1c_Korrekturen_NB'!$A$80:$A$314,'Anlage 3a_Zusammenfassung_KWKG'!$A1185)</f>
        <v>-164876</v>
      </c>
      <c r="D1185" s="144">
        <f t="shared" si="46"/>
        <v>3943305</v>
      </c>
      <c r="E1185" s="72" t="s">
        <v>697</v>
      </c>
      <c r="F1185" s="72"/>
      <c r="G1185" s="72"/>
      <c r="H1185" s="72"/>
      <c r="I1185" s="54"/>
    </row>
    <row r="1186" spans="1:9" s="44" customFormat="1" hidden="1" outlineLevel="1">
      <c r="A1186" s="418" t="s">
        <v>698</v>
      </c>
      <c r="B1186" s="543">
        <v>3930820</v>
      </c>
      <c r="C1186" s="95">
        <f>SUMIFS('Anlage 1c_Korrekturen_NB'!$D$80:$D$314,'Anlage 1c_Korrekturen_NB'!$A$80:$A$314,'Anlage 3a_Zusammenfassung_KWKG'!$A1186)+SUMIFS('Anlage 1c_Korrekturen_NB'!$F$80:$F$314,'Anlage 1c_Korrekturen_NB'!$A$80:$A$314,'Anlage 3a_Zusammenfassung_KWKG'!$A1186)+SUMIFS('Anlage 1c_Korrekturen_NB'!$H$80:$H$314,'Anlage 1c_Korrekturen_NB'!$A$80:$A$314,'Anlage 3a_Zusammenfassung_KWKG'!$A1186)</f>
        <v>-1287</v>
      </c>
      <c r="D1186" s="144">
        <f t="shared" si="46"/>
        <v>3929533</v>
      </c>
      <c r="E1186" s="72" t="s">
        <v>699</v>
      </c>
      <c r="F1186" s="72"/>
      <c r="G1186" s="72"/>
      <c r="H1186" s="72"/>
      <c r="I1186" s="54"/>
    </row>
    <row r="1187" spans="1:9" s="44" customFormat="1" hidden="1" outlineLevel="1">
      <c r="A1187" s="418" t="s">
        <v>700</v>
      </c>
      <c r="B1187" s="543">
        <v>59830</v>
      </c>
      <c r="C1187" s="95">
        <f>SUMIFS('Anlage 1c_Korrekturen_NB'!$D$80:$D$314,'Anlage 1c_Korrekturen_NB'!$A$80:$A$314,'Anlage 3a_Zusammenfassung_KWKG'!$A1187)+SUMIFS('Anlage 1c_Korrekturen_NB'!$F$80:$F$314,'Anlage 1c_Korrekturen_NB'!$A$80:$A$314,'Anlage 3a_Zusammenfassung_KWKG'!$A1187)+SUMIFS('Anlage 1c_Korrekturen_NB'!$H$80:$H$314,'Anlage 1c_Korrekturen_NB'!$A$80:$A$314,'Anlage 3a_Zusammenfassung_KWKG'!$A1187)</f>
        <v>0</v>
      </c>
      <c r="D1187" s="144">
        <f t="shared" si="46"/>
        <v>59830</v>
      </c>
      <c r="E1187" s="72" t="s">
        <v>701</v>
      </c>
      <c r="F1187" s="72"/>
      <c r="G1187" s="72"/>
      <c r="H1187" s="72"/>
      <c r="I1187" s="54"/>
    </row>
    <row r="1188" spans="1:9" s="44" customFormat="1" hidden="1" outlineLevel="1">
      <c r="A1188" s="418" t="s">
        <v>702</v>
      </c>
      <c r="B1188" s="543">
        <v>3183788</v>
      </c>
      <c r="C1188" s="95">
        <f>SUMIFS('Anlage 1c_Korrekturen_NB'!$D$80:$D$314,'Anlage 1c_Korrekturen_NB'!$A$80:$A$314,'Anlage 3a_Zusammenfassung_KWKG'!$A1188)+SUMIFS('Anlage 1c_Korrekturen_NB'!$F$80:$F$314,'Anlage 1c_Korrekturen_NB'!$A$80:$A$314,'Anlage 3a_Zusammenfassung_KWKG'!$A1188)+SUMIFS('Anlage 1c_Korrekturen_NB'!$H$80:$H$314,'Anlage 1c_Korrekturen_NB'!$A$80:$A$314,'Anlage 3a_Zusammenfassung_KWKG'!$A1188)</f>
        <v>0</v>
      </c>
      <c r="D1188" s="144">
        <f t="shared" si="46"/>
        <v>3183788</v>
      </c>
      <c r="E1188" s="72" t="s">
        <v>703</v>
      </c>
      <c r="F1188" s="72"/>
      <c r="G1188" s="72"/>
      <c r="H1188" s="72"/>
      <c r="I1188" s="54"/>
    </row>
    <row r="1189" spans="1:9" s="44" customFormat="1" hidden="1" outlineLevel="1">
      <c r="A1189" s="418" t="s">
        <v>704</v>
      </c>
      <c r="B1189" s="543">
        <v>686184</v>
      </c>
      <c r="C1189" s="95">
        <f>SUMIFS('Anlage 1c_Korrekturen_NB'!$D$80:$D$314,'Anlage 1c_Korrekturen_NB'!$A$80:$A$314,'Anlage 3a_Zusammenfassung_KWKG'!$A1189)+SUMIFS('Anlage 1c_Korrekturen_NB'!$F$80:$F$314,'Anlage 1c_Korrekturen_NB'!$A$80:$A$314,'Anlage 3a_Zusammenfassung_KWKG'!$A1189)+SUMIFS('Anlage 1c_Korrekturen_NB'!$H$80:$H$314,'Anlage 1c_Korrekturen_NB'!$A$80:$A$314,'Anlage 3a_Zusammenfassung_KWKG'!$A1189)</f>
        <v>0</v>
      </c>
      <c r="D1189" s="144">
        <f t="shared" si="46"/>
        <v>686184</v>
      </c>
      <c r="E1189" s="72" t="s">
        <v>705</v>
      </c>
      <c r="F1189" s="72"/>
      <c r="G1189" s="72"/>
      <c r="H1189" s="72"/>
      <c r="I1189" s="54"/>
    </row>
    <row r="1190" spans="1:9" s="44" customFormat="1" hidden="1" outlineLevel="1">
      <c r="A1190" s="418" t="s">
        <v>706</v>
      </c>
      <c r="B1190" s="543">
        <v>12068421</v>
      </c>
      <c r="C1190" s="95">
        <f>SUMIFS('Anlage 1c_Korrekturen_NB'!$D$80:$D$314,'Anlage 1c_Korrekturen_NB'!$A$80:$A$314,'Anlage 3a_Zusammenfassung_KWKG'!$A1190)+SUMIFS('Anlage 1c_Korrekturen_NB'!$F$80:$F$314,'Anlage 1c_Korrekturen_NB'!$A$80:$A$314,'Anlage 3a_Zusammenfassung_KWKG'!$A1190)+SUMIFS('Anlage 1c_Korrekturen_NB'!$H$80:$H$314,'Anlage 1c_Korrekturen_NB'!$A$80:$A$314,'Anlage 3a_Zusammenfassung_KWKG'!$A1190)</f>
        <v>0</v>
      </c>
      <c r="D1190" s="144">
        <f t="shared" si="46"/>
        <v>12068421</v>
      </c>
      <c r="E1190" s="72" t="s">
        <v>707</v>
      </c>
      <c r="F1190" s="72"/>
      <c r="G1190" s="72"/>
      <c r="H1190" s="72"/>
      <c r="I1190" s="54"/>
    </row>
    <row r="1191" spans="1:9" s="44" customFormat="1" hidden="1" outlineLevel="1">
      <c r="A1191" s="418" t="s">
        <v>708</v>
      </c>
      <c r="B1191" s="543">
        <v>8247112</v>
      </c>
      <c r="C1191" s="95">
        <f>SUMIFS('Anlage 1c_Korrekturen_NB'!$D$80:$D$314,'Anlage 1c_Korrekturen_NB'!$A$80:$A$314,'Anlage 3a_Zusammenfassung_KWKG'!$A1191)+SUMIFS('Anlage 1c_Korrekturen_NB'!$F$80:$F$314,'Anlage 1c_Korrekturen_NB'!$A$80:$A$314,'Anlage 3a_Zusammenfassung_KWKG'!$A1191)+SUMIFS('Anlage 1c_Korrekturen_NB'!$H$80:$H$314,'Anlage 1c_Korrekturen_NB'!$A$80:$A$314,'Anlage 3a_Zusammenfassung_KWKG'!$A1191)</f>
        <v>2569998</v>
      </c>
      <c r="D1191" s="144">
        <f t="shared" si="46"/>
        <v>10817110</v>
      </c>
      <c r="E1191" s="72" t="s">
        <v>709</v>
      </c>
      <c r="F1191" s="72"/>
      <c r="G1191" s="72"/>
      <c r="H1191" s="72"/>
      <c r="I1191" s="54"/>
    </row>
    <row r="1192" spans="1:9" s="44" customFormat="1" hidden="1" outlineLevel="1">
      <c r="A1192" s="418" t="s">
        <v>710</v>
      </c>
      <c r="B1192" s="543">
        <v>1438239</v>
      </c>
      <c r="C1192" s="95">
        <f>SUMIFS('Anlage 1c_Korrekturen_NB'!$D$80:$D$314,'Anlage 1c_Korrekturen_NB'!$A$80:$A$314,'Anlage 3a_Zusammenfassung_KWKG'!$A1192)+SUMIFS('Anlage 1c_Korrekturen_NB'!$F$80:$F$314,'Anlage 1c_Korrekturen_NB'!$A$80:$A$314,'Anlage 3a_Zusammenfassung_KWKG'!$A1192)+SUMIFS('Anlage 1c_Korrekturen_NB'!$H$80:$H$314,'Anlage 1c_Korrekturen_NB'!$A$80:$A$314,'Anlage 3a_Zusammenfassung_KWKG'!$A1192)</f>
        <v>59526</v>
      </c>
      <c r="D1192" s="144">
        <f t="shared" si="46"/>
        <v>1497765</v>
      </c>
      <c r="E1192" s="72" t="s">
        <v>711</v>
      </c>
      <c r="F1192" s="72"/>
      <c r="G1192" s="72"/>
      <c r="H1192" s="72"/>
      <c r="I1192" s="54"/>
    </row>
    <row r="1193" spans="1:9" s="44" customFormat="1" hidden="1" outlineLevel="1">
      <c r="A1193" s="418" t="s">
        <v>712</v>
      </c>
      <c r="B1193" s="543">
        <v>3700435</v>
      </c>
      <c r="C1193" s="95">
        <f>SUMIFS('Anlage 1c_Korrekturen_NB'!$D$80:$D$314,'Anlage 1c_Korrekturen_NB'!$A$80:$A$314,'Anlage 3a_Zusammenfassung_KWKG'!$A1193)+SUMIFS('Anlage 1c_Korrekturen_NB'!$F$80:$F$314,'Anlage 1c_Korrekturen_NB'!$A$80:$A$314,'Anlage 3a_Zusammenfassung_KWKG'!$A1193)+SUMIFS('Anlage 1c_Korrekturen_NB'!$H$80:$H$314,'Anlage 1c_Korrekturen_NB'!$A$80:$A$314,'Anlage 3a_Zusammenfassung_KWKG'!$A1193)</f>
        <v>2032936</v>
      </c>
      <c r="D1193" s="144">
        <f t="shared" si="46"/>
        <v>5733371</v>
      </c>
      <c r="E1193" s="72" t="s">
        <v>713</v>
      </c>
      <c r="F1193" s="72"/>
      <c r="G1193" s="72"/>
      <c r="H1193" s="72"/>
      <c r="I1193" s="54"/>
    </row>
    <row r="1194" spans="1:9" s="44" customFormat="1" hidden="1" outlineLevel="1">
      <c r="A1194" s="418" t="s">
        <v>714</v>
      </c>
      <c r="B1194" s="543">
        <v>243021</v>
      </c>
      <c r="C1194" s="95">
        <f>SUMIFS('Anlage 1c_Korrekturen_NB'!$D$80:$D$314,'Anlage 1c_Korrekturen_NB'!$A$80:$A$314,'Anlage 3a_Zusammenfassung_KWKG'!$A1194)+SUMIFS('Anlage 1c_Korrekturen_NB'!$F$80:$F$314,'Anlage 1c_Korrekturen_NB'!$A$80:$A$314,'Anlage 3a_Zusammenfassung_KWKG'!$A1194)+SUMIFS('Anlage 1c_Korrekturen_NB'!$H$80:$H$314,'Anlage 1c_Korrekturen_NB'!$A$80:$A$314,'Anlage 3a_Zusammenfassung_KWKG'!$A1194)</f>
        <v>0</v>
      </c>
      <c r="D1194" s="144">
        <f t="shared" si="46"/>
        <v>243021</v>
      </c>
      <c r="E1194" s="72" t="s">
        <v>715</v>
      </c>
      <c r="F1194" s="72"/>
      <c r="G1194" s="72"/>
      <c r="H1194" s="72"/>
      <c r="I1194" s="54"/>
    </row>
    <row r="1195" spans="1:9" s="44" customFormat="1" hidden="1" outlineLevel="1">
      <c r="A1195" s="418" t="s">
        <v>716</v>
      </c>
      <c r="B1195" s="543">
        <v>1502337</v>
      </c>
      <c r="C1195" s="95">
        <f>SUMIFS('Anlage 1c_Korrekturen_NB'!$D$80:$D$314,'Anlage 1c_Korrekturen_NB'!$A$80:$A$314,'Anlage 3a_Zusammenfassung_KWKG'!$A1195)+SUMIFS('Anlage 1c_Korrekturen_NB'!$F$80:$F$314,'Anlage 1c_Korrekturen_NB'!$A$80:$A$314,'Anlage 3a_Zusammenfassung_KWKG'!$A1195)+SUMIFS('Anlage 1c_Korrekturen_NB'!$H$80:$H$314,'Anlage 1c_Korrekturen_NB'!$A$80:$A$314,'Anlage 3a_Zusammenfassung_KWKG'!$A1195)</f>
        <v>1</v>
      </c>
      <c r="D1195" s="144">
        <f t="shared" si="46"/>
        <v>1502338</v>
      </c>
      <c r="E1195" s="72" t="s">
        <v>717</v>
      </c>
      <c r="F1195" s="72"/>
      <c r="G1195" s="72"/>
      <c r="H1195" s="72"/>
      <c r="I1195" s="54"/>
    </row>
    <row r="1196" spans="1:9" s="44" customFormat="1" hidden="1" outlineLevel="1">
      <c r="A1196" s="418" t="s">
        <v>718</v>
      </c>
      <c r="B1196" s="543">
        <v>640366</v>
      </c>
      <c r="C1196" s="95">
        <f>SUMIFS('Anlage 1c_Korrekturen_NB'!$D$80:$D$314,'Anlage 1c_Korrekturen_NB'!$A$80:$A$314,'Anlage 3a_Zusammenfassung_KWKG'!$A1196)+SUMIFS('Anlage 1c_Korrekturen_NB'!$F$80:$F$314,'Anlage 1c_Korrekturen_NB'!$A$80:$A$314,'Anlage 3a_Zusammenfassung_KWKG'!$A1196)+SUMIFS('Anlage 1c_Korrekturen_NB'!$H$80:$H$314,'Anlage 1c_Korrekturen_NB'!$A$80:$A$314,'Anlage 3a_Zusammenfassung_KWKG'!$A1196)</f>
        <v>0</v>
      </c>
      <c r="D1196" s="144">
        <f t="shared" si="46"/>
        <v>640366</v>
      </c>
      <c r="E1196" s="72" t="s">
        <v>719</v>
      </c>
      <c r="F1196" s="72"/>
      <c r="G1196" s="72"/>
      <c r="H1196" s="72"/>
      <c r="I1196" s="54"/>
    </row>
    <row r="1197" spans="1:9" s="44" customFormat="1" hidden="1" outlineLevel="1">
      <c r="A1197" s="418" t="s">
        <v>720</v>
      </c>
      <c r="B1197" s="543">
        <v>20485189</v>
      </c>
      <c r="C1197" s="95">
        <f>SUMIFS('Anlage 1c_Korrekturen_NB'!$D$80:$D$314,'Anlage 1c_Korrekturen_NB'!$A$80:$A$314,'Anlage 3a_Zusammenfassung_KWKG'!$A1197)+SUMIFS('Anlage 1c_Korrekturen_NB'!$F$80:$F$314,'Anlage 1c_Korrekturen_NB'!$A$80:$A$314,'Anlage 3a_Zusammenfassung_KWKG'!$A1197)+SUMIFS('Anlage 1c_Korrekturen_NB'!$H$80:$H$314,'Anlage 1c_Korrekturen_NB'!$A$80:$A$314,'Anlage 3a_Zusammenfassung_KWKG'!$A1197)</f>
        <v>0</v>
      </c>
      <c r="D1197" s="144">
        <f t="shared" si="46"/>
        <v>20485189</v>
      </c>
      <c r="E1197" s="72" t="s">
        <v>721</v>
      </c>
      <c r="F1197" s="72"/>
      <c r="G1197" s="72"/>
      <c r="H1197" s="72"/>
      <c r="I1197" s="54"/>
    </row>
    <row r="1198" spans="1:9" s="44" customFormat="1" hidden="1" outlineLevel="1">
      <c r="A1198" s="418" t="s">
        <v>722</v>
      </c>
      <c r="B1198" s="543">
        <v>1245301</v>
      </c>
      <c r="C1198" s="95">
        <f>SUMIFS('Anlage 1c_Korrekturen_NB'!$D$80:$D$314,'Anlage 1c_Korrekturen_NB'!$A$80:$A$314,'Anlage 3a_Zusammenfassung_KWKG'!$A1198)+SUMIFS('Anlage 1c_Korrekturen_NB'!$F$80:$F$314,'Anlage 1c_Korrekturen_NB'!$A$80:$A$314,'Anlage 3a_Zusammenfassung_KWKG'!$A1198)+SUMIFS('Anlage 1c_Korrekturen_NB'!$H$80:$H$314,'Anlage 1c_Korrekturen_NB'!$A$80:$A$314,'Anlage 3a_Zusammenfassung_KWKG'!$A1198)</f>
        <v>0</v>
      </c>
      <c r="D1198" s="144">
        <f t="shared" si="46"/>
        <v>1245301</v>
      </c>
      <c r="E1198" s="72" t="s">
        <v>723</v>
      </c>
      <c r="F1198" s="72"/>
      <c r="G1198" s="72"/>
      <c r="H1198" s="72"/>
      <c r="I1198" s="54"/>
    </row>
    <row r="1199" spans="1:9" s="44" customFormat="1" hidden="1" outlineLevel="1">
      <c r="A1199" s="418" t="s">
        <v>724</v>
      </c>
      <c r="B1199" s="543">
        <v>1499419</v>
      </c>
      <c r="C1199" s="95">
        <f>SUMIFS('Anlage 1c_Korrekturen_NB'!$D$80:$D$314,'Anlage 1c_Korrekturen_NB'!$A$80:$A$314,'Anlage 3a_Zusammenfassung_KWKG'!$A1199)+SUMIFS('Anlage 1c_Korrekturen_NB'!$F$80:$F$314,'Anlage 1c_Korrekturen_NB'!$A$80:$A$314,'Anlage 3a_Zusammenfassung_KWKG'!$A1199)+SUMIFS('Anlage 1c_Korrekturen_NB'!$H$80:$H$314,'Anlage 1c_Korrekturen_NB'!$A$80:$A$314,'Anlage 3a_Zusammenfassung_KWKG'!$A1199)</f>
        <v>257288</v>
      </c>
      <c r="D1199" s="144">
        <f t="shared" si="46"/>
        <v>1756707</v>
      </c>
      <c r="E1199" s="72" t="s">
        <v>725</v>
      </c>
      <c r="F1199" s="72"/>
      <c r="G1199" s="72"/>
      <c r="H1199" s="72"/>
      <c r="I1199" s="54"/>
    </row>
    <row r="1200" spans="1:9" s="44" customFormat="1" hidden="1" outlineLevel="1">
      <c r="A1200" s="418" t="s">
        <v>726</v>
      </c>
      <c r="B1200" s="543">
        <v>4029802</v>
      </c>
      <c r="C1200" s="95">
        <f>SUMIFS('Anlage 1c_Korrekturen_NB'!$D$80:$D$314,'Anlage 1c_Korrekturen_NB'!$A$80:$A$314,'Anlage 3a_Zusammenfassung_KWKG'!$A1200)+SUMIFS('Anlage 1c_Korrekturen_NB'!$F$80:$F$314,'Anlage 1c_Korrekturen_NB'!$A$80:$A$314,'Anlage 3a_Zusammenfassung_KWKG'!$A1200)+SUMIFS('Anlage 1c_Korrekturen_NB'!$H$80:$H$314,'Anlage 1c_Korrekturen_NB'!$A$80:$A$314,'Anlage 3a_Zusammenfassung_KWKG'!$A1200)</f>
        <v>-1423801</v>
      </c>
      <c r="D1200" s="144">
        <f t="shared" si="46"/>
        <v>2606001</v>
      </c>
      <c r="E1200" s="72" t="s">
        <v>727</v>
      </c>
      <c r="F1200" s="72"/>
      <c r="G1200" s="72"/>
      <c r="H1200" s="72"/>
      <c r="I1200" s="54"/>
    </row>
    <row r="1201" spans="1:9" s="44" customFormat="1" hidden="1" outlineLevel="1">
      <c r="A1201" s="418" t="s">
        <v>728</v>
      </c>
      <c r="B1201" s="543">
        <v>265163</v>
      </c>
      <c r="C1201" s="95">
        <f>SUMIFS('Anlage 1c_Korrekturen_NB'!$D$80:$D$314,'Anlage 1c_Korrekturen_NB'!$A$80:$A$314,'Anlage 3a_Zusammenfassung_KWKG'!$A1201)+SUMIFS('Anlage 1c_Korrekturen_NB'!$F$80:$F$314,'Anlage 1c_Korrekturen_NB'!$A$80:$A$314,'Anlage 3a_Zusammenfassung_KWKG'!$A1201)+SUMIFS('Anlage 1c_Korrekturen_NB'!$H$80:$H$314,'Anlage 1c_Korrekturen_NB'!$A$80:$A$314,'Anlage 3a_Zusammenfassung_KWKG'!$A1201)</f>
        <v>0</v>
      </c>
      <c r="D1201" s="144">
        <f t="shared" si="46"/>
        <v>265163</v>
      </c>
      <c r="E1201" s="72" t="s">
        <v>729</v>
      </c>
      <c r="F1201" s="72"/>
      <c r="G1201" s="72"/>
      <c r="H1201" s="72"/>
      <c r="I1201" s="54"/>
    </row>
    <row r="1202" spans="1:9" s="44" customFormat="1" hidden="1" outlineLevel="1">
      <c r="A1202" s="418" t="s">
        <v>730</v>
      </c>
      <c r="B1202" s="543">
        <v>428849</v>
      </c>
      <c r="C1202" s="95">
        <f>SUMIFS('Anlage 1c_Korrekturen_NB'!$D$80:$D$314,'Anlage 1c_Korrekturen_NB'!$A$80:$A$314,'Anlage 3a_Zusammenfassung_KWKG'!$A1202)+SUMIFS('Anlage 1c_Korrekturen_NB'!$F$80:$F$314,'Anlage 1c_Korrekturen_NB'!$A$80:$A$314,'Anlage 3a_Zusammenfassung_KWKG'!$A1202)+SUMIFS('Anlage 1c_Korrekturen_NB'!$H$80:$H$314,'Anlage 1c_Korrekturen_NB'!$A$80:$A$314,'Anlage 3a_Zusammenfassung_KWKG'!$A1202)</f>
        <v>22524</v>
      </c>
      <c r="D1202" s="144">
        <f t="shared" si="46"/>
        <v>451373</v>
      </c>
      <c r="E1202" s="72" t="s">
        <v>731</v>
      </c>
      <c r="F1202" s="72"/>
      <c r="G1202" s="72"/>
      <c r="H1202" s="72"/>
      <c r="I1202" s="54"/>
    </row>
    <row r="1203" spans="1:9" s="44" customFormat="1" hidden="1" outlineLevel="1">
      <c r="A1203" s="418" t="s">
        <v>732</v>
      </c>
      <c r="B1203" s="543">
        <v>0</v>
      </c>
      <c r="C1203" s="95">
        <f>SUMIFS('Anlage 1c_Korrekturen_NB'!$D$80:$D$314,'Anlage 1c_Korrekturen_NB'!$A$80:$A$314,'Anlage 3a_Zusammenfassung_KWKG'!$A1203)+SUMIFS('Anlage 1c_Korrekturen_NB'!$F$80:$F$314,'Anlage 1c_Korrekturen_NB'!$A$80:$A$314,'Anlage 3a_Zusammenfassung_KWKG'!$A1203)+SUMIFS('Anlage 1c_Korrekturen_NB'!$H$80:$H$314,'Anlage 1c_Korrekturen_NB'!$A$80:$A$314,'Anlage 3a_Zusammenfassung_KWKG'!$A1203)</f>
        <v>0</v>
      </c>
      <c r="D1203" s="144">
        <f t="shared" si="46"/>
        <v>0</v>
      </c>
      <c r="E1203" s="72" t="s">
        <v>733</v>
      </c>
      <c r="F1203" s="72"/>
      <c r="G1203" s="72"/>
      <c r="H1203" s="72"/>
      <c r="I1203" s="54"/>
    </row>
    <row r="1204" spans="1:9" s="44" customFormat="1" hidden="1" outlineLevel="1">
      <c r="A1204" s="418" t="s">
        <v>734</v>
      </c>
      <c r="B1204" s="543">
        <v>7885735</v>
      </c>
      <c r="C1204" s="95">
        <f>SUMIFS('Anlage 1c_Korrekturen_NB'!$D$80:$D$314,'Anlage 1c_Korrekturen_NB'!$A$80:$A$314,'Anlage 3a_Zusammenfassung_KWKG'!$A1204)+SUMIFS('Anlage 1c_Korrekturen_NB'!$F$80:$F$314,'Anlage 1c_Korrekturen_NB'!$A$80:$A$314,'Anlage 3a_Zusammenfassung_KWKG'!$A1204)+SUMIFS('Anlage 1c_Korrekturen_NB'!$H$80:$H$314,'Anlage 1c_Korrekturen_NB'!$A$80:$A$314,'Anlage 3a_Zusammenfassung_KWKG'!$A1204)</f>
        <v>6460</v>
      </c>
      <c r="D1204" s="144">
        <f t="shared" si="46"/>
        <v>7892195</v>
      </c>
      <c r="E1204" s="72" t="s">
        <v>735</v>
      </c>
      <c r="F1204" s="72"/>
      <c r="G1204" s="72"/>
      <c r="H1204" s="72"/>
      <c r="I1204" s="54"/>
    </row>
    <row r="1205" spans="1:9" s="44" customFormat="1" hidden="1" outlineLevel="1">
      <c r="A1205" s="418" t="s">
        <v>736</v>
      </c>
      <c r="B1205" s="543">
        <v>1652441</v>
      </c>
      <c r="C1205" s="95">
        <f>SUMIFS('Anlage 1c_Korrekturen_NB'!$D$80:$D$314,'Anlage 1c_Korrekturen_NB'!$A$80:$A$314,'Anlage 3a_Zusammenfassung_KWKG'!$A1205)+SUMIFS('Anlage 1c_Korrekturen_NB'!$F$80:$F$314,'Anlage 1c_Korrekturen_NB'!$A$80:$A$314,'Anlage 3a_Zusammenfassung_KWKG'!$A1205)+SUMIFS('Anlage 1c_Korrekturen_NB'!$H$80:$H$314,'Anlage 1c_Korrekturen_NB'!$A$80:$A$314,'Anlage 3a_Zusammenfassung_KWKG'!$A1205)</f>
        <v>0</v>
      </c>
      <c r="D1205" s="144">
        <f t="shared" ref="D1205:D1268" si="47">B1205+C1205</f>
        <v>1652441</v>
      </c>
      <c r="E1205" s="72" t="s">
        <v>737</v>
      </c>
      <c r="F1205" s="72"/>
      <c r="G1205" s="72"/>
      <c r="H1205" s="72"/>
      <c r="I1205" s="54"/>
    </row>
    <row r="1206" spans="1:9" s="44" customFormat="1" hidden="1" outlineLevel="1">
      <c r="A1206" s="418" t="s">
        <v>738</v>
      </c>
      <c r="B1206" s="543">
        <v>224103</v>
      </c>
      <c r="C1206" s="95">
        <f>SUMIFS('Anlage 1c_Korrekturen_NB'!$D$80:$D$314,'Anlage 1c_Korrekturen_NB'!$A$80:$A$314,'Anlage 3a_Zusammenfassung_KWKG'!$A1206)+SUMIFS('Anlage 1c_Korrekturen_NB'!$F$80:$F$314,'Anlage 1c_Korrekturen_NB'!$A$80:$A$314,'Anlage 3a_Zusammenfassung_KWKG'!$A1206)+SUMIFS('Anlage 1c_Korrekturen_NB'!$H$80:$H$314,'Anlage 1c_Korrekturen_NB'!$A$80:$A$314,'Anlage 3a_Zusammenfassung_KWKG'!$A1206)</f>
        <v>0</v>
      </c>
      <c r="D1206" s="144">
        <f t="shared" si="47"/>
        <v>224103</v>
      </c>
      <c r="E1206" s="72" t="s">
        <v>739</v>
      </c>
      <c r="F1206" s="72"/>
      <c r="G1206" s="72"/>
      <c r="H1206" s="72"/>
      <c r="I1206" s="54"/>
    </row>
    <row r="1207" spans="1:9" s="44" customFormat="1" hidden="1" outlineLevel="1">
      <c r="A1207" s="418" t="s">
        <v>740</v>
      </c>
      <c r="B1207" s="543">
        <v>0</v>
      </c>
      <c r="C1207" s="95">
        <f>SUMIFS('Anlage 1c_Korrekturen_NB'!$D$80:$D$314,'Anlage 1c_Korrekturen_NB'!$A$80:$A$314,'Anlage 3a_Zusammenfassung_KWKG'!$A1207)+SUMIFS('Anlage 1c_Korrekturen_NB'!$F$80:$F$314,'Anlage 1c_Korrekturen_NB'!$A$80:$A$314,'Anlage 3a_Zusammenfassung_KWKG'!$A1207)+SUMIFS('Anlage 1c_Korrekturen_NB'!$H$80:$H$314,'Anlage 1c_Korrekturen_NB'!$A$80:$A$314,'Anlage 3a_Zusammenfassung_KWKG'!$A1207)</f>
        <v>0</v>
      </c>
      <c r="D1207" s="144">
        <f t="shared" si="47"/>
        <v>0</v>
      </c>
      <c r="E1207" s="72" t="s">
        <v>741</v>
      </c>
      <c r="F1207" s="72"/>
      <c r="G1207" s="72"/>
      <c r="H1207" s="72"/>
      <c r="I1207" s="54"/>
    </row>
    <row r="1208" spans="1:9" s="44" customFormat="1" hidden="1" outlineLevel="1">
      <c r="A1208" s="418" t="s">
        <v>742</v>
      </c>
      <c r="B1208" s="543">
        <v>981528</v>
      </c>
      <c r="C1208" s="95">
        <f>SUMIFS('Anlage 1c_Korrekturen_NB'!$D$80:$D$314,'Anlage 1c_Korrekturen_NB'!$A$80:$A$314,'Anlage 3a_Zusammenfassung_KWKG'!$A1208)+SUMIFS('Anlage 1c_Korrekturen_NB'!$F$80:$F$314,'Anlage 1c_Korrekturen_NB'!$A$80:$A$314,'Anlage 3a_Zusammenfassung_KWKG'!$A1208)+SUMIFS('Anlage 1c_Korrekturen_NB'!$H$80:$H$314,'Anlage 1c_Korrekturen_NB'!$A$80:$A$314,'Anlage 3a_Zusammenfassung_KWKG'!$A1208)</f>
        <v>0</v>
      </c>
      <c r="D1208" s="144">
        <f t="shared" si="47"/>
        <v>981528</v>
      </c>
      <c r="E1208" s="72" t="s">
        <v>743</v>
      </c>
      <c r="F1208" s="72"/>
      <c r="G1208" s="72"/>
      <c r="H1208" s="72"/>
      <c r="I1208" s="54"/>
    </row>
    <row r="1209" spans="1:9" s="44" customFormat="1" hidden="1" outlineLevel="1">
      <c r="A1209" s="418" t="s">
        <v>744</v>
      </c>
      <c r="B1209" s="543">
        <v>1095865</v>
      </c>
      <c r="C1209" s="95">
        <f>SUMIFS('Anlage 1c_Korrekturen_NB'!$D$80:$D$314,'Anlage 1c_Korrekturen_NB'!$A$80:$A$314,'Anlage 3a_Zusammenfassung_KWKG'!$A1209)+SUMIFS('Anlage 1c_Korrekturen_NB'!$F$80:$F$314,'Anlage 1c_Korrekturen_NB'!$A$80:$A$314,'Anlage 3a_Zusammenfassung_KWKG'!$A1209)+SUMIFS('Anlage 1c_Korrekturen_NB'!$H$80:$H$314,'Anlage 1c_Korrekturen_NB'!$A$80:$A$314,'Anlage 3a_Zusammenfassung_KWKG'!$A1209)</f>
        <v>194982</v>
      </c>
      <c r="D1209" s="144">
        <f t="shared" si="47"/>
        <v>1290847</v>
      </c>
      <c r="E1209" s="72" t="s">
        <v>745</v>
      </c>
      <c r="F1209" s="72"/>
      <c r="G1209" s="72"/>
      <c r="H1209" s="72"/>
      <c r="I1209" s="54"/>
    </row>
    <row r="1210" spans="1:9" s="44" customFormat="1" hidden="1" outlineLevel="1">
      <c r="A1210" s="418" t="s">
        <v>746</v>
      </c>
      <c r="B1210" s="543">
        <v>0</v>
      </c>
      <c r="C1210" s="95">
        <f>SUMIFS('Anlage 1c_Korrekturen_NB'!$D$80:$D$314,'Anlage 1c_Korrekturen_NB'!$A$80:$A$314,'Anlage 3a_Zusammenfassung_KWKG'!$A1210)+SUMIFS('Anlage 1c_Korrekturen_NB'!$F$80:$F$314,'Anlage 1c_Korrekturen_NB'!$A$80:$A$314,'Anlage 3a_Zusammenfassung_KWKG'!$A1210)+SUMIFS('Anlage 1c_Korrekturen_NB'!$H$80:$H$314,'Anlage 1c_Korrekturen_NB'!$A$80:$A$314,'Anlage 3a_Zusammenfassung_KWKG'!$A1210)</f>
        <v>0</v>
      </c>
      <c r="D1210" s="144">
        <f t="shared" si="47"/>
        <v>0</v>
      </c>
      <c r="E1210" s="72" t="s">
        <v>747</v>
      </c>
      <c r="F1210" s="72"/>
      <c r="G1210" s="72"/>
      <c r="H1210" s="72"/>
      <c r="I1210" s="54"/>
    </row>
    <row r="1211" spans="1:9" s="44" customFormat="1" hidden="1" outlineLevel="1">
      <c r="A1211" s="418" t="s">
        <v>748</v>
      </c>
      <c r="B1211" s="543">
        <v>640474</v>
      </c>
      <c r="C1211" s="95">
        <f>SUMIFS('Anlage 1c_Korrekturen_NB'!$D$80:$D$314,'Anlage 1c_Korrekturen_NB'!$A$80:$A$314,'Anlage 3a_Zusammenfassung_KWKG'!$A1211)+SUMIFS('Anlage 1c_Korrekturen_NB'!$F$80:$F$314,'Anlage 1c_Korrekturen_NB'!$A$80:$A$314,'Anlage 3a_Zusammenfassung_KWKG'!$A1211)+SUMIFS('Anlage 1c_Korrekturen_NB'!$H$80:$H$314,'Anlage 1c_Korrekturen_NB'!$A$80:$A$314,'Anlage 3a_Zusammenfassung_KWKG'!$A1211)</f>
        <v>0</v>
      </c>
      <c r="D1211" s="144">
        <f t="shared" si="47"/>
        <v>640474</v>
      </c>
      <c r="E1211" s="72" t="s">
        <v>749</v>
      </c>
      <c r="F1211" s="72"/>
      <c r="G1211" s="72"/>
      <c r="H1211" s="72"/>
      <c r="I1211" s="54"/>
    </row>
    <row r="1212" spans="1:9" s="44" customFormat="1" hidden="1" outlineLevel="1">
      <c r="A1212" s="418" t="s">
        <v>750</v>
      </c>
      <c r="B1212" s="543">
        <v>400632</v>
      </c>
      <c r="C1212" s="95">
        <f>SUMIFS('Anlage 1c_Korrekturen_NB'!$D$80:$D$314,'Anlage 1c_Korrekturen_NB'!$A$80:$A$314,'Anlage 3a_Zusammenfassung_KWKG'!$A1212)+SUMIFS('Anlage 1c_Korrekturen_NB'!$F$80:$F$314,'Anlage 1c_Korrekturen_NB'!$A$80:$A$314,'Anlage 3a_Zusammenfassung_KWKG'!$A1212)+SUMIFS('Anlage 1c_Korrekturen_NB'!$H$80:$H$314,'Anlage 1c_Korrekturen_NB'!$A$80:$A$314,'Anlage 3a_Zusammenfassung_KWKG'!$A1212)</f>
        <v>0</v>
      </c>
      <c r="D1212" s="144">
        <f t="shared" si="47"/>
        <v>400632</v>
      </c>
      <c r="E1212" s="72" t="s">
        <v>751</v>
      </c>
      <c r="F1212" s="72"/>
      <c r="G1212" s="72"/>
      <c r="H1212" s="72"/>
      <c r="I1212" s="54"/>
    </row>
    <row r="1213" spans="1:9" s="44" customFormat="1" hidden="1" outlineLevel="1">
      <c r="A1213" s="418" t="s">
        <v>752</v>
      </c>
      <c r="B1213" s="543">
        <v>5422551</v>
      </c>
      <c r="C1213" s="95">
        <f>SUMIFS('Anlage 1c_Korrekturen_NB'!$D$80:$D$314,'Anlage 1c_Korrekturen_NB'!$A$80:$A$314,'Anlage 3a_Zusammenfassung_KWKG'!$A1213)+SUMIFS('Anlage 1c_Korrekturen_NB'!$F$80:$F$314,'Anlage 1c_Korrekturen_NB'!$A$80:$A$314,'Anlage 3a_Zusammenfassung_KWKG'!$A1213)+SUMIFS('Anlage 1c_Korrekturen_NB'!$H$80:$H$314,'Anlage 1c_Korrekturen_NB'!$A$80:$A$314,'Anlage 3a_Zusammenfassung_KWKG'!$A1213)</f>
        <v>0</v>
      </c>
      <c r="D1213" s="144">
        <f t="shared" si="47"/>
        <v>5422551</v>
      </c>
      <c r="E1213" s="72" t="s">
        <v>753</v>
      </c>
      <c r="F1213" s="72"/>
      <c r="G1213" s="72"/>
      <c r="H1213" s="72"/>
      <c r="I1213" s="54"/>
    </row>
    <row r="1214" spans="1:9" s="44" customFormat="1" hidden="1" outlineLevel="1">
      <c r="A1214" s="418" t="s">
        <v>754</v>
      </c>
      <c r="B1214" s="543">
        <v>722733396</v>
      </c>
      <c r="C1214" s="95">
        <f>SUMIFS('Anlage 1c_Korrekturen_NB'!$D$80:$D$314,'Anlage 1c_Korrekturen_NB'!$A$80:$A$314,'Anlage 3a_Zusammenfassung_KWKG'!$A1214)+SUMIFS('Anlage 1c_Korrekturen_NB'!$F$80:$F$314,'Anlage 1c_Korrekturen_NB'!$A$80:$A$314,'Anlage 3a_Zusammenfassung_KWKG'!$A1214)+SUMIFS('Anlage 1c_Korrekturen_NB'!$H$80:$H$314,'Anlage 1c_Korrekturen_NB'!$A$80:$A$314,'Anlage 3a_Zusammenfassung_KWKG'!$A1214)</f>
        <v>0</v>
      </c>
      <c r="D1214" s="144">
        <f t="shared" si="47"/>
        <v>722733396</v>
      </c>
      <c r="E1214" s="72" t="s">
        <v>755</v>
      </c>
      <c r="F1214" s="72"/>
      <c r="G1214" s="72"/>
      <c r="H1214" s="72"/>
      <c r="I1214" s="54"/>
    </row>
    <row r="1215" spans="1:9" s="44" customFormat="1" hidden="1" outlineLevel="1">
      <c r="A1215" s="418" t="s">
        <v>756</v>
      </c>
      <c r="B1215" s="543">
        <v>4961366</v>
      </c>
      <c r="C1215" s="95">
        <f>SUMIFS('Anlage 1c_Korrekturen_NB'!$D$80:$D$314,'Anlage 1c_Korrekturen_NB'!$A$80:$A$314,'Anlage 3a_Zusammenfassung_KWKG'!$A1215)+SUMIFS('Anlage 1c_Korrekturen_NB'!$F$80:$F$314,'Anlage 1c_Korrekturen_NB'!$A$80:$A$314,'Anlage 3a_Zusammenfassung_KWKG'!$A1215)+SUMIFS('Anlage 1c_Korrekturen_NB'!$H$80:$H$314,'Anlage 1c_Korrekturen_NB'!$A$80:$A$314,'Anlage 3a_Zusammenfassung_KWKG'!$A1215)</f>
        <v>0</v>
      </c>
      <c r="D1215" s="144">
        <f t="shared" si="47"/>
        <v>4961366</v>
      </c>
      <c r="E1215" s="72" t="s">
        <v>610</v>
      </c>
      <c r="F1215" s="72"/>
      <c r="G1215" s="72"/>
      <c r="H1215" s="72"/>
      <c r="I1215" s="54"/>
    </row>
    <row r="1216" spans="1:9" s="44" customFormat="1" hidden="1" outlineLevel="1">
      <c r="A1216" s="418" t="s">
        <v>757</v>
      </c>
      <c r="B1216" s="543">
        <v>0</v>
      </c>
      <c r="C1216" s="95">
        <f>SUMIFS('Anlage 1c_Korrekturen_NB'!$D$80:$D$314,'Anlage 1c_Korrekturen_NB'!$A$80:$A$314,'Anlage 3a_Zusammenfassung_KWKG'!$A1216)+SUMIFS('Anlage 1c_Korrekturen_NB'!$F$80:$F$314,'Anlage 1c_Korrekturen_NB'!$A$80:$A$314,'Anlage 3a_Zusammenfassung_KWKG'!$A1216)+SUMIFS('Anlage 1c_Korrekturen_NB'!$H$80:$H$314,'Anlage 1c_Korrekturen_NB'!$A$80:$A$314,'Anlage 3a_Zusammenfassung_KWKG'!$A1216)</f>
        <v>0</v>
      </c>
      <c r="D1216" s="144">
        <f t="shared" si="47"/>
        <v>0</v>
      </c>
      <c r="E1216" s="72" t="s">
        <v>758</v>
      </c>
      <c r="F1216" s="72"/>
      <c r="G1216" s="72"/>
      <c r="H1216" s="72"/>
      <c r="I1216" s="54"/>
    </row>
    <row r="1217" spans="1:9" s="44" customFormat="1" hidden="1" outlineLevel="1">
      <c r="A1217" s="418" t="s">
        <v>759</v>
      </c>
      <c r="B1217" s="543">
        <v>1414292</v>
      </c>
      <c r="C1217" s="95">
        <f>SUMIFS('Anlage 1c_Korrekturen_NB'!$D$80:$D$314,'Anlage 1c_Korrekturen_NB'!$A$80:$A$314,'Anlage 3a_Zusammenfassung_KWKG'!$A1217)+SUMIFS('Anlage 1c_Korrekturen_NB'!$F$80:$F$314,'Anlage 1c_Korrekturen_NB'!$A$80:$A$314,'Anlage 3a_Zusammenfassung_KWKG'!$A1217)+SUMIFS('Anlage 1c_Korrekturen_NB'!$H$80:$H$314,'Anlage 1c_Korrekturen_NB'!$A$80:$A$314,'Anlage 3a_Zusammenfassung_KWKG'!$A1217)</f>
        <v>-14099</v>
      </c>
      <c r="D1217" s="144">
        <f t="shared" si="47"/>
        <v>1400193</v>
      </c>
      <c r="E1217" s="72" t="s">
        <v>760</v>
      </c>
      <c r="F1217" s="72"/>
      <c r="G1217" s="72"/>
      <c r="H1217" s="72"/>
      <c r="I1217" s="54"/>
    </row>
    <row r="1218" spans="1:9" s="44" customFormat="1" hidden="1" outlineLevel="1">
      <c r="A1218" s="418" t="s">
        <v>761</v>
      </c>
      <c r="B1218" s="543">
        <v>18614353</v>
      </c>
      <c r="C1218" s="95">
        <f>SUMIFS('Anlage 1c_Korrekturen_NB'!$D$80:$D$314,'Anlage 1c_Korrekturen_NB'!$A$80:$A$314,'Anlage 3a_Zusammenfassung_KWKG'!$A1218)+SUMIFS('Anlage 1c_Korrekturen_NB'!$F$80:$F$314,'Anlage 1c_Korrekturen_NB'!$A$80:$A$314,'Anlage 3a_Zusammenfassung_KWKG'!$A1218)+SUMIFS('Anlage 1c_Korrekturen_NB'!$H$80:$H$314,'Anlage 1c_Korrekturen_NB'!$A$80:$A$314,'Anlage 3a_Zusammenfassung_KWKG'!$A1218)</f>
        <v>0</v>
      </c>
      <c r="D1218" s="144">
        <f t="shared" si="47"/>
        <v>18614353</v>
      </c>
      <c r="E1218" s="72" t="s">
        <v>762</v>
      </c>
      <c r="F1218" s="72"/>
      <c r="G1218" s="72"/>
      <c r="H1218" s="72"/>
      <c r="I1218" s="54"/>
    </row>
    <row r="1219" spans="1:9" s="44" customFormat="1" hidden="1" outlineLevel="1">
      <c r="A1219" s="418" t="s">
        <v>763</v>
      </c>
      <c r="B1219" s="543">
        <v>1831260</v>
      </c>
      <c r="C1219" s="95">
        <f>SUMIFS('Anlage 1c_Korrekturen_NB'!$D$80:$D$314,'Anlage 1c_Korrekturen_NB'!$A$80:$A$314,'Anlage 3a_Zusammenfassung_KWKG'!$A1219)+SUMIFS('Anlage 1c_Korrekturen_NB'!$F$80:$F$314,'Anlage 1c_Korrekturen_NB'!$A$80:$A$314,'Anlage 3a_Zusammenfassung_KWKG'!$A1219)+SUMIFS('Anlage 1c_Korrekturen_NB'!$H$80:$H$314,'Anlage 1c_Korrekturen_NB'!$A$80:$A$314,'Anlage 3a_Zusammenfassung_KWKG'!$A1219)</f>
        <v>0</v>
      </c>
      <c r="D1219" s="144">
        <f t="shared" si="47"/>
        <v>1831260</v>
      </c>
      <c r="E1219" s="72" t="s">
        <v>764</v>
      </c>
      <c r="F1219" s="72"/>
      <c r="G1219" s="72"/>
      <c r="H1219" s="72"/>
      <c r="I1219" s="54"/>
    </row>
    <row r="1220" spans="1:9" s="44" customFormat="1" hidden="1" outlineLevel="1">
      <c r="A1220" s="418" t="s">
        <v>765</v>
      </c>
      <c r="B1220" s="543">
        <v>398919</v>
      </c>
      <c r="C1220" s="95">
        <f>SUMIFS('Anlage 1c_Korrekturen_NB'!$D$80:$D$314,'Anlage 1c_Korrekturen_NB'!$A$80:$A$314,'Anlage 3a_Zusammenfassung_KWKG'!$A1220)+SUMIFS('Anlage 1c_Korrekturen_NB'!$F$80:$F$314,'Anlage 1c_Korrekturen_NB'!$A$80:$A$314,'Anlage 3a_Zusammenfassung_KWKG'!$A1220)+SUMIFS('Anlage 1c_Korrekturen_NB'!$H$80:$H$314,'Anlage 1c_Korrekturen_NB'!$A$80:$A$314,'Anlage 3a_Zusammenfassung_KWKG'!$A1220)</f>
        <v>2028937</v>
      </c>
      <c r="D1220" s="144">
        <f t="shared" si="47"/>
        <v>2427856</v>
      </c>
      <c r="E1220" s="72" t="s">
        <v>766</v>
      </c>
      <c r="F1220" s="72"/>
      <c r="G1220" s="72"/>
      <c r="H1220" s="72"/>
      <c r="I1220" s="54"/>
    </row>
    <row r="1221" spans="1:9" s="44" customFormat="1" hidden="1" outlineLevel="1">
      <c r="A1221" s="418" t="s">
        <v>767</v>
      </c>
      <c r="B1221" s="543">
        <v>676908</v>
      </c>
      <c r="C1221" s="95">
        <f>SUMIFS('Anlage 1c_Korrekturen_NB'!$D$80:$D$314,'Anlage 1c_Korrekturen_NB'!$A$80:$A$314,'Anlage 3a_Zusammenfassung_KWKG'!$A1221)+SUMIFS('Anlage 1c_Korrekturen_NB'!$F$80:$F$314,'Anlage 1c_Korrekturen_NB'!$A$80:$A$314,'Anlage 3a_Zusammenfassung_KWKG'!$A1221)+SUMIFS('Anlage 1c_Korrekturen_NB'!$H$80:$H$314,'Anlage 1c_Korrekturen_NB'!$A$80:$A$314,'Anlage 3a_Zusammenfassung_KWKG'!$A1221)</f>
        <v>0</v>
      </c>
      <c r="D1221" s="144">
        <f t="shared" si="47"/>
        <v>676908</v>
      </c>
      <c r="E1221" s="72" t="s">
        <v>768</v>
      </c>
      <c r="F1221" s="72"/>
      <c r="G1221" s="72"/>
      <c r="H1221" s="72"/>
      <c r="I1221" s="54"/>
    </row>
    <row r="1222" spans="1:9" s="44" customFormat="1" hidden="1" outlineLevel="1">
      <c r="A1222" s="418" t="s">
        <v>769</v>
      </c>
      <c r="B1222" s="543">
        <v>896297</v>
      </c>
      <c r="C1222" s="95">
        <f>SUMIFS('Anlage 1c_Korrekturen_NB'!$D$80:$D$314,'Anlage 1c_Korrekturen_NB'!$A$80:$A$314,'Anlage 3a_Zusammenfassung_KWKG'!$A1222)+SUMIFS('Anlage 1c_Korrekturen_NB'!$F$80:$F$314,'Anlage 1c_Korrekturen_NB'!$A$80:$A$314,'Anlage 3a_Zusammenfassung_KWKG'!$A1222)+SUMIFS('Anlage 1c_Korrekturen_NB'!$H$80:$H$314,'Anlage 1c_Korrekturen_NB'!$A$80:$A$314,'Anlage 3a_Zusammenfassung_KWKG'!$A1222)</f>
        <v>0</v>
      </c>
      <c r="D1222" s="144">
        <f t="shared" si="47"/>
        <v>896297</v>
      </c>
      <c r="E1222" s="72" t="s">
        <v>770</v>
      </c>
      <c r="F1222" s="72"/>
      <c r="G1222" s="72"/>
      <c r="H1222" s="72"/>
      <c r="I1222" s="54"/>
    </row>
    <row r="1223" spans="1:9" s="44" customFormat="1" hidden="1" outlineLevel="1">
      <c r="A1223" s="418" t="s">
        <v>771</v>
      </c>
      <c r="B1223" s="543">
        <v>908998</v>
      </c>
      <c r="C1223" s="95">
        <f>SUMIFS('Anlage 1c_Korrekturen_NB'!$D$80:$D$314,'Anlage 1c_Korrekturen_NB'!$A$80:$A$314,'Anlage 3a_Zusammenfassung_KWKG'!$A1223)+SUMIFS('Anlage 1c_Korrekturen_NB'!$F$80:$F$314,'Anlage 1c_Korrekturen_NB'!$A$80:$A$314,'Anlage 3a_Zusammenfassung_KWKG'!$A1223)+SUMIFS('Anlage 1c_Korrekturen_NB'!$H$80:$H$314,'Anlage 1c_Korrekturen_NB'!$A$80:$A$314,'Anlage 3a_Zusammenfassung_KWKG'!$A1223)</f>
        <v>0</v>
      </c>
      <c r="D1223" s="144">
        <f t="shared" si="47"/>
        <v>908998</v>
      </c>
      <c r="E1223" s="72" t="s">
        <v>772</v>
      </c>
      <c r="F1223" s="72"/>
      <c r="G1223" s="72"/>
      <c r="H1223" s="72"/>
      <c r="I1223" s="54"/>
    </row>
    <row r="1224" spans="1:9" s="44" customFormat="1" hidden="1" outlineLevel="1">
      <c r="A1224" s="418" t="s">
        <v>773</v>
      </c>
      <c r="B1224" s="543">
        <v>11976431</v>
      </c>
      <c r="C1224" s="95">
        <f>SUMIFS('Anlage 1c_Korrekturen_NB'!$D$80:$D$314,'Anlage 1c_Korrekturen_NB'!$A$80:$A$314,'Anlage 3a_Zusammenfassung_KWKG'!$A1224)+SUMIFS('Anlage 1c_Korrekturen_NB'!$F$80:$F$314,'Anlage 1c_Korrekturen_NB'!$A$80:$A$314,'Anlage 3a_Zusammenfassung_KWKG'!$A1224)+SUMIFS('Anlage 1c_Korrekturen_NB'!$H$80:$H$314,'Anlage 1c_Korrekturen_NB'!$A$80:$A$314,'Anlage 3a_Zusammenfassung_KWKG'!$A1224)</f>
        <v>14904698</v>
      </c>
      <c r="D1224" s="144">
        <f t="shared" si="47"/>
        <v>26881129</v>
      </c>
      <c r="E1224" s="72" t="s">
        <v>774</v>
      </c>
      <c r="F1224" s="72"/>
      <c r="G1224" s="72"/>
      <c r="H1224" s="72"/>
      <c r="I1224" s="54"/>
    </row>
    <row r="1225" spans="1:9" s="44" customFormat="1" hidden="1" outlineLevel="1">
      <c r="A1225" s="418" t="s">
        <v>356</v>
      </c>
      <c r="B1225" s="543">
        <v>0</v>
      </c>
      <c r="C1225" s="95">
        <f>SUMIFS('Anlage 1c_Korrekturen_NB'!$D$80:$D$314,'Anlage 1c_Korrekturen_NB'!$A$80:$A$314,'Anlage 3a_Zusammenfassung_KWKG'!$A1225)+SUMIFS('Anlage 1c_Korrekturen_NB'!$F$80:$F$314,'Anlage 1c_Korrekturen_NB'!$A$80:$A$314,'Anlage 3a_Zusammenfassung_KWKG'!$A1225)+SUMIFS('Anlage 1c_Korrekturen_NB'!$H$80:$H$314,'Anlage 1c_Korrekturen_NB'!$A$80:$A$314,'Anlage 3a_Zusammenfassung_KWKG'!$A1225)</f>
        <v>0</v>
      </c>
      <c r="D1225" s="144">
        <f t="shared" si="47"/>
        <v>0</v>
      </c>
      <c r="E1225" s="72" t="s">
        <v>357</v>
      </c>
      <c r="F1225" s="72"/>
      <c r="G1225" s="72"/>
      <c r="H1225" s="72"/>
      <c r="I1225" s="54"/>
    </row>
    <row r="1226" spans="1:9" s="44" customFormat="1" hidden="1" outlineLevel="1">
      <c r="A1226" s="418" t="s">
        <v>775</v>
      </c>
      <c r="B1226" s="543">
        <v>19131177</v>
      </c>
      <c r="C1226" s="95">
        <f>SUMIFS('Anlage 1c_Korrekturen_NB'!$D$80:$D$314,'Anlage 1c_Korrekturen_NB'!$A$80:$A$314,'Anlage 3a_Zusammenfassung_KWKG'!$A1226)+SUMIFS('Anlage 1c_Korrekturen_NB'!$F$80:$F$314,'Anlage 1c_Korrekturen_NB'!$A$80:$A$314,'Anlage 3a_Zusammenfassung_KWKG'!$A1226)+SUMIFS('Anlage 1c_Korrekturen_NB'!$H$80:$H$314,'Anlage 1c_Korrekturen_NB'!$A$80:$A$314,'Anlage 3a_Zusammenfassung_KWKG'!$A1226)</f>
        <v>-45650</v>
      </c>
      <c r="D1226" s="144">
        <f t="shared" si="47"/>
        <v>19085527</v>
      </c>
      <c r="E1226" s="72" t="s">
        <v>776</v>
      </c>
      <c r="F1226" s="72"/>
      <c r="G1226" s="72"/>
      <c r="H1226" s="72"/>
      <c r="I1226" s="54"/>
    </row>
    <row r="1227" spans="1:9" s="44" customFormat="1" hidden="1" outlineLevel="1">
      <c r="A1227" s="418" t="s">
        <v>777</v>
      </c>
      <c r="B1227" s="543">
        <v>5647935</v>
      </c>
      <c r="C1227" s="95">
        <f>SUMIFS('Anlage 1c_Korrekturen_NB'!$D$80:$D$314,'Anlage 1c_Korrekturen_NB'!$A$80:$A$314,'Anlage 3a_Zusammenfassung_KWKG'!$A1227)+SUMIFS('Anlage 1c_Korrekturen_NB'!$F$80:$F$314,'Anlage 1c_Korrekturen_NB'!$A$80:$A$314,'Anlage 3a_Zusammenfassung_KWKG'!$A1227)+SUMIFS('Anlage 1c_Korrekturen_NB'!$H$80:$H$314,'Anlage 1c_Korrekturen_NB'!$A$80:$A$314,'Anlage 3a_Zusammenfassung_KWKG'!$A1227)</f>
        <v>953248</v>
      </c>
      <c r="D1227" s="144">
        <f t="shared" si="47"/>
        <v>6601183</v>
      </c>
      <c r="E1227" s="72" t="s">
        <v>778</v>
      </c>
      <c r="F1227" s="72"/>
      <c r="G1227" s="72"/>
      <c r="H1227" s="72"/>
      <c r="I1227" s="54"/>
    </row>
    <row r="1228" spans="1:9" s="44" customFormat="1" hidden="1" outlineLevel="1">
      <c r="A1228" s="418" t="s">
        <v>360</v>
      </c>
      <c r="B1228" s="543">
        <v>0</v>
      </c>
      <c r="C1228" s="95">
        <f>SUMIFS('Anlage 1c_Korrekturen_NB'!$D$80:$D$314,'Anlage 1c_Korrekturen_NB'!$A$80:$A$314,'Anlage 3a_Zusammenfassung_KWKG'!$A1228)+SUMIFS('Anlage 1c_Korrekturen_NB'!$F$80:$F$314,'Anlage 1c_Korrekturen_NB'!$A$80:$A$314,'Anlage 3a_Zusammenfassung_KWKG'!$A1228)+SUMIFS('Anlage 1c_Korrekturen_NB'!$H$80:$H$314,'Anlage 1c_Korrekturen_NB'!$A$80:$A$314,'Anlage 3a_Zusammenfassung_KWKG'!$A1228)</f>
        <v>0</v>
      </c>
      <c r="D1228" s="144">
        <f t="shared" si="47"/>
        <v>0</v>
      </c>
      <c r="E1228" s="72" t="s">
        <v>361</v>
      </c>
      <c r="F1228" s="72"/>
      <c r="G1228" s="72"/>
      <c r="H1228" s="72"/>
      <c r="I1228" s="54"/>
    </row>
    <row r="1229" spans="1:9" s="44" customFormat="1" hidden="1" outlineLevel="1">
      <c r="A1229" s="418" t="s">
        <v>779</v>
      </c>
      <c r="B1229" s="543">
        <v>715352</v>
      </c>
      <c r="C1229" s="95">
        <f>SUMIFS('Anlage 1c_Korrekturen_NB'!$D$80:$D$314,'Anlage 1c_Korrekturen_NB'!$A$80:$A$314,'Anlage 3a_Zusammenfassung_KWKG'!$A1229)+SUMIFS('Anlage 1c_Korrekturen_NB'!$F$80:$F$314,'Anlage 1c_Korrekturen_NB'!$A$80:$A$314,'Anlage 3a_Zusammenfassung_KWKG'!$A1229)+SUMIFS('Anlage 1c_Korrekturen_NB'!$H$80:$H$314,'Anlage 1c_Korrekturen_NB'!$A$80:$A$314,'Anlage 3a_Zusammenfassung_KWKG'!$A1229)</f>
        <v>9959</v>
      </c>
      <c r="D1229" s="144">
        <f t="shared" si="47"/>
        <v>725311</v>
      </c>
      <c r="E1229" s="72" t="s">
        <v>780</v>
      </c>
      <c r="F1229" s="72"/>
      <c r="G1229" s="72"/>
      <c r="H1229" s="72"/>
      <c r="I1229" s="54"/>
    </row>
    <row r="1230" spans="1:9" s="44" customFormat="1" hidden="1" outlineLevel="1">
      <c r="A1230" s="418" t="s">
        <v>781</v>
      </c>
      <c r="B1230" s="543">
        <v>3145978</v>
      </c>
      <c r="C1230" s="95">
        <f>SUMIFS('Anlage 1c_Korrekturen_NB'!$D$80:$D$314,'Anlage 1c_Korrekturen_NB'!$A$80:$A$314,'Anlage 3a_Zusammenfassung_KWKG'!$A1230)+SUMIFS('Anlage 1c_Korrekturen_NB'!$F$80:$F$314,'Anlage 1c_Korrekturen_NB'!$A$80:$A$314,'Anlage 3a_Zusammenfassung_KWKG'!$A1230)+SUMIFS('Anlage 1c_Korrekturen_NB'!$H$80:$H$314,'Anlage 1c_Korrekturen_NB'!$A$80:$A$314,'Anlage 3a_Zusammenfassung_KWKG'!$A1230)</f>
        <v>0</v>
      </c>
      <c r="D1230" s="144">
        <f t="shared" si="47"/>
        <v>3145978</v>
      </c>
      <c r="E1230" s="72" t="s">
        <v>782</v>
      </c>
      <c r="F1230" s="72"/>
      <c r="G1230" s="72"/>
      <c r="H1230" s="72"/>
      <c r="I1230" s="54"/>
    </row>
    <row r="1231" spans="1:9" s="44" customFormat="1" hidden="1" outlineLevel="1">
      <c r="A1231" s="418" t="s">
        <v>783</v>
      </c>
      <c r="B1231" s="543">
        <v>330695</v>
      </c>
      <c r="C1231" s="95">
        <f>SUMIFS('Anlage 1c_Korrekturen_NB'!$D$80:$D$314,'Anlage 1c_Korrekturen_NB'!$A$80:$A$314,'Anlage 3a_Zusammenfassung_KWKG'!$A1231)+SUMIFS('Anlage 1c_Korrekturen_NB'!$F$80:$F$314,'Anlage 1c_Korrekturen_NB'!$A$80:$A$314,'Anlage 3a_Zusammenfassung_KWKG'!$A1231)+SUMIFS('Anlage 1c_Korrekturen_NB'!$H$80:$H$314,'Anlage 1c_Korrekturen_NB'!$A$80:$A$314,'Anlage 3a_Zusammenfassung_KWKG'!$A1231)</f>
        <v>0</v>
      </c>
      <c r="D1231" s="144">
        <f t="shared" si="47"/>
        <v>330695</v>
      </c>
      <c r="E1231" s="72" t="s">
        <v>784</v>
      </c>
      <c r="F1231" s="72"/>
      <c r="G1231" s="72"/>
      <c r="H1231" s="72"/>
      <c r="I1231" s="54"/>
    </row>
    <row r="1232" spans="1:9" s="44" customFormat="1" hidden="1" outlineLevel="1">
      <c r="A1232" s="418" t="s">
        <v>785</v>
      </c>
      <c r="B1232" s="543">
        <v>132521052</v>
      </c>
      <c r="C1232" s="95">
        <f>SUMIFS('Anlage 1c_Korrekturen_NB'!$D$80:$D$314,'Anlage 1c_Korrekturen_NB'!$A$80:$A$314,'Anlage 3a_Zusammenfassung_KWKG'!$A1232)+SUMIFS('Anlage 1c_Korrekturen_NB'!$F$80:$F$314,'Anlage 1c_Korrekturen_NB'!$A$80:$A$314,'Anlage 3a_Zusammenfassung_KWKG'!$A1232)+SUMIFS('Anlage 1c_Korrekturen_NB'!$H$80:$H$314,'Anlage 1c_Korrekturen_NB'!$A$80:$A$314,'Anlage 3a_Zusammenfassung_KWKG'!$A1232)</f>
        <v>39617502</v>
      </c>
      <c r="D1232" s="144">
        <f t="shared" si="47"/>
        <v>172138554</v>
      </c>
      <c r="E1232" s="72" t="s">
        <v>786</v>
      </c>
      <c r="F1232" s="72"/>
      <c r="G1232" s="72"/>
      <c r="H1232" s="72"/>
      <c r="I1232" s="54"/>
    </row>
    <row r="1233" spans="1:9" s="44" customFormat="1" hidden="1" outlineLevel="1">
      <c r="A1233" s="418" t="s">
        <v>787</v>
      </c>
      <c r="B1233" s="543">
        <v>6394086</v>
      </c>
      <c r="C1233" s="95">
        <f>SUMIFS('Anlage 1c_Korrekturen_NB'!$D$80:$D$314,'Anlage 1c_Korrekturen_NB'!$A$80:$A$314,'Anlage 3a_Zusammenfassung_KWKG'!$A1233)+SUMIFS('Anlage 1c_Korrekturen_NB'!$F$80:$F$314,'Anlage 1c_Korrekturen_NB'!$A$80:$A$314,'Anlage 3a_Zusammenfassung_KWKG'!$A1233)+SUMIFS('Anlage 1c_Korrekturen_NB'!$H$80:$H$314,'Anlage 1c_Korrekturen_NB'!$A$80:$A$314,'Anlage 3a_Zusammenfassung_KWKG'!$A1233)</f>
        <v>11803</v>
      </c>
      <c r="D1233" s="144">
        <f t="shared" si="47"/>
        <v>6405889</v>
      </c>
      <c r="E1233" s="72" t="s">
        <v>788</v>
      </c>
      <c r="F1233" s="72"/>
      <c r="G1233" s="72"/>
      <c r="H1233" s="72"/>
      <c r="I1233" s="54"/>
    </row>
    <row r="1234" spans="1:9" s="44" customFormat="1" hidden="1" outlineLevel="1">
      <c r="A1234" s="418" t="s">
        <v>789</v>
      </c>
      <c r="B1234" s="543">
        <v>0</v>
      </c>
      <c r="C1234" s="95">
        <f>SUMIFS('Anlage 1c_Korrekturen_NB'!$D$80:$D$314,'Anlage 1c_Korrekturen_NB'!$A$80:$A$314,'Anlage 3a_Zusammenfassung_KWKG'!$A1234)+SUMIFS('Anlage 1c_Korrekturen_NB'!$F$80:$F$314,'Anlage 1c_Korrekturen_NB'!$A$80:$A$314,'Anlage 3a_Zusammenfassung_KWKG'!$A1234)+SUMIFS('Anlage 1c_Korrekturen_NB'!$H$80:$H$314,'Anlage 1c_Korrekturen_NB'!$A$80:$A$314,'Anlage 3a_Zusammenfassung_KWKG'!$A1234)</f>
        <v>0</v>
      </c>
      <c r="D1234" s="144">
        <f t="shared" si="47"/>
        <v>0</v>
      </c>
      <c r="E1234" s="72" t="s">
        <v>790</v>
      </c>
      <c r="F1234" s="72"/>
      <c r="G1234" s="72"/>
      <c r="H1234" s="72"/>
      <c r="I1234" s="54"/>
    </row>
    <row r="1235" spans="1:9" s="44" customFormat="1" hidden="1" outlineLevel="1">
      <c r="A1235" s="418" t="s">
        <v>791</v>
      </c>
      <c r="B1235" s="543">
        <v>24360347</v>
      </c>
      <c r="C1235" s="95">
        <f>SUMIFS('Anlage 1c_Korrekturen_NB'!$D$80:$D$314,'Anlage 1c_Korrekturen_NB'!$A$80:$A$314,'Anlage 3a_Zusammenfassung_KWKG'!$A1235)+SUMIFS('Anlage 1c_Korrekturen_NB'!$F$80:$F$314,'Anlage 1c_Korrekturen_NB'!$A$80:$A$314,'Anlage 3a_Zusammenfassung_KWKG'!$A1235)+SUMIFS('Anlage 1c_Korrekturen_NB'!$H$80:$H$314,'Anlage 1c_Korrekturen_NB'!$A$80:$A$314,'Anlage 3a_Zusammenfassung_KWKG'!$A1235)</f>
        <v>50072</v>
      </c>
      <c r="D1235" s="144">
        <f t="shared" si="47"/>
        <v>24410419</v>
      </c>
      <c r="E1235" s="72" t="s">
        <v>792</v>
      </c>
      <c r="F1235" s="72"/>
      <c r="G1235" s="72"/>
      <c r="H1235" s="72"/>
      <c r="I1235" s="54"/>
    </row>
    <row r="1236" spans="1:9" s="44" customFormat="1" hidden="1" outlineLevel="1">
      <c r="A1236" s="418" t="s">
        <v>793</v>
      </c>
      <c r="B1236" s="543">
        <v>843101</v>
      </c>
      <c r="C1236" s="95">
        <f>SUMIFS('Anlage 1c_Korrekturen_NB'!$D$80:$D$314,'Anlage 1c_Korrekturen_NB'!$A$80:$A$314,'Anlage 3a_Zusammenfassung_KWKG'!$A1236)+SUMIFS('Anlage 1c_Korrekturen_NB'!$F$80:$F$314,'Anlage 1c_Korrekturen_NB'!$A$80:$A$314,'Anlage 3a_Zusammenfassung_KWKG'!$A1236)+SUMIFS('Anlage 1c_Korrekturen_NB'!$H$80:$H$314,'Anlage 1c_Korrekturen_NB'!$A$80:$A$314,'Anlage 3a_Zusammenfassung_KWKG'!$A1236)</f>
        <v>0</v>
      </c>
      <c r="D1236" s="144">
        <f t="shared" si="47"/>
        <v>843101</v>
      </c>
      <c r="E1236" s="72" t="s">
        <v>794</v>
      </c>
      <c r="F1236" s="72"/>
      <c r="G1236" s="72"/>
      <c r="H1236" s="72"/>
      <c r="I1236" s="54"/>
    </row>
    <row r="1237" spans="1:9" s="44" customFormat="1" hidden="1" outlineLevel="1">
      <c r="A1237" s="418" t="s">
        <v>795</v>
      </c>
      <c r="B1237" s="543">
        <v>1864156</v>
      </c>
      <c r="C1237" s="95">
        <f>SUMIFS('Anlage 1c_Korrekturen_NB'!$D$80:$D$314,'Anlage 1c_Korrekturen_NB'!$A$80:$A$314,'Anlage 3a_Zusammenfassung_KWKG'!$A1237)+SUMIFS('Anlage 1c_Korrekturen_NB'!$F$80:$F$314,'Anlage 1c_Korrekturen_NB'!$A$80:$A$314,'Anlage 3a_Zusammenfassung_KWKG'!$A1237)+SUMIFS('Anlage 1c_Korrekturen_NB'!$H$80:$H$314,'Anlage 1c_Korrekturen_NB'!$A$80:$A$314,'Anlage 3a_Zusammenfassung_KWKG'!$A1237)</f>
        <v>0</v>
      </c>
      <c r="D1237" s="144">
        <f t="shared" si="47"/>
        <v>1864156</v>
      </c>
      <c r="E1237" s="72" t="s">
        <v>796</v>
      </c>
      <c r="F1237" s="72"/>
      <c r="G1237" s="72"/>
      <c r="H1237" s="72"/>
      <c r="I1237" s="54"/>
    </row>
    <row r="1238" spans="1:9" s="44" customFormat="1" hidden="1" outlineLevel="1">
      <c r="A1238" s="418" t="s">
        <v>797</v>
      </c>
      <c r="B1238" s="543">
        <v>165397</v>
      </c>
      <c r="C1238" s="95">
        <f>SUMIFS('Anlage 1c_Korrekturen_NB'!$D$80:$D$314,'Anlage 1c_Korrekturen_NB'!$A$80:$A$314,'Anlage 3a_Zusammenfassung_KWKG'!$A1238)+SUMIFS('Anlage 1c_Korrekturen_NB'!$F$80:$F$314,'Anlage 1c_Korrekturen_NB'!$A$80:$A$314,'Anlage 3a_Zusammenfassung_KWKG'!$A1238)+SUMIFS('Anlage 1c_Korrekturen_NB'!$H$80:$H$314,'Anlage 1c_Korrekturen_NB'!$A$80:$A$314,'Anlage 3a_Zusammenfassung_KWKG'!$A1238)</f>
        <v>0</v>
      </c>
      <c r="D1238" s="144">
        <f t="shared" si="47"/>
        <v>165397</v>
      </c>
      <c r="E1238" s="72" t="s">
        <v>798</v>
      </c>
      <c r="F1238" s="72"/>
      <c r="G1238" s="72"/>
      <c r="H1238" s="72"/>
      <c r="I1238" s="54"/>
    </row>
    <row r="1239" spans="1:9" s="44" customFormat="1" hidden="1" outlineLevel="1">
      <c r="A1239" s="418" t="s">
        <v>799</v>
      </c>
      <c r="B1239" s="543">
        <v>4561</v>
      </c>
      <c r="C1239" s="95">
        <f>SUMIFS('Anlage 1c_Korrekturen_NB'!$D$80:$D$314,'Anlage 1c_Korrekturen_NB'!$A$80:$A$314,'Anlage 3a_Zusammenfassung_KWKG'!$A1239)+SUMIFS('Anlage 1c_Korrekturen_NB'!$F$80:$F$314,'Anlage 1c_Korrekturen_NB'!$A$80:$A$314,'Anlage 3a_Zusammenfassung_KWKG'!$A1239)+SUMIFS('Anlage 1c_Korrekturen_NB'!$H$80:$H$314,'Anlage 1c_Korrekturen_NB'!$A$80:$A$314,'Anlage 3a_Zusammenfassung_KWKG'!$A1239)</f>
        <v>0</v>
      </c>
      <c r="D1239" s="144">
        <f t="shared" si="47"/>
        <v>4561</v>
      </c>
      <c r="E1239" s="72" t="s">
        <v>800</v>
      </c>
      <c r="F1239" s="72"/>
      <c r="G1239" s="72"/>
      <c r="H1239" s="72"/>
      <c r="I1239" s="54"/>
    </row>
    <row r="1240" spans="1:9" s="44" customFormat="1" hidden="1" outlineLevel="1">
      <c r="A1240" s="418" t="s">
        <v>801</v>
      </c>
      <c r="B1240" s="543">
        <v>0</v>
      </c>
      <c r="C1240" s="95">
        <f>SUMIFS('Anlage 1c_Korrekturen_NB'!$D$80:$D$314,'Anlage 1c_Korrekturen_NB'!$A$80:$A$314,'Anlage 3a_Zusammenfassung_KWKG'!$A1240)+SUMIFS('Anlage 1c_Korrekturen_NB'!$F$80:$F$314,'Anlage 1c_Korrekturen_NB'!$A$80:$A$314,'Anlage 3a_Zusammenfassung_KWKG'!$A1240)+SUMIFS('Anlage 1c_Korrekturen_NB'!$H$80:$H$314,'Anlage 1c_Korrekturen_NB'!$A$80:$A$314,'Anlage 3a_Zusammenfassung_KWKG'!$A1240)</f>
        <v>0</v>
      </c>
      <c r="D1240" s="144">
        <f t="shared" si="47"/>
        <v>0</v>
      </c>
      <c r="E1240" s="72" t="s">
        <v>802</v>
      </c>
      <c r="F1240" s="72"/>
      <c r="G1240" s="72"/>
      <c r="H1240" s="72"/>
      <c r="I1240" s="54"/>
    </row>
    <row r="1241" spans="1:9" s="44" customFormat="1" hidden="1" outlineLevel="1">
      <c r="A1241" s="418" t="s">
        <v>803</v>
      </c>
      <c r="B1241" s="543">
        <v>0</v>
      </c>
      <c r="C1241" s="95">
        <f>SUMIFS('Anlage 1c_Korrekturen_NB'!$D$80:$D$314,'Anlage 1c_Korrekturen_NB'!$A$80:$A$314,'Anlage 3a_Zusammenfassung_KWKG'!$A1241)+SUMIFS('Anlage 1c_Korrekturen_NB'!$F$80:$F$314,'Anlage 1c_Korrekturen_NB'!$A$80:$A$314,'Anlage 3a_Zusammenfassung_KWKG'!$A1241)+SUMIFS('Anlage 1c_Korrekturen_NB'!$H$80:$H$314,'Anlage 1c_Korrekturen_NB'!$A$80:$A$314,'Anlage 3a_Zusammenfassung_KWKG'!$A1241)</f>
        <v>0</v>
      </c>
      <c r="D1241" s="144">
        <f t="shared" si="47"/>
        <v>0</v>
      </c>
      <c r="E1241" s="72" t="s">
        <v>804</v>
      </c>
      <c r="F1241" s="72"/>
      <c r="G1241" s="72"/>
      <c r="H1241" s="72"/>
      <c r="I1241" s="54"/>
    </row>
    <row r="1242" spans="1:9" s="44" customFormat="1" hidden="1" outlineLevel="1">
      <c r="A1242" s="418" t="s">
        <v>805</v>
      </c>
      <c r="B1242" s="543">
        <v>2297591</v>
      </c>
      <c r="C1242" s="95">
        <f>SUMIFS('Anlage 1c_Korrekturen_NB'!$D$80:$D$314,'Anlage 1c_Korrekturen_NB'!$A$80:$A$314,'Anlage 3a_Zusammenfassung_KWKG'!$A1242)+SUMIFS('Anlage 1c_Korrekturen_NB'!$F$80:$F$314,'Anlage 1c_Korrekturen_NB'!$A$80:$A$314,'Anlage 3a_Zusammenfassung_KWKG'!$A1242)+SUMIFS('Anlage 1c_Korrekturen_NB'!$H$80:$H$314,'Anlage 1c_Korrekturen_NB'!$A$80:$A$314,'Anlage 3a_Zusammenfassung_KWKG'!$A1242)</f>
        <v>-13905</v>
      </c>
      <c r="D1242" s="144">
        <f t="shared" si="47"/>
        <v>2283686</v>
      </c>
      <c r="E1242" s="72" t="s">
        <v>806</v>
      </c>
      <c r="F1242" s="72"/>
      <c r="G1242" s="72"/>
      <c r="H1242" s="72"/>
      <c r="I1242" s="54"/>
    </row>
    <row r="1243" spans="1:9" s="44" customFormat="1" hidden="1" outlineLevel="1">
      <c r="A1243" s="418" t="s">
        <v>807</v>
      </c>
      <c r="B1243" s="543">
        <v>1227636</v>
      </c>
      <c r="C1243" s="95">
        <f>SUMIFS('Anlage 1c_Korrekturen_NB'!$D$80:$D$314,'Anlage 1c_Korrekturen_NB'!$A$80:$A$314,'Anlage 3a_Zusammenfassung_KWKG'!$A1243)+SUMIFS('Anlage 1c_Korrekturen_NB'!$F$80:$F$314,'Anlage 1c_Korrekturen_NB'!$A$80:$A$314,'Anlage 3a_Zusammenfassung_KWKG'!$A1243)+SUMIFS('Anlage 1c_Korrekturen_NB'!$H$80:$H$314,'Anlage 1c_Korrekturen_NB'!$A$80:$A$314,'Anlage 3a_Zusammenfassung_KWKG'!$A1243)</f>
        <v>0</v>
      </c>
      <c r="D1243" s="144">
        <f t="shared" si="47"/>
        <v>1227636</v>
      </c>
      <c r="E1243" s="72" t="s">
        <v>808</v>
      </c>
      <c r="F1243" s="72"/>
      <c r="G1243" s="72"/>
      <c r="H1243" s="72"/>
      <c r="I1243" s="54"/>
    </row>
    <row r="1244" spans="1:9" s="44" customFormat="1" hidden="1" outlineLevel="1">
      <c r="A1244" s="418" t="s">
        <v>809</v>
      </c>
      <c r="B1244" s="543">
        <v>180667389</v>
      </c>
      <c r="C1244" s="95">
        <f>SUMIFS('Anlage 1c_Korrekturen_NB'!$D$80:$D$314,'Anlage 1c_Korrekturen_NB'!$A$80:$A$314,'Anlage 3a_Zusammenfassung_KWKG'!$A1244)+SUMIFS('Anlage 1c_Korrekturen_NB'!$F$80:$F$314,'Anlage 1c_Korrekturen_NB'!$A$80:$A$314,'Anlage 3a_Zusammenfassung_KWKG'!$A1244)+SUMIFS('Anlage 1c_Korrekturen_NB'!$H$80:$H$314,'Anlage 1c_Korrekturen_NB'!$A$80:$A$314,'Anlage 3a_Zusammenfassung_KWKG'!$A1244)</f>
        <v>0</v>
      </c>
      <c r="D1244" s="144">
        <f t="shared" si="47"/>
        <v>180667389</v>
      </c>
      <c r="E1244" s="72" t="s">
        <v>810</v>
      </c>
      <c r="F1244" s="72"/>
      <c r="G1244" s="72"/>
      <c r="H1244" s="72"/>
      <c r="I1244" s="54"/>
    </row>
    <row r="1245" spans="1:9" s="44" customFormat="1" hidden="1" outlineLevel="1">
      <c r="A1245" s="418" t="s">
        <v>811</v>
      </c>
      <c r="B1245" s="543">
        <v>4566821</v>
      </c>
      <c r="C1245" s="95">
        <f>SUMIFS('Anlage 1c_Korrekturen_NB'!$D$80:$D$314,'Anlage 1c_Korrekturen_NB'!$A$80:$A$314,'Anlage 3a_Zusammenfassung_KWKG'!$A1245)+SUMIFS('Anlage 1c_Korrekturen_NB'!$F$80:$F$314,'Anlage 1c_Korrekturen_NB'!$A$80:$A$314,'Anlage 3a_Zusammenfassung_KWKG'!$A1245)+SUMIFS('Anlage 1c_Korrekturen_NB'!$H$80:$H$314,'Anlage 1c_Korrekturen_NB'!$A$80:$A$314,'Anlage 3a_Zusammenfassung_KWKG'!$A1245)</f>
        <v>3913</v>
      </c>
      <c r="D1245" s="144">
        <f t="shared" si="47"/>
        <v>4570734</v>
      </c>
      <c r="E1245" s="72" t="s">
        <v>812</v>
      </c>
      <c r="F1245" s="72"/>
      <c r="G1245" s="72"/>
      <c r="H1245" s="72"/>
      <c r="I1245" s="54"/>
    </row>
    <row r="1246" spans="1:9" s="44" customFormat="1" hidden="1" outlineLevel="1">
      <c r="A1246" s="418" t="s">
        <v>813</v>
      </c>
      <c r="B1246" s="543">
        <v>733337</v>
      </c>
      <c r="C1246" s="95">
        <f>SUMIFS('Anlage 1c_Korrekturen_NB'!$D$80:$D$314,'Anlage 1c_Korrekturen_NB'!$A$80:$A$314,'Anlage 3a_Zusammenfassung_KWKG'!$A1246)+SUMIFS('Anlage 1c_Korrekturen_NB'!$F$80:$F$314,'Anlage 1c_Korrekturen_NB'!$A$80:$A$314,'Anlage 3a_Zusammenfassung_KWKG'!$A1246)+SUMIFS('Anlage 1c_Korrekturen_NB'!$H$80:$H$314,'Anlage 1c_Korrekturen_NB'!$A$80:$A$314,'Anlage 3a_Zusammenfassung_KWKG'!$A1246)</f>
        <v>11236</v>
      </c>
      <c r="D1246" s="144">
        <f t="shared" si="47"/>
        <v>744573</v>
      </c>
      <c r="E1246" s="72" t="s">
        <v>814</v>
      </c>
      <c r="F1246" s="72"/>
      <c r="G1246" s="72"/>
      <c r="H1246" s="72"/>
      <c r="I1246" s="54"/>
    </row>
    <row r="1247" spans="1:9" s="44" customFormat="1" hidden="1" outlineLevel="1">
      <c r="A1247" s="418" t="s">
        <v>815</v>
      </c>
      <c r="B1247" s="543">
        <v>1729942</v>
      </c>
      <c r="C1247" s="95">
        <f>SUMIFS('Anlage 1c_Korrekturen_NB'!$D$80:$D$314,'Anlage 1c_Korrekturen_NB'!$A$80:$A$314,'Anlage 3a_Zusammenfassung_KWKG'!$A1247)+SUMIFS('Anlage 1c_Korrekturen_NB'!$F$80:$F$314,'Anlage 1c_Korrekturen_NB'!$A$80:$A$314,'Anlage 3a_Zusammenfassung_KWKG'!$A1247)+SUMIFS('Anlage 1c_Korrekturen_NB'!$H$80:$H$314,'Anlage 1c_Korrekturen_NB'!$A$80:$A$314,'Anlage 3a_Zusammenfassung_KWKG'!$A1247)</f>
        <v>0</v>
      </c>
      <c r="D1247" s="144">
        <f t="shared" si="47"/>
        <v>1729942</v>
      </c>
      <c r="E1247" s="72" t="s">
        <v>816</v>
      </c>
      <c r="F1247" s="72"/>
      <c r="G1247" s="72"/>
      <c r="H1247" s="72"/>
      <c r="I1247" s="54"/>
    </row>
    <row r="1248" spans="1:9" s="44" customFormat="1" hidden="1" outlineLevel="1">
      <c r="A1248" s="418" t="s">
        <v>817</v>
      </c>
      <c r="B1248" s="543">
        <v>2582230</v>
      </c>
      <c r="C1248" s="95">
        <f>SUMIFS('Anlage 1c_Korrekturen_NB'!$D$80:$D$314,'Anlage 1c_Korrekturen_NB'!$A$80:$A$314,'Anlage 3a_Zusammenfassung_KWKG'!$A1248)+SUMIFS('Anlage 1c_Korrekturen_NB'!$F$80:$F$314,'Anlage 1c_Korrekturen_NB'!$A$80:$A$314,'Anlage 3a_Zusammenfassung_KWKG'!$A1248)+SUMIFS('Anlage 1c_Korrekturen_NB'!$H$80:$H$314,'Anlage 1c_Korrekturen_NB'!$A$80:$A$314,'Anlage 3a_Zusammenfassung_KWKG'!$A1248)</f>
        <v>0</v>
      </c>
      <c r="D1248" s="144">
        <f t="shared" si="47"/>
        <v>2582230</v>
      </c>
      <c r="E1248" s="72" t="s">
        <v>818</v>
      </c>
      <c r="F1248" s="72"/>
      <c r="G1248" s="72"/>
      <c r="H1248" s="72"/>
      <c r="I1248" s="54"/>
    </row>
    <row r="1249" spans="1:9" s="44" customFormat="1" hidden="1" outlineLevel="1">
      <c r="A1249" s="418" t="s">
        <v>819</v>
      </c>
      <c r="B1249" s="543">
        <v>251581</v>
      </c>
      <c r="C1249" s="95">
        <f>SUMIFS('Anlage 1c_Korrekturen_NB'!$D$80:$D$314,'Anlage 1c_Korrekturen_NB'!$A$80:$A$314,'Anlage 3a_Zusammenfassung_KWKG'!$A1249)+SUMIFS('Anlage 1c_Korrekturen_NB'!$F$80:$F$314,'Anlage 1c_Korrekturen_NB'!$A$80:$A$314,'Anlage 3a_Zusammenfassung_KWKG'!$A1249)+SUMIFS('Anlage 1c_Korrekturen_NB'!$H$80:$H$314,'Anlage 1c_Korrekturen_NB'!$A$80:$A$314,'Anlage 3a_Zusammenfassung_KWKG'!$A1249)</f>
        <v>0</v>
      </c>
      <c r="D1249" s="144">
        <f t="shared" si="47"/>
        <v>251581</v>
      </c>
      <c r="E1249" s="72" t="s">
        <v>820</v>
      </c>
      <c r="F1249" s="72"/>
      <c r="G1249" s="72"/>
      <c r="H1249" s="72"/>
      <c r="I1249" s="54"/>
    </row>
    <row r="1250" spans="1:9" s="44" customFormat="1" hidden="1" outlineLevel="1">
      <c r="A1250" s="418" t="s">
        <v>821</v>
      </c>
      <c r="B1250" s="543">
        <v>0</v>
      </c>
      <c r="C1250" s="95">
        <f>SUMIFS('Anlage 1c_Korrekturen_NB'!$D$80:$D$314,'Anlage 1c_Korrekturen_NB'!$A$80:$A$314,'Anlage 3a_Zusammenfassung_KWKG'!$A1250)+SUMIFS('Anlage 1c_Korrekturen_NB'!$F$80:$F$314,'Anlage 1c_Korrekturen_NB'!$A$80:$A$314,'Anlage 3a_Zusammenfassung_KWKG'!$A1250)+SUMIFS('Anlage 1c_Korrekturen_NB'!$H$80:$H$314,'Anlage 1c_Korrekturen_NB'!$A$80:$A$314,'Anlage 3a_Zusammenfassung_KWKG'!$A1250)</f>
        <v>0</v>
      </c>
      <c r="D1250" s="144">
        <f t="shared" si="47"/>
        <v>0</v>
      </c>
      <c r="E1250" s="72" t="s">
        <v>822</v>
      </c>
      <c r="F1250" s="72"/>
      <c r="G1250" s="72"/>
      <c r="H1250" s="72"/>
      <c r="I1250" s="54"/>
    </row>
    <row r="1251" spans="1:9" s="44" customFormat="1" hidden="1" outlineLevel="1">
      <c r="A1251" s="418" t="s">
        <v>821</v>
      </c>
      <c r="B1251" s="543">
        <v>0</v>
      </c>
      <c r="C1251" s="95">
        <f>SUMIFS('Anlage 1c_Korrekturen_NB'!$D$80:$D$314,'Anlage 1c_Korrekturen_NB'!$A$80:$A$314,'Anlage 3a_Zusammenfassung_KWKG'!$A1251)+SUMIFS('Anlage 1c_Korrekturen_NB'!$F$80:$F$314,'Anlage 1c_Korrekturen_NB'!$A$80:$A$314,'Anlage 3a_Zusammenfassung_KWKG'!$A1251)+SUMIFS('Anlage 1c_Korrekturen_NB'!$H$80:$H$314,'Anlage 1c_Korrekturen_NB'!$A$80:$A$314,'Anlage 3a_Zusammenfassung_KWKG'!$A1251)</f>
        <v>0</v>
      </c>
      <c r="D1251" s="144">
        <f t="shared" si="47"/>
        <v>0</v>
      </c>
      <c r="E1251" s="72" t="s">
        <v>822</v>
      </c>
      <c r="F1251" s="72"/>
      <c r="G1251" s="72"/>
      <c r="H1251" s="72"/>
      <c r="I1251" s="54"/>
    </row>
    <row r="1252" spans="1:9" s="44" customFormat="1" hidden="1" outlineLevel="1">
      <c r="A1252" s="418" t="s">
        <v>821</v>
      </c>
      <c r="B1252" s="543">
        <v>0</v>
      </c>
      <c r="C1252" s="95">
        <f>SUMIFS('Anlage 1c_Korrekturen_NB'!$D$80:$D$314,'Anlage 1c_Korrekturen_NB'!$A$80:$A$314,'Anlage 3a_Zusammenfassung_KWKG'!$A1252)+SUMIFS('Anlage 1c_Korrekturen_NB'!$F$80:$F$314,'Anlage 1c_Korrekturen_NB'!$A$80:$A$314,'Anlage 3a_Zusammenfassung_KWKG'!$A1252)+SUMIFS('Anlage 1c_Korrekturen_NB'!$H$80:$H$314,'Anlage 1c_Korrekturen_NB'!$A$80:$A$314,'Anlage 3a_Zusammenfassung_KWKG'!$A1252)</f>
        <v>0</v>
      </c>
      <c r="D1252" s="144">
        <f t="shared" si="47"/>
        <v>0</v>
      </c>
      <c r="E1252" s="72" t="s">
        <v>822</v>
      </c>
      <c r="F1252" s="72"/>
      <c r="G1252" s="72"/>
      <c r="H1252" s="72"/>
      <c r="I1252" s="54"/>
    </row>
    <row r="1253" spans="1:9" s="44" customFormat="1" hidden="1" outlineLevel="1">
      <c r="A1253" s="418" t="s">
        <v>823</v>
      </c>
      <c r="B1253" s="543">
        <v>612252</v>
      </c>
      <c r="C1253" s="95">
        <f>SUMIFS('Anlage 1c_Korrekturen_NB'!$D$80:$D$314,'Anlage 1c_Korrekturen_NB'!$A$80:$A$314,'Anlage 3a_Zusammenfassung_KWKG'!$A1253)+SUMIFS('Anlage 1c_Korrekturen_NB'!$F$80:$F$314,'Anlage 1c_Korrekturen_NB'!$A$80:$A$314,'Anlage 3a_Zusammenfassung_KWKG'!$A1253)+SUMIFS('Anlage 1c_Korrekturen_NB'!$H$80:$H$314,'Anlage 1c_Korrekturen_NB'!$A$80:$A$314,'Anlage 3a_Zusammenfassung_KWKG'!$A1253)</f>
        <v>0</v>
      </c>
      <c r="D1253" s="144">
        <f t="shared" si="47"/>
        <v>612252</v>
      </c>
      <c r="E1253" s="72" t="s">
        <v>824</v>
      </c>
      <c r="F1253" s="72"/>
      <c r="G1253" s="72"/>
      <c r="H1253" s="72"/>
      <c r="I1253" s="54"/>
    </row>
    <row r="1254" spans="1:9" s="44" customFormat="1" hidden="1" outlineLevel="1">
      <c r="A1254" s="418" t="s">
        <v>825</v>
      </c>
      <c r="B1254" s="543">
        <v>723953</v>
      </c>
      <c r="C1254" s="95">
        <f>SUMIFS('Anlage 1c_Korrekturen_NB'!$D$80:$D$314,'Anlage 1c_Korrekturen_NB'!$A$80:$A$314,'Anlage 3a_Zusammenfassung_KWKG'!$A1254)+SUMIFS('Anlage 1c_Korrekturen_NB'!$F$80:$F$314,'Anlage 1c_Korrekturen_NB'!$A$80:$A$314,'Anlage 3a_Zusammenfassung_KWKG'!$A1254)+SUMIFS('Anlage 1c_Korrekturen_NB'!$H$80:$H$314,'Anlage 1c_Korrekturen_NB'!$A$80:$A$314,'Anlage 3a_Zusammenfassung_KWKG'!$A1254)</f>
        <v>0</v>
      </c>
      <c r="D1254" s="144">
        <f t="shared" si="47"/>
        <v>723953</v>
      </c>
      <c r="E1254" s="72" t="s">
        <v>826</v>
      </c>
      <c r="F1254" s="72"/>
      <c r="G1254" s="72"/>
      <c r="H1254" s="72"/>
      <c r="I1254" s="54"/>
    </row>
    <row r="1255" spans="1:9" s="44" customFormat="1" hidden="1" outlineLevel="1">
      <c r="A1255" s="418" t="s">
        <v>827</v>
      </c>
      <c r="B1255" s="543">
        <v>407510</v>
      </c>
      <c r="C1255" s="95">
        <f>SUMIFS('Anlage 1c_Korrekturen_NB'!$D$80:$D$314,'Anlage 1c_Korrekturen_NB'!$A$80:$A$314,'Anlage 3a_Zusammenfassung_KWKG'!$A1255)+SUMIFS('Anlage 1c_Korrekturen_NB'!$F$80:$F$314,'Anlage 1c_Korrekturen_NB'!$A$80:$A$314,'Anlage 3a_Zusammenfassung_KWKG'!$A1255)+SUMIFS('Anlage 1c_Korrekturen_NB'!$H$80:$H$314,'Anlage 1c_Korrekturen_NB'!$A$80:$A$314,'Anlage 3a_Zusammenfassung_KWKG'!$A1255)</f>
        <v>0</v>
      </c>
      <c r="D1255" s="144">
        <f t="shared" si="47"/>
        <v>407510</v>
      </c>
      <c r="E1255" s="72" t="s">
        <v>828</v>
      </c>
      <c r="F1255" s="72"/>
      <c r="G1255" s="72"/>
      <c r="H1255" s="72"/>
      <c r="I1255" s="54"/>
    </row>
    <row r="1256" spans="1:9" s="44" customFormat="1" hidden="1" outlineLevel="1">
      <c r="A1256" s="418" t="s">
        <v>829</v>
      </c>
      <c r="B1256" s="543">
        <v>466039</v>
      </c>
      <c r="C1256" s="95">
        <f>SUMIFS('Anlage 1c_Korrekturen_NB'!$D$80:$D$314,'Anlage 1c_Korrekturen_NB'!$A$80:$A$314,'Anlage 3a_Zusammenfassung_KWKG'!$A1256)+SUMIFS('Anlage 1c_Korrekturen_NB'!$F$80:$F$314,'Anlage 1c_Korrekturen_NB'!$A$80:$A$314,'Anlage 3a_Zusammenfassung_KWKG'!$A1256)+SUMIFS('Anlage 1c_Korrekturen_NB'!$H$80:$H$314,'Anlage 1c_Korrekturen_NB'!$A$80:$A$314,'Anlage 3a_Zusammenfassung_KWKG'!$A1256)</f>
        <v>0</v>
      </c>
      <c r="D1256" s="144">
        <f t="shared" si="47"/>
        <v>466039</v>
      </c>
      <c r="E1256" s="72" t="s">
        <v>830</v>
      </c>
      <c r="F1256" s="72"/>
      <c r="G1256" s="72"/>
      <c r="H1256" s="72"/>
      <c r="I1256" s="54"/>
    </row>
    <row r="1257" spans="1:9" s="44" customFormat="1" hidden="1" outlineLevel="1">
      <c r="A1257" s="418" t="s">
        <v>831</v>
      </c>
      <c r="B1257" s="543">
        <v>0</v>
      </c>
      <c r="C1257" s="95">
        <f>SUMIFS('Anlage 1c_Korrekturen_NB'!$D$80:$D$314,'Anlage 1c_Korrekturen_NB'!$A$80:$A$314,'Anlage 3a_Zusammenfassung_KWKG'!$A1257)+SUMIFS('Anlage 1c_Korrekturen_NB'!$F$80:$F$314,'Anlage 1c_Korrekturen_NB'!$A$80:$A$314,'Anlage 3a_Zusammenfassung_KWKG'!$A1257)+SUMIFS('Anlage 1c_Korrekturen_NB'!$H$80:$H$314,'Anlage 1c_Korrekturen_NB'!$A$80:$A$314,'Anlage 3a_Zusammenfassung_KWKG'!$A1257)</f>
        <v>0</v>
      </c>
      <c r="D1257" s="144">
        <f t="shared" si="47"/>
        <v>0</v>
      </c>
      <c r="E1257" s="72" t="s">
        <v>832</v>
      </c>
      <c r="F1257" s="72"/>
      <c r="G1257" s="72"/>
      <c r="H1257" s="72"/>
      <c r="I1257" s="54"/>
    </row>
    <row r="1258" spans="1:9" s="44" customFormat="1" hidden="1" outlineLevel="1">
      <c r="A1258" s="418" t="s">
        <v>833</v>
      </c>
      <c r="B1258" s="543">
        <v>1063951</v>
      </c>
      <c r="C1258" s="95">
        <f>SUMIFS('Anlage 1c_Korrekturen_NB'!$D$80:$D$314,'Anlage 1c_Korrekturen_NB'!$A$80:$A$314,'Anlage 3a_Zusammenfassung_KWKG'!$A1258)+SUMIFS('Anlage 1c_Korrekturen_NB'!$F$80:$F$314,'Anlage 1c_Korrekturen_NB'!$A$80:$A$314,'Anlage 3a_Zusammenfassung_KWKG'!$A1258)+SUMIFS('Anlage 1c_Korrekturen_NB'!$H$80:$H$314,'Anlage 1c_Korrekturen_NB'!$A$80:$A$314,'Anlage 3a_Zusammenfassung_KWKG'!$A1258)</f>
        <v>0</v>
      </c>
      <c r="D1258" s="144">
        <f t="shared" si="47"/>
        <v>1063951</v>
      </c>
      <c r="E1258" s="72" t="s">
        <v>834</v>
      </c>
      <c r="F1258" s="72"/>
      <c r="G1258" s="72"/>
      <c r="H1258" s="72"/>
      <c r="I1258" s="54"/>
    </row>
    <row r="1259" spans="1:9" s="44" customFormat="1" hidden="1" outlineLevel="1">
      <c r="A1259" s="418" t="s">
        <v>835</v>
      </c>
      <c r="B1259" s="543">
        <v>2866423</v>
      </c>
      <c r="C1259" s="95">
        <f>SUMIFS('Anlage 1c_Korrekturen_NB'!$D$80:$D$314,'Anlage 1c_Korrekturen_NB'!$A$80:$A$314,'Anlage 3a_Zusammenfassung_KWKG'!$A1259)+SUMIFS('Anlage 1c_Korrekturen_NB'!$F$80:$F$314,'Anlage 1c_Korrekturen_NB'!$A$80:$A$314,'Anlage 3a_Zusammenfassung_KWKG'!$A1259)+SUMIFS('Anlage 1c_Korrekturen_NB'!$H$80:$H$314,'Anlage 1c_Korrekturen_NB'!$A$80:$A$314,'Anlage 3a_Zusammenfassung_KWKG'!$A1259)</f>
        <v>144065</v>
      </c>
      <c r="D1259" s="144">
        <f t="shared" si="47"/>
        <v>3010488</v>
      </c>
      <c r="E1259" s="72" t="s">
        <v>836</v>
      </c>
      <c r="F1259" s="72"/>
      <c r="G1259" s="72"/>
      <c r="H1259" s="72"/>
      <c r="I1259" s="54"/>
    </row>
    <row r="1260" spans="1:9" s="44" customFormat="1" hidden="1" outlineLevel="1">
      <c r="A1260" s="418" t="s">
        <v>837</v>
      </c>
      <c r="B1260" s="543">
        <v>355912</v>
      </c>
      <c r="C1260" s="95">
        <f>SUMIFS('Anlage 1c_Korrekturen_NB'!$D$80:$D$314,'Anlage 1c_Korrekturen_NB'!$A$80:$A$314,'Anlage 3a_Zusammenfassung_KWKG'!$A1260)+SUMIFS('Anlage 1c_Korrekturen_NB'!$F$80:$F$314,'Anlage 1c_Korrekturen_NB'!$A$80:$A$314,'Anlage 3a_Zusammenfassung_KWKG'!$A1260)+SUMIFS('Anlage 1c_Korrekturen_NB'!$H$80:$H$314,'Anlage 1c_Korrekturen_NB'!$A$80:$A$314,'Anlage 3a_Zusammenfassung_KWKG'!$A1260)</f>
        <v>0</v>
      </c>
      <c r="D1260" s="144">
        <f t="shared" si="47"/>
        <v>355912</v>
      </c>
      <c r="E1260" s="72" t="s">
        <v>838</v>
      </c>
      <c r="F1260" s="72"/>
      <c r="G1260" s="72"/>
      <c r="H1260" s="72"/>
      <c r="I1260" s="54"/>
    </row>
    <row r="1261" spans="1:9" s="44" customFormat="1" hidden="1" outlineLevel="1">
      <c r="A1261" s="418" t="s">
        <v>837</v>
      </c>
      <c r="B1261" s="543">
        <v>0</v>
      </c>
      <c r="C1261" s="95">
        <f>SUMIFS('Anlage 1c_Korrekturen_NB'!$D$80:$D$314,'Anlage 1c_Korrekturen_NB'!$A$80:$A$314,'Anlage 3a_Zusammenfassung_KWKG'!$A1261)+SUMIFS('Anlage 1c_Korrekturen_NB'!$F$80:$F$314,'Anlage 1c_Korrekturen_NB'!$A$80:$A$314,'Anlage 3a_Zusammenfassung_KWKG'!$A1261)+SUMIFS('Anlage 1c_Korrekturen_NB'!$H$80:$H$314,'Anlage 1c_Korrekturen_NB'!$A$80:$A$314,'Anlage 3a_Zusammenfassung_KWKG'!$A1261)</f>
        <v>0</v>
      </c>
      <c r="D1261" s="144">
        <f t="shared" si="47"/>
        <v>0</v>
      </c>
      <c r="E1261" s="72" t="s">
        <v>838</v>
      </c>
      <c r="F1261" s="72"/>
      <c r="G1261" s="72"/>
      <c r="H1261" s="72"/>
      <c r="I1261" s="54"/>
    </row>
    <row r="1262" spans="1:9" s="44" customFormat="1" hidden="1" outlineLevel="1">
      <c r="A1262" s="418" t="s">
        <v>837</v>
      </c>
      <c r="B1262" s="543">
        <v>0</v>
      </c>
      <c r="C1262" s="95">
        <f>SUMIFS('Anlage 1c_Korrekturen_NB'!$D$80:$D$314,'Anlage 1c_Korrekturen_NB'!$A$80:$A$314,'Anlage 3a_Zusammenfassung_KWKG'!$A1262)+SUMIFS('Anlage 1c_Korrekturen_NB'!$F$80:$F$314,'Anlage 1c_Korrekturen_NB'!$A$80:$A$314,'Anlage 3a_Zusammenfassung_KWKG'!$A1262)+SUMIFS('Anlage 1c_Korrekturen_NB'!$H$80:$H$314,'Anlage 1c_Korrekturen_NB'!$A$80:$A$314,'Anlage 3a_Zusammenfassung_KWKG'!$A1262)</f>
        <v>0</v>
      </c>
      <c r="D1262" s="144">
        <f t="shared" si="47"/>
        <v>0</v>
      </c>
      <c r="E1262" s="72" t="s">
        <v>838</v>
      </c>
      <c r="F1262" s="72"/>
      <c r="G1262" s="72"/>
      <c r="H1262" s="72"/>
      <c r="I1262" s="54"/>
    </row>
    <row r="1263" spans="1:9" s="44" customFormat="1" hidden="1" outlineLevel="1">
      <c r="A1263" s="418" t="s">
        <v>839</v>
      </c>
      <c r="B1263" s="543">
        <v>192000</v>
      </c>
      <c r="C1263" s="95">
        <f>SUMIFS('Anlage 1c_Korrekturen_NB'!$D$80:$D$314,'Anlage 1c_Korrekturen_NB'!$A$80:$A$314,'Anlage 3a_Zusammenfassung_KWKG'!$A1263)+SUMIFS('Anlage 1c_Korrekturen_NB'!$F$80:$F$314,'Anlage 1c_Korrekturen_NB'!$A$80:$A$314,'Anlage 3a_Zusammenfassung_KWKG'!$A1263)+SUMIFS('Anlage 1c_Korrekturen_NB'!$H$80:$H$314,'Anlage 1c_Korrekturen_NB'!$A$80:$A$314,'Anlage 3a_Zusammenfassung_KWKG'!$A1263)</f>
        <v>0</v>
      </c>
      <c r="D1263" s="144">
        <f t="shared" si="47"/>
        <v>192000</v>
      </c>
      <c r="E1263" s="72" t="s">
        <v>840</v>
      </c>
      <c r="F1263" s="72"/>
      <c r="G1263" s="72"/>
      <c r="H1263" s="72"/>
      <c r="I1263" s="54"/>
    </row>
    <row r="1264" spans="1:9" s="44" customFormat="1" hidden="1" outlineLevel="1">
      <c r="A1264" s="418" t="s">
        <v>841</v>
      </c>
      <c r="B1264" s="543">
        <v>970934</v>
      </c>
      <c r="C1264" s="95">
        <f>SUMIFS('Anlage 1c_Korrekturen_NB'!$D$80:$D$314,'Anlage 1c_Korrekturen_NB'!$A$80:$A$314,'Anlage 3a_Zusammenfassung_KWKG'!$A1264)+SUMIFS('Anlage 1c_Korrekturen_NB'!$F$80:$F$314,'Anlage 1c_Korrekturen_NB'!$A$80:$A$314,'Anlage 3a_Zusammenfassung_KWKG'!$A1264)+SUMIFS('Anlage 1c_Korrekturen_NB'!$H$80:$H$314,'Anlage 1c_Korrekturen_NB'!$A$80:$A$314,'Anlage 3a_Zusammenfassung_KWKG'!$A1264)</f>
        <v>26294</v>
      </c>
      <c r="D1264" s="144">
        <f t="shared" si="47"/>
        <v>997228</v>
      </c>
      <c r="E1264" s="72" t="s">
        <v>842</v>
      </c>
      <c r="F1264" s="72"/>
      <c r="G1264" s="72"/>
      <c r="H1264" s="72"/>
      <c r="I1264" s="54"/>
    </row>
    <row r="1265" spans="1:9" s="44" customFormat="1" hidden="1" outlineLevel="1">
      <c r="A1265" s="418" t="s">
        <v>843</v>
      </c>
      <c r="B1265" s="543">
        <v>344255</v>
      </c>
      <c r="C1265" s="95">
        <f>SUMIFS('Anlage 1c_Korrekturen_NB'!$D$80:$D$314,'Anlage 1c_Korrekturen_NB'!$A$80:$A$314,'Anlage 3a_Zusammenfassung_KWKG'!$A1265)+SUMIFS('Anlage 1c_Korrekturen_NB'!$F$80:$F$314,'Anlage 1c_Korrekturen_NB'!$A$80:$A$314,'Anlage 3a_Zusammenfassung_KWKG'!$A1265)+SUMIFS('Anlage 1c_Korrekturen_NB'!$H$80:$H$314,'Anlage 1c_Korrekturen_NB'!$A$80:$A$314,'Anlage 3a_Zusammenfassung_KWKG'!$A1265)</f>
        <v>0</v>
      </c>
      <c r="D1265" s="144">
        <f t="shared" si="47"/>
        <v>344255</v>
      </c>
      <c r="E1265" s="72" t="s">
        <v>844</v>
      </c>
      <c r="F1265" s="72"/>
      <c r="G1265" s="72"/>
      <c r="H1265" s="72"/>
      <c r="I1265" s="54"/>
    </row>
    <row r="1266" spans="1:9" s="44" customFormat="1" hidden="1" outlineLevel="1">
      <c r="A1266" s="418" t="s">
        <v>845</v>
      </c>
      <c r="B1266" s="543">
        <v>60389759</v>
      </c>
      <c r="C1266" s="95">
        <f>SUMIFS('Anlage 1c_Korrekturen_NB'!$D$80:$D$314,'Anlage 1c_Korrekturen_NB'!$A$80:$A$314,'Anlage 3a_Zusammenfassung_KWKG'!$A1266)+SUMIFS('Anlage 1c_Korrekturen_NB'!$F$80:$F$314,'Anlage 1c_Korrekturen_NB'!$A$80:$A$314,'Anlage 3a_Zusammenfassung_KWKG'!$A1266)+SUMIFS('Anlage 1c_Korrekturen_NB'!$H$80:$H$314,'Anlage 1c_Korrekturen_NB'!$A$80:$A$314,'Anlage 3a_Zusammenfassung_KWKG'!$A1266)</f>
        <v>0</v>
      </c>
      <c r="D1266" s="144">
        <f t="shared" si="47"/>
        <v>60389759</v>
      </c>
      <c r="E1266" s="72" t="s">
        <v>846</v>
      </c>
      <c r="F1266" s="72"/>
      <c r="G1266" s="72"/>
      <c r="H1266" s="72"/>
      <c r="I1266" s="54"/>
    </row>
    <row r="1267" spans="1:9" s="44" customFormat="1" hidden="1" outlineLevel="1">
      <c r="A1267" s="418" t="s">
        <v>847</v>
      </c>
      <c r="B1267" s="543">
        <v>1216798</v>
      </c>
      <c r="C1267" s="95">
        <f>SUMIFS('Anlage 1c_Korrekturen_NB'!$D$80:$D$314,'Anlage 1c_Korrekturen_NB'!$A$80:$A$314,'Anlage 3a_Zusammenfassung_KWKG'!$A1267)+SUMIFS('Anlage 1c_Korrekturen_NB'!$F$80:$F$314,'Anlage 1c_Korrekturen_NB'!$A$80:$A$314,'Anlage 3a_Zusammenfassung_KWKG'!$A1267)+SUMIFS('Anlage 1c_Korrekturen_NB'!$H$80:$H$314,'Anlage 1c_Korrekturen_NB'!$A$80:$A$314,'Anlage 3a_Zusammenfassung_KWKG'!$A1267)</f>
        <v>0</v>
      </c>
      <c r="D1267" s="144">
        <f t="shared" si="47"/>
        <v>1216798</v>
      </c>
      <c r="E1267" s="72" t="s">
        <v>848</v>
      </c>
      <c r="F1267" s="72"/>
      <c r="G1267" s="72"/>
      <c r="H1267" s="72"/>
      <c r="I1267" s="54"/>
    </row>
    <row r="1268" spans="1:9" s="44" customFormat="1" hidden="1" outlineLevel="1">
      <c r="A1268" s="418" t="s">
        <v>849</v>
      </c>
      <c r="B1268" s="543">
        <v>81576192</v>
      </c>
      <c r="C1268" s="95">
        <f>SUMIFS('Anlage 1c_Korrekturen_NB'!$D$80:$D$314,'Anlage 1c_Korrekturen_NB'!$A$80:$A$314,'Anlage 3a_Zusammenfassung_KWKG'!$A1268)+SUMIFS('Anlage 1c_Korrekturen_NB'!$F$80:$F$314,'Anlage 1c_Korrekturen_NB'!$A$80:$A$314,'Anlage 3a_Zusammenfassung_KWKG'!$A1268)+SUMIFS('Anlage 1c_Korrekturen_NB'!$H$80:$H$314,'Anlage 1c_Korrekturen_NB'!$A$80:$A$314,'Anlage 3a_Zusammenfassung_KWKG'!$A1268)</f>
        <v>0</v>
      </c>
      <c r="D1268" s="144">
        <f t="shared" si="47"/>
        <v>81576192</v>
      </c>
      <c r="E1268" s="72" t="s">
        <v>850</v>
      </c>
      <c r="F1268" s="72"/>
      <c r="G1268" s="72"/>
      <c r="H1268" s="72"/>
      <c r="I1268" s="54"/>
    </row>
    <row r="1269" spans="1:9" s="44" customFormat="1" hidden="1" outlineLevel="1">
      <c r="A1269" s="418" t="s">
        <v>398</v>
      </c>
      <c r="B1269" s="543">
        <v>536000</v>
      </c>
      <c r="C1269" s="95">
        <f>SUMIFS('Anlage 1c_Korrekturen_NB'!$D$80:$D$314,'Anlage 1c_Korrekturen_NB'!$A$80:$A$314,'Anlage 3a_Zusammenfassung_KWKG'!$A1269)+SUMIFS('Anlage 1c_Korrekturen_NB'!$F$80:$F$314,'Anlage 1c_Korrekturen_NB'!$A$80:$A$314,'Anlage 3a_Zusammenfassung_KWKG'!$A1269)+SUMIFS('Anlage 1c_Korrekturen_NB'!$H$80:$H$314,'Anlage 1c_Korrekturen_NB'!$A$80:$A$314,'Anlage 3a_Zusammenfassung_KWKG'!$A1269)</f>
        <v>0</v>
      </c>
      <c r="D1269" s="144">
        <f t="shared" ref="D1269:D1271" si="48">B1269+C1269</f>
        <v>536000</v>
      </c>
      <c r="E1269" s="72" t="s">
        <v>399</v>
      </c>
      <c r="F1269" s="72"/>
      <c r="G1269" s="72"/>
      <c r="H1269" s="72"/>
      <c r="I1269" s="54"/>
    </row>
    <row r="1270" spans="1:9" s="44" customFormat="1" hidden="1" outlineLevel="1">
      <c r="A1270" s="418" t="s">
        <v>851</v>
      </c>
      <c r="B1270" s="543">
        <v>0</v>
      </c>
      <c r="C1270" s="95">
        <f>SUMIFS('Anlage 1c_Korrekturen_NB'!$D$80:$D$314,'Anlage 1c_Korrekturen_NB'!$A$80:$A$314,'Anlage 3a_Zusammenfassung_KWKG'!$A1270)+SUMIFS('Anlage 1c_Korrekturen_NB'!$F$80:$F$314,'Anlage 1c_Korrekturen_NB'!$A$80:$A$314,'Anlage 3a_Zusammenfassung_KWKG'!$A1270)+SUMIFS('Anlage 1c_Korrekturen_NB'!$H$80:$H$314,'Anlage 1c_Korrekturen_NB'!$A$80:$A$314,'Anlage 3a_Zusammenfassung_KWKG'!$A1270)</f>
        <v>0</v>
      </c>
      <c r="D1270" s="144">
        <f t="shared" si="48"/>
        <v>0</v>
      </c>
      <c r="E1270" s="72" t="s">
        <v>852</v>
      </c>
      <c r="F1270" s="72"/>
      <c r="G1270" s="72"/>
      <c r="H1270" s="72"/>
      <c r="I1270" s="54"/>
    </row>
    <row r="1271" spans="1:9" s="44" customFormat="1" hidden="1" outlineLevel="1">
      <c r="A1271" s="418" t="s">
        <v>853</v>
      </c>
      <c r="B1271" s="543">
        <v>227454</v>
      </c>
      <c r="C1271" s="95">
        <f>SUMIFS('Anlage 1c_Korrekturen_NB'!$D$80:$D$314,'Anlage 1c_Korrekturen_NB'!$A$80:$A$314,'Anlage 3a_Zusammenfassung_KWKG'!$A1271)+SUMIFS('Anlage 1c_Korrekturen_NB'!$F$80:$F$314,'Anlage 1c_Korrekturen_NB'!$A$80:$A$314,'Anlage 3a_Zusammenfassung_KWKG'!$A1271)+SUMIFS('Anlage 1c_Korrekturen_NB'!$H$80:$H$314,'Anlage 1c_Korrekturen_NB'!$A$80:$A$314,'Anlage 3a_Zusammenfassung_KWKG'!$A1271)</f>
        <v>1346338</v>
      </c>
      <c r="D1271" s="144">
        <f t="shared" si="48"/>
        <v>1573792</v>
      </c>
      <c r="E1271" s="72" t="s">
        <v>854</v>
      </c>
      <c r="F1271" s="72"/>
      <c r="G1271" s="72"/>
      <c r="H1271" s="72"/>
      <c r="I1271" s="54"/>
    </row>
    <row r="1272" spans="1:9" s="44" customFormat="1" collapsed="1">
      <c r="A1272" s="418" t="str">
        <f>A405</f>
        <v>Regelzone TenneT (gesamt)</v>
      </c>
      <c r="B1272" s="866">
        <f>SUM(B1273:B1601)</f>
        <v>7012497375.1029978</v>
      </c>
      <c r="C1272" s="867">
        <f>SUM(C1273:C1601)</f>
        <v>1331758509.8280001</v>
      </c>
      <c r="D1272" s="144">
        <f t="shared" si="38"/>
        <v>8344255884.9309978</v>
      </c>
      <c r="E1272" s="72"/>
      <c r="F1272" s="72"/>
      <c r="G1272" s="72"/>
      <c r="H1272" s="72"/>
    </row>
    <row r="1273" spans="1:9" s="44" customFormat="1" hidden="1" outlineLevel="1">
      <c r="A1273" s="433" t="s">
        <v>409</v>
      </c>
      <c r="B1273" s="543">
        <v>171545</v>
      </c>
      <c r="C1273" s="94">
        <v>0</v>
      </c>
      <c r="D1273" s="144">
        <f>B1273+C1273</f>
        <v>171545</v>
      </c>
      <c r="E1273" s="72" t="s">
        <v>410</v>
      </c>
      <c r="F1273" s="72"/>
      <c r="G1273" s="72"/>
      <c r="H1273" s="72"/>
    </row>
    <row r="1274" spans="1:9" s="44" customFormat="1" hidden="1" outlineLevel="1">
      <c r="A1274" s="433" t="s">
        <v>388</v>
      </c>
      <c r="B1274" s="543">
        <v>44418367</v>
      </c>
      <c r="C1274" s="94">
        <v>13131496.02</v>
      </c>
      <c r="D1274" s="144">
        <f t="shared" ref="D1274:D1338" si="49">B1274+C1274</f>
        <v>57549863.019999996</v>
      </c>
      <c r="E1274" s="72" t="s">
        <v>389</v>
      </c>
      <c r="F1274" s="72"/>
      <c r="G1274" s="72"/>
      <c r="H1274" s="72"/>
    </row>
    <row r="1275" spans="1:9" s="44" customFormat="1" hidden="1" outlineLevel="1">
      <c r="A1275" s="433" t="s">
        <v>1367</v>
      </c>
      <c r="B1275" s="543">
        <v>45514</v>
      </c>
      <c r="C1275" s="94">
        <v>0</v>
      </c>
      <c r="D1275" s="144">
        <f t="shared" si="49"/>
        <v>45514</v>
      </c>
      <c r="E1275" s="72" t="s">
        <v>1368</v>
      </c>
      <c r="F1275" s="72"/>
      <c r="G1275" s="72"/>
      <c r="H1275" s="72"/>
    </row>
    <row r="1276" spans="1:9" s="44" customFormat="1" hidden="1" outlineLevel="1">
      <c r="A1276" s="433" t="s">
        <v>1405</v>
      </c>
      <c r="B1276" s="543">
        <v>409664306</v>
      </c>
      <c r="C1276" s="94">
        <v>47485661.049999997</v>
      </c>
      <c r="D1276" s="144">
        <f t="shared" si="49"/>
        <v>457149967.05000001</v>
      </c>
      <c r="E1276" s="72" t="s">
        <v>1406</v>
      </c>
      <c r="F1276" s="72"/>
      <c r="G1276" s="72"/>
      <c r="H1276" s="72"/>
    </row>
    <row r="1277" spans="1:9" s="44" customFormat="1" hidden="1" outlineLevel="1">
      <c r="A1277" s="433" t="s">
        <v>1260</v>
      </c>
      <c r="B1277" s="543">
        <v>6846887.1380000003</v>
      </c>
      <c r="C1277" s="94">
        <v>1001400.564</v>
      </c>
      <c r="D1277" s="144">
        <f t="shared" si="49"/>
        <v>7848287.7020000005</v>
      </c>
      <c r="E1277" s="72" t="s">
        <v>1261</v>
      </c>
      <c r="F1277" s="72"/>
      <c r="G1277" s="72"/>
      <c r="H1277" s="72"/>
    </row>
    <row r="1278" spans="1:9" s="44" customFormat="1" hidden="1" outlineLevel="1">
      <c r="A1278" s="433" t="s">
        <v>1464</v>
      </c>
      <c r="B1278" s="543">
        <v>602741.30000000005</v>
      </c>
      <c r="C1278" s="94">
        <v>0</v>
      </c>
      <c r="D1278" s="144">
        <f t="shared" si="49"/>
        <v>602741.30000000005</v>
      </c>
      <c r="E1278" s="72" t="s">
        <v>1465</v>
      </c>
      <c r="F1278" s="72"/>
      <c r="G1278" s="72"/>
      <c r="H1278" s="72"/>
    </row>
    <row r="1279" spans="1:9" s="44" customFormat="1" hidden="1" outlineLevel="1">
      <c r="A1279" s="433" t="s">
        <v>1210</v>
      </c>
      <c r="B1279" s="543">
        <v>25494106.576000001</v>
      </c>
      <c r="C1279" s="94">
        <v>0</v>
      </c>
      <c r="D1279" s="144">
        <f t="shared" si="49"/>
        <v>25494106.576000001</v>
      </c>
      <c r="E1279" s="72" t="s">
        <v>1211</v>
      </c>
      <c r="F1279" s="72"/>
      <c r="G1279" s="72"/>
      <c r="H1279" s="72"/>
    </row>
    <row r="1280" spans="1:9" s="44" customFormat="1" hidden="1" outlineLevel="1">
      <c r="A1280" s="433" t="s">
        <v>1415</v>
      </c>
      <c r="B1280" s="543">
        <v>1681070</v>
      </c>
      <c r="C1280" s="94">
        <v>0</v>
      </c>
      <c r="D1280" s="144">
        <f t="shared" si="49"/>
        <v>1681070</v>
      </c>
      <c r="E1280" s="72" t="s">
        <v>1416</v>
      </c>
      <c r="F1280" s="72"/>
      <c r="G1280" s="72"/>
      <c r="H1280" s="72"/>
    </row>
    <row r="1281" spans="1:8" s="44" customFormat="1" hidden="1" outlineLevel="1">
      <c r="A1281" s="433" t="s">
        <v>1266</v>
      </c>
      <c r="B1281" s="543">
        <v>505234</v>
      </c>
      <c r="C1281" s="94">
        <v>15461</v>
      </c>
      <c r="D1281" s="144">
        <f t="shared" si="49"/>
        <v>520695</v>
      </c>
      <c r="E1281" s="72" t="s">
        <v>1267</v>
      </c>
      <c r="F1281" s="72"/>
      <c r="G1281" s="72"/>
      <c r="H1281" s="72"/>
    </row>
    <row r="1282" spans="1:8" s="44" customFormat="1" hidden="1" outlineLevel="1">
      <c r="A1282" s="433" t="s">
        <v>1268</v>
      </c>
      <c r="B1282" s="543">
        <v>5458223.9199999999</v>
      </c>
      <c r="C1282" s="94">
        <v>0</v>
      </c>
      <c r="D1282" s="144">
        <f t="shared" si="49"/>
        <v>5458223.9199999999</v>
      </c>
      <c r="E1282" s="72" t="s">
        <v>1269</v>
      </c>
      <c r="F1282" s="72"/>
      <c r="G1282" s="72"/>
      <c r="H1282" s="72"/>
    </row>
    <row r="1283" spans="1:8" s="44" customFormat="1" hidden="1" outlineLevel="1">
      <c r="A1283" s="433" t="s">
        <v>1136</v>
      </c>
      <c r="B1283" s="543">
        <v>144581</v>
      </c>
      <c r="C1283" s="94">
        <v>0</v>
      </c>
      <c r="D1283" s="144">
        <f t="shared" si="49"/>
        <v>144581</v>
      </c>
      <c r="E1283" s="72" t="s">
        <v>1137</v>
      </c>
      <c r="F1283" s="72"/>
      <c r="G1283" s="72"/>
      <c r="H1283" s="72"/>
    </row>
    <row r="1284" spans="1:8" s="44" customFormat="1" hidden="1" outlineLevel="1">
      <c r="A1284" s="433" t="s">
        <v>724</v>
      </c>
      <c r="B1284" s="543">
        <v>21368126.081999999</v>
      </c>
      <c r="C1284" s="94">
        <v>2701113.0559999999</v>
      </c>
      <c r="D1284" s="144">
        <f t="shared" si="49"/>
        <v>24069239.137999997</v>
      </c>
      <c r="E1284" s="72" t="s">
        <v>725</v>
      </c>
      <c r="F1284" s="72"/>
      <c r="G1284" s="72"/>
      <c r="H1284" s="72"/>
    </row>
    <row r="1285" spans="1:8" s="44" customFormat="1" hidden="1" outlineLevel="1">
      <c r="A1285" s="433" t="s">
        <v>429</v>
      </c>
      <c r="B1285" s="543">
        <v>110978</v>
      </c>
      <c r="C1285" s="94">
        <v>0</v>
      </c>
      <c r="D1285" s="144">
        <f t="shared" si="49"/>
        <v>110978</v>
      </c>
      <c r="E1285" s="72" t="s">
        <v>430</v>
      </c>
      <c r="F1285" s="72"/>
      <c r="G1285" s="72"/>
      <c r="H1285" s="72"/>
    </row>
    <row r="1286" spans="1:8" s="44" customFormat="1" hidden="1" outlineLevel="1">
      <c r="A1286" s="433" t="s">
        <v>1044</v>
      </c>
      <c r="B1286" s="543">
        <v>917239</v>
      </c>
      <c r="C1286" s="94">
        <v>0</v>
      </c>
      <c r="D1286" s="144">
        <f t="shared" si="49"/>
        <v>917239</v>
      </c>
      <c r="E1286" s="72" t="s">
        <v>1045</v>
      </c>
      <c r="F1286" s="72"/>
      <c r="G1286" s="72"/>
      <c r="H1286" s="72"/>
    </row>
    <row r="1287" spans="1:8" s="44" customFormat="1" hidden="1" outlineLevel="1">
      <c r="A1287" s="433" t="s">
        <v>1148</v>
      </c>
      <c r="B1287" s="543">
        <v>41183</v>
      </c>
      <c r="C1287" s="94">
        <v>0</v>
      </c>
      <c r="D1287" s="144">
        <f t="shared" si="49"/>
        <v>41183</v>
      </c>
      <c r="E1287" s="72" t="s">
        <v>1149</v>
      </c>
      <c r="F1287" s="72"/>
      <c r="G1287" s="72"/>
      <c r="H1287" s="72"/>
    </row>
    <row r="1288" spans="1:8" s="44" customFormat="1" hidden="1" outlineLevel="1">
      <c r="A1288" s="433" t="s">
        <v>1298</v>
      </c>
      <c r="B1288" s="543">
        <v>36934</v>
      </c>
      <c r="C1288" s="94">
        <v>0</v>
      </c>
      <c r="D1288" s="144">
        <f t="shared" si="49"/>
        <v>36934</v>
      </c>
      <c r="E1288" s="72" t="s">
        <v>1299</v>
      </c>
      <c r="F1288" s="72"/>
      <c r="G1288" s="72"/>
      <c r="H1288" s="72"/>
    </row>
    <row r="1289" spans="1:8" s="44" customFormat="1" hidden="1" outlineLevel="1">
      <c r="A1289" s="433" t="s">
        <v>1264</v>
      </c>
      <c r="B1289" s="543">
        <v>253689</v>
      </c>
      <c r="C1289" s="94">
        <v>0</v>
      </c>
      <c r="D1289" s="144">
        <f t="shared" si="49"/>
        <v>253689</v>
      </c>
      <c r="E1289" s="72" t="s">
        <v>1265</v>
      </c>
      <c r="F1289" s="72"/>
      <c r="G1289" s="72"/>
      <c r="H1289" s="72"/>
    </row>
    <row r="1290" spans="1:8" s="44" customFormat="1" hidden="1" outlineLevel="1">
      <c r="A1290" s="433" t="s">
        <v>1296</v>
      </c>
      <c r="B1290" s="543">
        <v>77020</v>
      </c>
      <c r="C1290" s="94">
        <v>0</v>
      </c>
      <c r="D1290" s="144">
        <f t="shared" si="49"/>
        <v>77020</v>
      </c>
      <c r="E1290" s="72" t="s">
        <v>1297</v>
      </c>
      <c r="F1290" s="72"/>
      <c r="G1290" s="72"/>
      <c r="H1290" s="72"/>
    </row>
    <row r="1291" spans="1:8" s="44" customFormat="1" hidden="1" outlineLevel="1">
      <c r="A1291" s="433" t="s">
        <v>1124</v>
      </c>
      <c r="B1291" s="543">
        <v>279013</v>
      </c>
      <c r="C1291" s="94">
        <v>0</v>
      </c>
      <c r="D1291" s="144">
        <f t="shared" si="49"/>
        <v>279013</v>
      </c>
      <c r="E1291" s="72" t="s">
        <v>1125</v>
      </c>
      <c r="F1291" s="72"/>
      <c r="G1291" s="72"/>
      <c r="H1291" s="72"/>
    </row>
    <row r="1292" spans="1:8" s="44" customFormat="1" hidden="1" outlineLevel="1">
      <c r="A1292" s="433" t="s">
        <v>1359</v>
      </c>
      <c r="B1292" s="543">
        <v>141657</v>
      </c>
      <c r="C1292" s="94">
        <v>0</v>
      </c>
      <c r="D1292" s="144">
        <f t="shared" si="49"/>
        <v>141657</v>
      </c>
      <c r="E1292" s="72" t="s">
        <v>1360</v>
      </c>
      <c r="F1292" s="72"/>
      <c r="G1292" s="72"/>
      <c r="H1292" s="72"/>
    </row>
    <row r="1293" spans="1:8" s="44" customFormat="1" hidden="1" outlineLevel="1">
      <c r="A1293" s="433" t="s">
        <v>922</v>
      </c>
      <c r="B1293" s="543">
        <v>45041</v>
      </c>
      <c r="C1293" s="94">
        <v>0</v>
      </c>
      <c r="D1293" s="144">
        <f t="shared" si="49"/>
        <v>45041</v>
      </c>
      <c r="E1293" s="72" t="s">
        <v>923</v>
      </c>
      <c r="F1293" s="72"/>
      <c r="G1293" s="72"/>
      <c r="H1293" s="72"/>
    </row>
    <row r="1294" spans="1:8" s="44" customFormat="1" hidden="1" outlineLevel="1">
      <c r="A1294" s="433" t="s">
        <v>1336</v>
      </c>
      <c r="B1294" s="543">
        <v>830682</v>
      </c>
      <c r="C1294" s="94">
        <v>0</v>
      </c>
      <c r="D1294" s="144">
        <f t="shared" si="49"/>
        <v>830682</v>
      </c>
      <c r="E1294" s="72" t="s">
        <v>1337</v>
      </c>
      <c r="F1294" s="72"/>
      <c r="G1294" s="72"/>
      <c r="H1294" s="72"/>
    </row>
    <row r="1295" spans="1:8" s="44" customFormat="1" hidden="1" outlineLevel="1">
      <c r="A1295" s="433" t="s">
        <v>1040</v>
      </c>
      <c r="B1295" s="543">
        <v>643756</v>
      </c>
      <c r="C1295" s="94">
        <v>0</v>
      </c>
      <c r="D1295" s="144">
        <f t="shared" si="49"/>
        <v>643756</v>
      </c>
      <c r="E1295" s="72" t="s">
        <v>1041</v>
      </c>
      <c r="F1295" s="72"/>
      <c r="G1295" s="72"/>
      <c r="H1295" s="72"/>
    </row>
    <row r="1296" spans="1:8" s="44" customFormat="1" hidden="1" outlineLevel="1">
      <c r="A1296" s="433" t="s">
        <v>938</v>
      </c>
      <c r="B1296" s="543">
        <v>166051.29999999999</v>
      </c>
      <c r="C1296" s="94">
        <v>0</v>
      </c>
      <c r="D1296" s="144">
        <f t="shared" si="49"/>
        <v>166051.29999999999</v>
      </c>
      <c r="E1296" s="72" t="s">
        <v>939</v>
      </c>
      <c r="F1296" s="72"/>
      <c r="G1296" s="72"/>
      <c r="H1296" s="72"/>
    </row>
    <row r="1297" spans="1:8" s="44" customFormat="1" hidden="1" outlineLevel="1">
      <c r="A1297" s="433" t="s">
        <v>878</v>
      </c>
      <c r="B1297" s="543">
        <v>272061.2</v>
      </c>
      <c r="C1297" s="94">
        <v>0</v>
      </c>
      <c r="D1297" s="144">
        <f t="shared" si="49"/>
        <v>272061.2</v>
      </c>
      <c r="E1297" s="72" t="s">
        <v>879</v>
      </c>
      <c r="F1297" s="72"/>
      <c r="G1297" s="72"/>
      <c r="H1297" s="72"/>
    </row>
    <row r="1298" spans="1:8" s="44" customFormat="1" hidden="1" outlineLevel="1">
      <c r="A1298" s="433" t="s">
        <v>1196</v>
      </c>
      <c r="B1298" s="543">
        <v>2781800.0010000002</v>
      </c>
      <c r="C1298" s="94">
        <v>0</v>
      </c>
      <c r="D1298" s="144">
        <f t="shared" si="49"/>
        <v>2781800.0010000002</v>
      </c>
      <c r="E1298" s="72" t="s">
        <v>1197</v>
      </c>
      <c r="F1298" s="72"/>
      <c r="G1298" s="72"/>
      <c r="H1298" s="72"/>
    </row>
    <row r="1299" spans="1:8" s="44" customFormat="1" hidden="1" outlineLevel="1">
      <c r="A1299" s="433" t="s">
        <v>1387</v>
      </c>
      <c r="B1299" s="543">
        <v>221642</v>
      </c>
      <c r="C1299" s="94">
        <v>0</v>
      </c>
      <c r="D1299" s="144">
        <f t="shared" si="49"/>
        <v>221642</v>
      </c>
      <c r="E1299" s="72" t="s">
        <v>1388</v>
      </c>
      <c r="F1299" s="72"/>
      <c r="G1299" s="72"/>
      <c r="H1299" s="72"/>
    </row>
    <row r="1300" spans="1:8" s="44" customFormat="1" hidden="1" outlineLevel="1">
      <c r="A1300" s="433" t="s">
        <v>1004</v>
      </c>
      <c r="B1300" s="543">
        <v>214194</v>
      </c>
      <c r="C1300" s="94">
        <v>0</v>
      </c>
      <c r="D1300" s="144">
        <f t="shared" si="49"/>
        <v>214194</v>
      </c>
      <c r="E1300" s="72" t="s">
        <v>1005</v>
      </c>
      <c r="F1300" s="72"/>
      <c r="G1300" s="72"/>
      <c r="H1300" s="72"/>
    </row>
    <row r="1301" spans="1:8" s="44" customFormat="1" hidden="1" outlineLevel="1">
      <c r="A1301" s="433" t="s">
        <v>1120</v>
      </c>
      <c r="B1301" s="543">
        <v>295602343.77999997</v>
      </c>
      <c r="C1301" s="94">
        <v>11081212.84</v>
      </c>
      <c r="D1301" s="144">
        <f t="shared" si="49"/>
        <v>306683556.61999995</v>
      </c>
      <c r="E1301" s="72" t="s">
        <v>1121</v>
      </c>
      <c r="F1301" s="72"/>
      <c r="G1301" s="72"/>
      <c r="H1301" s="72"/>
    </row>
    <row r="1302" spans="1:8" s="44" customFormat="1" hidden="1" outlineLevel="1">
      <c r="A1302" s="433" t="s">
        <v>1286</v>
      </c>
      <c r="B1302" s="543">
        <v>3381906</v>
      </c>
      <c r="C1302" s="94">
        <v>187891</v>
      </c>
      <c r="D1302" s="144">
        <f t="shared" si="49"/>
        <v>3569797</v>
      </c>
      <c r="E1302" s="72" t="s">
        <v>1287</v>
      </c>
      <c r="F1302" s="72"/>
      <c r="G1302" s="72"/>
      <c r="H1302" s="72"/>
    </row>
    <row r="1303" spans="1:8" s="44" customFormat="1" hidden="1" outlineLevel="1">
      <c r="A1303" s="433" t="s">
        <v>1030</v>
      </c>
      <c r="B1303" s="543">
        <v>52770481.891999997</v>
      </c>
      <c r="C1303" s="94">
        <v>63459.002</v>
      </c>
      <c r="D1303" s="144">
        <f t="shared" si="49"/>
        <v>52833940.893999994</v>
      </c>
      <c r="E1303" s="72" t="s">
        <v>1031</v>
      </c>
      <c r="F1303" s="72"/>
      <c r="G1303" s="72"/>
      <c r="H1303" s="72"/>
    </row>
    <row r="1304" spans="1:8" s="44" customFormat="1" hidden="1" outlineLevel="1">
      <c r="A1304" s="433" t="s">
        <v>1178</v>
      </c>
      <c r="B1304" s="543">
        <v>98947</v>
      </c>
      <c r="C1304" s="94">
        <v>0</v>
      </c>
      <c r="D1304" s="144">
        <f t="shared" si="49"/>
        <v>98947</v>
      </c>
      <c r="E1304" s="72" t="s">
        <v>1179</v>
      </c>
      <c r="F1304" s="72"/>
      <c r="G1304" s="72"/>
      <c r="H1304" s="72"/>
    </row>
    <row r="1305" spans="1:8" s="44" customFormat="1" hidden="1" outlineLevel="1">
      <c r="A1305" s="433" t="s">
        <v>1419</v>
      </c>
      <c r="B1305" s="543">
        <v>272772</v>
      </c>
      <c r="C1305" s="94">
        <v>20285</v>
      </c>
      <c r="D1305" s="144">
        <f t="shared" si="49"/>
        <v>293057</v>
      </c>
      <c r="E1305" s="72" t="s">
        <v>1420</v>
      </c>
      <c r="F1305" s="72"/>
      <c r="G1305" s="72"/>
      <c r="H1305" s="72"/>
    </row>
    <row r="1306" spans="1:8" s="44" customFormat="1" hidden="1" outlineLevel="1">
      <c r="A1306" s="433" t="s">
        <v>976</v>
      </c>
      <c r="B1306" s="543">
        <v>578975</v>
      </c>
      <c r="C1306" s="94">
        <v>0</v>
      </c>
      <c r="D1306" s="144">
        <f t="shared" si="49"/>
        <v>578975</v>
      </c>
      <c r="E1306" s="72" t="s">
        <v>977</v>
      </c>
      <c r="F1306" s="72"/>
      <c r="G1306" s="72"/>
      <c r="H1306" s="72"/>
    </row>
    <row r="1307" spans="1:8" s="44" customFormat="1" hidden="1" outlineLevel="1">
      <c r="A1307" s="433" t="s">
        <v>1078</v>
      </c>
      <c r="B1307" s="543">
        <v>1811436</v>
      </c>
      <c r="C1307" s="94">
        <v>0</v>
      </c>
      <c r="D1307" s="144">
        <f t="shared" si="49"/>
        <v>1811436</v>
      </c>
      <c r="E1307" s="72" t="s">
        <v>1079</v>
      </c>
      <c r="F1307" s="72"/>
      <c r="G1307" s="72"/>
      <c r="H1307" s="72"/>
    </row>
    <row r="1308" spans="1:8" s="44" customFormat="1" hidden="1" outlineLevel="1">
      <c r="A1308" s="433" t="s">
        <v>1128</v>
      </c>
      <c r="B1308" s="543">
        <v>590270</v>
      </c>
      <c r="C1308" s="94">
        <v>0</v>
      </c>
      <c r="D1308" s="144">
        <f t="shared" si="49"/>
        <v>590270</v>
      </c>
      <c r="E1308" s="72" t="s">
        <v>1129</v>
      </c>
      <c r="F1308" s="72"/>
      <c r="G1308" s="72"/>
      <c r="H1308" s="72"/>
    </row>
    <row r="1309" spans="1:8" s="44" customFormat="1" hidden="1" outlineLevel="1">
      <c r="A1309" s="433" t="s">
        <v>908</v>
      </c>
      <c r="B1309" s="543">
        <v>2016102.469</v>
      </c>
      <c r="C1309" s="94">
        <v>0</v>
      </c>
      <c r="D1309" s="144">
        <f t="shared" si="49"/>
        <v>2016102.469</v>
      </c>
      <c r="E1309" s="72" t="s">
        <v>909</v>
      </c>
      <c r="F1309" s="72"/>
      <c r="G1309" s="72"/>
      <c r="H1309" s="72"/>
    </row>
    <row r="1310" spans="1:8" s="44" customFormat="1" hidden="1" outlineLevel="1">
      <c r="A1310" s="433" t="s">
        <v>1429</v>
      </c>
      <c r="B1310" s="543">
        <v>332423</v>
      </c>
      <c r="C1310" s="94">
        <v>0</v>
      </c>
      <c r="D1310" s="144">
        <f t="shared" si="49"/>
        <v>332423</v>
      </c>
      <c r="E1310" s="72" t="s">
        <v>1430</v>
      </c>
      <c r="F1310" s="72"/>
      <c r="G1310" s="72"/>
      <c r="H1310" s="72"/>
    </row>
    <row r="1311" spans="1:8" s="44" customFormat="1" hidden="1" outlineLevel="1">
      <c r="A1311" s="433" t="s">
        <v>904</v>
      </c>
      <c r="B1311" s="543">
        <v>1278989.923</v>
      </c>
      <c r="C1311" s="94">
        <v>14197.781999999999</v>
      </c>
      <c r="D1311" s="144">
        <f t="shared" si="49"/>
        <v>1293187.7049999998</v>
      </c>
      <c r="E1311" s="72" t="s">
        <v>905</v>
      </c>
      <c r="F1311" s="72"/>
      <c r="G1311" s="72"/>
      <c r="H1311" s="72"/>
    </row>
    <row r="1312" spans="1:8" s="44" customFormat="1" hidden="1" outlineLevel="1">
      <c r="A1312" s="433" t="s">
        <v>1274</v>
      </c>
      <c r="B1312" s="543">
        <v>10045408.914999999</v>
      </c>
      <c r="C1312" s="94">
        <v>0</v>
      </c>
      <c r="D1312" s="144">
        <f t="shared" si="49"/>
        <v>10045408.914999999</v>
      </c>
      <c r="E1312" s="72" t="s">
        <v>1275</v>
      </c>
      <c r="F1312" s="72"/>
      <c r="G1312" s="72"/>
      <c r="H1312" s="72"/>
    </row>
    <row r="1313" spans="1:8" s="44" customFormat="1" hidden="1" outlineLevel="1">
      <c r="A1313" s="433" t="s">
        <v>1332</v>
      </c>
      <c r="B1313" s="543">
        <v>65722486.399999999</v>
      </c>
      <c r="C1313" s="94">
        <v>36898</v>
      </c>
      <c r="D1313" s="144">
        <f t="shared" si="49"/>
        <v>65759384.399999999</v>
      </c>
      <c r="E1313" s="72" t="s">
        <v>1333</v>
      </c>
      <c r="F1313" s="72"/>
      <c r="G1313" s="72"/>
      <c r="H1313" s="72"/>
    </row>
    <row r="1314" spans="1:8" s="44" customFormat="1" hidden="1" outlineLevel="1">
      <c r="A1314" s="433" t="s">
        <v>1421</v>
      </c>
      <c r="B1314" s="543">
        <v>48528.659</v>
      </c>
      <c r="C1314" s="94">
        <v>0</v>
      </c>
      <c r="D1314" s="144">
        <f t="shared" si="49"/>
        <v>48528.659</v>
      </c>
      <c r="E1314" s="72" t="s">
        <v>1422</v>
      </c>
      <c r="F1314" s="72"/>
      <c r="G1314" s="72"/>
      <c r="H1314" s="72"/>
    </row>
    <row r="1315" spans="1:8" s="44" customFormat="1" hidden="1" outlineLevel="1">
      <c r="A1315" s="433" t="s">
        <v>1435</v>
      </c>
      <c r="B1315" s="543">
        <v>1176306.0020000001</v>
      </c>
      <c r="C1315" s="94">
        <v>0</v>
      </c>
      <c r="D1315" s="144">
        <f t="shared" si="49"/>
        <v>1176306.0020000001</v>
      </c>
      <c r="E1315" s="72" t="s">
        <v>1436</v>
      </c>
      <c r="F1315" s="72"/>
      <c r="G1315" s="72"/>
      <c r="H1315" s="72"/>
    </row>
    <row r="1316" spans="1:8" s="44" customFormat="1" hidden="1" outlineLevel="1">
      <c r="A1316" s="433" t="s">
        <v>1351</v>
      </c>
      <c r="B1316" s="543">
        <v>9684847</v>
      </c>
      <c r="C1316" s="94">
        <v>0</v>
      </c>
      <c r="D1316" s="144">
        <f t="shared" si="49"/>
        <v>9684847</v>
      </c>
      <c r="E1316" s="72" t="s">
        <v>1352</v>
      </c>
      <c r="F1316" s="72"/>
      <c r="G1316" s="72"/>
      <c r="H1316" s="72"/>
    </row>
    <row r="1317" spans="1:8" s="44" customFormat="1" hidden="1" outlineLevel="1">
      <c r="A1317" s="433" t="s">
        <v>1278</v>
      </c>
      <c r="B1317" s="543">
        <v>58285</v>
      </c>
      <c r="C1317" s="94">
        <v>0</v>
      </c>
      <c r="D1317" s="144">
        <f t="shared" si="49"/>
        <v>58285</v>
      </c>
      <c r="E1317" s="72" t="s">
        <v>1279</v>
      </c>
      <c r="F1317" s="72"/>
      <c r="G1317" s="72"/>
      <c r="H1317" s="72"/>
    </row>
    <row r="1318" spans="1:8" s="44" customFormat="1" hidden="1" outlineLevel="1">
      <c r="A1318" s="433" t="s">
        <v>1373</v>
      </c>
      <c r="B1318" s="543">
        <v>30000</v>
      </c>
      <c r="C1318" s="94">
        <v>0</v>
      </c>
      <c r="D1318" s="144">
        <f t="shared" si="49"/>
        <v>30000</v>
      </c>
      <c r="E1318" s="72" t="s">
        <v>1374</v>
      </c>
      <c r="F1318" s="72"/>
      <c r="G1318" s="72"/>
      <c r="H1318" s="72"/>
    </row>
    <row r="1319" spans="1:8" s="44" customFormat="1" hidden="1" outlineLevel="1">
      <c r="A1319" s="433" t="s">
        <v>1401</v>
      </c>
      <c r="B1319" s="543">
        <v>612684163</v>
      </c>
      <c r="C1319" s="94">
        <v>22271838</v>
      </c>
      <c r="D1319" s="144">
        <f t="shared" si="49"/>
        <v>634956001</v>
      </c>
      <c r="E1319" s="72" t="s">
        <v>1402</v>
      </c>
      <c r="F1319" s="72"/>
      <c r="G1319" s="72"/>
      <c r="H1319" s="72"/>
    </row>
    <row r="1320" spans="1:8" s="44" customFormat="1" hidden="1" outlineLevel="1">
      <c r="A1320" s="433" t="s">
        <v>1122</v>
      </c>
      <c r="B1320" s="543">
        <v>4066236.4950000001</v>
      </c>
      <c r="C1320" s="94">
        <v>0</v>
      </c>
      <c r="D1320" s="144">
        <f t="shared" si="49"/>
        <v>4066236.4950000001</v>
      </c>
      <c r="E1320" s="72" t="s">
        <v>1123</v>
      </c>
      <c r="F1320" s="72"/>
      <c r="G1320" s="72"/>
      <c r="H1320" s="72"/>
    </row>
    <row r="1321" spans="1:8" s="44" customFormat="1" hidden="1" outlineLevel="1">
      <c r="A1321" s="433" t="s">
        <v>1048</v>
      </c>
      <c r="B1321" s="543">
        <v>21983</v>
      </c>
      <c r="C1321" s="94">
        <v>0</v>
      </c>
      <c r="D1321" s="144">
        <f t="shared" si="49"/>
        <v>21983</v>
      </c>
      <c r="E1321" s="72" t="s">
        <v>1049</v>
      </c>
      <c r="F1321" s="72"/>
      <c r="G1321" s="72"/>
      <c r="H1321" s="72"/>
    </row>
    <row r="1322" spans="1:8" s="44" customFormat="1" hidden="1" outlineLevel="1">
      <c r="A1322" s="433" t="s">
        <v>1138</v>
      </c>
      <c r="B1322" s="543">
        <v>80257</v>
      </c>
      <c r="C1322" s="94">
        <v>0</v>
      </c>
      <c r="D1322" s="144">
        <f t="shared" si="49"/>
        <v>80257</v>
      </c>
      <c r="E1322" s="72" t="s">
        <v>1139</v>
      </c>
      <c r="F1322" s="72"/>
      <c r="G1322" s="72"/>
      <c r="H1322" s="72"/>
    </row>
    <row r="1323" spans="1:8" s="44" customFormat="1" hidden="1" outlineLevel="1">
      <c r="A1323" s="433" t="s">
        <v>1341</v>
      </c>
      <c r="B1323" s="543">
        <v>1875669</v>
      </c>
      <c r="C1323" s="94">
        <v>46437</v>
      </c>
      <c r="D1323" s="144">
        <f t="shared" si="49"/>
        <v>1922106</v>
      </c>
      <c r="E1323" s="72" t="s">
        <v>1342</v>
      </c>
      <c r="F1323" s="72"/>
      <c r="G1323" s="72"/>
      <c r="H1323" s="72"/>
    </row>
    <row r="1324" spans="1:8" s="44" customFormat="1" hidden="1" outlineLevel="1">
      <c r="A1324" s="433" t="s">
        <v>1276</v>
      </c>
      <c r="B1324" s="543">
        <v>1274407</v>
      </c>
      <c r="C1324" s="94">
        <v>0</v>
      </c>
      <c r="D1324" s="144">
        <f>B1324+C1324</f>
        <v>1274407</v>
      </c>
      <c r="E1324" s="72" t="s">
        <v>1277</v>
      </c>
      <c r="F1324" s="72"/>
      <c r="G1324" s="72"/>
      <c r="H1324" s="72"/>
    </row>
    <row r="1325" spans="1:8" s="44" customFormat="1" hidden="1" outlineLevel="1">
      <c r="A1325" s="433" t="s">
        <v>1343</v>
      </c>
      <c r="B1325" s="543">
        <v>308617</v>
      </c>
      <c r="C1325" s="94">
        <v>0</v>
      </c>
      <c r="D1325" s="144">
        <f t="shared" si="49"/>
        <v>308617</v>
      </c>
      <c r="E1325" s="72" t="s">
        <v>1344</v>
      </c>
      <c r="F1325" s="72"/>
      <c r="G1325" s="72"/>
      <c r="H1325" s="72"/>
    </row>
    <row r="1326" spans="1:8" s="44" customFormat="1" hidden="1" outlineLevel="1">
      <c r="A1326" s="433" t="s">
        <v>968</v>
      </c>
      <c r="B1326" s="543">
        <v>2438460</v>
      </c>
      <c r="C1326" s="94">
        <v>0</v>
      </c>
      <c r="D1326" s="144">
        <f t="shared" si="49"/>
        <v>2438460</v>
      </c>
      <c r="E1326" s="72" t="s">
        <v>969</v>
      </c>
      <c r="F1326" s="72"/>
      <c r="G1326" s="72"/>
      <c r="H1326" s="72"/>
    </row>
    <row r="1327" spans="1:8" s="44" customFormat="1" hidden="1" outlineLevel="1">
      <c r="A1327" s="433" t="s">
        <v>1192</v>
      </c>
      <c r="B1327" s="543">
        <v>104211</v>
      </c>
      <c r="C1327" s="94">
        <v>0</v>
      </c>
      <c r="D1327" s="144">
        <f t="shared" si="49"/>
        <v>104211</v>
      </c>
      <c r="E1327" s="72" t="s">
        <v>1193</v>
      </c>
      <c r="F1327" s="72"/>
      <c r="G1327" s="72"/>
      <c r="H1327" s="72"/>
    </row>
    <row r="1328" spans="1:8" s="44" customFormat="1" hidden="1" outlineLevel="1">
      <c r="A1328" s="433" t="s">
        <v>1318</v>
      </c>
      <c r="B1328" s="543">
        <v>1134774</v>
      </c>
      <c r="C1328" s="94">
        <v>0</v>
      </c>
      <c r="D1328" s="144">
        <f t="shared" si="49"/>
        <v>1134774</v>
      </c>
      <c r="E1328" s="72" t="s">
        <v>1319</v>
      </c>
      <c r="F1328" s="72"/>
      <c r="G1328" s="72"/>
      <c r="H1328" s="72"/>
    </row>
    <row r="1329" spans="1:8" s="44" customFormat="1" hidden="1" outlineLevel="1">
      <c r="A1329" s="433" t="s">
        <v>664</v>
      </c>
      <c r="B1329" s="543">
        <v>16693</v>
      </c>
      <c r="C1329" s="94">
        <v>197942.89</v>
      </c>
      <c r="D1329" s="144">
        <f t="shared" si="49"/>
        <v>214635.89</v>
      </c>
      <c r="E1329" s="72" t="s">
        <v>665</v>
      </c>
      <c r="F1329" s="72"/>
      <c r="G1329" s="72"/>
      <c r="H1329" s="72"/>
    </row>
    <row r="1330" spans="1:8" s="44" customFormat="1" hidden="1" outlineLevel="1">
      <c r="A1330" s="433" t="s">
        <v>1034</v>
      </c>
      <c r="B1330" s="543">
        <v>454390</v>
      </c>
      <c r="C1330" s="94">
        <v>0</v>
      </c>
      <c r="D1330" s="144">
        <f t="shared" si="49"/>
        <v>454390</v>
      </c>
      <c r="E1330" s="72" t="s">
        <v>1035</v>
      </c>
      <c r="F1330" s="72"/>
      <c r="G1330" s="72"/>
      <c r="H1330" s="72"/>
    </row>
    <row r="1331" spans="1:8" s="44" customFormat="1" hidden="1" outlineLevel="1">
      <c r="A1331" s="433" t="s">
        <v>900</v>
      </c>
      <c r="B1331" s="543">
        <v>19583</v>
      </c>
      <c r="C1331" s="94">
        <v>0</v>
      </c>
      <c r="D1331" s="144">
        <f t="shared" si="49"/>
        <v>19583</v>
      </c>
      <c r="E1331" s="72" t="s">
        <v>901</v>
      </c>
      <c r="F1331" s="72"/>
      <c r="G1331" s="72"/>
      <c r="H1331" s="72"/>
    </row>
    <row r="1332" spans="1:8" s="44" customFormat="1" hidden="1" outlineLevel="1">
      <c r="A1332" s="433" t="s">
        <v>1096</v>
      </c>
      <c r="B1332" s="543">
        <v>562769</v>
      </c>
      <c r="C1332" s="94">
        <v>0</v>
      </c>
      <c r="D1332" s="144">
        <f t="shared" si="49"/>
        <v>562769</v>
      </c>
      <c r="E1332" s="72" t="s">
        <v>1097</v>
      </c>
      <c r="F1332" s="72"/>
      <c r="G1332" s="72"/>
      <c r="H1332" s="72"/>
    </row>
    <row r="1333" spans="1:8" s="44" customFormat="1" hidden="1" outlineLevel="1">
      <c r="A1333" s="433" t="s">
        <v>858</v>
      </c>
      <c r="B1333" s="543">
        <v>24000</v>
      </c>
      <c r="C1333" s="94">
        <v>0</v>
      </c>
      <c r="D1333" s="144">
        <f t="shared" si="49"/>
        <v>24000</v>
      </c>
      <c r="E1333" s="72" t="s">
        <v>859</v>
      </c>
      <c r="F1333" s="72"/>
      <c r="G1333" s="72"/>
      <c r="H1333" s="72"/>
    </row>
    <row r="1334" spans="1:8" s="44" customFormat="1" hidden="1" outlineLevel="1">
      <c r="A1334" s="433" t="s">
        <v>1379</v>
      </c>
      <c r="B1334" s="543">
        <v>24776</v>
      </c>
      <c r="C1334" s="94">
        <v>0</v>
      </c>
      <c r="D1334" s="144">
        <f t="shared" si="49"/>
        <v>24776</v>
      </c>
      <c r="E1334" s="72" t="s">
        <v>1380</v>
      </c>
      <c r="F1334" s="72"/>
      <c r="G1334" s="72"/>
      <c r="H1334" s="72"/>
    </row>
    <row r="1335" spans="1:8" s="44" customFormat="1" hidden="1" outlineLevel="1">
      <c r="A1335" s="433" t="s">
        <v>1361</v>
      </c>
      <c r="B1335" s="543">
        <v>4420758.0089999996</v>
      </c>
      <c r="C1335" s="94">
        <v>-164162</v>
      </c>
      <c r="D1335" s="144">
        <f t="shared" si="49"/>
        <v>4256596.0089999996</v>
      </c>
      <c r="E1335" s="72" t="s">
        <v>1362</v>
      </c>
      <c r="F1335" s="72"/>
      <c r="G1335" s="72"/>
      <c r="H1335" s="72"/>
    </row>
    <row r="1336" spans="1:8" s="44" customFormat="1" hidden="1" outlineLevel="1">
      <c r="A1336" s="433" t="s">
        <v>1172</v>
      </c>
      <c r="B1336" s="543">
        <v>142973</v>
      </c>
      <c r="C1336" s="94">
        <v>0</v>
      </c>
      <c r="D1336" s="144">
        <f t="shared" si="49"/>
        <v>142973</v>
      </c>
      <c r="E1336" s="72" t="s">
        <v>1173</v>
      </c>
      <c r="F1336" s="72"/>
      <c r="G1336" s="72"/>
      <c r="H1336" s="72"/>
    </row>
    <row r="1337" spans="1:8" s="44" customFormat="1" hidden="1" outlineLevel="1">
      <c r="A1337" s="433" t="s">
        <v>966</v>
      </c>
      <c r="B1337" s="543">
        <v>2166</v>
      </c>
      <c r="C1337" s="94">
        <v>0</v>
      </c>
      <c r="D1337" s="144">
        <f t="shared" si="49"/>
        <v>2166</v>
      </c>
      <c r="E1337" s="72" t="s">
        <v>967</v>
      </c>
      <c r="F1337" s="72"/>
      <c r="G1337" s="72"/>
      <c r="H1337" s="72"/>
    </row>
    <row r="1338" spans="1:8" s="44" customFormat="1" hidden="1" outlineLevel="1">
      <c r="A1338" s="433" t="s">
        <v>994</v>
      </c>
      <c r="B1338" s="543">
        <v>46429</v>
      </c>
      <c r="C1338" s="94">
        <v>0</v>
      </c>
      <c r="D1338" s="144">
        <f t="shared" si="49"/>
        <v>46429</v>
      </c>
      <c r="E1338" s="72" t="s">
        <v>995</v>
      </c>
      <c r="F1338" s="72"/>
      <c r="G1338" s="72"/>
      <c r="H1338" s="72"/>
    </row>
    <row r="1339" spans="1:8" s="44" customFormat="1" hidden="1" outlineLevel="1">
      <c r="A1339" s="433" t="s">
        <v>1010</v>
      </c>
      <c r="B1339" s="543">
        <v>535644</v>
      </c>
      <c r="C1339" s="94">
        <v>0</v>
      </c>
      <c r="D1339" s="144">
        <f t="shared" ref="D1339:D1402" si="50">B1339+C1339</f>
        <v>535644</v>
      </c>
      <c r="E1339" s="72" t="s">
        <v>1011</v>
      </c>
      <c r="F1339" s="72"/>
      <c r="G1339" s="72"/>
      <c r="H1339" s="72"/>
    </row>
    <row r="1340" spans="1:8" s="44" customFormat="1" hidden="1" outlineLevel="1">
      <c r="A1340" s="433" t="s">
        <v>1300</v>
      </c>
      <c r="B1340" s="543">
        <v>79030</v>
      </c>
      <c r="C1340" s="94">
        <v>0</v>
      </c>
      <c r="D1340" s="144">
        <f t="shared" si="50"/>
        <v>79030</v>
      </c>
      <c r="E1340" s="72" t="s">
        <v>1301</v>
      </c>
      <c r="F1340" s="72"/>
      <c r="G1340" s="72"/>
      <c r="H1340" s="72"/>
    </row>
    <row r="1341" spans="1:8" s="44" customFormat="1" hidden="1" outlineLevel="1">
      <c r="A1341" s="433" t="s">
        <v>970</v>
      </c>
      <c r="B1341" s="543">
        <v>224178</v>
      </c>
      <c r="C1341" s="94">
        <v>0</v>
      </c>
      <c r="D1341" s="144">
        <f t="shared" si="50"/>
        <v>224178</v>
      </c>
      <c r="E1341" s="72" t="s">
        <v>971</v>
      </c>
      <c r="F1341" s="72"/>
      <c r="G1341" s="72"/>
      <c r="H1341" s="72"/>
    </row>
    <row r="1342" spans="1:8" s="44" customFormat="1" hidden="1" outlineLevel="1">
      <c r="A1342" s="433" t="s">
        <v>856</v>
      </c>
      <c r="B1342" s="543">
        <v>155225</v>
      </c>
      <c r="C1342" s="94">
        <v>0</v>
      </c>
      <c r="D1342" s="144">
        <f t="shared" si="50"/>
        <v>155225</v>
      </c>
      <c r="E1342" s="72" t="s">
        <v>857</v>
      </c>
      <c r="F1342" s="72"/>
      <c r="G1342" s="72"/>
      <c r="H1342" s="72"/>
    </row>
    <row r="1343" spans="1:8" s="44" customFormat="1" hidden="1" outlineLevel="1">
      <c r="A1343" s="433" t="s">
        <v>1012</v>
      </c>
      <c r="B1343" s="543">
        <v>149122</v>
      </c>
      <c r="C1343" s="94">
        <v>0</v>
      </c>
      <c r="D1343" s="144">
        <f t="shared" si="50"/>
        <v>149122</v>
      </c>
      <c r="E1343" s="72" t="s">
        <v>1013</v>
      </c>
      <c r="F1343" s="72"/>
      <c r="G1343" s="72"/>
      <c r="H1343" s="72"/>
    </row>
    <row r="1344" spans="1:8" s="44" customFormat="1" hidden="1" outlineLevel="1">
      <c r="A1344" s="433" t="s">
        <v>1240</v>
      </c>
      <c r="B1344" s="543">
        <v>518144</v>
      </c>
      <c r="C1344" s="94">
        <v>0</v>
      </c>
      <c r="D1344" s="144">
        <f t="shared" si="50"/>
        <v>518144</v>
      </c>
      <c r="E1344" s="72" t="s">
        <v>1241</v>
      </c>
      <c r="F1344" s="72"/>
      <c r="G1344" s="72"/>
      <c r="H1344" s="72"/>
    </row>
    <row r="1345" spans="1:8" s="44" customFormat="1" hidden="1" outlineLevel="1">
      <c r="A1345" s="433" t="s">
        <v>1322</v>
      </c>
      <c r="B1345" s="543">
        <v>478943</v>
      </c>
      <c r="C1345" s="94">
        <v>0</v>
      </c>
      <c r="D1345" s="144">
        <f t="shared" si="50"/>
        <v>478943</v>
      </c>
      <c r="E1345" s="72" t="s">
        <v>1323</v>
      </c>
      <c r="F1345" s="72"/>
      <c r="G1345" s="72"/>
      <c r="H1345" s="72"/>
    </row>
    <row r="1346" spans="1:8" s="44" customFormat="1" hidden="1" outlineLevel="1">
      <c r="A1346" s="433" t="s">
        <v>1248</v>
      </c>
      <c r="B1346" s="543">
        <v>36282</v>
      </c>
      <c r="C1346" s="94">
        <v>0</v>
      </c>
      <c r="D1346" s="144">
        <f t="shared" si="50"/>
        <v>36282</v>
      </c>
      <c r="E1346" s="72" t="s">
        <v>1249</v>
      </c>
      <c r="F1346" s="72"/>
      <c r="G1346" s="72"/>
      <c r="H1346" s="72"/>
    </row>
    <row r="1347" spans="1:8" s="44" customFormat="1" hidden="1" outlineLevel="1">
      <c r="A1347" s="433" t="s">
        <v>866</v>
      </c>
      <c r="B1347" s="543">
        <v>16783</v>
      </c>
      <c r="C1347" s="94">
        <v>0</v>
      </c>
      <c r="D1347" s="144">
        <f t="shared" si="50"/>
        <v>16783</v>
      </c>
      <c r="E1347" s="72" t="s">
        <v>867</v>
      </c>
      <c r="F1347" s="72"/>
      <c r="G1347" s="72"/>
      <c r="H1347" s="72"/>
    </row>
    <row r="1348" spans="1:8" s="44" customFormat="1" hidden="1" outlineLevel="1">
      <c r="A1348" s="433" t="s">
        <v>1046</v>
      </c>
      <c r="B1348" s="543">
        <v>323470</v>
      </c>
      <c r="C1348" s="94">
        <v>0</v>
      </c>
      <c r="D1348" s="144">
        <f t="shared" si="50"/>
        <v>323470</v>
      </c>
      <c r="E1348" s="72" t="s">
        <v>1047</v>
      </c>
      <c r="F1348" s="72"/>
      <c r="G1348" s="72"/>
      <c r="H1348" s="72"/>
    </row>
    <row r="1349" spans="1:8" s="44" customFormat="1" hidden="1" outlineLevel="1">
      <c r="A1349" s="433" t="s">
        <v>1403</v>
      </c>
      <c r="B1349" s="543">
        <v>184356</v>
      </c>
      <c r="C1349" s="94">
        <v>0</v>
      </c>
      <c r="D1349" s="144">
        <f t="shared" si="50"/>
        <v>184356</v>
      </c>
      <c r="E1349" s="72" t="s">
        <v>1404</v>
      </c>
      <c r="F1349" s="72"/>
      <c r="G1349" s="72"/>
      <c r="H1349" s="72"/>
    </row>
    <row r="1350" spans="1:8" s="44" customFormat="1" hidden="1" outlineLevel="1">
      <c r="A1350" s="433" t="s">
        <v>1166</v>
      </c>
      <c r="B1350" s="543">
        <v>0</v>
      </c>
      <c r="C1350" s="94">
        <v>0</v>
      </c>
      <c r="D1350" s="144">
        <f t="shared" si="50"/>
        <v>0</v>
      </c>
      <c r="E1350" s="72" t="s">
        <v>1167</v>
      </c>
      <c r="F1350" s="72"/>
      <c r="G1350" s="72"/>
      <c r="H1350" s="72"/>
    </row>
    <row r="1351" spans="1:8" s="44" customFormat="1" hidden="1" outlineLevel="1">
      <c r="A1351" s="433" t="s">
        <v>1304</v>
      </c>
      <c r="B1351" s="543">
        <v>5918747</v>
      </c>
      <c r="C1351" s="94">
        <v>0</v>
      </c>
      <c r="D1351" s="144">
        <f t="shared" si="50"/>
        <v>5918747</v>
      </c>
      <c r="E1351" s="72" t="s">
        <v>1305</v>
      </c>
      <c r="F1351" s="72"/>
      <c r="G1351" s="72"/>
      <c r="H1351" s="72"/>
    </row>
    <row r="1352" spans="1:8" s="44" customFormat="1" hidden="1" outlineLevel="1">
      <c r="A1352" s="433" t="s">
        <v>1345</v>
      </c>
      <c r="B1352" s="543">
        <v>340431</v>
      </c>
      <c r="C1352" s="94">
        <v>0</v>
      </c>
      <c r="D1352" s="144">
        <f t="shared" si="50"/>
        <v>340431</v>
      </c>
      <c r="E1352" s="72" t="s">
        <v>1346</v>
      </c>
      <c r="F1352" s="72"/>
      <c r="G1352" s="72"/>
      <c r="H1352" s="72"/>
    </row>
    <row r="1353" spans="1:8" s="44" customFormat="1" hidden="1" outlineLevel="1">
      <c r="A1353" s="433" t="s">
        <v>1194</v>
      </c>
      <c r="B1353" s="543">
        <v>1185219.308</v>
      </c>
      <c r="C1353" s="94">
        <v>0</v>
      </c>
      <c r="D1353" s="144">
        <f t="shared" si="50"/>
        <v>1185219.308</v>
      </c>
      <c r="E1353" s="72" t="s">
        <v>1195</v>
      </c>
      <c r="F1353" s="72"/>
      <c r="G1353" s="72"/>
      <c r="H1353" s="72"/>
    </row>
    <row r="1354" spans="1:8" s="44" customFormat="1" hidden="1" outlineLevel="1">
      <c r="A1354" s="433" t="s">
        <v>956</v>
      </c>
      <c r="B1354" s="543">
        <v>664980</v>
      </c>
      <c r="C1354" s="94">
        <v>0</v>
      </c>
      <c r="D1354" s="144">
        <f t="shared" si="50"/>
        <v>664980</v>
      </c>
      <c r="E1354" s="72" t="s">
        <v>957</v>
      </c>
      <c r="F1354" s="72"/>
      <c r="G1354" s="72"/>
      <c r="H1354" s="72"/>
    </row>
    <row r="1355" spans="1:8" s="44" customFormat="1" hidden="1" outlineLevel="1">
      <c r="A1355" s="433" t="s">
        <v>86</v>
      </c>
      <c r="B1355" s="543">
        <v>439166.39</v>
      </c>
      <c r="C1355" s="94">
        <v>0</v>
      </c>
      <c r="D1355" s="144">
        <f t="shared" si="50"/>
        <v>439166.39</v>
      </c>
      <c r="E1355" s="72" t="s">
        <v>87</v>
      </c>
      <c r="F1355" s="72"/>
      <c r="G1355" s="72"/>
      <c r="H1355" s="72"/>
    </row>
    <row r="1356" spans="1:8" s="44" customFormat="1" hidden="1" outlineLevel="1">
      <c r="A1356" s="433" t="s">
        <v>1320</v>
      </c>
      <c r="B1356" s="543">
        <v>9528153</v>
      </c>
      <c r="C1356" s="94">
        <v>0</v>
      </c>
      <c r="D1356" s="144">
        <f t="shared" si="50"/>
        <v>9528153</v>
      </c>
      <c r="E1356" s="72" t="s">
        <v>1321</v>
      </c>
      <c r="F1356" s="72"/>
      <c r="G1356" s="72"/>
      <c r="H1356" s="72"/>
    </row>
    <row r="1357" spans="1:8" s="44" customFormat="1" hidden="1" outlineLevel="1">
      <c r="A1357" s="433" t="s">
        <v>860</v>
      </c>
      <c r="B1357" s="543">
        <v>550450</v>
      </c>
      <c r="C1357" s="94">
        <v>0</v>
      </c>
      <c r="D1357" s="144">
        <f t="shared" si="50"/>
        <v>550450</v>
      </c>
      <c r="E1357" s="72" t="s">
        <v>861</v>
      </c>
      <c r="F1357" s="72"/>
      <c r="G1357" s="72"/>
      <c r="H1357" s="72"/>
    </row>
    <row r="1358" spans="1:8" s="44" customFormat="1" hidden="1" outlineLevel="1">
      <c r="A1358" s="433" t="s">
        <v>892</v>
      </c>
      <c r="B1358" s="543">
        <v>169056</v>
      </c>
      <c r="C1358" s="94">
        <v>0</v>
      </c>
      <c r="D1358" s="144">
        <f t="shared" si="50"/>
        <v>169056</v>
      </c>
      <c r="E1358" s="72" t="s">
        <v>893</v>
      </c>
      <c r="F1358" s="72"/>
      <c r="G1358" s="72"/>
      <c r="H1358" s="72"/>
    </row>
    <row r="1359" spans="1:8" s="44" customFormat="1" hidden="1" outlineLevel="1">
      <c r="A1359" s="433" t="s">
        <v>1425</v>
      </c>
      <c r="B1359" s="543">
        <v>7164491.6399999997</v>
      </c>
      <c r="C1359" s="94">
        <v>10175619</v>
      </c>
      <c r="D1359" s="144">
        <f t="shared" si="50"/>
        <v>17340110.640000001</v>
      </c>
      <c r="E1359" s="72" t="s">
        <v>1426</v>
      </c>
      <c r="F1359" s="72"/>
      <c r="G1359" s="72"/>
      <c r="H1359" s="72"/>
    </row>
    <row r="1360" spans="1:8" s="44" customFormat="1" hidden="1" outlineLevel="1">
      <c r="A1360" s="433" t="s">
        <v>1409</v>
      </c>
      <c r="B1360" s="543">
        <v>5559388.2209999999</v>
      </c>
      <c r="C1360" s="94">
        <v>247236</v>
      </c>
      <c r="D1360" s="144">
        <f t="shared" si="50"/>
        <v>5806624.2209999999</v>
      </c>
      <c r="E1360" s="72" t="s">
        <v>1410</v>
      </c>
      <c r="F1360" s="72"/>
      <c r="G1360" s="72"/>
      <c r="H1360" s="72"/>
    </row>
    <row r="1361" spans="1:8" s="44" customFormat="1" hidden="1" outlineLevel="1">
      <c r="A1361" s="433" t="s">
        <v>984</v>
      </c>
      <c r="B1361" s="543">
        <v>4105933</v>
      </c>
      <c r="C1361" s="94">
        <v>-68273</v>
      </c>
      <c r="D1361" s="144">
        <f t="shared" si="50"/>
        <v>4037660</v>
      </c>
      <c r="E1361" s="72" t="s">
        <v>985</v>
      </c>
      <c r="F1361" s="72"/>
      <c r="G1361" s="72"/>
      <c r="H1361" s="72"/>
    </row>
    <row r="1362" spans="1:8" s="44" customFormat="1" hidden="1" outlineLevel="1">
      <c r="A1362" s="433" t="s">
        <v>1076</v>
      </c>
      <c r="B1362" s="543">
        <v>1844441</v>
      </c>
      <c r="C1362" s="94">
        <v>0</v>
      </c>
      <c r="D1362" s="144">
        <f t="shared" si="50"/>
        <v>1844441</v>
      </c>
      <c r="E1362" s="72" t="s">
        <v>1077</v>
      </c>
      <c r="F1362" s="72"/>
      <c r="G1362" s="72"/>
      <c r="H1362" s="72"/>
    </row>
    <row r="1363" spans="1:8" s="44" customFormat="1" hidden="1" outlineLevel="1">
      <c r="A1363" s="433" t="s">
        <v>910</v>
      </c>
      <c r="B1363" s="543">
        <v>5304955</v>
      </c>
      <c r="C1363" s="94">
        <v>0</v>
      </c>
      <c r="D1363" s="144">
        <f t="shared" si="50"/>
        <v>5304955</v>
      </c>
      <c r="E1363" s="72" t="s">
        <v>911</v>
      </c>
      <c r="F1363" s="72"/>
      <c r="G1363" s="72"/>
      <c r="H1363" s="72"/>
    </row>
    <row r="1364" spans="1:8" s="44" customFormat="1" hidden="1" outlineLevel="1">
      <c r="A1364" s="433" t="s">
        <v>1427</v>
      </c>
      <c r="B1364" s="543">
        <v>231331128.13600001</v>
      </c>
      <c r="C1364" s="94">
        <v>0</v>
      </c>
      <c r="D1364" s="144">
        <f t="shared" si="50"/>
        <v>231331128.13600001</v>
      </c>
      <c r="E1364" s="72" t="s">
        <v>1428</v>
      </c>
      <c r="F1364" s="72"/>
      <c r="G1364" s="72"/>
      <c r="H1364" s="72"/>
    </row>
    <row r="1365" spans="1:8" s="44" customFormat="1" hidden="1" outlineLevel="1">
      <c r="A1365" s="433" t="s">
        <v>1216</v>
      </c>
      <c r="B1365" s="543">
        <v>217776</v>
      </c>
      <c r="C1365" s="94">
        <v>0</v>
      </c>
      <c r="D1365" s="144">
        <f t="shared" si="50"/>
        <v>217776</v>
      </c>
      <c r="E1365" s="72" t="s">
        <v>1217</v>
      </c>
      <c r="F1365" s="72"/>
      <c r="G1365" s="72"/>
      <c r="H1365" s="72"/>
    </row>
    <row r="1366" spans="1:8" s="44" customFormat="1" hidden="1" outlineLevel="1">
      <c r="A1366" s="433" t="s">
        <v>1028</v>
      </c>
      <c r="B1366" s="543">
        <v>238812</v>
      </c>
      <c r="C1366" s="94">
        <v>0</v>
      </c>
      <c r="D1366" s="144">
        <f t="shared" si="50"/>
        <v>238812</v>
      </c>
      <c r="E1366" s="72" t="s">
        <v>1029</v>
      </c>
      <c r="F1366" s="72"/>
      <c r="G1366" s="72"/>
      <c r="H1366" s="72"/>
    </row>
    <row r="1367" spans="1:8" s="44" customFormat="1" hidden="1" outlineLevel="1">
      <c r="A1367" s="433" t="s">
        <v>1417</v>
      </c>
      <c r="B1367" s="543">
        <v>166375.4</v>
      </c>
      <c r="C1367" s="94">
        <v>24918.32</v>
      </c>
      <c r="D1367" s="144">
        <f t="shared" si="50"/>
        <v>191293.72</v>
      </c>
      <c r="E1367" s="72" t="s">
        <v>1418</v>
      </c>
      <c r="F1367" s="72"/>
      <c r="G1367" s="72"/>
      <c r="H1367" s="72"/>
    </row>
    <row r="1368" spans="1:8" s="44" customFormat="1" hidden="1" outlineLevel="1">
      <c r="A1368" s="433" t="s">
        <v>894</v>
      </c>
      <c r="B1368" s="543">
        <v>567210.42000000004</v>
      </c>
      <c r="C1368" s="94">
        <v>21828</v>
      </c>
      <c r="D1368" s="144">
        <f t="shared" si="50"/>
        <v>589038.42000000004</v>
      </c>
      <c r="E1368" s="72" t="s">
        <v>895</v>
      </c>
      <c r="F1368" s="72"/>
      <c r="G1368" s="72"/>
      <c r="H1368" s="72"/>
    </row>
    <row r="1369" spans="1:8" s="44" customFormat="1" hidden="1" outlineLevel="1">
      <c r="A1369" s="433" t="s">
        <v>1369</v>
      </c>
      <c r="B1369" s="543">
        <v>31379</v>
      </c>
      <c r="C1369" s="94">
        <v>0</v>
      </c>
      <c r="D1369" s="144">
        <f t="shared" si="50"/>
        <v>31379</v>
      </c>
      <c r="E1369" s="72" t="s">
        <v>1370</v>
      </c>
      <c r="F1369" s="72"/>
      <c r="G1369" s="72"/>
      <c r="H1369" s="72"/>
    </row>
    <row r="1370" spans="1:8" s="44" customFormat="1" hidden="1" outlineLevel="1">
      <c r="A1370" s="433" t="s">
        <v>1154</v>
      </c>
      <c r="B1370" s="543">
        <v>311812.375</v>
      </c>
      <c r="C1370" s="94">
        <v>0</v>
      </c>
      <c r="D1370" s="144">
        <f t="shared" si="50"/>
        <v>311812.375</v>
      </c>
      <c r="E1370" s="72" t="s">
        <v>1155</v>
      </c>
      <c r="F1370" s="72"/>
      <c r="G1370" s="72"/>
      <c r="H1370" s="72"/>
    </row>
    <row r="1371" spans="1:8" s="44" customFormat="1" hidden="1" outlineLevel="1">
      <c r="A1371" s="433" t="s">
        <v>1381</v>
      </c>
      <c r="B1371" s="543">
        <v>78289</v>
      </c>
      <c r="C1371" s="94">
        <v>0</v>
      </c>
      <c r="D1371" s="144">
        <f t="shared" si="50"/>
        <v>78289</v>
      </c>
      <c r="E1371" s="72" t="s">
        <v>1382</v>
      </c>
      <c r="F1371" s="72"/>
      <c r="G1371" s="72"/>
      <c r="H1371" s="72"/>
    </row>
    <row r="1372" spans="1:8" s="44" customFormat="1" hidden="1" outlineLevel="1">
      <c r="A1372" s="433" t="s">
        <v>1391</v>
      </c>
      <c r="B1372" s="543">
        <v>743545</v>
      </c>
      <c r="C1372" s="94">
        <v>272</v>
      </c>
      <c r="D1372" s="144">
        <f t="shared" si="50"/>
        <v>743817</v>
      </c>
      <c r="E1372" s="72" t="s">
        <v>1392</v>
      </c>
      <c r="F1372" s="72"/>
      <c r="G1372" s="72"/>
      <c r="H1372" s="72"/>
    </row>
    <row r="1373" spans="1:8" s="44" customFormat="1" hidden="1" outlineLevel="1">
      <c r="A1373" s="433" t="s">
        <v>1190</v>
      </c>
      <c r="B1373" s="543">
        <v>259929.008</v>
      </c>
      <c r="C1373" s="94">
        <v>-7887</v>
      </c>
      <c r="D1373" s="144">
        <f t="shared" si="50"/>
        <v>252042.008</v>
      </c>
      <c r="E1373" s="72" t="s">
        <v>1191</v>
      </c>
      <c r="F1373" s="72"/>
      <c r="G1373" s="72"/>
      <c r="H1373" s="72"/>
    </row>
    <row r="1374" spans="1:8" s="44" customFormat="1" hidden="1" outlineLevel="1">
      <c r="A1374" s="433" t="s">
        <v>1462</v>
      </c>
      <c r="B1374" s="543">
        <v>2054627</v>
      </c>
      <c r="C1374" s="94">
        <v>509168.73599999998</v>
      </c>
      <c r="D1374" s="144">
        <f t="shared" si="50"/>
        <v>2563795.736</v>
      </c>
      <c r="E1374" s="72" t="s">
        <v>1463</v>
      </c>
      <c r="F1374" s="72"/>
      <c r="G1374" s="72"/>
      <c r="H1374" s="72"/>
    </row>
    <row r="1375" spans="1:8" s="44" customFormat="1" hidden="1" outlineLevel="1">
      <c r="A1375" s="433" t="s">
        <v>1230</v>
      </c>
      <c r="B1375" s="543">
        <v>494415</v>
      </c>
      <c r="C1375" s="94">
        <v>0</v>
      </c>
      <c r="D1375" s="144">
        <f t="shared" si="50"/>
        <v>494415</v>
      </c>
      <c r="E1375" s="72" t="s">
        <v>1231</v>
      </c>
      <c r="F1375" s="72"/>
      <c r="G1375" s="72"/>
      <c r="H1375" s="72"/>
    </row>
    <row r="1376" spans="1:8" s="44" customFormat="1" hidden="1" outlineLevel="1">
      <c r="A1376" s="433" t="s">
        <v>1020</v>
      </c>
      <c r="B1376" s="543">
        <v>1013182</v>
      </c>
      <c r="C1376" s="94">
        <v>-271008</v>
      </c>
      <c r="D1376" s="144">
        <f t="shared" si="50"/>
        <v>742174</v>
      </c>
      <c r="E1376" s="72" t="s">
        <v>1021</v>
      </c>
      <c r="F1376" s="72"/>
      <c r="G1376" s="72"/>
      <c r="H1376" s="72"/>
    </row>
    <row r="1377" spans="1:8" s="44" customFormat="1" hidden="1" outlineLevel="1">
      <c r="A1377" s="433" t="s">
        <v>1288</v>
      </c>
      <c r="B1377" s="543">
        <v>4303647</v>
      </c>
      <c r="C1377" s="94">
        <v>1171004</v>
      </c>
      <c r="D1377" s="144">
        <f t="shared" si="50"/>
        <v>5474651</v>
      </c>
      <c r="E1377" s="72" t="s">
        <v>1289</v>
      </c>
      <c r="F1377" s="72"/>
      <c r="G1377" s="72"/>
      <c r="H1377" s="72"/>
    </row>
    <row r="1378" spans="1:8" s="44" customFormat="1" hidden="1" outlineLevel="1">
      <c r="A1378" s="433" t="s">
        <v>1395</v>
      </c>
      <c r="B1378" s="543">
        <v>154780241.498</v>
      </c>
      <c r="C1378" s="94">
        <v>0</v>
      </c>
      <c r="D1378" s="144">
        <f t="shared" si="50"/>
        <v>154780241.498</v>
      </c>
      <c r="E1378" s="72" t="s">
        <v>1396</v>
      </c>
      <c r="F1378" s="72"/>
      <c r="G1378" s="72"/>
      <c r="H1378" s="72"/>
    </row>
    <row r="1379" spans="1:8" s="44" customFormat="1" hidden="1" outlineLevel="1">
      <c r="A1379" s="433" t="s">
        <v>1452</v>
      </c>
      <c r="B1379" s="543">
        <v>231919309</v>
      </c>
      <c r="C1379" s="94">
        <v>0</v>
      </c>
      <c r="D1379" s="144">
        <f t="shared" si="50"/>
        <v>231919309</v>
      </c>
      <c r="E1379" s="72" t="s">
        <v>1453</v>
      </c>
      <c r="F1379" s="72"/>
      <c r="G1379" s="72"/>
      <c r="H1379" s="72"/>
    </row>
    <row r="1380" spans="1:8" s="44" customFormat="1" hidden="1" outlineLevel="1">
      <c r="A1380" s="433" t="s">
        <v>928</v>
      </c>
      <c r="B1380" s="543">
        <v>394306</v>
      </c>
      <c r="C1380" s="94">
        <v>0</v>
      </c>
      <c r="D1380" s="144">
        <f t="shared" si="50"/>
        <v>394306</v>
      </c>
      <c r="E1380" s="72" t="s">
        <v>929</v>
      </c>
      <c r="F1380" s="72"/>
      <c r="G1380" s="72"/>
      <c r="H1380" s="72"/>
    </row>
    <row r="1381" spans="1:8" s="44" customFormat="1" hidden="1" outlineLevel="1">
      <c r="A1381" s="433" t="s">
        <v>1349</v>
      </c>
      <c r="B1381" s="543">
        <v>22000</v>
      </c>
      <c r="C1381" s="94">
        <v>0</v>
      </c>
      <c r="D1381" s="144">
        <f t="shared" si="50"/>
        <v>22000</v>
      </c>
      <c r="E1381" s="72" t="s">
        <v>1350</v>
      </c>
      <c r="F1381" s="72"/>
      <c r="G1381" s="72"/>
      <c r="H1381" s="72"/>
    </row>
    <row r="1382" spans="1:8" s="44" customFormat="1" hidden="1" outlineLevel="1">
      <c r="A1382" s="433" t="s">
        <v>1016</v>
      </c>
      <c r="B1382" s="543">
        <v>205544</v>
      </c>
      <c r="C1382" s="94">
        <v>0</v>
      </c>
      <c r="D1382" s="144">
        <f t="shared" si="50"/>
        <v>205544</v>
      </c>
      <c r="E1382" s="72" t="s">
        <v>1017</v>
      </c>
      <c r="F1382" s="72"/>
      <c r="G1382" s="72"/>
      <c r="H1382" s="72"/>
    </row>
    <row r="1383" spans="1:8" s="44" customFormat="1" hidden="1" outlineLevel="1">
      <c r="A1383" s="433" t="s">
        <v>1377</v>
      </c>
      <c r="B1383" s="543">
        <v>213330</v>
      </c>
      <c r="C1383" s="94">
        <v>0</v>
      </c>
      <c r="D1383" s="144">
        <f t="shared" si="50"/>
        <v>213330</v>
      </c>
      <c r="E1383" s="72" t="s">
        <v>1378</v>
      </c>
      <c r="F1383" s="72"/>
      <c r="G1383" s="72"/>
      <c r="H1383" s="72"/>
    </row>
    <row r="1384" spans="1:8" s="44" customFormat="1" hidden="1" outlineLevel="1">
      <c r="A1384" s="433" t="s">
        <v>1032</v>
      </c>
      <c r="B1384" s="543">
        <v>527089</v>
      </c>
      <c r="C1384" s="94">
        <v>0</v>
      </c>
      <c r="D1384" s="144">
        <f t="shared" si="50"/>
        <v>527089</v>
      </c>
      <c r="E1384" s="72" t="s">
        <v>1033</v>
      </c>
      <c r="F1384" s="72"/>
      <c r="G1384" s="72"/>
      <c r="H1384" s="72"/>
    </row>
    <row r="1385" spans="1:8" s="44" customFormat="1" hidden="1" outlineLevel="1">
      <c r="A1385" s="433" t="s">
        <v>936</v>
      </c>
      <c r="B1385" s="543">
        <v>27205704.914000001</v>
      </c>
      <c r="C1385" s="94">
        <v>0</v>
      </c>
      <c r="D1385" s="144">
        <f t="shared" si="50"/>
        <v>27205704.914000001</v>
      </c>
      <c r="E1385" s="72" t="s">
        <v>937</v>
      </c>
      <c r="F1385" s="72"/>
      <c r="G1385" s="72"/>
      <c r="H1385" s="72"/>
    </row>
    <row r="1386" spans="1:8" s="44" customFormat="1" hidden="1" outlineLevel="1">
      <c r="A1386" s="433" t="s">
        <v>1413</v>
      </c>
      <c r="B1386" s="543">
        <v>508175551</v>
      </c>
      <c r="C1386" s="94">
        <v>0</v>
      </c>
      <c r="D1386" s="144">
        <f t="shared" si="50"/>
        <v>508175551</v>
      </c>
      <c r="E1386" s="72" t="s">
        <v>1414</v>
      </c>
      <c r="F1386" s="72"/>
      <c r="G1386" s="72"/>
      <c r="H1386" s="72"/>
    </row>
    <row r="1387" spans="1:8" s="44" customFormat="1" hidden="1" outlineLevel="1">
      <c r="A1387" s="433" t="s">
        <v>521</v>
      </c>
      <c r="B1387" s="543">
        <v>156054.13399999999</v>
      </c>
      <c r="C1387" s="94">
        <v>10712.007</v>
      </c>
      <c r="D1387" s="144">
        <f t="shared" si="50"/>
        <v>166766.141</v>
      </c>
      <c r="E1387" s="72" t="s">
        <v>522</v>
      </c>
      <c r="F1387" s="72"/>
      <c r="G1387" s="72"/>
      <c r="H1387" s="72"/>
    </row>
    <row r="1388" spans="1:8" s="44" customFormat="1" hidden="1" outlineLevel="1">
      <c r="A1388" s="433" t="s">
        <v>1456</v>
      </c>
      <c r="B1388" s="543">
        <v>960660</v>
      </c>
      <c r="C1388" s="94">
        <v>0</v>
      </c>
      <c r="D1388" s="144">
        <f t="shared" si="50"/>
        <v>960660</v>
      </c>
      <c r="E1388" s="72" t="s">
        <v>1457</v>
      </c>
      <c r="F1388" s="72"/>
      <c r="G1388" s="72"/>
      <c r="H1388" s="72"/>
    </row>
    <row r="1389" spans="1:8" s="44" customFormat="1" hidden="1" outlineLevel="1">
      <c r="A1389" s="433" t="s">
        <v>1355</v>
      </c>
      <c r="B1389" s="543">
        <v>611755</v>
      </c>
      <c r="C1389" s="94">
        <v>0</v>
      </c>
      <c r="D1389" s="144">
        <f t="shared" si="50"/>
        <v>611755</v>
      </c>
      <c r="E1389" s="72" t="s">
        <v>1356</v>
      </c>
      <c r="F1389" s="72"/>
      <c r="G1389" s="72"/>
      <c r="H1389" s="72"/>
    </row>
    <row r="1390" spans="1:8" s="44" customFormat="1" hidden="1" outlineLevel="1">
      <c r="A1390" s="433" t="s">
        <v>1282</v>
      </c>
      <c r="B1390" s="543">
        <v>175809647.02700001</v>
      </c>
      <c r="C1390" s="94">
        <v>1094320</v>
      </c>
      <c r="D1390" s="144">
        <f t="shared" si="50"/>
        <v>176903967.02700001</v>
      </c>
      <c r="E1390" s="72" t="s">
        <v>1283</v>
      </c>
      <c r="F1390" s="72"/>
      <c r="G1390" s="72"/>
      <c r="H1390" s="72"/>
    </row>
    <row r="1391" spans="1:8" s="44" customFormat="1" hidden="1" outlineLevel="1">
      <c r="A1391" s="433" t="s">
        <v>1454</v>
      </c>
      <c r="B1391" s="543">
        <v>117305.5</v>
      </c>
      <c r="C1391" s="94">
        <v>0</v>
      </c>
      <c r="D1391" s="144">
        <f t="shared" si="50"/>
        <v>117305.5</v>
      </c>
      <c r="E1391" s="72" t="s">
        <v>1455</v>
      </c>
      <c r="F1391" s="72"/>
      <c r="G1391" s="72"/>
      <c r="H1391" s="72"/>
    </row>
    <row r="1392" spans="1:8" s="44" customFormat="1" hidden="1" outlineLevel="1">
      <c r="A1392" s="433" t="s">
        <v>870</v>
      </c>
      <c r="B1392" s="543">
        <v>2085592.28</v>
      </c>
      <c r="C1392" s="94">
        <v>0</v>
      </c>
      <c r="D1392" s="144">
        <f t="shared" si="50"/>
        <v>2085592.28</v>
      </c>
      <c r="E1392" s="72" t="s">
        <v>871</v>
      </c>
      <c r="F1392" s="72"/>
      <c r="G1392" s="72"/>
      <c r="H1392" s="72"/>
    </row>
    <row r="1393" spans="1:8" s="44" customFormat="1" hidden="1" outlineLevel="1">
      <c r="A1393" s="433" t="s">
        <v>194</v>
      </c>
      <c r="B1393" s="543">
        <v>15487427</v>
      </c>
      <c r="C1393" s="94">
        <v>1178586</v>
      </c>
      <c r="D1393" s="144">
        <f t="shared" si="50"/>
        <v>16666013</v>
      </c>
      <c r="E1393" s="72" t="s">
        <v>195</v>
      </c>
      <c r="F1393" s="72"/>
      <c r="G1393" s="72"/>
      <c r="H1393" s="72"/>
    </row>
    <row r="1394" spans="1:8" s="44" customFormat="1" hidden="1" outlineLevel="1">
      <c r="A1394" s="433" t="s">
        <v>1399</v>
      </c>
      <c r="B1394" s="543">
        <v>8406723</v>
      </c>
      <c r="C1394" s="94">
        <v>5038211</v>
      </c>
      <c r="D1394" s="144">
        <f t="shared" si="50"/>
        <v>13444934</v>
      </c>
      <c r="E1394" s="72" t="s">
        <v>1400</v>
      </c>
      <c r="F1394" s="72"/>
      <c r="G1394" s="72"/>
      <c r="H1394" s="72"/>
    </row>
    <row r="1395" spans="1:8" s="44" customFormat="1" hidden="1" outlineLevel="1">
      <c r="A1395" s="433" t="s">
        <v>974</v>
      </c>
      <c r="B1395" s="543">
        <v>10352752.322000001</v>
      </c>
      <c r="C1395" s="94">
        <v>0</v>
      </c>
      <c r="D1395" s="144">
        <f t="shared" si="50"/>
        <v>10352752.322000001</v>
      </c>
      <c r="E1395" s="72" t="s">
        <v>975</v>
      </c>
      <c r="F1395" s="72"/>
      <c r="G1395" s="72"/>
      <c r="H1395" s="72"/>
    </row>
    <row r="1396" spans="1:8" s="44" customFormat="1" hidden="1" outlineLevel="1">
      <c r="A1396" s="433" t="s">
        <v>1472</v>
      </c>
      <c r="B1396" s="543">
        <v>36919</v>
      </c>
      <c r="C1396" s="94">
        <v>0</v>
      </c>
      <c r="D1396" s="144">
        <f t="shared" si="50"/>
        <v>36919</v>
      </c>
      <c r="E1396" s="72" t="s">
        <v>1473</v>
      </c>
      <c r="F1396" s="72"/>
      <c r="G1396" s="72"/>
      <c r="H1396" s="72"/>
    </row>
    <row r="1397" spans="1:8" s="44" customFormat="1" hidden="1" outlineLevel="1">
      <c r="A1397" s="433" t="s">
        <v>1038</v>
      </c>
      <c r="B1397" s="543">
        <v>540247</v>
      </c>
      <c r="C1397" s="94">
        <v>0</v>
      </c>
      <c r="D1397" s="144">
        <f t="shared" si="50"/>
        <v>540247</v>
      </c>
      <c r="E1397" s="72" t="s">
        <v>1039</v>
      </c>
      <c r="F1397" s="72"/>
      <c r="G1397" s="72"/>
      <c r="H1397" s="72"/>
    </row>
    <row r="1398" spans="1:8" s="44" customFormat="1" hidden="1" outlineLevel="1">
      <c r="A1398" s="433" t="s">
        <v>924</v>
      </c>
      <c r="B1398" s="543">
        <v>22000</v>
      </c>
      <c r="C1398" s="94">
        <v>0</v>
      </c>
      <c r="D1398" s="144">
        <f t="shared" si="50"/>
        <v>22000</v>
      </c>
      <c r="E1398" s="72" t="s">
        <v>925</v>
      </c>
      <c r="F1398" s="72"/>
      <c r="G1398" s="72"/>
      <c r="H1398" s="72"/>
    </row>
    <row r="1399" spans="1:8" s="44" customFormat="1" hidden="1" outlineLevel="1">
      <c r="A1399" s="433" t="s">
        <v>1106</v>
      </c>
      <c r="B1399" s="543">
        <v>16541444.321</v>
      </c>
      <c r="C1399" s="94">
        <v>0</v>
      </c>
      <c r="D1399" s="144">
        <f t="shared" si="50"/>
        <v>16541444.321</v>
      </c>
      <c r="E1399" s="72" t="s">
        <v>1107</v>
      </c>
      <c r="F1399" s="72"/>
      <c r="G1399" s="72"/>
      <c r="H1399" s="72"/>
    </row>
    <row r="1400" spans="1:8" s="44" customFormat="1" hidden="1" outlineLevel="1">
      <c r="A1400" s="433" t="s">
        <v>1407</v>
      </c>
      <c r="B1400" s="543">
        <v>82936229</v>
      </c>
      <c r="C1400" s="94">
        <v>1399519</v>
      </c>
      <c r="D1400" s="144">
        <f t="shared" si="50"/>
        <v>84335748</v>
      </c>
      <c r="E1400" s="72" t="s">
        <v>1408</v>
      </c>
      <c r="F1400" s="72"/>
      <c r="G1400" s="72"/>
      <c r="H1400" s="72"/>
    </row>
    <row r="1401" spans="1:8" s="44" customFormat="1" hidden="1" outlineLevel="1">
      <c r="A1401" s="433" t="s">
        <v>1312</v>
      </c>
      <c r="B1401" s="543">
        <v>306312</v>
      </c>
      <c r="C1401" s="94">
        <v>0</v>
      </c>
      <c r="D1401" s="144">
        <f t="shared" si="50"/>
        <v>306312</v>
      </c>
      <c r="E1401" s="72" t="s">
        <v>1313</v>
      </c>
      <c r="F1401" s="72"/>
      <c r="G1401" s="72"/>
      <c r="H1401" s="72"/>
    </row>
    <row r="1402" spans="1:8" s="44" customFormat="1" hidden="1" outlineLevel="1">
      <c r="A1402" s="433" t="s">
        <v>872</v>
      </c>
      <c r="B1402" s="543">
        <v>328575</v>
      </c>
      <c r="C1402" s="94">
        <v>0</v>
      </c>
      <c r="D1402" s="144">
        <f t="shared" si="50"/>
        <v>328575</v>
      </c>
      <c r="E1402" s="72" t="s">
        <v>873</v>
      </c>
      <c r="F1402" s="72"/>
      <c r="G1402" s="72"/>
      <c r="H1402" s="72"/>
    </row>
    <row r="1403" spans="1:8" s="44" customFormat="1" hidden="1" outlineLevel="1">
      <c r="A1403" s="433" t="s">
        <v>1024</v>
      </c>
      <c r="B1403" s="543">
        <v>65838610</v>
      </c>
      <c r="C1403" s="94">
        <v>70581</v>
      </c>
      <c r="D1403" s="144">
        <f t="shared" ref="D1403:D1466" si="51">B1403+C1403</f>
        <v>65909191</v>
      </c>
      <c r="E1403" s="72" t="s">
        <v>1025</v>
      </c>
      <c r="F1403" s="72"/>
      <c r="G1403" s="72"/>
      <c r="H1403" s="72"/>
    </row>
    <row r="1404" spans="1:8" s="44" customFormat="1" hidden="1" outlineLevel="1">
      <c r="A1404" s="433" t="s">
        <v>1090</v>
      </c>
      <c r="B1404" s="543">
        <v>1804298.18</v>
      </c>
      <c r="C1404" s="94">
        <v>0</v>
      </c>
      <c r="D1404" s="144">
        <f t="shared" si="51"/>
        <v>1804298.18</v>
      </c>
      <c r="E1404" s="72" t="s">
        <v>1091</v>
      </c>
      <c r="F1404" s="72"/>
      <c r="G1404" s="72"/>
      <c r="H1404" s="72"/>
    </row>
    <row r="1405" spans="1:8" s="44" customFormat="1" hidden="1" outlineLevel="1">
      <c r="A1405" s="433" t="s">
        <v>1242</v>
      </c>
      <c r="B1405" s="543">
        <v>896365</v>
      </c>
      <c r="C1405" s="94">
        <v>35023</v>
      </c>
      <c r="D1405" s="144">
        <f t="shared" si="51"/>
        <v>931388</v>
      </c>
      <c r="E1405" s="72" t="s">
        <v>1243</v>
      </c>
      <c r="F1405" s="72"/>
      <c r="G1405" s="72"/>
      <c r="H1405" s="72"/>
    </row>
    <row r="1406" spans="1:8" s="44" customFormat="1" hidden="1" outlineLevel="1">
      <c r="A1406" s="433" t="s">
        <v>880</v>
      </c>
      <c r="B1406" s="543">
        <v>804343</v>
      </c>
      <c r="C1406" s="94">
        <v>0</v>
      </c>
      <c r="D1406" s="144">
        <f t="shared" si="51"/>
        <v>804343</v>
      </c>
      <c r="E1406" s="72" t="s">
        <v>881</v>
      </c>
      <c r="F1406" s="72"/>
      <c r="G1406" s="72"/>
      <c r="H1406" s="72"/>
    </row>
    <row r="1407" spans="1:8" s="44" customFormat="1" hidden="1" outlineLevel="1">
      <c r="A1407" s="433" t="s">
        <v>988</v>
      </c>
      <c r="B1407" s="543">
        <v>6926189.7869999995</v>
      </c>
      <c r="C1407" s="94">
        <v>0</v>
      </c>
      <c r="D1407" s="144">
        <f t="shared" si="51"/>
        <v>6926189.7869999995</v>
      </c>
      <c r="E1407" s="72" t="s">
        <v>989</v>
      </c>
      <c r="F1407" s="72"/>
      <c r="G1407" s="72"/>
      <c r="H1407" s="72"/>
    </row>
    <row r="1408" spans="1:8" s="44" customFormat="1" hidden="1" outlineLevel="1">
      <c r="A1408" s="433" t="s">
        <v>930</v>
      </c>
      <c r="B1408" s="543">
        <v>1775222</v>
      </c>
      <c r="C1408" s="94">
        <v>0</v>
      </c>
      <c r="D1408" s="144">
        <f t="shared" si="51"/>
        <v>1775222</v>
      </c>
      <c r="E1408" s="72" t="s">
        <v>931</v>
      </c>
      <c r="F1408" s="72"/>
      <c r="G1408" s="72"/>
      <c r="H1408" s="72"/>
    </row>
    <row r="1409" spans="1:8" s="44" customFormat="1" hidden="1" outlineLevel="1">
      <c r="A1409" s="433" t="s">
        <v>1224</v>
      </c>
      <c r="B1409" s="543">
        <v>1043390</v>
      </c>
      <c r="C1409" s="94">
        <v>0</v>
      </c>
      <c r="D1409" s="144">
        <f t="shared" si="51"/>
        <v>1043390</v>
      </c>
      <c r="E1409" s="72" t="s">
        <v>1225</v>
      </c>
      <c r="F1409" s="72"/>
      <c r="G1409" s="72"/>
      <c r="H1409" s="72"/>
    </row>
    <row r="1410" spans="1:8" s="44" customFormat="1" hidden="1" outlineLevel="1">
      <c r="A1410" s="433" t="s">
        <v>864</v>
      </c>
      <c r="B1410" s="543">
        <v>590782.96200000006</v>
      </c>
      <c r="C1410" s="94">
        <v>0</v>
      </c>
      <c r="D1410" s="144">
        <f t="shared" si="51"/>
        <v>590782.96200000006</v>
      </c>
      <c r="E1410" s="72" t="s">
        <v>865</v>
      </c>
      <c r="F1410" s="72"/>
      <c r="G1410" s="72"/>
      <c r="H1410" s="72"/>
    </row>
    <row r="1411" spans="1:8" s="44" customFormat="1" hidden="1" outlineLevel="1">
      <c r="A1411" s="433" t="s">
        <v>1000</v>
      </c>
      <c r="B1411" s="543">
        <v>238710</v>
      </c>
      <c r="C1411" s="94">
        <v>0</v>
      </c>
      <c r="D1411" s="144">
        <f t="shared" si="51"/>
        <v>238710</v>
      </c>
      <c r="E1411" s="72" t="s">
        <v>1001</v>
      </c>
      <c r="F1411" s="72"/>
      <c r="G1411" s="72"/>
      <c r="H1411" s="72"/>
    </row>
    <row r="1412" spans="1:8" s="44" customFormat="1" hidden="1" outlineLevel="1">
      <c r="A1412" s="433" t="s">
        <v>1212</v>
      </c>
      <c r="B1412" s="543">
        <v>1560840.4350000001</v>
      </c>
      <c r="C1412" s="94">
        <v>0</v>
      </c>
      <c r="D1412" s="144">
        <f t="shared" si="51"/>
        <v>1560840.4350000001</v>
      </c>
      <c r="E1412" s="72" t="s">
        <v>1213</v>
      </c>
      <c r="F1412" s="72"/>
      <c r="G1412" s="72"/>
      <c r="H1412" s="72"/>
    </row>
    <row r="1413" spans="1:8" s="44" customFormat="1" hidden="1" outlineLevel="1">
      <c r="A1413" s="433" t="s">
        <v>1110</v>
      </c>
      <c r="B1413" s="543">
        <v>581927.06000000006</v>
      </c>
      <c r="C1413" s="94">
        <v>0</v>
      </c>
      <c r="D1413" s="144">
        <f t="shared" si="51"/>
        <v>581927.06000000006</v>
      </c>
      <c r="E1413" s="72" t="s">
        <v>1111</v>
      </c>
      <c r="F1413" s="72"/>
      <c r="G1413" s="72"/>
      <c r="H1413" s="72"/>
    </row>
    <row r="1414" spans="1:8" s="44" customFormat="1" hidden="1" outlineLevel="1">
      <c r="A1414" s="433" t="s">
        <v>1084</v>
      </c>
      <c r="B1414" s="543">
        <v>2891313.3029999998</v>
      </c>
      <c r="C1414" s="94">
        <v>0</v>
      </c>
      <c r="D1414" s="144">
        <f t="shared" si="51"/>
        <v>2891313.3029999998</v>
      </c>
      <c r="E1414" s="72" t="s">
        <v>1085</v>
      </c>
      <c r="F1414" s="72"/>
      <c r="G1414" s="72"/>
      <c r="H1414" s="72"/>
    </row>
    <row r="1415" spans="1:8" s="44" customFormat="1" hidden="1" outlineLevel="1">
      <c r="A1415" s="433" t="s">
        <v>1026</v>
      </c>
      <c r="B1415" s="543">
        <v>1582333.9909999999</v>
      </c>
      <c r="C1415" s="94">
        <v>0</v>
      </c>
      <c r="D1415" s="144">
        <f t="shared" si="51"/>
        <v>1582333.9909999999</v>
      </c>
      <c r="E1415" s="72" t="s">
        <v>1027</v>
      </c>
      <c r="F1415" s="72"/>
      <c r="G1415" s="72"/>
      <c r="H1415" s="72"/>
    </row>
    <row r="1416" spans="1:8" s="44" customFormat="1" hidden="1" outlineLevel="1">
      <c r="A1416" s="433" t="s">
        <v>1168</v>
      </c>
      <c r="B1416" s="543">
        <v>456401</v>
      </c>
      <c r="C1416" s="94">
        <v>0</v>
      </c>
      <c r="D1416" s="144">
        <f t="shared" si="51"/>
        <v>456401</v>
      </c>
      <c r="E1416" s="72" t="s">
        <v>1169</v>
      </c>
      <c r="F1416" s="72"/>
      <c r="G1416" s="72"/>
      <c r="H1416" s="72"/>
    </row>
    <row r="1417" spans="1:8" s="44" customFormat="1" hidden="1" outlineLevel="1">
      <c r="A1417" s="433" t="s">
        <v>1290</v>
      </c>
      <c r="B1417" s="543">
        <v>1142053</v>
      </c>
      <c r="C1417" s="94">
        <v>-869</v>
      </c>
      <c r="D1417" s="144">
        <f t="shared" si="51"/>
        <v>1141184</v>
      </c>
      <c r="E1417" s="72" t="s">
        <v>1291</v>
      </c>
      <c r="F1417" s="72"/>
      <c r="G1417" s="72"/>
      <c r="H1417" s="72"/>
    </row>
    <row r="1418" spans="1:8" s="44" customFormat="1" hidden="1" outlineLevel="1">
      <c r="A1418" s="433" t="s">
        <v>1114</v>
      </c>
      <c r="B1418" s="543">
        <v>12647020</v>
      </c>
      <c r="C1418" s="94">
        <v>-9640</v>
      </c>
      <c r="D1418" s="144">
        <f t="shared" si="51"/>
        <v>12637380</v>
      </c>
      <c r="E1418" s="72" t="s">
        <v>1115</v>
      </c>
      <c r="F1418" s="72"/>
      <c r="G1418" s="72"/>
      <c r="H1418" s="72"/>
    </row>
    <row r="1419" spans="1:8" s="44" customFormat="1" hidden="1" outlineLevel="1">
      <c r="A1419" s="433" t="s">
        <v>1393</v>
      </c>
      <c r="B1419" s="543">
        <v>470246.20500000002</v>
      </c>
      <c r="C1419" s="94">
        <v>0</v>
      </c>
      <c r="D1419" s="144">
        <f t="shared" si="51"/>
        <v>470246.20500000002</v>
      </c>
      <c r="E1419" s="72" t="s">
        <v>1394</v>
      </c>
      <c r="F1419" s="72"/>
      <c r="G1419" s="72"/>
      <c r="H1419" s="72"/>
    </row>
    <row r="1420" spans="1:8" s="44" customFormat="1" hidden="1" outlineLevel="1">
      <c r="A1420" s="433" t="s">
        <v>1146</v>
      </c>
      <c r="B1420" s="543">
        <v>3439125.4679999999</v>
      </c>
      <c r="C1420" s="94">
        <v>0</v>
      </c>
      <c r="D1420" s="144">
        <f t="shared" si="51"/>
        <v>3439125.4679999999</v>
      </c>
      <c r="E1420" s="72" t="s">
        <v>1147</v>
      </c>
      <c r="F1420" s="72"/>
      <c r="G1420" s="72"/>
      <c r="H1420" s="72"/>
    </row>
    <row r="1421" spans="1:8" s="44" customFormat="1" hidden="1" outlineLevel="1">
      <c r="A1421" s="433" t="s">
        <v>902</v>
      </c>
      <c r="B1421" s="543">
        <v>5882057.233</v>
      </c>
      <c r="C1421" s="94">
        <v>0</v>
      </c>
      <c r="D1421" s="144">
        <f t="shared" si="51"/>
        <v>5882057.233</v>
      </c>
      <c r="E1421" s="72" t="s">
        <v>903</v>
      </c>
      <c r="F1421" s="72"/>
      <c r="G1421" s="72"/>
      <c r="H1421" s="72"/>
    </row>
    <row r="1422" spans="1:8" s="44" customFormat="1" hidden="1" outlineLevel="1">
      <c r="A1422" s="433" t="s">
        <v>1182</v>
      </c>
      <c r="B1422" s="543">
        <v>653277</v>
      </c>
      <c r="C1422" s="94">
        <v>0</v>
      </c>
      <c r="D1422" s="144">
        <f t="shared" si="51"/>
        <v>653277</v>
      </c>
      <c r="E1422" s="72" t="s">
        <v>1183</v>
      </c>
      <c r="F1422" s="72"/>
      <c r="G1422" s="72"/>
      <c r="H1422" s="72"/>
    </row>
    <row r="1423" spans="1:8" s="44" customFormat="1" hidden="1" outlineLevel="1">
      <c r="A1423" s="433" t="s">
        <v>1310</v>
      </c>
      <c r="B1423" s="543">
        <v>3010346</v>
      </c>
      <c r="C1423" s="94">
        <v>0</v>
      </c>
      <c r="D1423" s="144">
        <f t="shared" si="51"/>
        <v>3010346</v>
      </c>
      <c r="E1423" s="72" t="s">
        <v>1311</v>
      </c>
      <c r="F1423" s="72"/>
      <c r="G1423" s="72"/>
      <c r="H1423" s="72"/>
    </row>
    <row r="1424" spans="1:8" s="44" customFormat="1" hidden="1" outlineLevel="1">
      <c r="A1424" s="433" t="s">
        <v>1086</v>
      </c>
      <c r="B1424" s="543">
        <v>2946583.2560000001</v>
      </c>
      <c r="C1424" s="94">
        <v>0</v>
      </c>
      <c r="D1424" s="144">
        <f t="shared" si="51"/>
        <v>2946583.2560000001</v>
      </c>
      <c r="E1424" s="72" t="s">
        <v>1087</v>
      </c>
      <c r="F1424" s="72"/>
      <c r="G1424" s="72"/>
      <c r="H1424" s="72"/>
    </row>
    <row r="1425" spans="1:8" s="44" customFormat="1" hidden="1" outlineLevel="1">
      <c r="A1425" s="433" t="s">
        <v>888</v>
      </c>
      <c r="B1425" s="543">
        <v>2054959</v>
      </c>
      <c r="C1425" s="94">
        <v>0</v>
      </c>
      <c r="D1425" s="144">
        <f t="shared" si="51"/>
        <v>2054959</v>
      </c>
      <c r="E1425" s="72" t="s">
        <v>889</v>
      </c>
      <c r="F1425" s="72"/>
      <c r="G1425" s="72"/>
      <c r="H1425" s="72"/>
    </row>
    <row r="1426" spans="1:8" s="44" customFormat="1" hidden="1" outlineLevel="1">
      <c r="A1426" s="433" t="s">
        <v>932</v>
      </c>
      <c r="B1426" s="543">
        <v>68716.600000000006</v>
      </c>
      <c r="C1426" s="94">
        <v>0</v>
      </c>
      <c r="D1426" s="144">
        <f t="shared" si="51"/>
        <v>68716.600000000006</v>
      </c>
      <c r="E1426" s="72" t="s">
        <v>933</v>
      </c>
      <c r="F1426" s="72"/>
      <c r="G1426" s="72"/>
      <c r="H1426" s="72"/>
    </row>
    <row r="1427" spans="1:8" s="44" customFormat="1" hidden="1" outlineLevel="1">
      <c r="A1427" s="433" t="s">
        <v>920</v>
      </c>
      <c r="B1427" s="543">
        <v>3867071.5729999999</v>
      </c>
      <c r="C1427" s="94">
        <v>-624</v>
      </c>
      <c r="D1427" s="144">
        <f t="shared" si="51"/>
        <v>3866447.5729999999</v>
      </c>
      <c r="E1427" s="72" t="s">
        <v>921</v>
      </c>
      <c r="F1427" s="72"/>
      <c r="G1427" s="72"/>
      <c r="H1427" s="72"/>
    </row>
    <row r="1428" spans="1:8" s="44" customFormat="1" hidden="1" outlineLevel="1">
      <c r="A1428" s="433" t="s">
        <v>862</v>
      </c>
      <c r="B1428" s="543">
        <v>23716</v>
      </c>
      <c r="C1428" s="94">
        <v>0</v>
      </c>
      <c r="D1428" s="144">
        <f t="shared" si="51"/>
        <v>23716</v>
      </c>
      <c r="E1428" s="72" t="s">
        <v>863</v>
      </c>
      <c r="F1428" s="72"/>
      <c r="G1428" s="72"/>
      <c r="H1428" s="72"/>
    </row>
    <row r="1429" spans="1:8" s="44" customFormat="1" hidden="1" outlineLevel="1">
      <c r="A1429" s="433" t="s">
        <v>1176</v>
      </c>
      <c r="B1429" s="543">
        <v>12212872</v>
      </c>
      <c r="C1429" s="94">
        <v>-55336.65</v>
      </c>
      <c r="D1429" s="144">
        <f t="shared" si="51"/>
        <v>12157535.35</v>
      </c>
      <c r="E1429" s="72" t="s">
        <v>1177</v>
      </c>
      <c r="F1429" s="72"/>
      <c r="G1429" s="72"/>
      <c r="H1429" s="72"/>
    </row>
    <row r="1430" spans="1:8" s="44" customFormat="1" hidden="1" outlineLevel="1">
      <c r="A1430" s="433" t="s">
        <v>1082</v>
      </c>
      <c r="B1430" s="543">
        <v>93960</v>
      </c>
      <c r="C1430" s="94">
        <v>0</v>
      </c>
      <c r="D1430" s="144">
        <f t="shared" si="51"/>
        <v>93960</v>
      </c>
      <c r="E1430" s="72" t="s">
        <v>1083</v>
      </c>
      <c r="F1430" s="72"/>
      <c r="G1430" s="72"/>
      <c r="H1430" s="72"/>
    </row>
    <row r="1431" spans="1:8" s="44" customFormat="1" hidden="1" outlineLevel="1">
      <c r="A1431" s="433" t="s">
        <v>1294</v>
      </c>
      <c r="B1431" s="543">
        <v>375644</v>
      </c>
      <c r="C1431" s="94">
        <v>0</v>
      </c>
      <c r="D1431" s="144">
        <f t="shared" si="51"/>
        <v>375644</v>
      </c>
      <c r="E1431" s="72" t="s">
        <v>1295</v>
      </c>
      <c r="F1431" s="72"/>
      <c r="G1431" s="72"/>
      <c r="H1431" s="72"/>
    </row>
    <row r="1432" spans="1:8" s="44" customFormat="1" hidden="1" outlineLevel="1">
      <c r="A1432" s="433" t="s">
        <v>960</v>
      </c>
      <c r="B1432" s="543">
        <v>1191673.581</v>
      </c>
      <c r="C1432" s="94">
        <v>0</v>
      </c>
      <c r="D1432" s="144">
        <f t="shared" si="51"/>
        <v>1191673.581</v>
      </c>
      <c r="E1432" s="72" t="s">
        <v>961</v>
      </c>
      <c r="F1432" s="72"/>
      <c r="G1432" s="72"/>
      <c r="H1432" s="72"/>
    </row>
    <row r="1433" spans="1:8" s="44" customFormat="1" hidden="1" outlineLevel="1">
      <c r="A1433" s="433" t="s">
        <v>1431</v>
      </c>
      <c r="B1433" s="543">
        <v>92699</v>
      </c>
      <c r="C1433" s="94">
        <v>0</v>
      </c>
      <c r="D1433" s="144">
        <f t="shared" si="51"/>
        <v>92699</v>
      </c>
      <c r="E1433" s="72" t="s">
        <v>1432</v>
      </c>
      <c r="F1433" s="72"/>
      <c r="G1433" s="72"/>
      <c r="H1433" s="72"/>
    </row>
    <row r="1434" spans="1:8" s="44" customFormat="1" hidden="1" outlineLevel="1">
      <c r="A1434" s="433" t="s">
        <v>1080</v>
      </c>
      <c r="B1434" s="543">
        <v>1152054.1429999999</v>
      </c>
      <c r="C1434" s="94">
        <v>0</v>
      </c>
      <c r="D1434" s="144">
        <f t="shared" si="51"/>
        <v>1152054.1429999999</v>
      </c>
      <c r="E1434" s="72" t="s">
        <v>1081</v>
      </c>
      <c r="F1434" s="72"/>
      <c r="G1434" s="72"/>
      <c r="H1434" s="72"/>
    </row>
    <row r="1435" spans="1:8" s="44" customFormat="1" hidden="1" outlineLevel="1">
      <c r="A1435" s="433" t="s">
        <v>1411</v>
      </c>
      <c r="B1435" s="543">
        <v>779427</v>
      </c>
      <c r="C1435" s="94">
        <v>156941</v>
      </c>
      <c r="D1435" s="144">
        <f t="shared" si="51"/>
        <v>936368</v>
      </c>
      <c r="E1435" s="72" t="s">
        <v>1412</v>
      </c>
      <c r="F1435" s="72"/>
      <c r="G1435" s="72"/>
      <c r="H1435" s="72"/>
    </row>
    <row r="1436" spans="1:8" s="44" customFormat="1" hidden="1" outlineLevel="1">
      <c r="A1436" s="433" t="s">
        <v>1262</v>
      </c>
      <c r="B1436" s="543">
        <v>2078661</v>
      </c>
      <c r="C1436" s="94">
        <v>0</v>
      </c>
      <c r="D1436" s="144">
        <f t="shared" si="51"/>
        <v>2078661</v>
      </c>
      <c r="E1436" s="72" t="s">
        <v>1263</v>
      </c>
      <c r="F1436" s="72"/>
      <c r="G1436" s="72"/>
      <c r="H1436" s="72"/>
    </row>
    <row r="1437" spans="1:8" s="44" customFormat="1" hidden="1" outlineLevel="1">
      <c r="A1437" s="433" t="s">
        <v>1357</v>
      </c>
      <c r="B1437" s="543">
        <v>664282.19999999995</v>
      </c>
      <c r="C1437" s="94">
        <v>0</v>
      </c>
      <c r="D1437" s="144">
        <f t="shared" si="51"/>
        <v>664282.19999999995</v>
      </c>
      <c r="E1437" s="72" t="s">
        <v>1358</v>
      </c>
      <c r="F1437" s="72"/>
      <c r="G1437" s="72"/>
      <c r="H1437" s="72"/>
    </row>
    <row r="1438" spans="1:8" s="44" customFormat="1" hidden="1" outlineLevel="1">
      <c r="A1438" s="433" t="s">
        <v>1272</v>
      </c>
      <c r="B1438" s="543">
        <v>649101</v>
      </c>
      <c r="C1438" s="94">
        <v>0</v>
      </c>
      <c r="D1438" s="144">
        <f t="shared" si="51"/>
        <v>649101</v>
      </c>
      <c r="E1438" s="72" t="s">
        <v>1273</v>
      </c>
      <c r="F1438" s="72"/>
      <c r="G1438" s="72"/>
      <c r="H1438" s="72"/>
    </row>
    <row r="1439" spans="1:8" s="44" customFormat="1" hidden="1" outlineLevel="1">
      <c r="A1439" s="433" t="s">
        <v>1116</v>
      </c>
      <c r="B1439" s="543">
        <v>1548683.121</v>
      </c>
      <c r="C1439" s="94">
        <v>0</v>
      </c>
      <c r="D1439" s="144">
        <f t="shared" si="51"/>
        <v>1548683.121</v>
      </c>
      <c r="E1439" s="72" t="s">
        <v>1117</v>
      </c>
      <c r="F1439" s="72"/>
      <c r="G1439" s="72"/>
      <c r="H1439" s="72"/>
    </row>
    <row r="1440" spans="1:8" s="44" customFormat="1" hidden="1" outlineLevel="1">
      <c r="A1440" s="433" t="s">
        <v>1184</v>
      </c>
      <c r="B1440" s="543">
        <v>1340295.496</v>
      </c>
      <c r="C1440" s="94">
        <v>0</v>
      </c>
      <c r="D1440" s="144">
        <f t="shared" si="51"/>
        <v>1340295.496</v>
      </c>
      <c r="E1440" s="72" t="s">
        <v>1185</v>
      </c>
      <c r="F1440" s="72"/>
      <c r="G1440" s="72"/>
      <c r="H1440" s="72"/>
    </row>
    <row r="1441" spans="1:8" s="44" customFormat="1" hidden="1" outlineLevel="1">
      <c r="A1441" s="433" t="s">
        <v>1074</v>
      </c>
      <c r="B1441" s="543">
        <v>1125745.372</v>
      </c>
      <c r="C1441" s="94">
        <v>0</v>
      </c>
      <c r="D1441" s="144">
        <f t="shared" si="51"/>
        <v>1125745.372</v>
      </c>
      <c r="E1441" s="72" t="s">
        <v>1075</v>
      </c>
      <c r="F1441" s="72"/>
      <c r="G1441" s="72"/>
      <c r="H1441" s="72"/>
    </row>
    <row r="1442" spans="1:8" s="44" customFormat="1" hidden="1" outlineLevel="1">
      <c r="A1442" s="433" t="s">
        <v>996</v>
      </c>
      <c r="B1442" s="543">
        <v>19091</v>
      </c>
      <c r="C1442" s="94">
        <v>0</v>
      </c>
      <c r="D1442" s="144">
        <f t="shared" si="51"/>
        <v>19091</v>
      </c>
      <c r="E1442" s="72" t="s">
        <v>997</v>
      </c>
      <c r="F1442" s="72"/>
      <c r="G1442" s="72"/>
      <c r="H1442" s="72"/>
    </row>
    <row r="1443" spans="1:8" s="44" customFormat="1" hidden="1" outlineLevel="1">
      <c r="A1443" s="433" t="s">
        <v>1220</v>
      </c>
      <c r="B1443" s="543">
        <v>754612.24</v>
      </c>
      <c r="C1443" s="94">
        <v>0</v>
      </c>
      <c r="D1443" s="144">
        <f t="shared" si="51"/>
        <v>754612.24</v>
      </c>
      <c r="E1443" s="72" t="s">
        <v>1221</v>
      </c>
      <c r="F1443" s="72"/>
      <c r="G1443" s="72"/>
      <c r="H1443" s="72"/>
    </row>
    <row r="1444" spans="1:8" s="44" customFormat="1" hidden="1" outlineLevel="1">
      <c r="A1444" s="433" t="s">
        <v>1102</v>
      </c>
      <c r="B1444" s="543">
        <v>1229762.4010000001</v>
      </c>
      <c r="C1444" s="94">
        <v>0</v>
      </c>
      <c r="D1444" s="144">
        <f t="shared" si="51"/>
        <v>1229762.4010000001</v>
      </c>
      <c r="E1444" s="72" t="s">
        <v>1103</v>
      </c>
      <c r="F1444" s="72"/>
      <c r="G1444" s="72"/>
      <c r="H1444" s="72"/>
    </row>
    <row r="1445" spans="1:8" s="44" customFormat="1" hidden="1" outlineLevel="1">
      <c r="A1445" s="433" t="s">
        <v>986</v>
      </c>
      <c r="B1445" s="543">
        <v>129361</v>
      </c>
      <c r="C1445" s="94">
        <v>0</v>
      </c>
      <c r="D1445" s="144">
        <f t="shared" si="51"/>
        <v>129361</v>
      </c>
      <c r="E1445" s="72" t="s">
        <v>987</v>
      </c>
      <c r="F1445" s="72"/>
      <c r="G1445" s="72"/>
      <c r="H1445" s="72"/>
    </row>
    <row r="1446" spans="1:8" s="44" customFormat="1" hidden="1" outlineLevel="1">
      <c r="A1446" s="433" t="s">
        <v>886</v>
      </c>
      <c r="B1446" s="543">
        <v>679486</v>
      </c>
      <c r="C1446" s="94">
        <v>0</v>
      </c>
      <c r="D1446" s="144">
        <f t="shared" si="51"/>
        <v>679486</v>
      </c>
      <c r="E1446" s="72" t="s">
        <v>887</v>
      </c>
      <c r="F1446" s="72"/>
      <c r="G1446" s="72"/>
      <c r="H1446" s="72"/>
    </row>
    <row r="1447" spans="1:8" s="44" customFormat="1" hidden="1" outlineLevel="1">
      <c r="A1447" s="433" t="s">
        <v>1252</v>
      </c>
      <c r="B1447" s="543">
        <v>538207.52</v>
      </c>
      <c r="C1447" s="94">
        <v>0</v>
      </c>
      <c r="D1447" s="144">
        <f t="shared" si="51"/>
        <v>538207.52</v>
      </c>
      <c r="E1447" s="72" t="s">
        <v>1253</v>
      </c>
      <c r="F1447" s="72"/>
      <c r="G1447" s="72"/>
      <c r="H1447" s="72"/>
    </row>
    <row r="1448" spans="1:8" s="44" customFormat="1" hidden="1" outlineLevel="1">
      <c r="A1448" s="433" t="s">
        <v>1474</v>
      </c>
      <c r="B1448" s="543">
        <v>559713</v>
      </c>
      <c r="C1448" s="94">
        <v>0</v>
      </c>
      <c r="D1448" s="144">
        <f t="shared" si="51"/>
        <v>559713</v>
      </c>
      <c r="E1448" s="72" t="s">
        <v>1475</v>
      </c>
      <c r="F1448" s="72"/>
      <c r="G1448" s="72"/>
      <c r="H1448" s="72"/>
    </row>
    <row r="1449" spans="1:8" s="44" customFormat="1" hidden="1" outlineLevel="1">
      <c r="A1449" s="433" t="s">
        <v>1470</v>
      </c>
      <c r="B1449" s="543">
        <v>166811.5</v>
      </c>
      <c r="C1449" s="94">
        <v>0</v>
      </c>
      <c r="D1449" s="144">
        <f t="shared" si="51"/>
        <v>166811.5</v>
      </c>
      <c r="E1449" s="72" t="s">
        <v>1471</v>
      </c>
      <c r="F1449" s="72"/>
      <c r="G1449" s="72"/>
      <c r="H1449" s="72"/>
    </row>
    <row r="1450" spans="1:8" s="44" customFormat="1" hidden="1" outlineLevel="1">
      <c r="A1450" s="433" t="s">
        <v>882</v>
      </c>
      <c r="B1450" s="543">
        <v>3066600</v>
      </c>
      <c r="C1450" s="94">
        <v>0</v>
      </c>
      <c r="D1450" s="144">
        <f t="shared" si="51"/>
        <v>3066600</v>
      </c>
      <c r="E1450" s="72" t="s">
        <v>883</v>
      </c>
      <c r="F1450" s="72"/>
      <c r="G1450" s="72"/>
      <c r="H1450" s="72"/>
    </row>
    <row r="1451" spans="1:8" s="44" customFormat="1" hidden="1" outlineLevel="1">
      <c r="A1451" s="433" t="s">
        <v>918</v>
      </c>
      <c r="B1451" s="543">
        <v>945558</v>
      </c>
      <c r="C1451" s="94">
        <v>0</v>
      </c>
      <c r="D1451" s="144">
        <f t="shared" si="51"/>
        <v>945558</v>
      </c>
      <c r="E1451" s="72" t="s">
        <v>919</v>
      </c>
      <c r="F1451" s="72"/>
      <c r="G1451" s="72"/>
      <c r="H1451" s="72"/>
    </row>
    <row r="1452" spans="1:8" s="44" customFormat="1" hidden="1" outlineLevel="1">
      <c r="A1452" s="433" t="s">
        <v>1088</v>
      </c>
      <c r="B1452" s="543">
        <v>3456137.4240000001</v>
      </c>
      <c r="C1452" s="94">
        <v>0</v>
      </c>
      <c r="D1452" s="144">
        <f t="shared" si="51"/>
        <v>3456137.4240000001</v>
      </c>
      <c r="E1452" s="72" t="s">
        <v>1089</v>
      </c>
      <c r="F1452" s="72"/>
      <c r="G1452" s="72"/>
      <c r="H1452" s="72"/>
    </row>
    <row r="1453" spans="1:8" s="44" customFormat="1" hidden="1" outlineLevel="1">
      <c r="A1453" s="433" t="s">
        <v>1385</v>
      </c>
      <c r="B1453" s="543">
        <v>7844499.8760000002</v>
      </c>
      <c r="C1453" s="94">
        <v>0</v>
      </c>
      <c r="D1453" s="144">
        <f t="shared" si="51"/>
        <v>7844499.8760000002</v>
      </c>
      <c r="E1453" s="72" t="s">
        <v>1386</v>
      </c>
      <c r="F1453" s="72"/>
      <c r="G1453" s="72"/>
      <c r="H1453" s="72"/>
    </row>
    <row r="1454" spans="1:8" s="44" customFormat="1" hidden="1" outlineLevel="1">
      <c r="A1454" s="433" t="s">
        <v>1371</v>
      </c>
      <c r="B1454" s="543">
        <v>189227</v>
      </c>
      <c r="C1454" s="94">
        <v>0</v>
      </c>
      <c r="D1454" s="144">
        <f t="shared" si="51"/>
        <v>189227</v>
      </c>
      <c r="E1454" s="72" t="s">
        <v>1372</v>
      </c>
      <c r="F1454" s="72"/>
      <c r="G1454" s="72"/>
      <c r="H1454" s="72"/>
    </row>
    <row r="1455" spans="1:8" s="44" customFormat="1" hidden="1" outlineLevel="1">
      <c r="A1455" s="433" t="s">
        <v>1160</v>
      </c>
      <c r="B1455" s="543">
        <v>434506501.16600001</v>
      </c>
      <c r="C1455" s="94">
        <v>0</v>
      </c>
      <c r="D1455" s="144">
        <f t="shared" si="51"/>
        <v>434506501.16600001</v>
      </c>
      <c r="E1455" s="72" t="s">
        <v>1161</v>
      </c>
      <c r="F1455" s="72"/>
      <c r="G1455" s="72"/>
      <c r="H1455" s="72"/>
    </row>
    <row r="1456" spans="1:8" s="44" customFormat="1" hidden="1" outlineLevel="1">
      <c r="A1456" s="433" t="s">
        <v>1058</v>
      </c>
      <c r="B1456" s="543">
        <v>3904361</v>
      </c>
      <c r="C1456" s="94">
        <v>0</v>
      </c>
      <c r="D1456" s="144">
        <f t="shared" si="51"/>
        <v>3904361</v>
      </c>
      <c r="E1456" s="72" t="s">
        <v>1059</v>
      </c>
      <c r="F1456" s="72"/>
      <c r="G1456" s="72"/>
      <c r="H1456" s="72"/>
    </row>
    <row r="1457" spans="1:8" s="44" customFormat="1" hidden="1" outlineLevel="1">
      <c r="A1457" s="433" t="s">
        <v>1022</v>
      </c>
      <c r="B1457" s="543">
        <v>8232944.8990000002</v>
      </c>
      <c r="C1457" s="94">
        <v>0</v>
      </c>
      <c r="D1457" s="144">
        <f t="shared" si="51"/>
        <v>8232944.8990000002</v>
      </c>
      <c r="E1457" s="72" t="s">
        <v>1023</v>
      </c>
      <c r="F1457" s="72"/>
      <c r="G1457" s="72"/>
      <c r="H1457" s="72"/>
    </row>
    <row r="1458" spans="1:8" s="44" customFormat="1" hidden="1" outlineLevel="1">
      <c r="A1458" s="433" t="s">
        <v>1042</v>
      </c>
      <c r="B1458" s="543">
        <v>518092</v>
      </c>
      <c r="C1458" s="94">
        <v>0</v>
      </c>
      <c r="D1458" s="144">
        <f t="shared" si="51"/>
        <v>518092</v>
      </c>
      <c r="E1458" s="72" t="s">
        <v>1043</v>
      </c>
      <c r="F1458" s="72"/>
      <c r="G1458" s="72"/>
      <c r="H1458" s="72"/>
    </row>
    <row r="1459" spans="1:8" s="44" customFormat="1" hidden="1" outlineLevel="1">
      <c r="A1459" s="433" t="s">
        <v>914</v>
      </c>
      <c r="B1459" s="543">
        <v>9357921</v>
      </c>
      <c r="C1459" s="94">
        <v>0</v>
      </c>
      <c r="D1459" s="144">
        <f t="shared" si="51"/>
        <v>9357921</v>
      </c>
      <c r="E1459" s="72" t="s">
        <v>915</v>
      </c>
      <c r="F1459" s="72"/>
      <c r="G1459" s="72"/>
      <c r="H1459" s="72"/>
    </row>
    <row r="1460" spans="1:8" s="44" customFormat="1" hidden="1" outlineLevel="1">
      <c r="A1460" s="433" t="s">
        <v>1150</v>
      </c>
      <c r="B1460" s="543">
        <v>378978.467</v>
      </c>
      <c r="C1460" s="94">
        <v>0</v>
      </c>
      <c r="D1460" s="144">
        <f t="shared" si="51"/>
        <v>378978.467</v>
      </c>
      <c r="E1460" s="72" t="s">
        <v>1151</v>
      </c>
      <c r="F1460" s="72"/>
      <c r="G1460" s="72"/>
      <c r="H1460" s="72"/>
    </row>
    <row r="1461" spans="1:8" s="44" customFormat="1" hidden="1" outlineLevel="1">
      <c r="A1461" s="433" t="s">
        <v>992</v>
      </c>
      <c r="B1461" s="543">
        <v>821293.00199999998</v>
      </c>
      <c r="C1461" s="94">
        <v>0</v>
      </c>
      <c r="D1461" s="144">
        <f t="shared" si="51"/>
        <v>821293.00199999998</v>
      </c>
      <c r="E1461" s="72" t="s">
        <v>993</v>
      </c>
      <c r="F1461" s="72"/>
      <c r="G1461" s="72"/>
      <c r="H1461" s="72"/>
    </row>
    <row r="1462" spans="1:8" s="44" customFormat="1" hidden="1" outlineLevel="1">
      <c r="A1462" s="433" t="s">
        <v>1284</v>
      </c>
      <c r="B1462" s="543">
        <v>1999447</v>
      </c>
      <c r="C1462" s="94">
        <v>0</v>
      </c>
      <c r="D1462" s="144">
        <f t="shared" si="51"/>
        <v>1999447</v>
      </c>
      <c r="E1462" s="72" t="s">
        <v>1285</v>
      </c>
      <c r="F1462" s="72"/>
      <c r="G1462" s="72"/>
      <c r="H1462" s="72"/>
    </row>
    <row r="1463" spans="1:8" s="44" customFormat="1" hidden="1" outlineLevel="1">
      <c r="A1463" s="433" t="s">
        <v>1334</v>
      </c>
      <c r="B1463" s="543">
        <v>3231338.81</v>
      </c>
      <c r="C1463" s="94">
        <v>66268</v>
      </c>
      <c r="D1463" s="144">
        <f t="shared" si="51"/>
        <v>3297606.81</v>
      </c>
      <c r="E1463" s="72" t="s">
        <v>1335</v>
      </c>
      <c r="F1463" s="72"/>
      <c r="G1463" s="72"/>
      <c r="H1463" s="72"/>
    </row>
    <row r="1464" spans="1:8" s="44" customFormat="1" hidden="1" outlineLevel="1">
      <c r="A1464" s="433" t="s">
        <v>1152</v>
      </c>
      <c r="B1464" s="543">
        <v>1890175</v>
      </c>
      <c r="C1464" s="94">
        <v>0</v>
      </c>
      <c r="D1464" s="144">
        <f t="shared" si="51"/>
        <v>1890175</v>
      </c>
      <c r="E1464" s="72" t="s">
        <v>1153</v>
      </c>
      <c r="F1464" s="72"/>
      <c r="G1464" s="72"/>
      <c r="H1464" s="72"/>
    </row>
    <row r="1465" spans="1:8" s="44" customFormat="1" hidden="1" outlineLevel="1">
      <c r="A1465" s="433" t="s">
        <v>1018</v>
      </c>
      <c r="B1465" s="543">
        <v>1691655</v>
      </c>
      <c r="C1465" s="94">
        <v>0</v>
      </c>
      <c r="D1465" s="144">
        <f t="shared" si="51"/>
        <v>1691655</v>
      </c>
      <c r="E1465" s="72" t="s">
        <v>1019</v>
      </c>
      <c r="F1465" s="72"/>
      <c r="G1465" s="72"/>
      <c r="H1465" s="72"/>
    </row>
    <row r="1466" spans="1:8" s="44" customFormat="1" hidden="1" outlineLevel="1">
      <c r="A1466" s="433" t="s">
        <v>1144</v>
      </c>
      <c r="B1466" s="543">
        <v>98830</v>
      </c>
      <c r="C1466" s="94">
        <v>0</v>
      </c>
      <c r="D1466" s="144">
        <f t="shared" si="51"/>
        <v>98830</v>
      </c>
      <c r="E1466" s="72" t="s">
        <v>1145</v>
      </c>
      <c r="F1466" s="72"/>
      <c r="G1466" s="72"/>
      <c r="H1466" s="72"/>
    </row>
    <row r="1467" spans="1:8" s="44" customFormat="1" hidden="1" outlineLevel="1">
      <c r="A1467" s="433" t="s">
        <v>916</v>
      </c>
      <c r="B1467" s="543">
        <v>93410</v>
      </c>
      <c r="C1467" s="94">
        <v>0</v>
      </c>
      <c r="D1467" s="144">
        <f t="shared" ref="D1467:D1530" si="52">B1467+C1467</f>
        <v>93410</v>
      </c>
      <c r="E1467" s="72" t="s">
        <v>917</v>
      </c>
      <c r="F1467" s="72"/>
      <c r="G1467" s="72"/>
      <c r="H1467" s="72"/>
    </row>
    <row r="1468" spans="1:8" s="44" customFormat="1" hidden="1" outlineLevel="1">
      <c r="A1468" s="433" t="s">
        <v>1050</v>
      </c>
      <c r="B1468" s="543">
        <v>1485924</v>
      </c>
      <c r="C1468" s="94">
        <v>-188916</v>
      </c>
      <c r="D1468" s="144">
        <f t="shared" si="52"/>
        <v>1297008</v>
      </c>
      <c r="E1468" s="72" t="s">
        <v>1051</v>
      </c>
      <c r="F1468" s="72"/>
      <c r="G1468" s="72"/>
      <c r="H1468" s="72"/>
    </row>
    <row r="1469" spans="1:8" s="44" customFormat="1" hidden="1" outlineLevel="1">
      <c r="A1469" s="433" t="s">
        <v>926</v>
      </c>
      <c r="B1469" s="543">
        <v>13271906</v>
      </c>
      <c r="C1469" s="94">
        <v>0</v>
      </c>
      <c r="D1469" s="144">
        <f t="shared" si="52"/>
        <v>13271906</v>
      </c>
      <c r="E1469" s="72" t="s">
        <v>927</v>
      </c>
      <c r="F1469" s="72"/>
      <c r="G1469" s="72"/>
      <c r="H1469" s="72"/>
    </row>
    <row r="1470" spans="1:8" s="44" customFormat="1" hidden="1" outlineLevel="1">
      <c r="A1470" s="433" t="s">
        <v>1066</v>
      </c>
      <c r="B1470" s="543">
        <v>24040</v>
      </c>
      <c r="C1470" s="94">
        <v>0</v>
      </c>
      <c r="D1470" s="144">
        <f t="shared" si="52"/>
        <v>24040</v>
      </c>
      <c r="E1470" s="72" t="s">
        <v>1067</v>
      </c>
      <c r="F1470" s="72"/>
      <c r="G1470" s="72"/>
      <c r="H1470" s="72"/>
    </row>
    <row r="1471" spans="1:8" s="44" customFormat="1" hidden="1" outlineLevel="1">
      <c r="A1471" s="433" t="s">
        <v>1094</v>
      </c>
      <c r="B1471" s="543">
        <v>981309</v>
      </c>
      <c r="C1471" s="94">
        <v>0</v>
      </c>
      <c r="D1471" s="144">
        <f t="shared" si="52"/>
        <v>981309</v>
      </c>
      <c r="E1471" s="72" t="s">
        <v>1095</v>
      </c>
      <c r="F1471" s="72"/>
      <c r="G1471" s="72"/>
      <c r="H1471" s="72"/>
    </row>
    <row r="1472" spans="1:8" s="44" customFormat="1" hidden="1" outlineLevel="1">
      <c r="A1472" s="433" t="s">
        <v>1478</v>
      </c>
      <c r="B1472" s="543">
        <v>1885011</v>
      </c>
      <c r="C1472" s="94">
        <v>-153722</v>
      </c>
      <c r="D1472" s="144">
        <f t="shared" si="52"/>
        <v>1731289</v>
      </c>
      <c r="E1472" s="72" t="s">
        <v>1479</v>
      </c>
      <c r="F1472" s="72"/>
      <c r="G1472" s="72"/>
      <c r="H1472" s="72"/>
    </row>
    <row r="1473" spans="1:8" s="44" customFormat="1" hidden="1" outlineLevel="1">
      <c r="A1473" s="433" t="s">
        <v>972</v>
      </c>
      <c r="B1473" s="543">
        <v>3574479</v>
      </c>
      <c r="C1473" s="94">
        <v>0</v>
      </c>
      <c r="D1473" s="144">
        <f t="shared" si="52"/>
        <v>3574479</v>
      </c>
      <c r="E1473" s="72" t="s">
        <v>973</v>
      </c>
      <c r="F1473" s="72"/>
      <c r="G1473" s="72"/>
      <c r="H1473" s="72"/>
    </row>
    <row r="1474" spans="1:8" s="44" customFormat="1" hidden="1" outlineLevel="1">
      <c r="A1474" s="433" t="s">
        <v>1164</v>
      </c>
      <c r="B1474" s="543">
        <v>940037.26800000004</v>
      </c>
      <c r="C1474" s="94">
        <v>0</v>
      </c>
      <c r="D1474" s="144">
        <f t="shared" si="52"/>
        <v>940037.26800000004</v>
      </c>
      <c r="E1474" s="72" t="s">
        <v>1165</v>
      </c>
      <c r="F1474" s="72"/>
      <c r="G1474" s="72"/>
      <c r="H1474" s="72"/>
    </row>
    <row r="1475" spans="1:8" s="44" customFormat="1" hidden="1" outlineLevel="1">
      <c r="A1475" s="433" t="s">
        <v>1433</v>
      </c>
      <c r="B1475" s="543">
        <v>2315722.625</v>
      </c>
      <c r="C1475" s="94">
        <v>0</v>
      </c>
      <c r="D1475" s="144">
        <f t="shared" si="52"/>
        <v>2315722.625</v>
      </c>
      <c r="E1475" s="72" t="s">
        <v>1434</v>
      </c>
      <c r="F1475" s="72"/>
      <c r="G1475" s="72"/>
      <c r="H1475" s="72"/>
    </row>
    <row r="1476" spans="1:8" s="44" customFormat="1" hidden="1" outlineLevel="1">
      <c r="A1476" s="433" t="s">
        <v>1014</v>
      </c>
      <c r="B1476" s="543">
        <v>161352</v>
      </c>
      <c r="C1476" s="94">
        <v>0</v>
      </c>
      <c r="D1476" s="144">
        <f t="shared" si="52"/>
        <v>161352</v>
      </c>
      <c r="E1476" s="72" t="s">
        <v>1015</v>
      </c>
      <c r="F1476" s="72"/>
      <c r="G1476" s="72"/>
      <c r="H1476" s="72"/>
    </row>
    <row r="1477" spans="1:8" s="44" customFormat="1" hidden="1" outlineLevel="1">
      <c r="A1477" s="433" t="s">
        <v>1072</v>
      </c>
      <c r="B1477" s="543">
        <v>394036</v>
      </c>
      <c r="C1477" s="94">
        <v>0</v>
      </c>
      <c r="D1477" s="144">
        <f t="shared" si="52"/>
        <v>394036</v>
      </c>
      <c r="E1477" s="72" t="s">
        <v>1073</v>
      </c>
      <c r="F1477" s="72"/>
      <c r="G1477" s="72"/>
      <c r="H1477" s="72"/>
    </row>
    <row r="1478" spans="1:8" s="44" customFormat="1" hidden="1" outlineLevel="1">
      <c r="A1478" s="433" t="s">
        <v>1250</v>
      </c>
      <c r="B1478" s="543">
        <v>4722393.9000000004</v>
      </c>
      <c r="C1478" s="94">
        <v>-15658.87</v>
      </c>
      <c r="D1478" s="144">
        <f t="shared" si="52"/>
        <v>4706735.03</v>
      </c>
      <c r="E1478" s="72" t="s">
        <v>1251</v>
      </c>
      <c r="F1478" s="72"/>
      <c r="G1478" s="72"/>
      <c r="H1478" s="72"/>
    </row>
    <row r="1479" spans="1:8" s="44" customFormat="1" hidden="1" outlineLevel="1">
      <c r="A1479" s="433" t="s">
        <v>1056</v>
      </c>
      <c r="B1479" s="543">
        <v>249253.74</v>
      </c>
      <c r="C1479" s="94">
        <v>0</v>
      </c>
      <c r="D1479" s="144">
        <f t="shared" si="52"/>
        <v>249253.74</v>
      </c>
      <c r="E1479" s="72" t="s">
        <v>1057</v>
      </c>
      <c r="F1479" s="72"/>
      <c r="G1479" s="72"/>
      <c r="H1479" s="72"/>
    </row>
    <row r="1480" spans="1:8" s="44" customFormat="1" hidden="1" outlineLevel="1">
      <c r="A1480" s="433" t="s">
        <v>1353</v>
      </c>
      <c r="B1480" s="543">
        <v>320934.21999999997</v>
      </c>
      <c r="C1480" s="94">
        <v>0</v>
      </c>
      <c r="D1480" s="144">
        <f t="shared" si="52"/>
        <v>320934.21999999997</v>
      </c>
      <c r="E1480" s="72" t="s">
        <v>1354</v>
      </c>
      <c r="F1480" s="72"/>
      <c r="G1480" s="72"/>
      <c r="H1480" s="72"/>
    </row>
    <row r="1481" spans="1:8" s="44" customFormat="1" hidden="1" outlineLevel="1">
      <c r="A1481" s="433" t="s">
        <v>1480</v>
      </c>
      <c r="B1481" s="543">
        <v>1339206</v>
      </c>
      <c r="C1481" s="94">
        <v>50577</v>
      </c>
      <c r="D1481" s="144">
        <f t="shared" si="52"/>
        <v>1389783</v>
      </c>
      <c r="E1481" s="72" t="s">
        <v>1481</v>
      </c>
      <c r="F1481" s="72"/>
      <c r="G1481" s="72"/>
      <c r="H1481" s="72"/>
    </row>
    <row r="1482" spans="1:8" s="44" customFormat="1" hidden="1" outlineLevel="1">
      <c r="A1482" s="433" t="s">
        <v>1448</v>
      </c>
      <c r="B1482" s="543">
        <v>134300</v>
      </c>
      <c r="C1482" s="94">
        <v>0</v>
      </c>
      <c r="D1482" s="144">
        <f t="shared" si="52"/>
        <v>134300</v>
      </c>
      <c r="E1482" s="72" t="s">
        <v>1449</v>
      </c>
      <c r="F1482" s="72"/>
      <c r="G1482" s="72"/>
      <c r="H1482" s="72"/>
    </row>
    <row r="1483" spans="1:8" s="44" customFormat="1" hidden="1" outlineLevel="1">
      <c r="A1483" s="433" t="s">
        <v>962</v>
      </c>
      <c r="B1483" s="543">
        <v>26935722</v>
      </c>
      <c r="C1483" s="94">
        <v>0</v>
      </c>
      <c r="D1483" s="144">
        <f t="shared" si="52"/>
        <v>26935722</v>
      </c>
      <c r="E1483" s="72" t="s">
        <v>963</v>
      </c>
      <c r="F1483" s="72"/>
      <c r="G1483" s="72"/>
      <c r="H1483" s="72"/>
    </row>
    <row r="1484" spans="1:8" s="44" customFormat="1" hidden="1" outlineLevel="1">
      <c r="A1484" s="433" t="s">
        <v>1438</v>
      </c>
      <c r="B1484" s="543">
        <v>1857480.452</v>
      </c>
      <c r="C1484" s="94">
        <v>0</v>
      </c>
      <c r="D1484" s="144">
        <f t="shared" si="52"/>
        <v>1857480.452</v>
      </c>
      <c r="E1484" s="72" t="s">
        <v>1439</v>
      </c>
      <c r="F1484" s="72"/>
      <c r="G1484" s="72"/>
      <c r="H1484" s="72"/>
    </row>
    <row r="1485" spans="1:8" s="44" customFormat="1" hidden="1" outlineLevel="1">
      <c r="A1485" s="433" t="s">
        <v>980</v>
      </c>
      <c r="B1485" s="543">
        <v>8757322.5769999996</v>
      </c>
      <c r="C1485" s="94">
        <v>987850.75199999998</v>
      </c>
      <c r="D1485" s="144">
        <f t="shared" si="52"/>
        <v>9745173.3289999999</v>
      </c>
      <c r="E1485" s="72" t="s">
        <v>981</v>
      </c>
      <c r="F1485" s="72"/>
      <c r="G1485" s="72"/>
      <c r="H1485" s="72"/>
    </row>
    <row r="1486" spans="1:8" s="44" customFormat="1" hidden="1" outlineLevel="1">
      <c r="A1486" s="433" t="s">
        <v>1104</v>
      </c>
      <c r="B1486" s="543">
        <v>648808.63699999999</v>
      </c>
      <c r="C1486" s="94">
        <v>0</v>
      </c>
      <c r="D1486" s="144">
        <f t="shared" si="52"/>
        <v>648808.63699999999</v>
      </c>
      <c r="E1486" s="72" t="s">
        <v>1105</v>
      </c>
      <c r="F1486" s="72"/>
      <c r="G1486" s="72"/>
      <c r="H1486" s="72"/>
    </row>
    <row r="1487" spans="1:8" s="44" customFormat="1" hidden="1" outlineLevel="1">
      <c r="A1487" s="433" t="s">
        <v>1126</v>
      </c>
      <c r="B1487" s="543">
        <v>617860.353</v>
      </c>
      <c r="C1487" s="94">
        <v>-2000.1</v>
      </c>
      <c r="D1487" s="144">
        <f t="shared" si="52"/>
        <v>615860.25300000003</v>
      </c>
      <c r="E1487" s="72" t="s">
        <v>1127</v>
      </c>
      <c r="F1487" s="72"/>
      <c r="G1487" s="72"/>
      <c r="H1487" s="72"/>
    </row>
    <row r="1488" spans="1:8" s="44" customFormat="1" hidden="1" outlineLevel="1">
      <c r="A1488" s="433" t="s">
        <v>1246</v>
      </c>
      <c r="B1488" s="543">
        <v>11931227.640000001</v>
      </c>
      <c r="C1488" s="94">
        <v>-10581.8</v>
      </c>
      <c r="D1488" s="144">
        <f t="shared" si="52"/>
        <v>11920645.84</v>
      </c>
      <c r="E1488" s="72" t="s">
        <v>1247</v>
      </c>
      <c r="F1488" s="72"/>
      <c r="G1488" s="72"/>
      <c r="H1488" s="72"/>
    </row>
    <row r="1489" spans="1:8" s="44" customFormat="1" hidden="1" outlineLevel="1">
      <c r="A1489" s="433" t="s">
        <v>1228</v>
      </c>
      <c r="B1489" s="543">
        <v>4947864</v>
      </c>
      <c r="C1489" s="94">
        <v>-914</v>
      </c>
      <c r="D1489" s="144">
        <f t="shared" si="52"/>
        <v>4946950</v>
      </c>
      <c r="E1489" s="72" t="s">
        <v>1229</v>
      </c>
      <c r="F1489" s="72"/>
      <c r="G1489" s="72"/>
      <c r="H1489" s="72"/>
    </row>
    <row r="1490" spans="1:8" s="44" customFormat="1" hidden="1" outlineLevel="1">
      <c r="A1490" s="433" t="s">
        <v>1222</v>
      </c>
      <c r="B1490" s="543">
        <v>1166017</v>
      </c>
      <c r="C1490" s="94">
        <v>0</v>
      </c>
      <c r="D1490" s="144">
        <f t="shared" si="52"/>
        <v>1166017</v>
      </c>
      <c r="E1490" s="72" t="s">
        <v>1223</v>
      </c>
      <c r="F1490" s="72"/>
      <c r="G1490" s="72"/>
      <c r="H1490" s="72"/>
    </row>
    <row r="1491" spans="1:8" s="44" customFormat="1" hidden="1" outlineLevel="1">
      <c r="A1491" s="433" t="s">
        <v>940</v>
      </c>
      <c r="B1491" s="543">
        <v>1143123</v>
      </c>
      <c r="C1491" s="94">
        <v>0</v>
      </c>
      <c r="D1491" s="144">
        <f t="shared" si="52"/>
        <v>1143123</v>
      </c>
      <c r="E1491" s="72" t="s">
        <v>941</v>
      </c>
      <c r="F1491" s="72"/>
      <c r="G1491" s="72"/>
      <c r="H1491" s="72"/>
    </row>
    <row r="1492" spans="1:8" s="44" customFormat="1" hidden="1" outlineLevel="1">
      <c r="A1492" s="433" t="s">
        <v>946</v>
      </c>
      <c r="B1492" s="543">
        <v>269295.02</v>
      </c>
      <c r="C1492" s="94">
        <v>0</v>
      </c>
      <c r="D1492" s="144">
        <f t="shared" si="52"/>
        <v>269295.02</v>
      </c>
      <c r="E1492" s="72" t="s">
        <v>947</v>
      </c>
      <c r="F1492" s="72"/>
      <c r="G1492" s="72"/>
      <c r="H1492" s="72"/>
    </row>
    <row r="1493" spans="1:8" s="44" customFormat="1" hidden="1" outlineLevel="1">
      <c r="A1493" s="433" t="s">
        <v>1236</v>
      </c>
      <c r="B1493" s="543">
        <v>1698890.3</v>
      </c>
      <c r="C1493" s="94">
        <v>0</v>
      </c>
      <c r="D1493" s="144">
        <f t="shared" si="52"/>
        <v>1698890.3</v>
      </c>
      <c r="E1493" s="72" t="s">
        <v>1237</v>
      </c>
      <c r="F1493" s="72"/>
      <c r="G1493" s="72"/>
      <c r="H1493" s="72"/>
    </row>
    <row r="1494" spans="1:8" s="44" customFormat="1" hidden="1" outlineLevel="1">
      <c r="A1494" s="433" t="s">
        <v>1484</v>
      </c>
      <c r="B1494" s="543">
        <v>2348631.0019999999</v>
      </c>
      <c r="C1494" s="94">
        <v>0</v>
      </c>
      <c r="D1494" s="144">
        <f t="shared" si="52"/>
        <v>2348631.0019999999</v>
      </c>
      <c r="E1494" s="72" t="s">
        <v>1485</v>
      </c>
      <c r="F1494" s="72"/>
      <c r="G1494" s="72"/>
      <c r="H1494" s="72"/>
    </row>
    <row r="1495" spans="1:8" s="44" customFormat="1" hidden="1" outlineLevel="1">
      <c r="A1495" s="433" t="s">
        <v>1174</v>
      </c>
      <c r="B1495" s="543">
        <v>29893580</v>
      </c>
      <c r="C1495" s="94">
        <v>5418112.7999999998</v>
      </c>
      <c r="D1495" s="144">
        <f t="shared" si="52"/>
        <v>35311692.799999997</v>
      </c>
      <c r="E1495" s="72" t="s">
        <v>1175</v>
      </c>
      <c r="F1495" s="72"/>
      <c r="G1495" s="72"/>
      <c r="H1495" s="72"/>
    </row>
    <row r="1496" spans="1:8" s="44" customFormat="1" hidden="1" outlineLevel="1">
      <c r="A1496" s="433" t="s">
        <v>868</v>
      </c>
      <c r="B1496" s="543">
        <v>705011</v>
      </c>
      <c r="C1496" s="94">
        <v>0</v>
      </c>
      <c r="D1496" s="144">
        <f t="shared" si="52"/>
        <v>705011</v>
      </c>
      <c r="E1496" s="72" t="s">
        <v>869</v>
      </c>
      <c r="F1496" s="72"/>
      <c r="G1496" s="72"/>
      <c r="H1496" s="72"/>
    </row>
    <row r="1497" spans="1:8" s="44" customFormat="1" hidden="1" outlineLevel="1">
      <c r="A1497" s="433" t="s">
        <v>1186</v>
      </c>
      <c r="B1497" s="543">
        <v>1282779.83</v>
      </c>
      <c r="C1497" s="94">
        <v>0</v>
      </c>
      <c r="D1497" s="144">
        <f t="shared" si="52"/>
        <v>1282779.83</v>
      </c>
      <c r="E1497" s="72" t="s">
        <v>1187</v>
      </c>
      <c r="F1497" s="72"/>
      <c r="G1497" s="72"/>
      <c r="H1497" s="72"/>
    </row>
    <row r="1498" spans="1:8" s="44" customFormat="1" hidden="1" outlineLevel="1">
      <c r="A1498" s="433" t="s">
        <v>950</v>
      </c>
      <c r="B1498" s="543">
        <v>265515.68</v>
      </c>
      <c r="C1498" s="94">
        <v>0</v>
      </c>
      <c r="D1498" s="144">
        <f t="shared" si="52"/>
        <v>265515.68</v>
      </c>
      <c r="E1498" s="72" t="s">
        <v>951</v>
      </c>
      <c r="F1498" s="72"/>
      <c r="G1498" s="72"/>
      <c r="H1498" s="72"/>
    </row>
    <row r="1499" spans="1:8" s="44" customFormat="1" hidden="1" outlineLevel="1">
      <c r="A1499" s="433" t="s">
        <v>1208</v>
      </c>
      <c r="B1499" s="543">
        <v>21253697.338</v>
      </c>
      <c r="C1499" s="94">
        <v>0</v>
      </c>
      <c r="D1499" s="144">
        <f t="shared" si="52"/>
        <v>21253697.338</v>
      </c>
      <c r="E1499" s="72" t="s">
        <v>1209</v>
      </c>
      <c r="F1499" s="72"/>
      <c r="G1499" s="72"/>
      <c r="H1499" s="72"/>
    </row>
    <row r="1500" spans="1:8" s="44" customFormat="1" hidden="1" outlineLevel="1">
      <c r="A1500" s="433" t="s">
        <v>1466</v>
      </c>
      <c r="B1500" s="543">
        <v>733517.99899999995</v>
      </c>
      <c r="C1500" s="94">
        <v>7643.0550000000003</v>
      </c>
      <c r="D1500" s="144">
        <f t="shared" si="52"/>
        <v>741161.054</v>
      </c>
      <c r="E1500" s="72" t="s">
        <v>1467</v>
      </c>
      <c r="F1500" s="72"/>
      <c r="G1500" s="72"/>
      <c r="H1500" s="72"/>
    </row>
    <row r="1501" spans="1:8" s="44" customFormat="1" hidden="1" outlineLevel="1">
      <c r="A1501" s="433" t="s">
        <v>1450</v>
      </c>
      <c r="B1501" s="543">
        <v>364584</v>
      </c>
      <c r="C1501" s="94">
        <v>0</v>
      </c>
      <c r="D1501" s="144">
        <f t="shared" si="52"/>
        <v>364584</v>
      </c>
      <c r="E1501" s="72" t="s">
        <v>1451</v>
      </c>
      <c r="F1501" s="72"/>
      <c r="G1501" s="72"/>
      <c r="H1501" s="72"/>
    </row>
    <row r="1502" spans="1:8" s="44" customFormat="1" hidden="1" outlineLevel="1">
      <c r="A1502" s="433" t="s">
        <v>982</v>
      </c>
      <c r="B1502" s="543">
        <v>505735.00099999999</v>
      </c>
      <c r="C1502" s="94">
        <v>0</v>
      </c>
      <c r="D1502" s="144">
        <f t="shared" si="52"/>
        <v>505735.00099999999</v>
      </c>
      <c r="E1502" s="72" t="s">
        <v>983</v>
      </c>
      <c r="F1502" s="72"/>
      <c r="G1502" s="72"/>
      <c r="H1502" s="72"/>
    </row>
    <row r="1503" spans="1:8" s="44" customFormat="1" hidden="1" outlineLevel="1">
      <c r="A1503" s="433" t="s">
        <v>964</v>
      </c>
      <c r="B1503" s="543">
        <v>1868033</v>
      </c>
      <c r="C1503" s="94">
        <v>401066</v>
      </c>
      <c r="D1503" s="144">
        <f t="shared" si="52"/>
        <v>2269099</v>
      </c>
      <c r="E1503" s="72" t="s">
        <v>965</v>
      </c>
      <c r="F1503" s="72"/>
      <c r="G1503" s="72"/>
      <c r="H1503" s="72"/>
    </row>
    <row r="1504" spans="1:8" s="44" customFormat="1" hidden="1" outlineLevel="1">
      <c r="A1504" s="433" t="s">
        <v>1054</v>
      </c>
      <c r="B1504" s="543">
        <v>4381342.9589999998</v>
      </c>
      <c r="C1504" s="94">
        <v>39363</v>
      </c>
      <c r="D1504" s="144">
        <f t="shared" si="52"/>
        <v>4420705.9589999998</v>
      </c>
      <c r="E1504" s="72" t="s">
        <v>1055</v>
      </c>
      <c r="F1504" s="72"/>
      <c r="G1504" s="72"/>
      <c r="H1504" s="72"/>
    </row>
    <row r="1505" spans="1:8" s="44" customFormat="1" hidden="1" outlineLevel="1">
      <c r="A1505" s="433" t="s">
        <v>990</v>
      </c>
      <c r="B1505" s="543">
        <v>631394</v>
      </c>
      <c r="C1505" s="94">
        <v>0</v>
      </c>
      <c r="D1505" s="144">
        <f t="shared" si="52"/>
        <v>631394</v>
      </c>
      <c r="E1505" s="72" t="s">
        <v>991</v>
      </c>
      <c r="F1505" s="72"/>
      <c r="G1505" s="72"/>
      <c r="H1505" s="72"/>
    </row>
    <row r="1506" spans="1:8" s="44" customFormat="1" hidden="1" outlineLevel="1">
      <c r="A1506" s="433" t="s">
        <v>1134</v>
      </c>
      <c r="B1506" s="543">
        <v>1062593.433</v>
      </c>
      <c r="C1506" s="94">
        <v>0</v>
      </c>
      <c r="D1506" s="144">
        <f t="shared" si="52"/>
        <v>1062593.433</v>
      </c>
      <c r="E1506" s="72" t="s">
        <v>1135</v>
      </c>
      <c r="F1506" s="72"/>
      <c r="G1506" s="72"/>
      <c r="H1506" s="72"/>
    </row>
    <row r="1507" spans="1:8" s="44" customFormat="1" hidden="1" outlineLevel="1">
      <c r="A1507" s="433" t="s">
        <v>1112</v>
      </c>
      <c r="B1507" s="543">
        <v>1563874.71</v>
      </c>
      <c r="C1507" s="94">
        <v>1051</v>
      </c>
      <c r="D1507" s="144">
        <f t="shared" si="52"/>
        <v>1564925.71</v>
      </c>
      <c r="E1507" s="72" t="s">
        <v>1113</v>
      </c>
      <c r="F1507" s="72"/>
      <c r="G1507" s="72"/>
      <c r="H1507" s="72"/>
    </row>
    <row r="1508" spans="1:8" s="44" customFormat="1" hidden="1" outlineLevel="1">
      <c r="A1508" s="433" t="s">
        <v>954</v>
      </c>
      <c r="B1508" s="543">
        <v>1607196.49</v>
      </c>
      <c r="C1508" s="94">
        <v>0</v>
      </c>
      <c r="D1508" s="144">
        <f t="shared" si="52"/>
        <v>1607196.49</v>
      </c>
      <c r="E1508" s="72" t="s">
        <v>955</v>
      </c>
      <c r="F1508" s="72"/>
      <c r="G1508" s="72"/>
      <c r="H1508" s="72"/>
    </row>
    <row r="1509" spans="1:8" s="44" customFormat="1" hidden="1" outlineLevel="1">
      <c r="A1509" s="433" t="s">
        <v>958</v>
      </c>
      <c r="B1509" s="543">
        <v>614596.36899999995</v>
      </c>
      <c r="C1509" s="94">
        <v>0</v>
      </c>
      <c r="D1509" s="144">
        <f t="shared" si="52"/>
        <v>614596.36899999995</v>
      </c>
      <c r="E1509" s="72" t="s">
        <v>959</v>
      </c>
      <c r="F1509" s="72"/>
      <c r="G1509" s="72"/>
      <c r="H1509" s="72"/>
    </row>
    <row r="1510" spans="1:8" s="44" customFormat="1" hidden="1" outlineLevel="1">
      <c r="A1510" s="433" t="s">
        <v>1476</v>
      </c>
      <c r="B1510" s="543">
        <v>52268936.175999999</v>
      </c>
      <c r="C1510" s="94">
        <v>2646522</v>
      </c>
      <c r="D1510" s="144">
        <f t="shared" si="52"/>
        <v>54915458.175999999</v>
      </c>
      <c r="E1510" s="72" t="s">
        <v>1477</v>
      </c>
      <c r="F1510" s="72"/>
      <c r="G1510" s="72"/>
      <c r="H1510" s="72"/>
    </row>
    <row r="1511" spans="1:8" s="44" customFormat="1" hidden="1" outlineLevel="1">
      <c r="A1511" s="433" t="s">
        <v>1092</v>
      </c>
      <c r="B1511" s="543">
        <v>2929810.3509999998</v>
      </c>
      <c r="C1511" s="94">
        <v>0</v>
      </c>
      <c r="D1511" s="144">
        <f t="shared" si="52"/>
        <v>2929810.3509999998</v>
      </c>
      <c r="E1511" s="72" t="s">
        <v>1093</v>
      </c>
      <c r="F1511" s="72"/>
      <c r="G1511" s="72"/>
      <c r="H1511" s="72"/>
    </row>
    <row r="1512" spans="1:8" s="44" customFormat="1" hidden="1" outlineLevel="1">
      <c r="A1512" s="433" t="s">
        <v>906</v>
      </c>
      <c r="B1512" s="543">
        <v>603510</v>
      </c>
      <c r="C1512" s="94">
        <v>0</v>
      </c>
      <c r="D1512" s="144">
        <f t="shared" si="52"/>
        <v>603510</v>
      </c>
      <c r="E1512" s="72" t="s">
        <v>907</v>
      </c>
      <c r="F1512" s="72"/>
      <c r="G1512" s="72"/>
      <c r="H1512" s="72"/>
    </row>
    <row r="1513" spans="1:8" s="44" customFormat="1" hidden="1" outlineLevel="1">
      <c r="A1513" s="433" t="s">
        <v>1188</v>
      </c>
      <c r="B1513" s="543">
        <v>1770553</v>
      </c>
      <c r="C1513" s="94">
        <v>0</v>
      </c>
      <c r="D1513" s="144">
        <f t="shared" si="52"/>
        <v>1770553</v>
      </c>
      <c r="E1513" s="72" t="s">
        <v>1189</v>
      </c>
      <c r="F1513" s="72"/>
      <c r="G1513" s="72"/>
      <c r="H1513" s="72"/>
    </row>
    <row r="1514" spans="1:8" s="44" customFormat="1" hidden="1" outlineLevel="1">
      <c r="A1514" s="433" t="s">
        <v>898</v>
      </c>
      <c r="B1514" s="543">
        <v>302969</v>
      </c>
      <c r="C1514" s="94">
        <v>0</v>
      </c>
      <c r="D1514" s="144">
        <f t="shared" si="52"/>
        <v>302969</v>
      </c>
      <c r="E1514" s="72" t="s">
        <v>899</v>
      </c>
      <c r="F1514" s="72"/>
      <c r="G1514" s="72"/>
      <c r="H1514" s="72"/>
    </row>
    <row r="1515" spans="1:8" s="44" customFormat="1" hidden="1" outlineLevel="1">
      <c r="A1515" s="433" t="s">
        <v>948</v>
      </c>
      <c r="B1515" s="543">
        <v>51292</v>
      </c>
      <c r="C1515" s="94">
        <v>0</v>
      </c>
      <c r="D1515" s="144">
        <f t="shared" si="52"/>
        <v>51292</v>
      </c>
      <c r="E1515" s="72" t="s">
        <v>949</v>
      </c>
      <c r="F1515" s="72"/>
      <c r="G1515" s="72"/>
      <c r="H1515" s="72"/>
    </row>
    <row r="1516" spans="1:8" s="44" customFormat="1" hidden="1" outlineLevel="1">
      <c r="A1516" s="433" t="s">
        <v>1202</v>
      </c>
      <c r="B1516" s="543">
        <v>477061</v>
      </c>
      <c r="C1516" s="94">
        <v>0</v>
      </c>
      <c r="D1516" s="144">
        <f t="shared" si="52"/>
        <v>477061</v>
      </c>
      <c r="E1516" s="72" t="s">
        <v>1203</v>
      </c>
      <c r="F1516" s="72"/>
      <c r="G1516" s="72"/>
      <c r="H1516" s="72"/>
    </row>
    <row r="1517" spans="1:8" s="44" customFormat="1" hidden="1" outlineLevel="1">
      <c r="A1517" s="433" t="s">
        <v>1070</v>
      </c>
      <c r="B1517" s="543">
        <v>457493</v>
      </c>
      <c r="C1517" s="94">
        <v>0</v>
      </c>
      <c r="D1517" s="144">
        <f t="shared" si="52"/>
        <v>457493</v>
      </c>
      <c r="E1517" s="72" t="s">
        <v>1071</v>
      </c>
      <c r="F1517" s="72"/>
      <c r="G1517" s="72"/>
      <c r="H1517" s="72"/>
    </row>
    <row r="1518" spans="1:8" s="44" customFormat="1" hidden="1" outlineLevel="1">
      <c r="A1518" s="433" t="s">
        <v>1064</v>
      </c>
      <c r="B1518" s="543">
        <v>2141271.9580000001</v>
      </c>
      <c r="C1518" s="94">
        <v>88762</v>
      </c>
      <c r="D1518" s="144">
        <f t="shared" si="52"/>
        <v>2230033.9580000001</v>
      </c>
      <c r="E1518" s="72" t="s">
        <v>1065</v>
      </c>
      <c r="F1518" s="72"/>
      <c r="G1518" s="72"/>
      <c r="H1518" s="72"/>
    </row>
    <row r="1519" spans="1:8" s="44" customFormat="1" hidden="1" outlineLevel="1">
      <c r="A1519" s="433" t="s">
        <v>1440</v>
      </c>
      <c r="B1519" s="543">
        <v>24212</v>
      </c>
      <c r="C1519" s="94">
        <v>0</v>
      </c>
      <c r="D1519" s="144">
        <f t="shared" si="52"/>
        <v>24212</v>
      </c>
      <c r="E1519" s="72" t="s">
        <v>1441</v>
      </c>
      <c r="F1519" s="72"/>
      <c r="G1519" s="72"/>
      <c r="H1519" s="72"/>
    </row>
    <row r="1520" spans="1:8" s="44" customFormat="1" hidden="1" outlineLevel="1">
      <c r="A1520" s="433" t="s">
        <v>874</v>
      </c>
      <c r="B1520" s="543">
        <v>3596363.1</v>
      </c>
      <c r="C1520" s="94">
        <v>0</v>
      </c>
      <c r="D1520" s="144">
        <f t="shared" si="52"/>
        <v>3596363.1</v>
      </c>
      <c r="E1520" s="72" t="s">
        <v>875</v>
      </c>
      <c r="F1520" s="72"/>
      <c r="G1520" s="72"/>
      <c r="H1520" s="72"/>
    </row>
    <row r="1521" spans="1:8" s="44" customFormat="1" hidden="1" outlineLevel="1">
      <c r="A1521" s="433" t="s">
        <v>1314</v>
      </c>
      <c r="B1521" s="543">
        <v>2619221.44</v>
      </c>
      <c r="C1521" s="94">
        <v>0</v>
      </c>
      <c r="D1521" s="144">
        <f t="shared" si="52"/>
        <v>2619221.44</v>
      </c>
      <c r="E1521" s="72" t="s">
        <v>1315</v>
      </c>
      <c r="F1521" s="72"/>
      <c r="G1521" s="72"/>
      <c r="H1521" s="72"/>
    </row>
    <row r="1522" spans="1:8" s="44" customFormat="1" hidden="1" outlineLevel="1">
      <c r="A1522" s="433" t="s">
        <v>1068</v>
      </c>
      <c r="B1522" s="543">
        <v>1035296.2</v>
      </c>
      <c r="C1522" s="94">
        <v>95750</v>
      </c>
      <c r="D1522" s="144">
        <f t="shared" si="52"/>
        <v>1131046.2</v>
      </c>
      <c r="E1522" s="72" t="s">
        <v>1069</v>
      </c>
      <c r="F1522" s="72"/>
      <c r="G1522" s="72"/>
      <c r="H1522" s="72"/>
    </row>
    <row r="1523" spans="1:8" s="44" customFormat="1" hidden="1" outlineLevel="1">
      <c r="A1523" s="433" t="s">
        <v>1423</v>
      </c>
      <c r="B1523" s="543">
        <v>1138066</v>
      </c>
      <c r="C1523" s="94">
        <v>0</v>
      </c>
      <c r="D1523" s="144">
        <f t="shared" si="52"/>
        <v>1138066</v>
      </c>
      <c r="E1523" s="72" t="s">
        <v>1424</v>
      </c>
      <c r="F1523" s="72"/>
      <c r="G1523" s="72"/>
      <c r="H1523" s="72"/>
    </row>
    <row r="1524" spans="1:8" s="44" customFormat="1" hidden="1" outlineLevel="1">
      <c r="A1524" s="433" t="s">
        <v>1140</v>
      </c>
      <c r="B1524" s="543">
        <v>1510709.23</v>
      </c>
      <c r="C1524" s="94">
        <v>0</v>
      </c>
      <c r="D1524" s="144">
        <f t="shared" si="52"/>
        <v>1510709.23</v>
      </c>
      <c r="E1524" s="72" t="s">
        <v>1141</v>
      </c>
      <c r="F1524" s="72"/>
      <c r="G1524" s="72"/>
      <c r="H1524" s="72"/>
    </row>
    <row r="1525" spans="1:8" s="44" customFormat="1" hidden="1" outlineLevel="1">
      <c r="A1525" s="433" t="s">
        <v>876</v>
      </c>
      <c r="B1525" s="543">
        <v>8013438</v>
      </c>
      <c r="C1525" s="94">
        <v>0</v>
      </c>
      <c r="D1525" s="144">
        <f t="shared" si="52"/>
        <v>8013438</v>
      </c>
      <c r="E1525" s="72" t="s">
        <v>877</v>
      </c>
      <c r="F1525" s="72"/>
      <c r="G1525" s="72"/>
      <c r="H1525" s="72"/>
    </row>
    <row r="1526" spans="1:8" s="44" customFormat="1" hidden="1" outlineLevel="1">
      <c r="A1526" s="433" t="s">
        <v>1200</v>
      </c>
      <c r="B1526" s="543">
        <v>2689768</v>
      </c>
      <c r="C1526" s="94">
        <v>0</v>
      </c>
      <c r="D1526" s="144">
        <f t="shared" si="52"/>
        <v>2689768</v>
      </c>
      <c r="E1526" s="72" t="s">
        <v>1201</v>
      </c>
      <c r="F1526" s="72"/>
      <c r="G1526" s="72"/>
      <c r="H1526" s="72"/>
    </row>
    <row r="1527" spans="1:8" s="44" customFormat="1" hidden="1" outlineLevel="1">
      <c r="A1527" s="433" t="s">
        <v>2070</v>
      </c>
      <c r="B1527" s="543">
        <v>0</v>
      </c>
      <c r="C1527" s="94">
        <v>0</v>
      </c>
      <c r="D1527" s="144">
        <f t="shared" si="52"/>
        <v>0</v>
      </c>
      <c r="E1527" s="72" t="s">
        <v>2071</v>
      </c>
      <c r="F1527" s="72"/>
      <c r="G1527" s="72"/>
      <c r="H1527" s="72"/>
    </row>
    <row r="1528" spans="1:8" s="44" customFormat="1" hidden="1" outlineLevel="1">
      <c r="A1528" s="433" t="s">
        <v>1156</v>
      </c>
      <c r="B1528" s="543">
        <v>325662</v>
      </c>
      <c r="C1528" s="94">
        <v>0</v>
      </c>
      <c r="D1528" s="144">
        <f t="shared" si="52"/>
        <v>325662</v>
      </c>
      <c r="E1528" s="72" t="s">
        <v>1157</v>
      </c>
      <c r="F1528" s="72"/>
      <c r="G1528" s="72"/>
      <c r="H1528" s="72"/>
    </row>
    <row r="1529" spans="1:8" s="44" customFormat="1" hidden="1" outlineLevel="1">
      <c r="A1529" s="433" t="s">
        <v>1036</v>
      </c>
      <c r="B1529" s="543">
        <v>507531</v>
      </c>
      <c r="C1529" s="94">
        <v>0</v>
      </c>
      <c r="D1529" s="144">
        <f t="shared" si="52"/>
        <v>507531</v>
      </c>
      <c r="E1529" s="72" t="s">
        <v>1037</v>
      </c>
      <c r="F1529" s="72"/>
      <c r="G1529" s="72"/>
      <c r="H1529" s="72"/>
    </row>
    <row r="1530" spans="1:8" s="44" customFormat="1" hidden="1" outlineLevel="1">
      <c r="A1530" s="433" t="s">
        <v>1280</v>
      </c>
      <c r="B1530" s="543">
        <v>1563925</v>
      </c>
      <c r="C1530" s="94">
        <v>0</v>
      </c>
      <c r="D1530" s="144">
        <f t="shared" si="52"/>
        <v>1563925</v>
      </c>
      <c r="E1530" s="72" t="s">
        <v>1281</v>
      </c>
      <c r="F1530" s="72"/>
      <c r="G1530" s="72"/>
      <c r="H1530" s="72"/>
    </row>
    <row r="1531" spans="1:8" s="44" customFormat="1" hidden="1" outlineLevel="1">
      <c r="A1531" s="433" t="s">
        <v>1302</v>
      </c>
      <c r="B1531" s="543">
        <v>416504</v>
      </c>
      <c r="C1531" s="94">
        <v>0</v>
      </c>
      <c r="D1531" s="144">
        <f t="shared" ref="D1531:D1594" si="53">B1531+C1531</f>
        <v>416504</v>
      </c>
      <c r="E1531" s="72" t="s">
        <v>1303</v>
      </c>
      <c r="F1531" s="72"/>
      <c r="G1531" s="72"/>
      <c r="H1531" s="72"/>
    </row>
    <row r="1532" spans="1:8" s="44" customFormat="1" hidden="1" outlineLevel="1">
      <c r="A1532" s="433" t="s">
        <v>1130</v>
      </c>
      <c r="B1532" s="543">
        <v>1214323.76</v>
      </c>
      <c r="C1532" s="94">
        <v>0</v>
      </c>
      <c r="D1532" s="144">
        <f t="shared" si="53"/>
        <v>1214323.76</v>
      </c>
      <c r="E1532" s="72" t="s">
        <v>1131</v>
      </c>
      <c r="F1532" s="72"/>
      <c r="G1532" s="72"/>
      <c r="H1532" s="72"/>
    </row>
    <row r="1533" spans="1:8" s="44" customFormat="1" hidden="1" outlineLevel="1">
      <c r="A1533" s="433" t="s">
        <v>1244</v>
      </c>
      <c r="B1533" s="543">
        <v>56610</v>
      </c>
      <c r="C1533" s="94">
        <v>0</v>
      </c>
      <c r="D1533" s="144">
        <f t="shared" si="53"/>
        <v>56610</v>
      </c>
      <c r="E1533" s="72" t="s">
        <v>1245</v>
      </c>
      <c r="F1533" s="72"/>
      <c r="G1533" s="72"/>
      <c r="H1533" s="72"/>
    </row>
    <row r="1534" spans="1:8" s="44" customFormat="1" hidden="1" outlineLevel="1">
      <c r="A1534" s="433" t="s">
        <v>1158</v>
      </c>
      <c r="B1534" s="543">
        <v>303012</v>
      </c>
      <c r="C1534" s="94">
        <v>0</v>
      </c>
      <c r="D1534" s="144">
        <f t="shared" si="53"/>
        <v>303012</v>
      </c>
      <c r="E1534" s="72" t="s">
        <v>1159</v>
      </c>
      <c r="F1534" s="72"/>
      <c r="G1534" s="72"/>
      <c r="H1534" s="72"/>
    </row>
    <row r="1535" spans="1:8" s="44" customFormat="1" hidden="1" outlineLevel="1">
      <c r="A1535" s="433" t="s">
        <v>944</v>
      </c>
      <c r="B1535" s="543">
        <v>2506489</v>
      </c>
      <c r="C1535" s="94">
        <v>0</v>
      </c>
      <c r="D1535" s="144">
        <f t="shared" si="53"/>
        <v>2506489</v>
      </c>
      <c r="E1535" s="72" t="s">
        <v>945</v>
      </c>
      <c r="F1535" s="72"/>
      <c r="G1535" s="72"/>
      <c r="H1535" s="72"/>
    </row>
    <row r="1536" spans="1:8" s="44" customFormat="1" hidden="1" outlineLevel="1">
      <c r="A1536" s="433" t="s">
        <v>1006</v>
      </c>
      <c r="B1536" s="543">
        <v>598619</v>
      </c>
      <c r="C1536" s="94">
        <v>0</v>
      </c>
      <c r="D1536" s="144">
        <f t="shared" si="53"/>
        <v>598619</v>
      </c>
      <c r="E1536" s="72" t="s">
        <v>1007</v>
      </c>
      <c r="F1536" s="72"/>
      <c r="G1536" s="72"/>
      <c r="H1536" s="72"/>
    </row>
    <row r="1537" spans="1:8" s="44" customFormat="1" hidden="1" outlineLevel="1">
      <c r="A1537" s="433" t="s">
        <v>1170</v>
      </c>
      <c r="B1537" s="543">
        <v>505499</v>
      </c>
      <c r="C1537" s="94">
        <v>0</v>
      </c>
      <c r="D1537" s="144">
        <f t="shared" si="53"/>
        <v>505499</v>
      </c>
      <c r="E1537" s="72" t="s">
        <v>1171</v>
      </c>
      <c r="F1537" s="72"/>
      <c r="G1537" s="72"/>
      <c r="H1537" s="72"/>
    </row>
    <row r="1538" spans="1:8" s="44" customFormat="1" hidden="1" outlineLevel="1">
      <c r="A1538" s="433" t="s">
        <v>1458</v>
      </c>
      <c r="B1538" s="543">
        <v>631142</v>
      </c>
      <c r="C1538" s="94">
        <v>0</v>
      </c>
      <c r="D1538" s="144">
        <f t="shared" si="53"/>
        <v>631142</v>
      </c>
      <c r="E1538" s="72" t="s">
        <v>1459</v>
      </c>
      <c r="F1538" s="72"/>
      <c r="G1538" s="72"/>
      <c r="H1538" s="72"/>
    </row>
    <row r="1539" spans="1:8" s="44" customFormat="1" hidden="1" outlineLevel="1">
      <c r="A1539" s="433" t="s">
        <v>1118</v>
      </c>
      <c r="B1539" s="543">
        <v>185859</v>
      </c>
      <c r="C1539" s="94">
        <v>0</v>
      </c>
      <c r="D1539" s="144">
        <f t="shared" si="53"/>
        <v>185859</v>
      </c>
      <c r="E1539" s="72" t="s">
        <v>1119</v>
      </c>
      <c r="F1539" s="72"/>
      <c r="G1539" s="72"/>
      <c r="H1539" s="72"/>
    </row>
    <row r="1540" spans="1:8" s="44" customFormat="1" hidden="1" outlineLevel="1">
      <c r="A1540" s="433" t="s">
        <v>1062</v>
      </c>
      <c r="B1540" s="543">
        <v>40586</v>
      </c>
      <c r="C1540" s="94">
        <v>0</v>
      </c>
      <c r="D1540" s="144">
        <f t="shared" si="53"/>
        <v>40586</v>
      </c>
      <c r="E1540" s="72" t="s">
        <v>1063</v>
      </c>
      <c r="F1540" s="72"/>
      <c r="G1540" s="72"/>
      <c r="H1540" s="72"/>
    </row>
    <row r="1541" spans="1:8" s="44" customFormat="1" hidden="1" outlineLevel="1">
      <c r="A1541" s="433" t="s">
        <v>1008</v>
      </c>
      <c r="B1541" s="543">
        <v>159991</v>
      </c>
      <c r="C1541" s="94">
        <v>0</v>
      </c>
      <c r="D1541" s="144">
        <f t="shared" si="53"/>
        <v>159991</v>
      </c>
      <c r="E1541" s="72" t="s">
        <v>1009</v>
      </c>
      <c r="F1541" s="72"/>
      <c r="G1541" s="72"/>
      <c r="H1541" s="72"/>
    </row>
    <row r="1542" spans="1:8" s="44" customFormat="1" hidden="1" outlineLevel="1">
      <c r="A1542" s="433" t="s">
        <v>1389</v>
      </c>
      <c r="B1542" s="543">
        <v>1160983.534</v>
      </c>
      <c r="C1542" s="94">
        <v>0</v>
      </c>
      <c r="D1542" s="144">
        <f t="shared" si="53"/>
        <v>1160983.534</v>
      </c>
      <c r="E1542" s="72" t="s">
        <v>1390</v>
      </c>
      <c r="F1542" s="72"/>
      <c r="G1542" s="72"/>
      <c r="H1542" s="72"/>
    </row>
    <row r="1543" spans="1:8" s="44" customFormat="1" hidden="1" outlineLevel="1">
      <c r="A1543" s="433" t="s">
        <v>1108</v>
      </c>
      <c r="B1543" s="543">
        <v>1768428.0009999999</v>
      </c>
      <c r="C1543" s="94">
        <v>0</v>
      </c>
      <c r="D1543" s="144">
        <f t="shared" si="53"/>
        <v>1768428.0009999999</v>
      </c>
      <c r="E1543" s="72" t="s">
        <v>1109</v>
      </c>
      <c r="F1543" s="72"/>
      <c r="G1543" s="72"/>
      <c r="H1543" s="72"/>
    </row>
    <row r="1544" spans="1:8" s="44" customFormat="1" hidden="1" outlineLevel="1">
      <c r="A1544" s="433" t="s">
        <v>1002</v>
      </c>
      <c r="B1544" s="543">
        <v>11118427</v>
      </c>
      <c r="C1544" s="94">
        <v>0</v>
      </c>
      <c r="D1544" s="144">
        <f t="shared" si="53"/>
        <v>11118427</v>
      </c>
      <c r="E1544" s="72" t="s">
        <v>1003</v>
      </c>
      <c r="F1544" s="72"/>
      <c r="G1544" s="72"/>
      <c r="H1544" s="72"/>
    </row>
    <row r="1545" spans="1:8" s="44" customFormat="1" hidden="1" outlineLevel="1">
      <c r="A1545" s="433" t="s">
        <v>499</v>
      </c>
      <c r="B1545" s="543">
        <v>647803</v>
      </c>
      <c r="C1545" s="94">
        <v>-206728</v>
      </c>
      <c r="D1545" s="144">
        <f t="shared" si="53"/>
        <v>441075</v>
      </c>
      <c r="E1545" s="72" t="s">
        <v>500</v>
      </c>
      <c r="F1545" s="72"/>
      <c r="G1545" s="72"/>
      <c r="H1545" s="72"/>
    </row>
    <row r="1546" spans="1:8" s="44" customFormat="1" hidden="1" outlineLevel="1">
      <c r="A1546" s="433" t="s">
        <v>1482</v>
      </c>
      <c r="B1546" s="543">
        <v>1086798</v>
      </c>
      <c r="C1546" s="94">
        <v>0</v>
      </c>
      <c r="D1546" s="144">
        <f t="shared" si="53"/>
        <v>1086798</v>
      </c>
      <c r="E1546" s="72" t="s">
        <v>1483</v>
      </c>
      <c r="F1546" s="72"/>
      <c r="G1546" s="72"/>
      <c r="H1546" s="72"/>
    </row>
    <row r="1547" spans="1:8" s="44" customFormat="1" hidden="1" outlineLevel="1">
      <c r="A1547" s="433" t="s">
        <v>1132</v>
      </c>
      <c r="B1547" s="543">
        <v>5862</v>
      </c>
      <c r="C1547" s="94">
        <v>0</v>
      </c>
      <c r="D1547" s="144">
        <f t="shared" si="53"/>
        <v>5862</v>
      </c>
      <c r="E1547" s="72" t="s">
        <v>1133</v>
      </c>
      <c r="F1547" s="72"/>
      <c r="G1547" s="72"/>
      <c r="H1547" s="72"/>
    </row>
    <row r="1548" spans="1:8" s="44" customFormat="1" hidden="1" outlineLevel="1">
      <c r="A1548" s="433" t="s">
        <v>998</v>
      </c>
      <c r="B1548" s="543">
        <v>494133</v>
      </c>
      <c r="C1548" s="94">
        <v>916760</v>
      </c>
      <c r="D1548" s="144">
        <f t="shared" si="53"/>
        <v>1410893</v>
      </c>
      <c r="E1548" s="72" t="s">
        <v>999</v>
      </c>
      <c r="F1548" s="72"/>
      <c r="G1548" s="72"/>
      <c r="H1548" s="72"/>
    </row>
    <row r="1549" spans="1:8" s="44" customFormat="1" hidden="1" outlineLevel="1">
      <c r="A1549" s="433" t="s">
        <v>1324</v>
      </c>
      <c r="B1549" s="543">
        <v>156316</v>
      </c>
      <c r="C1549" s="94">
        <v>0</v>
      </c>
      <c r="D1549" s="144">
        <f t="shared" si="53"/>
        <v>156316</v>
      </c>
      <c r="E1549" s="72" t="s">
        <v>1325</v>
      </c>
      <c r="F1549" s="72"/>
      <c r="G1549" s="72"/>
      <c r="H1549" s="72"/>
    </row>
    <row r="1550" spans="1:8" s="44" customFormat="1" hidden="1" outlineLevel="1">
      <c r="A1550" s="433" t="s">
        <v>1060</v>
      </c>
      <c r="B1550" s="543">
        <v>661697.12100000004</v>
      </c>
      <c r="C1550" s="94">
        <v>0</v>
      </c>
      <c r="D1550" s="144">
        <f t="shared" si="53"/>
        <v>661697.12100000004</v>
      </c>
      <c r="E1550" s="72" t="s">
        <v>1061</v>
      </c>
      <c r="F1550" s="72"/>
      <c r="G1550" s="72"/>
      <c r="H1550" s="72"/>
    </row>
    <row r="1551" spans="1:8" s="44" customFormat="1" hidden="1" outlineLevel="1">
      <c r="A1551" s="433" t="s">
        <v>1339</v>
      </c>
      <c r="B1551" s="543">
        <v>238985</v>
      </c>
      <c r="C1551" s="94">
        <v>7263</v>
      </c>
      <c r="D1551" s="144">
        <f t="shared" si="53"/>
        <v>246248</v>
      </c>
      <c r="E1551" s="72" t="s">
        <v>1340</v>
      </c>
      <c r="F1551" s="72"/>
      <c r="G1551" s="72"/>
      <c r="H1551" s="72"/>
    </row>
    <row r="1552" spans="1:8" s="44" customFormat="1" hidden="1" outlineLevel="1">
      <c r="A1552" s="433" t="s">
        <v>896</v>
      </c>
      <c r="B1552" s="543">
        <v>552900.66500000004</v>
      </c>
      <c r="C1552" s="94">
        <v>0</v>
      </c>
      <c r="D1552" s="144">
        <f t="shared" si="53"/>
        <v>552900.66500000004</v>
      </c>
      <c r="E1552" s="72" t="s">
        <v>897</v>
      </c>
      <c r="F1552" s="72"/>
      <c r="G1552" s="72"/>
      <c r="H1552" s="72"/>
    </row>
    <row r="1553" spans="1:8" s="44" customFormat="1" hidden="1" outlineLevel="1">
      <c r="A1553" s="433" t="s">
        <v>912</v>
      </c>
      <c r="B1553" s="543">
        <v>108097</v>
      </c>
      <c r="C1553" s="94">
        <v>0</v>
      </c>
      <c r="D1553" s="144">
        <f t="shared" si="53"/>
        <v>108097</v>
      </c>
      <c r="E1553" s="72" t="s">
        <v>913</v>
      </c>
      <c r="F1553" s="72"/>
      <c r="G1553" s="72"/>
      <c r="H1553" s="72"/>
    </row>
    <row r="1554" spans="1:8" s="44" customFormat="1" hidden="1" outlineLevel="1">
      <c r="A1554" s="433" t="s">
        <v>1347</v>
      </c>
      <c r="B1554" s="543">
        <v>809264</v>
      </c>
      <c r="C1554" s="94">
        <v>0</v>
      </c>
      <c r="D1554" s="144">
        <f t="shared" si="53"/>
        <v>809264</v>
      </c>
      <c r="E1554" s="72" t="s">
        <v>1348</v>
      </c>
      <c r="F1554" s="72"/>
      <c r="G1554" s="72"/>
      <c r="H1554" s="72"/>
    </row>
    <row r="1555" spans="1:8" s="44" customFormat="1" hidden="1" outlineLevel="1">
      <c r="A1555" s="433" t="s">
        <v>1270</v>
      </c>
      <c r="B1555" s="543">
        <v>540847</v>
      </c>
      <c r="C1555" s="94">
        <v>0</v>
      </c>
      <c r="D1555" s="144">
        <f t="shared" si="53"/>
        <v>540847</v>
      </c>
      <c r="E1555" s="72" t="s">
        <v>1271</v>
      </c>
      <c r="F1555" s="72"/>
      <c r="G1555" s="72"/>
      <c r="H1555" s="72"/>
    </row>
    <row r="1556" spans="1:8" s="44" customFormat="1" hidden="1" outlineLevel="1">
      <c r="A1556" s="433" t="s">
        <v>1142</v>
      </c>
      <c r="B1556" s="543">
        <v>149969</v>
      </c>
      <c r="C1556" s="94">
        <v>0</v>
      </c>
      <c r="D1556" s="144">
        <f t="shared" si="53"/>
        <v>149969</v>
      </c>
      <c r="E1556" s="72" t="s">
        <v>1143</v>
      </c>
      <c r="F1556" s="72"/>
      <c r="G1556" s="72"/>
      <c r="H1556" s="72"/>
    </row>
    <row r="1557" spans="1:8" s="44" customFormat="1" hidden="1" outlineLevel="1">
      <c r="A1557" s="433" t="s">
        <v>1444</v>
      </c>
      <c r="B1557" s="543">
        <v>8485029.4920000006</v>
      </c>
      <c r="C1557" s="94">
        <v>0</v>
      </c>
      <c r="D1557" s="144">
        <f t="shared" si="53"/>
        <v>8485029.4920000006</v>
      </c>
      <c r="E1557" s="72" t="s">
        <v>1445</v>
      </c>
      <c r="F1557" s="72"/>
      <c r="G1557" s="72"/>
      <c r="H1557" s="72"/>
    </row>
    <row r="1558" spans="1:8" s="44" customFormat="1" hidden="1" outlineLevel="1">
      <c r="A1558" s="433" t="s">
        <v>1446</v>
      </c>
      <c r="B1558" s="543">
        <v>1873804.8</v>
      </c>
      <c r="C1558" s="94">
        <v>623712.04</v>
      </c>
      <c r="D1558" s="144">
        <f t="shared" si="53"/>
        <v>2497516.84</v>
      </c>
      <c r="E1558" s="72" t="s">
        <v>1447</v>
      </c>
      <c r="F1558" s="72"/>
      <c r="G1558" s="72"/>
      <c r="H1558" s="72"/>
    </row>
    <row r="1559" spans="1:8" s="44" customFormat="1" hidden="1" outlineLevel="1">
      <c r="A1559" s="433" t="s">
        <v>1468</v>
      </c>
      <c r="B1559" s="543">
        <v>349382.59600000002</v>
      </c>
      <c r="C1559" s="94">
        <v>0</v>
      </c>
      <c r="D1559" s="144">
        <f t="shared" si="53"/>
        <v>349382.59600000002</v>
      </c>
      <c r="E1559" s="72" t="s">
        <v>1469</v>
      </c>
      <c r="F1559" s="72"/>
      <c r="G1559" s="72"/>
      <c r="H1559" s="72"/>
    </row>
    <row r="1560" spans="1:8" s="44" customFormat="1" hidden="1" outlineLevel="1">
      <c r="A1560" s="433" t="s">
        <v>1180</v>
      </c>
      <c r="B1560" s="543">
        <v>423005</v>
      </c>
      <c r="C1560" s="94">
        <v>0</v>
      </c>
      <c r="D1560" s="144">
        <f t="shared" si="53"/>
        <v>423005</v>
      </c>
      <c r="E1560" s="72" t="s">
        <v>1181</v>
      </c>
      <c r="F1560" s="72"/>
      <c r="G1560" s="72"/>
      <c r="H1560" s="72"/>
    </row>
    <row r="1561" spans="1:8" s="44" customFormat="1" hidden="1" outlineLevel="1">
      <c r="A1561" s="433" t="s">
        <v>1256</v>
      </c>
      <c r="B1561" s="543">
        <v>327659</v>
      </c>
      <c r="C1561" s="94">
        <v>0</v>
      </c>
      <c r="D1561" s="144">
        <f t="shared" si="53"/>
        <v>327659</v>
      </c>
      <c r="E1561" s="72" t="s">
        <v>1257</v>
      </c>
      <c r="F1561" s="72"/>
      <c r="G1561" s="72"/>
      <c r="H1561" s="72"/>
    </row>
    <row r="1562" spans="1:8" s="44" customFormat="1" hidden="1" outlineLevel="1">
      <c r="A1562" s="433" t="s">
        <v>1442</v>
      </c>
      <c r="B1562" s="543">
        <v>1938663</v>
      </c>
      <c r="C1562" s="94">
        <v>0</v>
      </c>
      <c r="D1562" s="144">
        <f t="shared" si="53"/>
        <v>1938663</v>
      </c>
      <c r="E1562" s="72" t="s">
        <v>1443</v>
      </c>
      <c r="F1562" s="72"/>
      <c r="G1562" s="72"/>
      <c r="H1562" s="72"/>
    </row>
    <row r="1563" spans="1:8" s="44" customFormat="1" hidden="1" outlineLevel="1">
      <c r="A1563" s="433" t="s">
        <v>1234</v>
      </c>
      <c r="B1563" s="543">
        <v>41450.300000000003</v>
      </c>
      <c r="C1563" s="94">
        <v>0</v>
      </c>
      <c r="D1563" s="144">
        <f t="shared" si="53"/>
        <v>41450.300000000003</v>
      </c>
      <c r="E1563" s="72" t="s">
        <v>1235</v>
      </c>
      <c r="F1563" s="72"/>
      <c r="G1563" s="72"/>
      <c r="H1563" s="72"/>
    </row>
    <row r="1564" spans="1:8" s="44" customFormat="1" hidden="1" outlineLevel="1">
      <c r="A1564" s="433" t="s">
        <v>1292</v>
      </c>
      <c r="B1564" s="543">
        <v>162106</v>
      </c>
      <c r="C1564" s="94">
        <v>0</v>
      </c>
      <c r="D1564" s="144">
        <f t="shared" si="53"/>
        <v>162106</v>
      </c>
      <c r="E1564" s="72" t="s">
        <v>1293</v>
      </c>
      <c r="F1564" s="72"/>
      <c r="G1564" s="72"/>
      <c r="H1564" s="72"/>
    </row>
    <row r="1565" spans="1:8" s="44" customFormat="1" hidden="1" outlineLevel="1">
      <c r="A1565" s="433" t="s">
        <v>1232</v>
      </c>
      <c r="B1565" s="543">
        <v>50663</v>
      </c>
      <c r="C1565" s="94">
        <v>0</v>
      </c>
      <c r="D1565" s="144">
        <f t="shared" si="53"/>
        <v>50663</v>
      </c>
      <c r="E1565" s="72" t="s">
        <v>1233</v>
      </c>
      <c r="F1565" s="72"/>
      <c r="G1565" s="72"/>
      <c r="H1565" s="72"/>
    </row>
    <row r="1566" spans="1:8" s="44" customFormat="1" hidden="1" outlineLevel="1">
      <c r="A1566" s="433" t="s">
        <v>1254</v>
      </c>
      <c r="B1566" s="543">
        <v>607584</v>
      </c>
      <c r="C1566" s="94">
        <v>0</v>
      </c>
      <c r="D1566" s="144">
        <f t="shared" si="53"/>
        <v>607584</v>
      </c>
      <c r="E1566" s="72" t="s">
        <v>1255</v>
      </c>
      <c r="F1566" s="72"/>
      <c r="G1566" s="72"/>
      <c r="H1566" s="72"/>
    </row>
    <row r="1567" spans="1:8" s="44" customFormat="1" hidden="1" outlineLevel="1">
      <c r="A1567" s="433" t="s">
        <v>1328</v>
      </c>
      <c r="B1567" s="543">
        <v>19357617.800000001</v>
      </c>
      <c r="C1567" s="94">
        <v>0</v>
      </c>
      <c r="D1567" s="144">
        <f t="shared" si="53"/>
        <v>19357617.800000001</v>
      </c>
      <c r="E1567" s="72" t="s">
        <v>1329</v>
      </c>
      <c r="F1567" s="72"/>
      <c r="G1567" s="72"/>
      <c r="H1567" s="72"/>
    </row>
    <row r="1568" spans="1:8" s="44" customFormat="1" hidden="1" outlineLevel="1">
      <c r="A1568" s="433" t="s">
        <v>1226</v>
      </c>
      <c r="B1568" s="543">
        <v>526640</v>
      </c>
      <c r="C1568" s="94">
        <v>0</v>
      </c>
      <c r="D1568" s="144">
        <f t="shared" si="53"/>
        <v>526640</v>
      </c>
      <c r="E1568" s="72" t="s">
        <v>1227</v>
      </c>
      <c r="F1568" s="72"/>
      <c r="G1568" s="72"/>
      <c r="H1568" s="72"/>
    </row>
    <row r="1569" spans="1:8" s="44" customFormat="1" hidden="1" outlineLevel="1">
      <c r="A1569" s="433" t="s">
        <v>1308</v>
      </c>
      <c r="B1569" s="543">
        <v>365900.79</v>
      </c>
      <c r="C1569" s="94">
        <v>0</v>
      </c>
      <c r="D1569" s="144">
        <f t="shared" si="53"/>
        <v>365900.79</v>
      </c>
      <c r="E1569" s="72" t="s">
        <v>1309</v>
      </c>
      <c r="F1569" s="72"/>
      <c r="G1569" s="72"/>
      <c r="H1569" s="72"/>
    </row>
    <row r="1570" spans="1:8" s="44" customFormat="1" hidden="1" outlineLevel="1">
      <c r="A1570" s="433" t="s">
        <v>1238</v>
      </c>
      <c r="B1570" s="543">
        <v>665686166.19000006</v>
      </c>
      <c r="C1570" s="94">
        <v>-3677043.7570000002</v>
      </c>
      <c r="D1570" s="144">
        <f t="shared" si="53"/>
        <v>662009122.43300009</v>
      </c>
      <c r="E1570" s="72" t="s">
        <v>1239</v>
      </c>
      <c r="F1570" s="72"/>
      <c r="G1570" s="72"/>
      <c r="H1570" s="72"/>
    </row>
    <row r="1571" spans="1:8" s="44" customFormat="1" hidden="1" outlineLevel="1">
      <c r="A1571" s="433" t="s">
        <v>978</v>
      </c>
      <c r="B1571" s="543">
        <v>5796345.3150000004</v>
      </c>
      <c r="C1571" s="94">
        <v>284600</v>
      </c>
      <c r="D1571" s="144">
        <f t="shared" si="53"/>
        <v>6080945.3150000004</v>
      </c>
      <c r="E1571" s="72" t="s">
        <v>979</v>
      </c>
      <c r="F1571" s="72"/>
      <c r="G1571" s="72"/>
      <c r="H1571" s="72"/>
    </row>
    <row r="1572" spans="1:8" s="44" customFormat="1" hidden="1" outlineLevel="1">
      <c r="A1572" s="433" t="s">
        <v>1206</v>
      </c>
      <c r="B1572" s="543">
        <v>1410281</v>
      </c>
      <c r="C1572" s="94">
        <v>0</v>
      </c>
      <c r="D1572" s="144">
        <f t="shared" si="53"/>
        <v>1410281</v>
      </c>
      <c r="E1572" s="72" t="s">
        <v>1207</v>
      </c>
      <c r="F1572" s="72"/>
      <c r="G1572" s="72"/>
      <c r="H1572" s="72"/>
    </row>
    <row r="1573" spans="1:8" s="44" customFormat="1" hidden="1" outlineLevel="1">
      <c r="A1573" s="433" t="s">
        <v>1365</v>
      </c>
      <c r="B1573" s="543">
        <v>374041</v>
      </c>
      <c r="C1573" s="94">
        <v>0</v>
      </c>
      <c r="D1573" s="144">
        <f t="shared" si="53"/>
        <v>374041</v>
      </c>
      <c r="E1573" s="72" t="s">
        <v>1366</v>
      </c>
      <c r="F1573" s="72"/>
      <c r="G1573" s="72"/>
      <c r="H1573" s="72"/>
    </row>
    <row r="1574" spans="1:8" s="44" customFormat="1" hidden="1" outlineLevel="1">
      <c r="A1574" s="433" t="s">
        <v>952</v>
      </c>
      <c r="B1574" s="543">
        <v>927119</v>
      </c>
      <c r="C1574" s="94">
        <v>0</v>
      </c>
      <c r="D1574" s="144">
        <f t="shared" si="53"/>
        <v>927119</v>
      </c>
      <c r="E1574" s="72" t="s">
        <v>953</v>
      </c>
      <c r="F1574" s="72"/>
      <c r="G1574" s="72"/>
      <c r="H1574" s="72"/>
    </row>
    <row r="1575" spans="1:8" s="44" customFormat="1" hidden="1" outlineLevel="1">
      <c r="A1575" s="433" t="s">
        <v>1204</v>
      </c>
      <c r="B1575" s="543">
        <v>1273075396.9990001</v>
      </c>
      <c r="C1575" s="94">
        <v>4615126.091</v>
      </c>
      <c r="D1575" s="144">
        <f t="shared" si="53"/>
        <v>1277690523.0900002</v>
      </c>
      <c r="E1575" s="72" t="s">
        <v>1205</v>
      </c>
      <c r="F1575" s="72"/>
      <c r="G1575" s="72"/>
      <c r="H1575" s="72"/>
    </row>
    <row r="1576" spans="1:8" s="44" customFormat="1" hidden="1" outlineLevel="1">
      <c r="A1576" s="433" t="s">
        <v>1052</v>
      </c>
      <c r="B1576" s="543">
        <v>1255488</v>
      </c>
      <c r="C1576" s="94">
        <v>0</v>
      </c>
      <c r="D1576" s="144">
        <f t="shared" si="53"/>
        <v>1255488</v>
      </c>
      <c r="E1576" s="72" t="s">
        <v>1053</v>
      </c>
      <c r="F1576" s="72"/>
      <c r="G1576" s="72"/>
      <c r="H1576" s="72"/>
    </row>
    <row r="1577" spans="1:8" s="44" customFormat="1" hidden="1" outlineLevel="1">
      <c r="A1577" s="433" t="s">
        <v>1306</v>
      </c>
      <c r="B1577" s="543">
        <v>722067.36</v>
      </c>
      <c r="C1577" s="94">
        <v>0</v>
      </c>
      <c r="D1577" s="144">
        <f t="shared" si="53"/>
        <v>722067.36</v>
      </c>
      <c r="E1577" s="72" t="s">
        <v>1307</v>
      </c>
      <c r="F1577" s="72"/>
      <c r="G1577" s="72"/>
      <c r="H1577" s="72"/>
    </row>
    <row r="1578" spans="1:8" s="44" customFormat="1" hidden="1" outlineLevel="1">
      <c r="A1578" s="433" t="s">
        <v>1326</v>
      </c>
      <c r="B1578" s="543">
        <v>55454831</v>
      </c>
      <c r="C1578" s="94">
        <v>30091</v>
      </c>
      <c r="D1578" s="144">
        <f t="shared" si="53"/>
        <v>55484922</v>
      </c>
      <c r="E1578" s="72" t="s">
        <v>1327</v>
      </c>
      <c r="F1578" s="72"/>
      <c r="G1578" s="72"/>
      <c r="H1578" s="72"/>
    </row>
    <row r="1579" spans="1:8" s="44" customFormat="1" hidden="1" outlineLevel="1">
      <c r="A1579" s="433" t="s">
        <v>748</v>
      </c>
      <c r="B1579" s="543">
        <v>1519824.051</v>
      </c>
      <c r="C1579" s="94">
        <v>0</v>
      </c>
      <c r="D1579" s="144">
        <f t="shared" si="53"/>
        <v>1519824.051</v>
      </c>
      <c r="E1579" s="72" t="s">
        <v>1338</v>
      </c>
      <c r="F1579" s="72"/>
      <c r="G1579" s="72"/>
      <c r="H1579" s="72"/>
    </row>
    <row r="1580" spans="1:8" s="44" customFormat="1" hidden="1" outlineLevel="1">
      <c r="A1580" s="433" t="s">
        <v>934</v>
      </c>
      <c r="B1580" s="543">
        <v>51412101</v>
      </c>
      <c r="C1580" s="94">
        <v>0</v>
      </c>
      <c r="D1580" s="144">
        <f t="shared" si="53"/>
        <v>51412101</v>
      </c>
      <c r="E1580" s="72" t="s">
        <v>935</v>
      </c>
      <c r="F1580" s="72"/>
      <c r="G1580" s="72"/>
      <c r="H1580" s="72"/>
    </row>
    <row r="1581" spans="1:8" s="44" customFormat="1" hidden="1" outlineLevel="1">
      <c r="A1581" s="433" t="s">
        <v>1100</v>
      </c>
      <c r="B1581" s="543">
        <v>25950003</v>
      </c>
      <c r="C1581" s="94">
        <v>2733487</v>
      </c>
      <c r="D1581" s="144">
        <f t="shared" si="53"/>
        <v>28683490</v>
      </c>
      <c r="E1581" s="72" t="s">
        <v>1101</v>
      </c>
      <c r="F1581" s="72"/>
      <c r="G1581" s="72"/>
      <c r="H1581" s="72"/>
    </row>
    <row r="1582" spans="1:8" s="44" customFormat="1" hidden="1" outlineLevel="1">
      <c r="A1582" s="433" t="s">
        <v>890</v>
      </c>
      <c r="B1582" s="543">
        <v>5247566.0379999997</v>
      </c>
      <c r="C1582" s="94">
        <v>0</v>
      </c>
      <c r="D1582" s="144">
        <f t="shared" si="53"/>
        <v>5247566.0379999997</v>
      </c>
      <c r="E1582" s="72" t="s">
        <v>891</v>
      </c>
      <c r="F1582" s="72"/>
      <c r="G1582" s="72"/>
      <c r="H1582" s="72"/>
    </row>
    <row r="1583" spans="1:8" s="44" customFormat="1" hidden="1" outlineLevel="1">
      <c r="A1583" s="433" t="s">
        <v>884</v>
      </c>
      <c r="B1583" s="543">
        <v>1753453.08</v>
      </c>
      <c r="C1583" s="94">
        <v>0</v>
      </c>
      <c r="D1583" s="144">
        <f t="shared" si="53"/>
        <v>1753453.08</v>
      </c>
      <c r="E1583" s="72" t="s">
        <v>885</v>
      </c>
      <c r="F1583" s="72"/>
      <c r="G1583" s="72"/>
      <c r="H1583" s="72"/>
    </row>
    <row r="1584" spans="1:8" s="44" customFormat="1" hidden="1" outlineLevel="1">
      <c r="A1584" s="433" t="s">
        <v>210</v>
      </c>
      <c r="B1584" s="543">
        <v>2461003.7829999998</v>
      </c>
      <c r="C1584" s="94">
        <v>0</v>
      </c>
      <c r="D1584" s="144">
        <f t="shared" si="53"/>
        <v>2461003.7829999998</v>
      </c>
      <c r="E1584" s="72" t="s">
        <v>211</v>
      </c>
      <c r="F1584" s="72"/>
      <c r="G1584" s="72"/>
      <c r="H1584" s="72"/>
    </row>
    <row r="1585" spans="1:8" s="44" customFormat="1" hidden="1" outlineLevel="1">
      <c r="A1585" s="433" t="s">
        <v>1363</v>
      </c>
      <c r="B1585" s="543">
        <v>520655</v>
      </c>
      <c r="C1585" s="94">
        <v>0</v>
      </c>
      <c r="D1585" s="144">
        <f t="shared" si="53"/>
        <v>520655</v>
      </c>
      <c r="E1585" s="72" t="s">
        <v>1364</v>
      </c>
      <c r="F1585" s="72"/>
      <c r="G1585" s="72"/>
      <c r="H1585" s="72"/>
    </row>
    <row r="1586" spans="1:8" s="44" customFormat="1" hidden="1" outlineLevel="1">
      <c r="A1586" s="433" t="s">
        <v>1375</v>
      </c>
      <c r="B1586" s="543">
        <v>2293721.2000000002</v>
      </c>
      <c r="C1586" s="94">
        <v>18415</v>
      </c>
      <c r="D1586" s="144">
        <f t="shared" si="53"/>
        <v>2312136.2000000002</v>
      </c>
      <c r="E1586" s="72" t="s">
        <v>1376</v>
      </c>
      <c r="F1586" s="72"/>
      <c r="G1586" s="72"/>
      <c r="H1586" s="72"/>
    </row>
    <row r="1587" spans="1:8" s="44" customFormat="1" hidden="1" outlineLevel="1">
      <c r="A1587" s="433" t="s">
        <v>1397</v>
      </c>
      <c r="B1587" s="543">
        <v>6642269.2620000001</v>
      </c>
      <c r="C1587" s="94">
        <v>0</v>
      </c>
      <c r="D1587" s="144">
        <f t="shared" si="53"/>
        <v>6642269.2620000001</v>
      </c>
      <c r="E1587" s="72" t="s">
        <v>1398</v>
      </c>
      <c r="F1587" s="72"/>
      <c r="G1587" s="72"/>
      <c r="H1587" s="72"/>
    </row>
    <row r="1588" spans="1:8" s="44" customFormat="1" hidden="1" outlineLevel="1">
      <c r="A1588" s="433" t="s">
        <v>1258</v>
      </c>
      <c r="B1588" s="543">
        <v>86660</v>
      </c>
      <c r="C1588" s="94">
        <v>0</v>
      </c>
      <c r="D1588" s="144">
        <f t="shared" si="53"/>
        <v>86660</v>
      </c>
      <c r="E1588" s="72" t="s">
        <v>1259</v>
      </c>
      <c r="F1588" s="72"/>
      <c r="G1588" s="72"/>
      <c r="H1588" s="72"/>
    </row>
    <row r="1589" spans="1:8" s="44" customFormat="1" hidden="1" outlineLevel="1">
      <c r="A1589" s="433" t="s">
        <v>1098</v>
      </c>
      <c r="B1589" s="543">
        <v>349333.27899999998</v>
      </c>
      <c r="C1589" s="94">
        <v>0</v>
      </c>
      <c r="D1589" s="144">
        <f t="shared" si="53"/>
        <v>349333.27899999998</v>
      </c>
      <c r="E1589" s="72" t="s">
        <v>1099</v>
      </c>
      <c r="F1589" s="72"/>
      <c r="G1589" s="72"/>
      <c r="H1589" s="72"/>
    </row>
    <row r="1590" spans="1:8" s="44" customFormat="1" hidden="1" outlineLevel="1">
      <c r="A1590" s="433" t="s">
        <v>322</v>
      </c>
      <c r="B1590" s="543">
        <v>540887</v>
      </c>
      <c r="C1590" s="94">
        <v>2538</v>
      </c>
      <c r="D1590" s="144">
        <f t="shared" si="53"/>
        <v>543425</v>
      </c>
      <c r="E1590" s="72" t="s">
        <v>323</v>
      </c>
      <c r="F1590" s="72"/>
      <c r="G1590" s="72"/>
      <c r="H1590" s="72"/>
    </row>
    <row r="1591" spans="1:8" s="44" customFormat="1" hidden="1" outlineLevel="1">
      <c r="A1591" s="433" t="s">
        <v>1162</v>
      </c>
      <c r="B1591" s="543">
        <v>1030816.26</v>
      </c>
      <c r="C1591" s="94">
        <v>272901</v>
      </c>
      <c r="D1591" s="144">
        <f t="shared" si="53"/>
        <v>1303717.26</v>
      </c>
      <c r="E1591" s="72" t="s">
        <v>1163</v>
      </c>
      <c r="F1591" s="72"/>
      <c r="G1591" s="72"/>
      <c r="H1591" s="72"/>
    </row>
    <row r="1592" spans="1:8" s="44" customFormat="1" hidden="1" outlineLevel="1">
      <c r="A1592" s="433" t="s">
        <v>1214</v>
      </c>
      <c r="B1592" s="543">
        <v>805350.64399999997</v>
      </c>
      <c r="C1592" s="94">
        <v>0</v>
      </c>
      <c r="D1592" s="144">
        <f t="shared" si="53"/>
        <v>805350.64399999997</v>
      </c>
      <c r="E1592" s="72" t="s">
        <v>1215</v>
      </c>
      <c r="F1592" s="72"/>
      <c r="G1592" s="72"/>
      <c r="H1592" s="72"/>
    </row>
    <row r="1593" spans="1:8" s="44" customFormat="1" hidden="1" outlineLevel="1">
      <c r="A1593" s="433" t="s">
        <v>942</v>
      </c>
      <c r="B1593" s="543">
        <v>90964</v>
      </c>
      <c r="C1593" s="94">
        <v>0</v>
      </c>
      <c r="D1593" s="144">
        <f t="shared" si="53"/>
        <v>90964</v>
      </c>
      <c r="E1593" s="72" t="s">
        <v>943</v>
      </c>
      <c r="F1593" s="72"/>
      <c r="G1593" s="72"/>
      <c r="H1593" s="72"/>
    </row>
    <row r="1594" spans="1:8" s="44" customFormat="1" hidden="1" outlineLevel="1">
      <c r="A1594" s="433" t="s">
        <v>1330</v>
      </c>
      <c r="B1594" s="543">
        <v>513590902</v>
      </c>
      <c r="C1594" s="94">
        <v>1134818455</v>
      </c>
      <c r="D1594" s="144">
        <f t="shared" si="53"/>
        <v>1648409357</v>
      </c>
      <c r="E1594" s="72" t="s">
        <v>1331</v>
      </c>
      <c r="F1594" s="72"/>
      <c r="G1594" s="72"/>
      <c r="H1594" s="72"/>
    </row>
    <row r="1595" spans="1:8" s="44" customFormat="1" hidden="1" outlineLevel="1">
      <c r="A1595" s="433" t="s">
        <v>1383</v>
      </c>
      <c r="B1595" s="543">
        <v>2120549.5589999999</v>
      </c>
      <c r="C1595" s="94">
        <v>0</v>
      </c>
      <c r="D1595" s="144">
        <f t="shared" ref="D1595:D1601" si="54">B1595+C1595</f>
        <v>2120549.5589999999</v>
      </c>
      <c r="E1595" s="72" t="s">
        <v>1384</v>
      </c>
      <c r="F1595" s="72"/>
      <c r="G1595" s="72"/>
      <c r="H1595" s="72"/>
    </row>
    <row r="1596" spans="1:8" s="44" customFormat="1" hidden="1" outlineLevel="1">
      <c r="A1596" s="433" t="s">
        <v>1460</v>
      </c>
      <c r="B1596" s="543">
        <v>8704900</v>
      </c>
      <c r="C1596" s="94">
        <v>0</v>
      </c>
      <c r="D1596" s="144">
        <f t="shared" si="54"/>
        <v>8704900</v>
      </c>
      <c r="E1596" s="72" t="s">
        <v>1461</v>
      </c>
      <c r="F1596" s="72"/>
      <c r="G1596" s="72"/>
      <c r="H1596" s="72"/>
    </row>
    <row r="1597" spans="1:8" s="44" customFormat="1" hidden="1" outlineLevel="1">
      <c r="A1597" s="433" t="s">
        <v>1198</v>
      </c>
      <c r="B1597" s="543">
        <v>253173575</v>
      </c>
      <c r="C1597" s="94">
        <v>49201815</v>
      </c>
      <c r="D1597" s="144">
        <f t="shared" si="54"/>
        <v>302375390</v>
      </c>
      <c r="E1597" s="72" t="s">
        <v>1199</v>
      </c>
      <c r="F1597" s="72"/>
      <c r="G1597" s="72"/>
      <c r="H1597" s="72"/>
    </row>
    <row r="1598" spans="1:8" s="44" customFormat="1" hidden="1" outlineLevel="1">
      <c r="A1598" s="433" t="s">
        <v>1316</v>
      </c>
      <c r="B1598" s="543">
        <v>4137654</v>
      </c>
      <c r="C1598" s="94">
        <v>882323</v>
      </c>
      <c r="D1598" s="144">
        <f t="shared" si="54"/>
        <v>5019977</v>
      </c>
      <c r="E1598" s="72" t="s">
        <v>1317</v>
      </c>
      <c r="F1598" s="72"/>
      <c r="G1598" s="72"/>
      <c r="H1598" s="72"/>
    </row>
    <row r="1599" spans="1:8" s="44" customFormat="1" hidden="1" outlineLevel="1">
      <c r="A1599" s="433" t="s">
        <v>509</v>
      </c>
      <c r="B1599" s="543">
        <v>61134129</v>
      </c>
      <c r="C1599" s="94">
        <v>12569001</v>
      </c>
      <c r="D1599" s="144">
        <f t="shared" si="54"/>
        <v>73703130</v>
      </c>
      <c r="E1599" s="72" t="s">
        <v>510</v>
      </c>
      <c r="F1599" s="72"/>
      <c r="G1599" s="72"/>
      <c r="H1599" s="72"/>
    </row>
    <row r="1600" spans="1:8" s="44" customFormat="1" hidden="1" outlineLevel="1">
      <c r="A1600" s="433" t="s">
        <v>469</v>
      </c>
      <c r="B1600" s="543">
        <v>1401557</v>
      </c>
      <c r="C1600" s="94">
        <v>423189</v>
      </c>
      <c r="D1600" s="144">
        <f t="shared" si="54"/>
        <v>1824746</v>
      </c>
      <c r="E1600" s="72" t="s">
        <v>1437</v>
      </c>
      <c r="F1600" s="72"/>
      <c r="G1600" s="72"/>
      <c r="H1600" s="72"/>
    </row>
    <row r="1601" spans="1:9" s="44" customFormat="1" hidden="1" outlineLevel="1">
      <c r="A1601" s="433" t="s">
        <v>1218</v>
      </c>
      <c r="B1601" s="543">
        <v>442517</v>
      </c>
      <c r="C1601" s="94">
        <v>0</v>
      </c>
      <c r="D1601" s="144">
        <f t="shared" si="54"/>
        <v>442517</v>
      </c>
      <c r="E1601" s="72" t="s">
        <v>1219</v>
      </c>
      <c r="F1601" s="72"/>
      <c r="G1601" s="72"/>
      <c r="H1601" s="72"/>
    </row>
    <row r="1602" spans="1:9" s="44" customFormat="1" ht="13.5" collapsed="1" thickBot="1">
      <c r="A1602" s="455" t="str">
        <f>A743</f>
        <v>Regelzone TransnetBW (gesamt)</v>
      </c>
      <c r="B1602" s="1046">
        <f>SUM(B1603:B1726)</f>
        <v>1978903669</v>
      </c>
      <c r="C1602" s="148">
        <f>SUM(C1603:C1726)</f>
        <v>258252419</v>
      </c>
      <c r="D1602" s="149">
        <f>B1602+C1602</f>
        <v>2237156088</v>
      </c>
      <c r="E1602" s="72"/>
      <c r="F1602" s="25"/>
      <c r="G1602" s="25"/>
      <c r="H1602" s="72"/>
      <c r="I1602" s="54"/>
    </row>
    <row r="1603" spans="1:9" s="44" customFormat="1" hidden="1" outlineLevel="1">
      <c r="A1603" s="433" t="s">
        <v>1487</v>
      </c>
      <c r="B1603" s="543">
        <v>5152531</v>
      </c>
      <c r="C1603" s="94">
        <v>0</v>
      </c>
      <c r="D1603" s="144">
        <v>5152531</v>
      </c>
      <c r="E1603" s="8" t="s">
        <v>1488</v>
      </c>
      <c r="F1603" s="72"/>
      <c r="G1603" s="72"/>
      <c r="H1603" s="72"/>
      <c r="I1603" s="54"/>
    </row>
    <row r="1604" spans="1:9" s="44" customFormat="1" hidden="1" outlineLevel="1">
      <c r="A1604" s="433" t="s">
        <v>1489</v>
      </c>
      <c r="B1604" s="543">
        <v>5571524</v>
      </c>
      <c r="C1604" s="94">
        <v>92630</v>
      </c>
      <c r="D1604" s="144">
        <v>5664154</v>
      </c>
      <c r="E1604" s="8" t="s">
        <v>1490</v>
      </c>
      <c r="F1604" s="72"/>
      <c r="G1604" s="72"/>
      <c r="H1604" s="72"/>
      <c r="I1604" s="54"/>
    </row>
    <row r="1605" spans="1:9" s="44" customFormat="1" hidden="1" outlineLevel="1">
      <c r="A1605" s="433" t="s">
        <v>1491</v>
      </c>
      <c r="B1605" s="543">
        <v>26069708</v>
      </c>
      <c r="C1605" s="94">
        <v>5477165</v>
      </c>
      <c r="D1605" s="144">
        <v>31546873</v>
      </c>
      <c r="E1605" s="8" t="s">
        <v>1492</v>
      </c>
      <c r="F1605" s="72"/>
      <c r="G1605" s="99"/>
      <c r="H1605" s="72"/>
      <c r="I1605" s="54"/>
    </row>
    <row r="1606" spans="1:9" s="44" customFormat="1" hidden="1" outlineLevel="1">
      <c r="A1606" s="433" t="s">
        <v>1493</v>
      </c>
      <c r="B1606" s="543">
        <v>3973596</v>
      </c>
      <c r="C1606" s="94">
        <v>3318</v>
      </c>
      <c r="D1606" s="144">
        <v>3976914</v>
      </c>
      <c r="E1606" s="8" t="s">
        <v>1494</v>
      </c>
      <c r="F1606" s="72"/>
      <c r="G1606" s="72"/>
      <c r="H1606" s="72"/>
      <c r="I1606" s="54"/>
    </row>
    <row r="1607" spans="1:9" s="44" customFormat="1" hidden="1" outlineLevel="1">
      <c r="A1607" s="433" t="s">
        <v>429</v>
      </c>
      <c r="B1607" s="543">
        <v>400000</v>
      </c>
      <c r="C1607" s="94">
        <v>0</v>
      </c>
      <c r="D1607" s="144">
        <v>400000</v>
      </c>
      <c r="E1607" s="8" t="s">
        <v>430</v>
      </c>
      <c r="F1607" s="72"/>
      <c r="G1607" s="72"/>
      <c r="H1607" s="72"/>
      <c r="I1607" s="54"/>
    </row>
    <row r="1608" spans="1:9" s="44" customFormat="1" hidden="1" outlineLevel="1">
      <c r="A1608" s="433" t="s">
        <v>1495</v>
      </c>
      <c r="B1608" s="543">
        <v>4660431</v>
      </c>
      <c r="C1608" s="94">
        <v>0</v>
      </c>
      <c r="D1608" s="144">
        <v>4660431</v>
      </c>
      <c r="E1608" s="8" t="s">
        <v>1496</v>
      </c>
      <c r="F1608" s="72"/>
      <c r="G1608" s="72"/>
      <c r="H1608" s="72"/>
      <c r="I1608" s="54"/>
    </row>
    <row r="1609" spans="1:9" s="44" customFormat="1" hidden="1" outlineLevel="1">
      <c r="A1609" s="433" t="s">
        <v>1497</v>
      </c>
      <c r="B1609" s="543">
        <v>3644982</v>
      </c>
      <c r="C1609" s="94">
        <v>0</v>
      </c>
      <c r="D1609" s="144">
        <v>3644982</v>
      </c>
      <c r="E1609" s="8" t="s">
        <v>1498</v>
      </c>
      <c r="F1609" s="72"/>
      <c r="G1609" s="72"/>
      <c r="H1609" s="72"/>
      <c r="I1609" s="54"/>
    </row>
    <row r="1610" spans="1:9" s="44" customFormat="1" hidden="1" outlineLevel="1">
      <c r="A1610" s="433" t="s">
        <v>1499</v>
      </c>
      <c r="B1610" s="543">
        <v>91109</v>
      </c>
      <c r="C1610" s="94">
        <v>0</v>
      </c>
      <c r="D1610" s="144">
        <v>91109</v>
      </c>
      <c r="E1610" s="8" t="s">
        <v>1500</v>
      </c>
      <c r="F1610" s="72"/>
      <c r="G1610" s="72"/>
      <c r="H1610" s="72"/>
      <c r="I1610" s="54"/>
    </row>
    <row r="1611" spans="1:9" s="44" customFormat="1" hidden="1" outlineLevel="1">
      <c r="A1611" s="433" t="s">
        <v>1501</v>
      </c>
      <c r="B1611" s="543">
        <v>76547</v>
      </c>
      <c r="C1611" s="94">
        <v>0</v>
      </c>
      <c r="D1611" s="144">
        <v>76547</v>
      </c>
      <c r="E1611" s="8" t="s">
        <v>1502</v>
      </c>
      <c r="F1611" s="72"/>
      <c r="G1611" s="72"/>
      <c r="H1611" s="72"/>
      <c r="I1611" s="54"/>
    </row>
    <row r="1612" spans="1:9" s="44" customFormat="1" hidden="1" outlineLevel="1">
      <c r="A1612" s="433" t="s">
        <v>1503</v>
      </c>
      <c r="B1612" s="543">
        <v>1117943</v>
      </c>
      <c r="C1612" s="94">
        <v>0</v>
      </c>
      <c r="D1612" s="144">
        <v>1117943</v>
      </c>
      <c r="E1612" s="8" t="s">
        <v>1504</v>
      </c>
      <c r="F1612" s="72"/>
      <c r="G1612" s="72"/>
      <c r="H1612" s="72"/>
      <c r="I1612" s="54"/>
    </row>
    <row r="1613" spans="1:9" s="44" customFormat="1" hidden="1" outlineLevel="1">
      <c r="A1613" s="433" t="s">
        <v>1505</v>
      </c>
      <c r="B1613" s="543">
        <v>1122573</v>
      </c>
      <c r="C1613" s="94">
        <v>80000</v>
      </c>
      <c r="D1613" s="144">
        <v>1202573</v>
      </c>
      <c r="E1613" s="8" t="s">
        <v>1506</v>
      </c>
      <c r="F1613" s="72"/>
      <c r="G1613" s="72"/>
      <c r="H1613" s="72"/>
      <c r="I1613" s="54"/>
    </row>
    <row r="1614" spans="1:9" s="44" customFormat="1" hidden="1" outlineLevel="1">
      <c r="A1614" s="433" t="s">
        <v>1507</v>
      </c>
      <c r="B1614" s="543">
        <v>340351</v>
      </c>
      <c r="C1614" s="94">
        <v>0</v>
      </c>
      <c r="D1614" s="144">
        <v>340351</v>
      </c>
      <c r="E1614" s="8" t="s">
        <v>1508</v>
      </c>
      <c r="F1614" s="72"/>
      <c r="G1614" s="72"/>
      <c r="H1614" s="72"/>
      <c r="I1614" s="54"/>
    </row>
    <row r="1615" spans="1:9" s="44" customFormat="1" hidden="1" outlineLevel="1">
      <c r="A1615" s="433" t="s">
        <v>1509</v>
      </c>
      <c r="B1615" s="543">
        <v>620682</v>
      </c>
      <c r="C1615" s="94">
        <v>0</v>
      </c>
      <c r="D1615" s="144">
        <v>620682</v>
      </c>
      <c r="E1615" s="8" t="s">
        <v>1510</v>
      </c>
      <c r="F1615" s="72"/>
      <c r="G1615" s="72"/>
      <c r="H1615" s="72"/>
      <c r="I1615" s="54"/>
    </row>
    <row r="1616" spans="1:9" s="44" customFormat="1" hidden="1" outlineLevel="1">
      <c r="A1616" s="433" t="s">
        <v>1511</v>
      </c>
      <c r="B1616" s="543">
        <v>285470</v>
      </c>
      <c r="C1616" s="94">
        <v>0</v>
      </c>
      <c r="D1616" s="144">
        <v>285470</v>
      </c>
      <c r="E1616" s="8" t="s">
        <v>1512</v>
      </c>
      <c r="F1616" s="72"/>
      <c r="G1616" s="72"/>
      <c r="H1616" s="72"/>
      <c r="I1616" s="54"/>
    </row>
    <row r="1617" spans="1:9" s="44" customFormat="1" hidden="1" outlineLevel="1">
      <c r="A1617" s="433" t="s">
        <v>1513</v>
      </c>
      <c r="B1617" s="543">
        <v>3742238</v>
      </c>
      <c r="C1617" s="94">
        <v>0</v>
      </c>
      <c r="D1617" s="144">
        <v>3742238</v>
      </c>
      <c r="E1617" s="8" t="s">
        <v>1514</v>
      </c>
      <c r="F1617" s="72"/>
      <c r="G1617" s="72"/>
      <c r="H1617" s="72"/>
      <c r="I1617" s="54"/>
    </row>
    <row r="1618" spans="1:9" s="44" customFormat="1" hidden="1" outlineLevel="1">
      <c r="A1618" s="433" t="s">
        <v>1515</v>
      </c>
      <c r="B1618" s="543">
        <v>1429734</v>
      </c>
      <c r="C1618" s="94">
        <v>43734</v>
      </c>
      <c r="D1618" s="144">
        <v>1473468</v>
      </c>
      <c r="E1618" s="8" t="s">
        <v>1516</v>
      </c>
      <c r="F1618" s="72"/>
      <c r="G1618" s="72"/>
      <c r="H1618" s="72"/>
      <c r="I1618" s="54"/>
    </row>
    <row r="1619" spans="1:9" s="44" customFormat="1" hidden="1" outlineLevel="1">
      <c r="A1619" s="433" t="s">
        <v>1517</v>
      </c>
      <c r="B1619" s="543">
        <v>3868197</v>
      </c>
      <c r="C1619" s="94">
        <v>1779150</v>
      </c>
      <c r="D1619" s="144">
        <v>5647347</v>
      </c>
      <c r="E1619" s="8" t="s">
        <v>1518</v>
      </c>
      <c r="F1619" s="72"/>
      <c r="G1619" s="72"/>
      <c r="H1619" s="72"/>
      <c r="I1619" s="54"/>
    </row>
    <row r="1620" spans="1:9" s="44" customFormat="1" hidden="1" outlineLevel="1">
      <c r="A1620" s="433" t="s">
        <v>1519</v>
      </c>
      <c r="B1620" s="543">
        <v>31023</v>
      </c>
      <c r="C1620" s="94">
        <v>0</v>
      </c>
      <c r="D1620" s="144">
        <v>31023</v>
      </c>
      <c r="E1620" s="8" t="s">
        <v>1520</v>
      </c>
      <c r="F1620" s="72"/>
      <c r="G1620" s="72"/>
      <c r="H1620" s="72"/>
      <c r="I1620" s="54"/>
    </row>
    <row r="1621" spans="1:9" s="44" customFormat="1" hidden="1" outlineLevel="1">
      <c r="A1621" s="433" t="s">
        <v>1521</v>
      </c>
      <c r="B1621" s="543">
        <v>3129010</v>
      </c>
      <c r="C1621" s="94">
        <v>603218</v>
      </c>
      <c r="D1621" s="144">
        <v>3732228</v>
      </c>
      <c r="E1621" s="8" t="s">
        <v>1522</v>
      </c>
      <c r="F1621" s="72"/>
      <c r="G1621" s="72"/>
      <c r="H1621" s="72"/>
      <c r="I1621" s="54"/>
    </row>
    <row r="1622" spans="1:9" s="44" customFormat="1" hidden="1" outlineLevel="1">
      <c r="A1622" s="433" t="s">
        <v>1523</v>
      </c>
      <c r="B1622" s="543">
        <v>1161908</v>
      </c>
      <c r="C1622" s="94">
        <v>0</v>
      </c>
      <c r="D1622" s="144">
        <v>1161908</v>
      </c>
      <c r="E1622" s="8" t="s">
        <v>1524</v>
      </c>
      <c r="F1622" s="72"/>
      <c r="G1622" s="72"/>
      <c r="H1622" s="72"/>
      <c r="I1622" s="54"/>
    </row>
    <row r="1623" spans="1:9" s="44" customFormat="1" hidden="1" outlineLevel="1">
      <c r="A1623" s="433" t="s">
        <v>1525</v>
      </c>
      <c r="B1623" s="543">
        <v>2388133</v>
      </c>
      <c r="C1623" s="94">
        <v>-68124</v>
      </c>
      <c r="D1623" s="144">
        <v>2320009</v>
      </c>
      <c r="E1623" s="8" t="s">
        <v>1526</v>
      </c>
      <c r="F1623" s="72"/>
      <c r="G1623" s="72"/>
      <c r="H1623" s="72"/>
      <c r="I1623" s="54"/>
    </row>
    <row r="1624" spans="1:9" s="44" customFormat="1" hidden="1" outlineLevel="1">
      <c r="A1624" s="433" t="s">
        <v>1527</v>
      </c>
      <c r="B1624" s="543">
        <v>346022</v>
      </c>
      <c r="C1624" s="94">
        <v>0</v>
      </c>
      <c r="D1624" s="144">
        <v>346022</v>
      </c>
      <c r="E1624" s="8" t="s">
        <v>1528</v>
      </c>
      <c r="F1624" s="72"/>
      <c r="G1624" s="72"/>
      <c r="H1624" s="72"/>
      <c r="I1624" s="54"/>
    </row>
    <row r="1625" spans="1:9" s="44" customFormat="1" hidden="1" outlineLevel="1">
      <c r="A1625" s="433" t="s">
        <v>1529</v>
      </c>
      <c r="B1625" s="543">
        <v>4688995</v>
      </c>
      <c r="C1625" s="94">
        <v>0</v>
      </c>
      <c r="D1625" s="144">
        <v>4688995</v>
      </c>
      <c r="E1625" s="8" t="s">
        <v>1530</v>
      </c>
      <c r="F1625" s="72"/>
      <c r="G1625" s="72"/>
      <c r="H1625" s="72"/>
      <c r="I1625" s="54"/>
    </row>
    <row r="1626" spans="1:9" s="44" customFormat="1" hidden="1" outlineLevel="1">
      <c r="A1626" s="433" t="s">
        <v>1531</v>
      </c>
      <c r="B1626" s="543">
        <v>263758</v>
      </c>
      <c r="C1626" s="94">
        <v>0</v>
      </c>
      <c r="D1626" s="144">
        <v>263758</v>
      </c>
      <c r="E1626" s="8" t="s">
        <v>1532</v>
      </c>
      <c r="F1626" s="72"/>
      <c r="G1626" s="72"/>
      <c r="H1626" s="72"/>
      <c r="I1626" s="54"/>
    </row>
    <row r="1627" spans="1:9" s="44" customFormat="1" hidden="1" outlineLevel="1">
      <c r="A1627" s="433" t="s">
        <v>1533</v>
      </c>
      <c r="B1627" s="543">
        <v>17912959</v>
      </c>
      <c r="C1627" s="94">
        <v>478653</v>
      </c>
      <c r="D1627" s="144">
        <v>18391612</v>
      </c>
      <c r="E1627" s="8" t="s">
        <v>1534</v>
      </c>
      <c r="F1627" s="72"/>
      <c r="G1627" s="72"/>
      <c r="H1627" s="72"/>
      <c r="I1627" s="54"/>
    </row>
    <row r="1628" spans="1:9" s="44" customFormat="1" hidden="1" outlineLevel="1">
      <c r="A1628" s="433" t="s">
        <v>1535</v>
      </c>
      <c r="B1628" s="543">
        <v>253074</v>
      </c>
      <c r="C1628" s="94">
        <v>0</v>
      </c>
      <c r="D1628" s="144">
        <v>253074</v>
      </c>
      <c r="E1628" s="8" t="s">
        <v>1536</v>
      </c>
      <c r="F1628" s="72"/>
      <c r="G1628" s="72"/>
      <c r="H1628" s="72"/>
      <c r="I1628" s="54"/>
    </row>
    <row r="1629" spans="1:9" s="44" customFormat="1" hidden="1" outlineLevel="1">
      <c r="A1629" s="433" t="s">
        <v>1537</v>
      </c>
      <c r="B1629" s="543">
        <v>4143629</v>
      </c>
      <c r="C1629" s="94">
        <v>0</v>
      </c>
      <c r="D1629" s="144">
        <v>4143629</v>
      </c>
      <c r="E1629" s="8" t="s">
        <v>1538</v>
      </c>
      <c r="F1629" s="72"/>
      <c r="G1629" s="72"/>
      <c r="H1629" s="72"/>
      <c r="I1629" s="54"/>
    </row>
    <row r="1630" spans="1:9" s="44" customFormat="1" hidden="1" outlineLevel="1">
      <c r="A1630" s="433" t="s">
        <v>1539</v>
      </c>
      <c r="B1630" s="543">
        <v>592105</v>
      </c>
      <c r="C1630" s="94">
        <v>0</v>
      </c>
      <c r="D1630" s="144">
        <v>592105</v>
      </c>
      <c r="E1630" s="8" t="s">
        <v>1540</v>
      </c>
      <c r="F1630" s="72"/>
      <c r="G1630" s="72"/>
      <c r="H1630" s="72"/>
      <c r="I1630" s="54"/>
    </row>
    <row r="1631" spans="1:9" s="44" customFormat="1" hidden="1" outlineLevel="1">
      <c r="A1631" s="433" t="s">
        <v>1541</v>
      </c>
      <c r="B1631" s="543">
        <v>944771</v>
      </c>
      <c r="C1631" s="94">
        <v>-6725</v>
      </c>
      <c r="D1631" s="144">
        <v>938046</v>
      </c>
      <c r="E1631" s="8" t="s">
        <v>1542</v>
      </c>
      <c r="F1631" s="72"/>
      <c r="G1631" s="72"/>
      <c r="H1631" s="72"/>
      <c r="I1631" s="54"/>
    </row>
    <row r="1632" spans="1:9" s="44" customFormat="1" hidden="1" outlineLevel="1">
      <c r="A1632" s="433" t="s">
        <v>1543</v>
      </c>
      <c r="B1632" s="543">
        <v>6025</v>
      </c>
      <c r="C1632" s="94">
        <v>0</v>
      </c>
      <c r="D1632" s="144">
        <v>6025</v>
      </c>
      <c r="E1632" s="8" t="s">
        <v>1544</v>
      </c>
      <c r="F1632" s="72"/>
      <c r="G1632" s="72"/>
      <c r="H1632" s="72"/>
      <c r="I1632" s="54"/>
    </row>
    <row r="1633" spans="1:9" s="44" customFormat="1" hidden="1" outlineLevel="1">
      <c r="A1633" s="433" t="s">
        <v>1545</v>
      </c>
      <c r="B1633" s="543">
        <v>166775</v>
      </c>
      <c r="C1633" s="94">
        <v>0</v>
      </c>
      <c r="D1633" s="144">
        <v>166775</v>
      </c>
      <c r="E1633" s="8" t="s">
        <v>1546</v>
      </c>
      <c r="F1633" s="72"/>
      <c r="G1633" s="72"/>
      <c r="H1633" s="72"/>
      <c r="I1633" s="54"/>
    </row>
    <row r="1634" spans="1:9" s="44" customFormat="1" hidden="1" outlineLevel="1">
      <c r="A1634" s="433" t="s">
        <v>86</v>
      </c>
      <c r="B1634" s="543">
        <v>247918</v>
      </c>
      <c r="C1634" s="94">
        <v>0</v>
      </c>
      <c r="D1634" s="144">
        <v>247918</v>
      </c>
      <c r="E1634" s="8" t="s">
        <v>87</v>
      </c>
      <c r="F1634" s="72"/>
      <c r="G1634" s="72"/>
      <c r="H1634" s="72"/>
      <c r="I1634" s="54"/>
    </row>
    <row r="1635" spans="1:9" s="44" customFormat="1" hidden="1" outlineLevel="1">
      <c r="A1635" s="433" t="s">
        <v>1547</v>
      </c>
      <c r="B1635" s="543">
        <v>25465</v>
      </c>
      <c r="C1635" s="94">
        <v>0</v>
      </c>
      <c r="D1635" s="144">
        <v>25465</v>
      </c>
      <c r="E1635" s="8" t="s">
        <v>1548</v>
      </c>
      <c r="F1635" s="72"/>
      <c r="G1635" s="72"/>
      <c r="H1635" s="72"/>
      <c r="I1635" s="54"/>
    </row>
    <row r="1636" spans="1:9" s="44" customFormat="1" hidden="1" outlineLevel="1">
      <c r="A1636" s="433" t="s">
        <v>1549</v>
      </c>
      <c r="B1636" s="543">
        <v>87240</v>
      </c>
      <c r="C1636" s="94">
        <v>0</v>
      </c>
      <c r="D1636" s="144">
        <v>87240</v>
      </c>
      <c r="E1636" s="8" t="s">
        <v>1550</v>
      </c>
      <c r="F1636" s="72"/>
      <c r="G1636" s="72"/>
      <c r="H1636" s="72"/>
      <c r="I1636" s="54"/>
    </row>
    <row r="1637" spans="1:9" s="44" customFormat="1" hidden="1" outlineLevel="1">
      <c r="A1637" s="433" t="s">
        <v>1551</v>
      </c>
      <c r="B1637" s="543">
        <v>40380905</v>
      </c>
      <c r="C1637" s="94">
        <v>0</v>
      </c>
      <c r="D1637" s="144">
        <v>40380905</v>
      </c>
      <c r="E1637" s="8" t="s">
        <v>1552</v>
      </c>
      <c r="F1637" s="72"/>
      <c r="G1637" s="72"/>
      <c r="H1637" s="72"/>
      <c r="I1637" s="54"/>
    </row>
    <row r="1638" spans="1:9" s="44" customFormat="1" hidden="1" outlineLevel="1">
      <c r="A1638" s="433" t="s">
        <v>1553</v>
      </c>
      <c r="B1638" s="543">
        <v>39098334</v>
      </c>
      <c r="C1638" s="94">
        <v>0</v>
      </c>
      <c r="D1638" s="144">
        <v>39098334</v>
      </c>
      <c r="E1638" s="8" t="s">
        <v>1554</v>
      </c>
      <c r="F1638" s="72"/>
      <c r="G1638" s="72"/>
      <c r="H1638" s="72"/>
      <c r="I1638" s="54"/>
    </row>
    <row r="1639" spans="1:9" s="44" customFormat="1" hidden="1" outlineLevel="1">
      <c r="A1639" s="433" t="s">
        <v>1555</v>
      </c>
      <c r="B1639" s="543">
        <v>5009</v>
      </c>
      <c r="C1639" s="94">
        <v>0</v>
      </c>
      <c r="D1639" s="144">
        <v>5009</v>
      </c>
      <c r="E1639" s="8" t="s">
        <v>1556</v>
      </c>
      <c r="F1639" s="72"/>
      <c r="G1639" s="72"/>
      <c r="H1639" s="72"/>
      <c r="I1639" s="54"/>
    </row>
    <row r="1640" spans="1:9" s="44" customFormat="1" hidden="1" outlineLevel="1">
      <c r="A1640" s="433" t="s">
        <v>1557</v>
      </c>
      <c r="B1640" s="543">
        <v>22000</v>
      </c>
      <c r="C1640" s="94">
        <v>0</v>
      </c>
      <c r="D1640" s="144">
        <v>22000</v>
      </c>
      <c r="E1640" s="8" t="s">
        <v>1558</v>
      </c>
      <c r="F1640" s="72"/>
      <c r="G1640" s="72"/>
      <c r="H1640" s="72"/>
      <c r="I1640" s="54"/>
    </row>
    <row r="1641" spans="1:9" s="44" customFormat="1" hidden="1" outlineLevel="1">
      <c r="A1641" s="433" t="s">
        <v>1559</v>
      </c>
      <c r="B1641" s="543">
        <v>34900720</v>
      </c>
      <c r="C1641" s="94">
        <v>67654</v>
      </c>
      <c r="D1641" s="144">
        <v>34968374</v>
      </c>
      <c r="E1641" s="8" t="s">
        <v>1560</v>
      </c>
      <c r="F1641" s="72"/>
      <c r="G1641" s="72"/>
      <c r="H1641" s="72"/>
      <c r="I1641" s="54"/>
    </row>
    <row r="1642" spans="1:9" s="44" customFormat="1" hidden="1" outlineLevel="1">
      <c r="A1642" s="433" t="s">
        <v>1561</v>
      </c>
      <c r="B1642" s="543">
        <v>70183937</v>
      </c>
      <c r="C1642" s="94">
        <v>2081488</v>
      </c>
      <c r="D1642" s="144">
        <v>72265425</v>
      </c>
      <c r="E1642" s="8" t="s">
        <v>1562</v>
      </c>
      <c r="F1642" s="72"/>
      <c r="G1642" s="72"/>
      <c r="H1642" s="72"/>
      <c r="I1642" s="54"/>
    </row>
    <row r="1643" spans="1:9" s="44" customFormat="1" hidden="1" outlineLevel="1">
      <c r="A1643" s="433" t="s">
        <v>1413</v>
      </c>
      <c r="B1643" s="543">
        <v>554204</v>
      </c>
      <c r="C1643" s="94">
        <v>0</v>
      </c>
      <c r="D1643" s="144">
        <v>554204</v>
      </c>
      <c r="E1643" s="8" t="s">
        <v>1414</v>
      </c>
      <c r="F1643" s="72"/>
      <c r="G1643" s="72"/>
      <c r="H1643" s="72"/>
      <c r="I1643" s="54"/>
    </row>
    <row r="1644" spans="1:9" s="44" customFormat="1" hidden="1" outlineLevel="1">
      <c r="A1644" s="433" t="s">
        <v>1563</v>
      </c>
      <c r="B1644" s="543">
        <v>80539</v>
      </c>
      <c r="C1644" s="94">
        <v>0</v>
      </c>
      <c r="D1644" s="144">
        <v>80539</v>
      </c>
      <c r="E1644" s="8" t="s">
        <v>1564</v>
      </c>
      <c r="F1644" s="72"/>
      <c r="G1644" s="72"/>
      <c r="H1644" s="72"/>
      <c r="I1644" s="54"/>
    </row>
    <row r="1645" spans="1:9" s="44" customFormat="1" hidden="1" outlineLevel="1">
      <c r="A1645" s="433" t="s">
        <v>613</v>
      </c>
      <c r="B1645" s="543">
        <v>408671892</v>
      </c>
      <c r="C1645" s="94">
        <v>233987220</v>
      </c>
      <c r="D1645" s="144">
        <v>642659112</v>
      </c>
      <c r="E1645" s="8" t="s">
        <v>614</v>
      </c>
      <c r="F1645" s="72"/>
      <c r="G1645" s="72"/>
      <c r="H1645" s="72"/>
      <c r="I1645" s="54"/>
    </row>
    <row r="1646" spans="1:9" s="44" customFormat="1" hidden="1" outlineLevel="1">
      <c r="A1646" s="433" t="s">
        <v>1565</v>
      </c>
      <c r="B1646" s="543">
        <v>2441366</v>
      </c>
      <c r="C1646" s="94">
        <v>0</v>
      </c>
      <c r="D1646" s="144">
        <v>2441366</v>
      </c>
      <c r="E1646" s="8" t="s">
        <v>1566</v>
      </c>
      <c r="F1646" s="72"/>
      <c r="G1646" s="72"/>
      <c r="H1646" s="72"/>
      <c r="I1646" s="54"/>
    </row>
    <row r="1647" spans="1:9" s="44" customFormat="1" hidden="1" outlineLevel="1">
      <c r="A1647" s="433" t="s">
        <v>1567</v>
      </c>
      <c r="B1647" s="543">
        <v>820106</v>
      </c>
      <c r="C1647" s="94">
        <v>152811</v>
      </c>
      <c r="D1647" s="144">
        <v>972917</v>
      </c>
      <c r="E1647" s="8" t="s">
        <v>1568</v>
      </c>
      <c r="F1647" s="72"/>
      <c r="G1647" s="72"/>
      <c r="H1647" s="72"/>
      <c r="I1647" s="54"/>
    </row>
    <row r="1648" spans="1:9" s="44" customFormat="1" hidden="1" outlineLevel="1">
      <c r="A1648" s="433" t="s">
        <v>1569</v>
      </c>
      <c r="B1648" s="543">
        <v>16017598</v>
      </c>
      <c r="C1648" s="94">
        <v>1019038</v>
      </c>
      <c r="D1648" s="144">
        <v>17036636</v>
      </c>
      <c r="E1648" s="8" t="s">
        <v>1570</v>
      </c>
      <c r="F1648" s="72"/>
      <c r="G1648" s="72"/>
      <c r="H1648" s="72"/>
      <c r="I1648" s="54"/>
    </row>
    <row r="1649" spans="1:9" s="44" customFormat="1" hidden="1" outlineLevel="1">
      <c r="A1649" s="433" t="s">
        <v>1571</v>
      </c>
      <c r="B1649" s="543">
        <v>6782326</v>
      </c>
      <c r="C1649" s="94">
        <v>29783</v>
      </c>
      <c r="D1649" s="144">
        <v>6812109</v>
      </c>
      <c r="E1649" s="8" t="s">
        <v>1572</v>
      </c>
      <c r="F1649" s="72"/>
      <c r="G1649" s="72"/>
      <c r="H1649" s="72"/>
      <c r="I1649" s="54"/>
    </row>
    <row r="1650" spans="1:9" s="44" customFormat="1" hidden="1" outlineLevel="1">
      <c r="A1650" s="433" t="s">
        <v>1573</v>
      </c>
      <c r="B1650" s="543">
        <v>98221</v>
      </c>
      <c r="C1650" s="94">
        <v>0</v>
      </c>
      <c r="D1650" s="144">
        <v>98221</v>
      </c>
      <c r="E1650" s="8" t="s">
        <v>1574</v>
      </c>
      <c r="F1650" s="72"/>
      <c r="G1650" s="72"/>
      <c r="H1650" s="72"/>
      <c r="I1650" s="54"/>
    </row>
    <row r="1651" spans="1:9" s="44" customFormat="1" hidden="1" outlineLevel="1">
      <c r="A1651" s="433" t="s">
        <v>1575</v>
      </c>
      <c r="B1651" s="543">
        <v>1002019</v>
      </c>
      <c r="C1651" s="94">
        <v>0</v>
      </c>
      <c r="D1651" s="144">
        <v>1002019</v>
      </c>
      <c r="E1651" s="8" t="s">
        <v>1576</v>
      </c>
      <c r="F1651" s="72"/>
      <c r="G1651" s="72"/>
      <c r="H1651" s="72"/>
      <c r="I1651" s="54"/>
    </row>
    <row r="1652" spans="1:9" s="44" customFormat="1" hidden="1" outlineLevel="1">
      <c r="A1652" s="433" t="s">
        <v>1577</v>
      </c>
      <c r="B1652" s="543">
        <v>1403055</v>
      </c>
      <c r="C1652" s="94">
        <v>-26632</v>
      </c>
      <c r="D1652" s="144">
        <v>1376423</v>
      </c>
      <c r="E1652" s="8" t="s">
        <v>1578</v>
      </c>
      <c r="F1652" s="72"/>
      <c r="G1652" s="72"/>
      <c r="H1652" s="72"/>
      <c r="I1652" s="54"/>
    </row>
    <row r="1653" spans="1:9" s="44" customFormat="1" hidden="1" outlineLevel="1">
      <c r="A1653" s="433" t="s">
        <v>1579</v>
      </c>
      <c r="B1653" s="543">
        <v>3614202</v>
      </c>
      <c r="C1653" s="94">
        <v>189963</v>
      </c>
      <c r="D1653" s="144">
        <v>3804165</v>
      </c>
      <c r="E1653" s="8" t="s">
        <v>1580</v>
      </c>
      <c r="F1653" s="72"/>
      <c r="G1653" s="72"/>
      <c r="H1653" s="72"/>
      <c r="I1653" s="54"/>
    </row>
    <row r="1654" spans="1:9" s="44" customFormat="1" hidden="1" outlineLevel="1">
      <c r="A1654" s="433" t="s">
        <v>1581</v>
      </c>
      <c r="B1654" s="543">
        <v>9282786</v>
      </c>
      <c r="C1654" s="94">
        <v>3661124</v>
      </c>
      <c r="D1654" s="144">
        <v>12943910</v>
      </c>
      <c r="E1654" s="8" t="s">
        <v>1582</v>
      </c>
      <c r="F1654" s="72"/>
      <c r="G1654" s="72"/>
      <c r="H1654" s="72"/>
      <c r="I1654" s="54"/>
    </row>
    <row r="1655" spans="1:9" s="44" customFormat="1" hidden="1" outlineLevel="1">
      <c r="A1655" s="433" t="s">
        <v>1583</v>
      </c>
      <c r="B1655" s="543">
        <v>1809560</v>
      </c>
      <c r="C1655" s="94">
        <v>67977</v>
      </c>
      <c r="D1655" s="144">
        <v>1877537</v>
      </c>
      <c r="E1655" s="8" t="s">
        <v>1584</v>
      </c>
      <c r="F1655" s="72"/>
      <c r="G1655" s="72"/>
      <c r="H1655" s="72"/>
      <c r="I1655" s="54"/>
    </row>
    <row r="1656" spans="1:9" s="44" customFormat="1" hidden="1" outlineLevel="1">
      <c r="A1656" s="433" t="s">
        <v>1585</v>
      </c>
      <c r="B1656" s="543">
        <v>1568064</v>
      </c>
      <c r="C1656" s="94">
        <v>0</v>
      </c>
      <c r="D1656" s="144">
        <v>1568064</v>
      </c>
      <c r="E1656" s="8" t="s">
        <v>1586</v>
      </c>
      <c r="F1656" s="72"/>
      <c r="G1656" s="72"/>
      <c r="H1656" s="72"/>
      <c r="I1656" s="54"/>
    </row>
    <row r="1657" spans="1:9" s="44" customFormat="1" hidden="1" outlineLevel="1">
      <c r="A1657" s="433" t="s">
        <v>1587</v>
      </c>
      <c r="B1657" s="543">
        <v>5678326</v>
      </c>
      <c r="C1657" s="94">
        <v>0</v>
      </c>
      <c r="D1657" s="144">
        <v>5678326</v>
      </c>
      <c r="E1657" s="8" t="s">
        <v>1588</v>
      </c>
      <c r="F1657" s="72"/>
      <c r="G1657" s="72"/>
      <c r="H1657" s="72"/>
      <c r="I1657" s="54"/>
    </row>
    <row r="1658" spans="1:9" s="44" customFormat="1" hidden="1" outlineLevel="1">
      <c r="A1658" s="433" t="s">
        <v>1589</v>
      </c>
      <c r="B1658" s="543">
        <v>485775</v>
      </c>
      <c r="C1658" s="94">
        <v>8442</v>
      </c>
      <c r="D1658" s="144">
        <v>494217</v>
      </c>
      <c r="E1658" s="8" t="s">
        <v>1590</v>
      </c>
      <c r="F1658" s="72"/>
      <c r="G1658" s="72"/>
      <c r="H1658" s="72"/>
      <c r="I1658" s="54"/>
    </row>
    <row r="1659" spans="1:9" s="44" customFormat="1" hidden="1" outlineLevel="1">
      <c r="A1659" s="433" t="s">
        <v>1591</v>
      </c>
      <c r="B1659" s="543">
        <v>3657290</v>
      </c>
      <c r="C1659" s="94">
        <v>0</v>
      </c>
      <c r="D1659" s="144">
        <v>3657290</v>
      </c>
      <c r="E1659" s="8" t="s">
        <v>1592</v>
      </c>
      <c r="F1659" s="72"/>
      <c r="G1659" s="72"/>
      <c r="H1659" s="72"/>
      <c r="I1659" s="54"/>
    </row>
    <row r="1660" spans="1:9" s="44" customFormat="1" hidden="1" outlineLevel="1">
      <c r="A1660" s="433" t="s">
        <v>1593</v>
      </c>
      <c r="B1660" s="543">
        <v>1253975</v>
      </c>
      <c r="C1660" s="94">
        <v>0</v>
      </c>
      <c r="D1660" s="144">
        <v>1253975</v>
      </c>
      <c r="E1660" s="8" t="s">
        <v>1594</v>
      </c>
      <c r="F1660" s="72"/>
      <c r="G1660" s="72"/>
      <c r="H1660" s="72"/>
      <c r="I1660" s="54"/>
    </row>
    <row r="1661" spans="1:9" s="44" customFormat="1" hidden="1" outlineLevel="1">
      <c r="A1661" s="433" t="s">
        <v>1595</v>
      </c>
      <c r="B1661" s="543">
        <v>516447</v>
      </c>
      <c r="C1661" s="94">
        <v>0</v>
      </c>
      <c r="D1661" s="144">
        <v>516447</v>
      </c>
      <c r="E1661" s="8" t="s">
        <v>1596</v>
      </c>
      <c r="F1661" s="72"/>
      <c r="G1661" s="72"/>
      <c r="H1661" s="72"/>
      <c r="I1661" s="54"/>
    </row>
    <row r="1662" spans="1:9" s="44" customFormat="1" hidden="1" outlineLevel="1">
      <c r="A1662" s="433" t="s">
        <v>1597</v>
      </c>
      <c r="B1662" s="543">
        <v>2615996</v>
      </c>
      <c r="C1662" s="94">
        <v>0</v>
      </c>
      <c r="D1662" s="144">
        <v>2615996</v>
      </c>
      <c r="E1662" s="8" t="s">
        <v>1598</v>
      </c>
      <c r="F1662" s="72"/>
      <c r="G1662" s="120"/>
      <c r="H1662" s="72"/>
      <c r="I1662" s="54"/>
    </row>
    <row r="1663" spans="1:9" s="44" customFormat="1" hidden="1" outlineLevel="1">
      <c r="A1663" s="433" t="s">
        <v>1599</v>
      </c>
      <c r="B1663" s="543">
        <v>3881777</v>
      </c>
      <c r="C1663" s="94">
        <v>0</v>
      </c>
      <c r="D1663" s="144">
        <v>3881777</v>
      </c>
      <c r="E1663" s="8" t="s">
        <v>1600</v>
      </c>
      <c r="F1663" s="72"/>
      <c r="G1663" s="72"/>
      <c r="H1663" s="72"/>
      <c r="I1663" s="54"/>
    </row>
    <row r="1664" spans="1:9" s="44" customFormat="1" hidden="1" outlineLevel="1">
      <c r="A1664" s="433" t="s">
        <v>1601</v>
      </c>
      <c r="B1664" s="543">
        <v>9925419</v>
      </c>
      <c r="C1664" s="94">
        <v>3037</v>
      </c>
      <c r="D1664" s="144">
        <v>9928456</v>
      </c>
      <c r="E1664" s="8" t="s">
        <v>1602</v>
      </c>
      <c r="F1664" s="72"/>
      <c r="G1664" s="72"/>
      <c r="H1664" s="72"/>
      <c r="I1664" s="54"/>
    </row>
    <row r="1665" spans="1:9" s="44" customFormat="1" hidden="1" outlineLevel="1">
      <c r="A1665" s="433" t="s">
        <v>1603</v>
      </c>
      <c r="B1665" s="543">
        <v>1092553</v>
      </c>
      <c r="C1665" s="94">
        <v>0</v>
      </c>
      <c r="D1665" s="144">
        <v>1092553</v>
      </c>
      <c r="E1665" s="8" t="s">
        <v>1604</v>
      </c>
      <c r="F1665" s="72"/>
      <c r="G1665" s="72"/>
      <c r="H1665" s="72"/>
      <c r="I1665" s="54"/>
    </row>
    <row r="1666" spans="1:9" s="44" customFormat="1" hidden="1" outlineLevel="1">
      <c r="A1666" s="433" t="s">
        <v>1605</v>
      </c>
      <c r="B1666" s="543">
        <v>544721</v>
      </c>
      <c r="C1666" s="94">
        <v>0</v>
      </c>
      <c r="D1666" s="144">
        <v>544721</v>
      </c>
      <c r="E1666" s="8" t="s">
        <v>1606</v>
      </c>
      <c r="F1666" s="72"/>
      <c r="G1666" s="72"/>
      <c r="H1666" s="72"/>
      <c r="I1666" s="54"/>
    </row>
    <row r="1667" spans="1:9" s="44" customFormat="1" hidden="1" outlineLevel="1">
      <c r="A1667" s="433" t="s">
        <v>1607</v>
      </c>
      <c r="B1667" s="543">
        <v>473443</v>
      </c>
      <c r="C1667" s="94">
        <v>0</v>
      </c>
      <c r="D1667" s="144">
        <v>473443</v>
      </c>
      <c r="E1667" s="8" t="s">
        <v>1608</v>
      </c>
      <c r="F1667" s="72"/>
      <c r="G1667" s="72"/>
      <c r="H1667" s="72"/>
      <c r="I1667" s="54"/>
    </row>
    <row r="1668" spans="1:9" s="44" customFormat="1" hidden="1" outlineLevel="1">
      <c r="A1668" s="433" t="s">
        <v>1609</v>
      </c>
      <c r="B1668" s="543">
        <v>9293128</v>
      </c>
      <c r="C1668" s="94">
        <v>-63718</v>
      </c>
      <c r="D1668" s="144">
        <v>9229410</v>
      </c>
      <c r="E1668" s="8" t="s">
        <v>1610</v>
      </c>
      <c r="F1668" s="72"/>
      <c r="G1668" s="72"/>
      <c r="H1668" s="72"/>
      <c r="I1668" s="54"/>
    </row>
    <row r="1669" spans="1:9" s="44" customFormat="1" hidden="1" outlineLevel="1">
      <c r="A1669" s="433" t="s">
        <v>1611</v>
      </c>
      <c r="B1669" s="543">
        <v>1337441</v>
      </c>
      <c r="C1669" s="94">
        <v>199086</v>
      </c>
      <c r="D1669" s="144">
        <v>1536527</v>
      </c>
      <c r="E1669" s="8" t="s">
        <v>1612</v>
      </c>
      <c r="F1669" s="72"/>
      <c r="G1669" s="72"/>
      <c r="H1669" s="72"/>
      <c r="I1669" s="54"/>
    </row>
    <row r="1670" spans="1:9" s="44" customFormat="1" hidden="1" outlineLevel="1">
      <c r="A1670" s="433" t="s">
        <v>1613</v>
      </c>
      <c r="B1670" s="543">
        <v>403243</v>
      </c>
      <c r="C1670" s="94">
        <v>0</v>
      </c>
      <c r="D1670" s="144">
        <v>403243</v>
      </c>
      <c r="E1670" s="8" t="s">
        <v>1614</v>
      </c>
      <c r="F1670" s="72"/>
      <c r="G1670" s="72"/>
      <c r="H1670" s="72"/>
      <c r="I1670" s="54"/>
    </row>
    <row r="1671" spans="1:9" s="44" customFormat="1" hidden="1" outlineLevel="1">
      <c r="A1671" s="433" t="s">
        <v>1615</v>
      </c>
      <c r="B1671" s="543">
        <v>3927411</v>
      </c>
      <c r="C1671" s="94">
        <v>0</v>
      </c>
      <c r="D1671" s="144">
        <v>3927411</v>
      </c>
      <c r="E1671" s="8" t="s">
        <v>1616</v>
      </c>
      <c r="F1671" s="72"/>
      <c r="G1671" s="72"/>
      <c r="H1671" s="72"/>
      <c r="I1671" s="54"/>
    </row>
    <row r="1672" spans="1:9" s="44" customFormat="1" hidden="1" outlineLevel="1">
      <c r="A1672" s="433" t="s">
        <v>1617</v>
      </c>
      <c r="B1672" s="543">
        <v>510872</v>
      </c>
      <c r="C1672" s="94">
        <v>540952</v>
      </c>
      <c r="D1672" s="144">
        <v>1051824</v>
      </c>
      <c r="E1672" s="8" t="s">
        <v>1618</v>
      </c>
      <c r="F1672" s="72"/>
      <c r="G1672" s="72"/>
      <c r="H1672" s="72"/>
      <c r="I1672" s="54"/>
    </row>
    <row r="1673" spans="1:9" s="44" customFormat="1" hidden="1" outlineLevel="1">
      <c r="A1673" s="433" t="s">
        <v>1619</v>
      </c>
      <c r="B1673" s="543">
        <v>6936903</v>
      </c>
      <c r="C1673" s="94">
        <v>0</v>
      </c>
      <c r="D1673" s="144">
        <v>6936903</v>
      </c>
      <c r="E1673" s="8" t="s">
        <v>1620</v>
      </c>
      <c r="F1673" s="72"/>
      <c r="G1673" s="72"/>
      <c r="H1673" s="72"/>
      <c r="I1673" s="54"/>
    </row>
    <row r="1674" spans="1:9" s="44" customFormat="1" hidden="1" outlineLevel="1">
      <c r="A1674" s="433" t="s">
        <v>1621</v>
      </c>
      <c r="B1674" s="543">
        <v>4308847</v>
      </c>
      <c r="C1674" s="94">
        <v>330588</v>
      </c>
      <c r="D1674" s="144">
        <v>4639435</v>
      </c>
      <c r="E1674" s="8" t="s">
        <v>1622</v>
      </c>
      <c r="F1674" s="72"/>
      <c r="G1674" s="72"/>
      <c r="H1674" s="72"/>
      <c r="I1674" s="54"/>
    </row>
    <row r="1675" spans="1:9" s="44" customFormat="1" hidden="1" outlineLevel="1">
      <c r="A1675" s="433" t="s">
        <v>1623</v>
      </c>
      <c r="B1675" s="543">
        <v>1740561</v>
      </c>
      <c r="C1675" s="94">
        <v>0</v>
      </c>
      <c r="D1675" s="144">
        <v>1740561</v>
      </c>
      <c r="E1675" s="8" t="s">
        <v>1624</v>
      </c>
      <c r="F1675" s="72"/>
      <c r="G1675" s="72"/>
      <c r="H1675" s="72"/>
      <c r="I1675" s="54"/>
    </row>
    <row r="1676" spans="1:9" s="44" customFormat="1" hidden="1" outlineLevel="1">
      <c r="A1676" s="433" t="s">
        <v>1625</v>
      </c>
      <c r="B1676" s="543">
        <v>666808</v>
      </c>
      <c r="C1676" s="94">
        <v>44386</v>
      </c>
      <c r="D1676" s="144">
        <v>711194</v>
      </c>
      <c r="E1676" s="8" t="s">
        <v>1626</v>
      </c>
      <c r="F1676" s="72"/>
      <c r="G1676" s="72"/>
      <c r="H1676" s="72"/>
      <c r="I1676" s="54"/>
    </row>
    <row r="1677" spans="1:9" s="44" customFormat="1" hidden="1" outlineLevel="1">
      <c r="A1677" s="433" t="s">
        <v>1627</v>
      </c>
      <c r="B1677" s="543">
        <v>910723</v>
      </c>
      <c r="C1677" s="94">
        <v>0</v>
      </c>
      <c r="D1677" s="144">
        <v>910723</v>
      </c>
      <c r="E1677" s="8" t="s">
        <v>1628</v>
      </c>
      <c r="F1677" s="72"/>
      <c r="G1677" s="72"/>
      <c r="H1677" s="72"/>
      <c r="I1677" s="54"/>
    </row>
    <row r="1678" spans="1:9" s="44" customFormat="1" hidden="1" outlineLevel="1">
      <c r="A1678" s="433" t="s">
        <v>1629</v>
      </c>
      <c r="B1678" s="543">
        <v>2163750</v>
      </c>
      <c r="C1678" s="94">
        <v>0</v>
      </c>
      <c r="D1678" s="144">
        <v>2163750</v>
      </c>
      <c r="E1678" s="8" t="s">
        <v>1630</v>
      </c>
      <c r="F1678" s="72"/>
      <c r="G1678" s="72"/>
      <c r="H1678" s="72"/>
      <c r="I1678" s="54"/>
    </row>
    <row r="1679" spans="1:9" s="44" customFormat="1" hidden="1" outlineLevel="1">
      <c r="A1679" s="433" t="s">
        <v>1631</v>
      </c>
      <c r="B1679" s="543">
        <v>1344815</v>
      </c>
      <c r="C1679" s="94">
        <v>13964</v>
      </c>
      <c r="D1679" s="144">
        <v>1358779</v>
      </c>
      <c r="E1679" s="8" t="s">
        <v>1632</v>
      </c>
      <c r="F1679" s="72"/>
      <c r="G1679" s="72"/>
      <c r="H1679" s="72"/>
      <c r="I1679" s="54"/>
    </row>
    <row r="1680" spans="1:9" s="44" customFormat="1" hidden="1" outlineLevel="1">
      <c r="A1680" s="433" t="s">
        <v>1633</v>
      </c>
      <c r="B1680" s="543">
        <v>89037805</v>
      </c>
      <c r="C1680" s="94">
        <v>-4322997</v>
      </c>
      <c r="D1680" s="144">
        <v>84714808</v>
      </c>
      <c r="E1680" s="8" t="s">
        <v>1634</v>
      </c>
      <c r="F1680" s="72"/>
      <c r="G1680" s="72"/>
      <c r="H1680" s="72"/>
      <c r="I1680" s="54"/>
    </row>
    <row r="1681" spans="1:9" s="44" customFormat="1" hidden="1" outlineLevel="1">
      <c r="A1681" s="433" t="s">
        <v>1635</v>
      </c>
      <c r="B1681" s="543">
        <v>14709748</v>
      </c>
      <c r="C1681" s="94">
        <v>402751</v>
      </c>
      <c r="D1681" s="144">
        <v>15112499</v>
      </c>
      <c r="E1681" s="8" t="s">
        <v>1636</v>
      </c>
      <c r="F1681" s="72"/>
      <c r="G1681" s="72"/>
      <c r="H1681" s="72"/>
      <c r="I1681" s="54"/>
    </row>
    <row r="1682" spans="1:9" s="44" customFormat="1" hidden="1" outlineLevel="1">
      <c r="A1682" s="433" t="s">
        <v>1637</v>
      </c>
      <c r="B1682" s="543">
        <v>351077</v>
      </c>
      <c r="C1682" s="94">
        <v>0</v>
      </c>
      <c r="D1682" s="144">
        <v>351077</v>
      </c>
      <c r="E1682" s="8" t="s">
        <v>1638</v>
      </c>
      <c r="F1682" s="72"/>
      <c r="G1682" s="72"/>
      <c r="H1682" s="72"/>
      <c r="I1682" s="54"/>
    </row>
    <row r="1683" spans="1:9" s="44" customFormat="1" hidden="1" outlineLevel="1">
      <c r="A1683" s="433" t="s">
        <v>767</v>
      </c>
      <c r="B1683" s="543">
        <v>5644577</v>
      </c>
      <c r="C1683" s="94">
        <v>64544</v>
      </c>
      <c r="D1683" s="144">
        <v>5709121</v>
      </c>
      <c r="E1683" s="8" t="s">
        <v>768</v>
      </c>
      <c r="F1683" s="72"/>
      <c r="G1683" s="72"/>
      <c r="H1683" s="72"/>
      <c r="I1683" s="54"/>
    </row>
    <row r="1684" spans="1:9" s="44" customFormat="1" hidden="1" outlineLevel="1">
      <c r="A1684" s="433" t="s">
        <v>1639</v>
      </c>
      <c r="B1684" s="543">
        <v>832110</v>
      </c>
      <c r="C1684" s="94">
        <v>0</v>
      </c>
      <c r="D1684" s="144">
        <v>832110</v>
      </c>
      <c r="E1684" s="8" t="s">
        <v>1640</v>
      </c>
      <c r="F1684" s="72"/>
      <c r="G1684" s="72"/>
      <c r="H1684" s="72"/>
      <c r="I1684" s="54"/>
    </row>
    <row r="1685" spans="1:9" s="44" customFormat="1" hidden="1" outlineLevel="1">
      <c r="A1685" s="433" t="s">
        <v>1641</v>
      </c>
      <c r="B1685" s="543">
        <v>2082256</v>
      </c>
      <c r="C1685" s="94">
        <v>69043</v>
      </c>
      <c r="D1685" s="144">
        <v>2151299</v>
      </c>
      <c r="E1685" s="8" t="s">
        <v>1642</v>
      </c>
      <c r="F1685" s="72"/>
      <c r="G1685" s="72"/>
      <c r="H1685" s="72"/>
      <c r="I1685" s="54"/>
    </row>
    <row r="1686" spans="1:9" s="44" customFormat="1" hidden="1" outlineLevel="1">
      <c r="A1686" s="433" t="s">
        <v>1643</v>
      </c>
      <c r="B1686" s="543">
        <v>1413308</v>
      </c>
      <c r="C1686" s="94">
        <v>58964</v>
      </c>
      <c r="D1686" s="144">
        <v>1472272</v>
      </c>
      <c r="E1686" s="8" t="s">
        <v>1644</v>
      </c>
      <c r="F1686" s="72"/>
      <c r="G1686" s="72"/>
      <c r="H1686" s="72"/>
      <c r="I1686" s="54"/>
    </row>
    <row r="1687" spans="1:9" s="44" customFormat="1" hidden="1" outlineLevel="1">
      <c r="A1687" s="433" t="s">
        <v>1645</v>
      </c>
      <c r="B1687" s="543">
        <v>1224371</v>
      </c>
      <c r="C1687" s="94">
        <v>56343</v>
      </c>
      <c r="D1687" s="144">
        <v>1280714</v>
      </c>
      <c r="E1687" s="8" t="s">
        <v>1646</v>
      </c>
      <c r="F1687" s="72"/>
      <c r="G1687" s="72"/>
      <c r="H1687" s="72"/>
      <c r="I1687" s="54"/>
    </row>
    <row r="1688" spans="1:9" s="44" customFormat="1" hidden="1" outlineLevel="1">
      <c r="A1688" s="433" t="s">
        <v>1647</v>
      </c>
      <c r="B1688" s="543">
        <v>713169</v>
      </c>
      <c r="C1688" s="94">
        <v>0</v>
      </c>
      <c r="D1688" s="144">
        <v>713169</v>
      </c>
      <c r="E1688" s="8" t="s">
        <v>1648</v>
      </c>
      <c r="F1688" s="72"/>
      <c r="G1688" s="72"/>
      <c r="H1688" s="72"/>
      <c r="I1688" s="54"/>
    </row>
    <row r="1689" spans="1:9" s="44" customFormat="1" hidden="1" outlineLevel="1">
      <c r="A1689" s="433" t="s">
        <v>1649</v>
      </c>
      <c r="B1689" s="543">
        <v>329075</v>
      </c>
      <c r="C1689" s="94">
        <v>91782</v>
      </c>
      <c r="D1689" s="144">
        <v>420857</v>
      </c>
      <c r="E1689" s="8" t="s">
        <v>1650</v>
      </c>
      <c r="F1689" s="72"/>
      <c r="G1689" s="72"/>
      <c r="H1689" s="72"/>
      <c r="I1689" s="54"/>
    </row>
    <row r="1690" spans="1:9" s="44" customFormat="1" hidden="1" outlineLevel="1">
      <c r="A1690" s="433" t="s">
        <v>1651</v>
      </c>
      <c r="B1690" s="543">
        <v>6077667</v>
      </c>
      <c r="C1690" s="94">
        <v>-48226</v>
      </c>
      <c r="D1690" s="144">
        <v>6029441</v>
      </c>
      <c r="E1690" s="8" t="s">
        <v>1652</v>
      </c>
      <c r="F1690" s="72"/>
      <c r="G1690" s="72"/>
      <c r="H1690" s="72"/>
      <c r="I1690" s="54"/>
    </row>
    <row r="1691" spans="1:9" s="44" customFormat="1" hidden="1" outlineLevel="1">
      <c r="A1691" s="433" t="s">
        <v>1653</v>
      </c>
      <c r="B1691" s="543">
        <v>1641759</v>
      </c>
      <c r="C1691" s="94">
        <v>0</v>
      </c>
      <c r="D1691" s="144">
        <v>1641759</v>
      </c>
      <c r="E1691" s="8" t="s">
        <v>1654</v>
      </c>
      <c r="F1691" s="72"/>
      <c r="G1691" s="72"/>
      <c r="H1691" s="72"/>
      <c r="I1691" s="54"/>
    </row>
    <row r="1692" spans="1:9" s="44" customFormat="1" hidden="1" outlineLevel="1">
      <c r="A1692" s="433" t="s">
        <v>1655</v>
      </c>
      <c r="B1692" s="543">
        <v>1516352</v>
      </c>
      <c r="C1692" s="94">
        <v>0</v>
      </c>
      <c r="D1692" s="144">
        <v>1516352</v>
      </c>
      <c r="E1692" s="8" t="s">
        <v>1656</v>
      </c>
      <c r="F1692" s="72"/>
      <c r="G1692" s="72"/>
      <c r="H1692" s="72"/>
      <c r="I1692" s="54"/>
    </row>
    <row r="1693" spans="1:9" s="44" customFormat="1" hidden="1" outlineLevel="1">
      <c r="A1693" s="433" t="s">
        <v>1657</v>
      </c>
      <c r="B1693" s="543">
        <v>11148163</v>
      </c>
      <c r="C1693" s="94">
        <v>594004</v>
      </c>
      <c r="D1693" s="144">
        <v>11742167</v>
      </c>
      <c r="E1693" s="8" t="s">
        <v>1658</v>
      </c>
      <c r="F1693" s="72"/>
      <c r="G1693" s="72"/>
      <c r="H1693" s="72"/>
      <c r="I1693" s="54"/>
    </row>
    <row r="1694" spans="1:9" s="44" customFormat="1" hidden="1" outlineLevel="1">
      <c r="A1694" s="433" t="s">
        <v>1659</v>
      </c>
      <c r="B1694" s="543">
        <v>41818</v>
      </c>
      <c r="C1694" s="94">
        <v>0</v>
      </c>
      <c r="D1694" s="144">
        <v>41818</v>
      </c>
      <c r="E1694" s="8" t="s">
        <v>1660</v>
      </c>
      <c r="F1694" s="72"/>
      <c r="G1694" s="72"/>
      <c r="H1694" s="72"/>
      <c r="I1694" s="54"/>
    </row>
    <row r="1695" spans="1:9" s="44" customFormat="1" hidden="1" outlineLevel="1">
      <c r="A1695" s="433" t="s">
        <v>1661</v>
      </c>
      <c r="B1695" s="543">
        <v>1541890</v>
      </c>
      <c r="C1695" s="94">
        <v>415429</v>
      </c>
      <c r="D1695" s="144">
        <v>1957319</v>
      </c>
      <c r="E1695" s="8" t="s">
        <v>1662</v>
      </c>
      <c r="F1695" s="72"/>
      <c r="G1695" s="72"/>
      <c r="H1695" s="72"/>
      <c r="I1695" s="54"/>
    </row>
    <row r="1696" spans="1:9" s="44" customFormat="1" hidden="1" outlineLevel="1">
      <c r="A1696" s="433" t="s">
        <v>1663</v>
      </c>
      <c r="B1696" s="543">
        <v>2827581</v>
      </c>
      <c r="C1696" s="94">
        <v>0</v>
      </c>
      <c r="D1696" s="144">
        <v>2827581</v>
      </c>
      <c r="E1696" s="8" t="s">
        <v>1664</v>
      </c>
      <c r="F1696" s="72"/>
      <c r="G1696" s="72"/>
      <c r="H1696" s="72"/>
      <c r="I1696" s="54"/>
    </row>
    <row r="1697" spans="1:9" s="44" customFormat="1" hidden="1" outlineLevel="1">
      <c r="A1697" s="433" t="s">
        <v>789</v>
      </c>
      <c r="B1697" s="543">
        <v>33308066</v>
      </c>
      <c r="C1697" s="94">
        <v>0</v>
      </c>
      <c r="D1697" s="144">
        <v>33308066</v>
      </c>
      <c r="E1697" s="8" t="s">
        <v>790</v>
      </c>
      <c r="F1697" s="72"/>
      <c r="G1697" s="72"/>
      <c r="H1697" s="72"/>
      <c r="I1697" s="54"/>
    </row>
    <row r="1698" spans="1:9" s="44" customFormat="1" hidden="1" outlineLevel="1">
      <c r="A1698" s="433" t="s">
        <v>1665</v>
      </c>
      <c r="B1698" s="543">
        <v>3075217</v>
      </c>
      <c r="C1698" s="94">
        <v>4043</v>
      </c>
      <c r="D1698" s="144">
        <v>3079260</v>
      </c>
      <c r="E1698" s="8" t="s">
        <v>1666</v>
      </c>
      <c r="F1698" s="72"/>
      <c r="G1698" s="72"/>
      <c r="H1698" s="72"/>
      <c r="I1698" s="54"/>
    </row>
    <row r="1699" spans="1:9" s="44" customFormat="1" hidden="1" outlineLevel="1">
      <c r="A1699" s="433" t="s">
        <v>1667</v>
      </c>
      <c r="B1699" s="543">
        <v>9339701</v>
      </c>
      <c r="C1699" s="94">
        <v>0</v>
      </c>
      <c r="D1699" s="144">
        <v>9339701</v>
      </c>
      <c r="E1699" s="8" t="s">
        <v>1668</v>
      </c>
      <c r="F1699" s="72"/>
      <c r="G1699" s="72"/>
      <c r="H1699" s="72"/>
      <c r="I1699" s="54"/>
    </row>
    <row r="1700" spans="1:9" s="44" customFormat="1" hidden="1" outlineLevel="1">
      <c r="A1700" s="433" t="s">
        <v>1669</v>
      </c>
      <c r="B1700" s="543">
        <v>163823</v>
      </c>
      <c r="C1700" s="94">
        <v>0</v>
      </c>
      <c r="D1700" s="144">
        <v>163823</v>
      </c>
      <c r="E1700" s="8" t="s">
        <v>1670</v>
      </c>
      <c r="F1700" s="72"/>
      <c r="G1700" s="72"/>
      <c r="H1700" s="72"/>
      <c r="I1700" s="54"/>
    </row>
    <row r="1701" spans="1:9" s="44" customFormat="1" hidden="1" outlineLevel="1">
      <c r="A1701" s="433" t="s">
        <v>1671</v>
      </c>
      <c r="B1701" s="543">
        <v>21822205</v>
      </c>
      <c r="C1701" s="94">
        <v>0</v>
      </c>
      <c r="D1701" s="144">
        <v>21822205</v>
      </c>
      <c r="E1701" s="8" t="s">
        <v>1672</v>
      </c>
      <c r="F1701" s="72"/>
      <c r="G1701" s="72"/>
      <c r="H1701" s="72"/>
      <c r="I1701" s="54"/>
    </row>
    <row r="1702" spans="1:9" s="44" customFormat="1" hidden="1" outlineLevel="1">
      <c r="A1702" s="433" t="s">
        <v>1673</v>
      </c>
      <c r="B1702" s="543">
        <v>2465980</v>
      </c>
      <c r="C1702" s="94">
        <v>126173</v>
      </c>
      <c r="D1702" s="144">
        <v>2592153</v>
      </c>
      <c r="E1702" s="8" t="s">
        <v>1674</v>
      </c>
      <c r="F1702" s="72"/>
      <c r="G1702" s="72"/>
      <c r="H1702" s="72"/>
      <c r="I1702" s="54"/>
    </row>
    <row r="1703" spans="1:9" s="44" customFormat="1" hidden="1" outlineLevel="1">
      <c r="A1703" s="433" t="s">
        <v>543</v>
      </c>
      <c r="B1703" s="543">
        <v>59884413</v>
      </c>
      <c r="C1703" s="94">
        <v>0</v>
      </c>
      <c r="D1703" s="144">
        <v>59884413</v>
      </c>
      <c r="E1703" s="8" t="s">
        <v>544</v>
      </c>
      <c r="F1703" s="72"/>
      <c r="G1703" s="72"/>
      <c r="H1703" s="72"/>
      <c r="I1703" s="54"/>
    </row>
    <row r="1704" spans="1:9" s="44" customFormat="1" hidden="1" outlineLevel="1">
      <c r="A1704" s="433" t="s">
        <v>1675</v>
      </c>
      <c r="B1704" s="543">
        <v>8029102</v>
      </c>
      <c r="C1704" s="94">
        <v>0</v>
      </c>
      <c r="D1704" s="144">
        <v>8029102</v>
      </c>
      <c r="E1704" s="8" t="s">
        <v>1676</v>
      </c>
      <c r="F1704" s="72"/>
      <c r="G1704" s="72"/>
      <c r="H1704" s="72"/>
      <c r="I1704" s="54"/>
    </row>
    <row r="1705" spans="1:9" s="44" customFormat="1" hidden="1" outlineLevel="1">
      <c r="A1705" s="433" t="s">
        <v>1677</v>
      </c>
      <c r="B1705" s="543">
        <v>9056109</v>
      </c>
      <c r="C1705" s="94">
        <v>621287</v>
      </c>
      <c r="D1705" s="144">
        <v>9677396</v>
      </c>
      <c r="E1705" s="8" t="s">
        <v>1678</v>
      </c>
      <c r="F1705" s="72"/>
      <c r="G1705" s="72"/>
      <c r="H1705" s="72"/>
      <c r="I1705" s="54"/>
    </row>
    <row r="1706" spans="1:9" s="44" customFormat="1" hidden="1" outlineLevel="1">
      <c r="A1706" s="433" t="s">
        <v>1679</v>
      </c>
      <c r="B1706" s="543">
        <v>1895085</v>
      </c>
      <c r="C1706" s="94">
        <v>-2000</v>
      </c>
      <c r="D1706" s="144">
        <v>1893085</v>
      </c>
      <c r="E1706" s="8" t="s">
        <v>1680</v>
      </c>
      <c r="F1706" s="72"/>
      <c r="G1706" s="72"/>
      <c r="H1706" s="72"/>
      <c r="I1706" s="54"/>
    </row>
    <row r="1707" spans="1:9" s="44" customFormat="1" hidden="1" outlineLevel="1">
      <c r="A1707" s="433" t="s">
        <v>1681</v>
      </c>
      <c r="B1707" s="543">
        <v>1869756</v>
      </c>
      <c r="C1707" s="94">
        <v>455128</v>
      </c>
      <c r="D1707" s="144">
        <v>2324884</v>
      </c>
      <c r="E1707" s="8" t="s">
        <v>1682</v>
      </c>
      <c r="F1707" s="72"/>
      <c r="G1707" s="72"/>
      <c r="H1707" s="72"/>
      <c r="I1707" s="54"/>
    </row>
    <row r="1708" spans="1:9" s="44" customFormat="1" hidden="1" outlineLevel="1">
      <c r="A1708" s="433" t="s">
        <v>1683</v>
      </c>
      <c r="B1708" s="543">
        <v>1027891</v>
      </c>
      <c r="C1708" s="94">
        <v>0</v>
      </c>
      <c r="D1708" s="144">
        <v>1027891</v>
      </c>
      <c r="E1708" s="8" t="s">
        <v>1684</v>
      </c>
      <c r="F1708" s="72"/>
      <c r="G1708" s="72"/>
      <c r="H1708" s="72"/>
      <c r="I1708" s="54"/>
    </row>
    <row r="1709" spans="1:9" s="44" customFormat="1" hidden="1" outlineLevel="1">
      <c r="A1709" s="433" t="s">
        <v>1685</v>
      </c>
      <c r="B1709" s="543">
        <v>107866</v>
      </c>
      <c r="C1709" s="94">
        <v>0</v>
      </c>
      <c r="D1709" s="144">
        <v>107866</v>
      </c>
      <c r="E1709" s="8" t="s">
        <v>1686</v>
      </c>
      <c r="F1709" s="72"/>
      <c r="G1709" s="72"/>
      <c r="H1709" s="72"/>
      <c r="I1709" s="54"/>
    </row>
    <row r="1710" spans="1:9" s="44" customFormat="1" hidden="1" outlineLevel="1">
      <c r="A1710" s="433" t="s">
        <v>1687</v>
      </c>
      <c r="B1710" s="543">
        <v>968237</v>
      </c>
      <c r="C1710" s="94">
        <v>6983</v>
      </c>
      <c r="D1710" s="144">
        <v>975220</v>
      </c>
      <c r="E1710" s="8" t="s">
        <v>1688</v>
      </c>
      <c r="F1710" s="72"/>
      <c r="G1710" s="72"/>
      <c r="H1710" s="72"/>
      <c r="I1710" s="54"/>
    </row>
    <row r="1711" spans="1:9" s="44" customFormat="1" hidden="1" outlineLevel="1">
      <c r="A1711" s="433" t="s">
        <v>1132</v>
      </c>
      <c r="B1711" s="543">
        <v>491367</v>
      </c>
      <c r="C1711" s="94">
        <v>0</v>
      </c>
      <c r="D1711" s="144">
        <v>491367</v>
      </c>
      <c r="E1711" s="8" t="s">
        <v>1133</v>
      </c>
      <c r="F1711" s="72"/>
      <c r="G1711" s="72"/>
      <c r="H1711" s="72"/>
      <c r="I1711" s="54"/>
    </row>
    <row r="1712" spans="1:9" s="44" customFormat="1" hidden="1" outlineLevel="1">
      <c r="A1712" s="433" t="s">
        <v>1689</v>
      </c>
      <c r="B1712" s="543">
        <v>1592073</v>
      </c>
      <c r="C1712" s="94">
        <v>-47987</v>
      </c>
      <c r="D1712" s="144">
        <v>1544086</v>
      </c>
      <c r="E1712" s="8" t="s">
        <v>1690</v>
      </c>
      <c r="F1712" s="72"/>
      <c r="G1712" s="72"/>
      <c r="H1712" s="72"/>
      <c r="I1712" s="54"/>
    </row>
    <row r="1713" spans="1:9" s="44" customFormat="1" hidden="1" outlineLevel="1">
      <c r="A1713" s="433" t="s">
        <v>1691</v>
      </c>
      <c r="B1713" s="543">
        <v>974629</v>
      </c>
      <c r="C1713" s="94">
        <v>1037157</v>
      </c>
      <c r="D1713" s="144">
        <v>2011786</v>
      </c>
      <c r="E1713" s="8" t="s">
        <v>1692</v>
      </c>
      <c r="F1713" s="72"/>
      <c r="G1713" s="72"/>
      <c r="H1713" s="72"/>
      <c r="I1713" s="54"/>
    </row>
    <row r="1714" spans="1:9" s="44" customFormat="1" hidden="1" outlineLevel="1">
      <c r="A1714" s="433" t="s">
        <v>1693</v>
      </c>
      <c r="B1714" s="543">
        <v>1835950</v>
      </c>
      <c r="C1714" s="94">
        <v>0</v>
      </c>
      <c r="D1714" s="144">
        <v>1835950</v>
      </c>
      <c r="E1714" s="8" t="s">
        <v>1694</v>
      </c>
      <c r="F1714" s="72"/>
      <c r="G1714" s="72"/>
      <c r="H1714" s="72"/>
      <c r="I1714" s="54"/>
    </row>
    <row r="1715" spans="1:9" s="44" customFormat="1" hidden="1" outlineLevel="1">
      <c r="A1715" s="433" t="s">
        <v>1695</v>
      </c>
      <c r="B1715" s="543">
        <v>82700212</v>
      </c>
      <c r="C1715" s="94">
        <v>5150066</v>
      </c>
      <c r="D1715" s="144">
        <v>87850278</v>
      </c>
      <c r="E1715" s="8" t="s">
        <v>1696</v>
      </c>
      <c r="F1715" s="72"/>
      <c r="G1715" s="72"/>
      <c r="H1715" s="72"/>
      <c r="I1715" s="54"/>
    </row>
    <row r="1716" spans="1:9" s="44" customFormat="1" hidden="1" outlineLevel="1">
      <c r="A1716" s="433" t="s">
        <v>1697</v>
      </c>
      <c r="B1716" s="543">
        <v>5301298</v>
      </c>
      <c r="C1716" s="94">
        <v>0</v>
      </c>
      <c r="D1716" s="144">
        <v>5301298</v>
      </c>
      <c r="E1716" s="8" t="s">
        <v>1698</v>
      </c>
      <c r="F1716" s="72"/>
      <c r="G1716" s="72"/>
      <c r="H1716" s="72"/>
      <c r="I1716" s="54"/>
    </row>
    <row r="1717" spans="1:9" s="44" customFormat="1" hidden="1" outlineLevel="1">
      <c r="A1717" s="433" t="s">
        <v>1699</v>
      </c>
      <c r="B1717" s="543">
        <v>141744418</v>
      </c>
      <c r="C1717" s="94">
        <v>998432</v>
      </c>
      <c r="D1717" s="144">
        <v>142742850</v>
      </c>
      <c r="E1717" s="8" t="s">
        <v>1700</v>
      </c>
      <c r="F1717" s="72"/>
      <c r="G1717" s="72"/>
      <c r="H1717" s="72"/>
      <c r="I1717" s="54"/>
    </row>
    <row r="1718" spans="1:9" s="44" customFormat="1" hidden="1" outlineLevel="1">
      <c r="A1718" s="433" t="s">
        <v>449</v>
      </c>
      <c r="B1718" s="543">
        <v>939463</v>
      </c>
      <c r="C1718" s="94">
        <v>1377945</v>
      </c>
      <c r="D1718" s="144">
        <v>2317408</v>
      </c>
      <c r="E1718" s="8" t="s">
        <v>450</v>
      </c>
      <c r="F1718" s="72"/>
      <c r="G1718" s="72"/>
      <c r="H1718" s="72"/>
      <c r="I1718" s="54"/>
    </row>
    <row r="1719" spans="1:9" s="44" customFormat="1" hidden="1" outlineLevel="1">
      <c r="A1719" s="433" t="s">
        <v>1701</v>
      </c>
      <c r="B1719" s="543">
        <v>114730</v>
      </c>
      <c r="C1719" s="94">
        <v>0</v>
      </c>
      <c r="D1719" s="144">
        <v>114730</v>
      </c>
      <c r="E1719" s="8" t="s">
        <v>1702</v>
      </c>
      <c r="F1719" s="72"/>
      <c r="G1719" s="72"/>
      <c r="H1719" s="72"/>
      <c r="I1719" s="54"/>
    </row>
    <row r="1720" spans="1:9" s="44" customFormat="1" hidden="1" outlineLevel="1">
      <c r="A1720" s="433" t="s">
        <v>837</v>
      </c>
      <c r="B1720" s="543">
        <v>1016470</v>
      </c>
      <c r="C1720" s="94">
        <v>0</v>
      </c>
      <c r="D1720" s="144">
        <v>1016470</v>
      </c>
      <c r="E1720" s="8" t="s">
        <v>838</v>
      </c>
      <c r="F1720" s="72"/>
      <c r="G1720" s="72"/>
      <c r="H1720" s="72"/>
      <c r="I1720" s="54"/>
    </row>
    <row r="1721" spans="1:9" s="44" customFormat="1" hidden="1" outlineLevel="1">
      <c r="A1721" s="433" t="s">
        <v>1703</v>
      </c>
      <c r="B1721" s="543">
        <v>609648295</v>
      </c>
      <c r="C1721" s="94">
        <v>0</v>
      </c>
      <c r="D1721" s="144">
        <v>609648295</v>
      </c>
      <c r="E1721" s="8" t="s">
        <v>1704</v>
      </c>
      <c r="F1721" s="72"/>
      <c r="G1721" s="72"/>
      <c r="H1721" s="72"/>
      <c r="I1721" s="54"/>
    </row>
    <row r="1722" spans="1:9" s="44" customFormat="1" hidden="1" outlineLevel="1">
      <c r="A1722" s="433" t="s">
        <v>1705</v>
      </c>
      <c r="B1722" s="543">
        <v>4605474</v>
      </c>
      <c r="C1722" s="94">
        <v>353373</v>
      </c>
      <c r="D1722" s="144">
        <v>4958847</v>
      </c>
      <c r="E1722" s="8" t="s">
        <v>1706</v>
      </c>
      <c r="F1722" s="72"/>
      <c r="G1722" s="72"/>
      <c r="H1722" s="72"/>
      <c r="I1722" s="54"/>
    </row>
    <row r="1723" spans="1:9" s="44" customFormat="1" hidden="1" outlineLevel="1">
      <c r="A1723" s="433" t="s">
        <v>1707</v>
      </c>
      <c r="B1723" s="543">
        <v>60853</v>
      </c>
      <c r="C1723" s="94">
        <v>0</v>
      </c>
      <c r="D1723" s="144">
        <v>60853</v>
      </c>
      <c r="E1723" s="8" t="s">
        <v>1708</v>
      </c>
      <c r="F1723" s="72"/>
      <c r="G1723" s="72"/>
      <c r="H1723" s="72"/>
      <c r="I1723" s="54"/>
    </row>
    <row r="1724" spans="1:9" s="44" customFormat="1" hidden="1" outlineLevel="1">
      <c r="A1724" s="433" t="s">
        <v>1709</v>
      </c>
      <c r="B1724" s="543">
        <v>31978753</v>
      </c>
      <c r="C1724" s="94">
        <v>0</v>
      </c>
      <c r="D1724" s="144">
        <v>31978753</v>
      </c>
      <c r="E1724" s="8" t="s">
        <v>1710</v>
      </c>
      <c r="F1724" s="72"/>
      <c r="G1724" s="72"/>
      <c r="H1724" s="72"/>
      <c r="I1724" s="54"/>
    </row>
    <row r="1725" spans="1:9" s="44" customFormat="1" hidden="1" outlineLevel="1">
      <c r="A1725" s="433" t="s">
        <v>1711</v>
      </c>
      <c r="B1725" s="543">
        <v>206900</v>
      </c>
      <c r="C1725" s="94">
        <v>0</v>
      </c>
      <c r="D1725" s="144">
        <v>206900</v>
      </c>
      <c r="E1725" s="8" t="s">
        <v>1712</v>
      </c>
      <c r="F1725" s="72"/>
      <c r="G1725" s="72"/>
      <c r="H1725" s="72"/>
      <c r="I1725" s="54"/>
    </row>
    <row r="1726" spans="1:9" s="44" customFormat="1" hidden="1" outlineLevel="1">
      <c r="A1726" s="433" t="s">
        <v>1713</v>
      </c>
      <c r="B1726" s="543">
        <v>583114</v>
      </c>
      <c r="C1726" s="94">
        <v>0</v>
      </c>
      <c r="D1726" s="144">
        <v>583114</v>
      </c>
      <c r="E1726" s="8" t="s">
        <v>1714</v>
      </c>
      <c r="F1726" s="72"/>
      <c r="G1726" s="72"/>
      <c r="H1726" s="72"/>
      <c r="I1726" s="54"/>
    </row>
    <row r="1727" spans="1:9" s="44" customFormat="1" ht="13.5" collapsed="1" thickBot="1">
      <c r="A1727" s="456" t="s">
        <v>1715</v>
      </c>
      <c r="B1727" s="545">
        <f>B875+B1035+B1272+B1602</f>
        <v>22771915852.102997</v>
      </c>
      <c r="C1727" s="146">
        <f>C875+C1035+C1272+C1602</f>
        <v>2211957828.8280001</v>
      </c>
      <c r="D1727" s="147">
        <f>D875+D1035+D1272+D1602</f>
        <v>24983873680.931</v>
      </c>
      <c r="E1727" s="10"/>
      <c r="F1727" s="10"/>
      <c r="G1727" s="10"/>
      <c r="H1727" s="10"/>
    </row>
    <row r="1728" spans="1:9" s="44" customFormat="1">
      <c r="A1728" s="13"/>
      <c r="B1728" s="10"/>
      <c r="C1728" s="10"/>
      <c r="D1728" s="10"/>
      <c r="E1728" s="10"/>
      <c r="F1728" s="10"/>
      <c r="G1728" s="10"/>
      <c r="H1728" s="10"/>
    </row>
    <row r="1729" spans="1:8">
      <c r="A1729" s="8"/>
      <c r="B1729" s="18"/>
      <c r="C1729" s="18"/>
      <c r="D1729" s="18"/>
      <c r="E1729" s="18"/>
      <c r="F1729" s="18"/>
      <c r="G1729" s="18"/>
      <c r="H1729" s="18"/>
    </row>
    <row r="1730" spans="1:8">
      <c r="A1730" s="13" t="s">
        <v>2072</v>
      </c>
      <c r="B1730" s="18"/>
      <c r="C1730" s="18"/>
      <c r="D1730" s="18"/>
      <c r="E1730" s="18"/>
      <c r="F1730" s="18"/>
      <c r="G1730" s="18"/>
      <c r="H1730" s="18"/>
    </row>
    <row r="1731" spans="1:8" ht="13.5" thickBot="1">
      <c r="A1731" s="13"/>
      <c r="B1731" s="18"/>
      <c r="C1731" s="18"/>
      <c r="D1731" s="18"/>
      <c r="E1731" s="18"/>
      <c r="F1731" s="18"/>
      <c r="G1731" s="18"/>
      <c r="H1731" s="18"/>
    </row>
    <row r="1732" spans="1:8" ht="23.25" customHeight="1">
      <c r="A1732" s="542"/>
      <c r="B1732" s="93" t="s">
        <v>1754</v>
      </c>
      <c r="C1732" s="18"/>
      <c r="D1732" s="18"/>
      <c r="E1732" s="18"/>
      <c r="F1732" s="18"/>
      <c r="G1732" s="18"/>
      <c r="H1732" s="18"/>
    </row>
    <row r="1733" spans="1:8" s="8" customFormat="1" ht="13.5" thickBot="1">
      <c r="A1733" s="541"/>
      <c r="B1733" s="586" t="s">
        <v>1722</v>
      </c>
      <c r="C1733" s="18"/>
      <c r="D1733" s="18"/>
      <c r="E1733" s="18"/>
      <c r="F1733" s="18"/>
      <c r="G1733" s="18"/>
      <c r="H1733" s="18"/>
    </row>
    <row r="1734" spans="1:8">
      <c r="A1734" s="460" t="s">
        <v>85</v>
      </c>
      <c r="B1734" s="730">
        <f>'Anlage 1d_Pönalen'!B8</f>
        <v>-434446</v>
      </c>
      <c r="C1734" s="18"/>
      <c r="D1734" s="18"/>
      <c r="E1734" s="18"/>
      <c r="F1734" s="18"/>
      <c r="G1734" s="18"/>
      <c r="H1734" s="18"/>
    </row>
    <row r="1735" spans="1:8">
      <c r="A1735" s="274" t="s">
        <v>404</v>
      </c>
      <c r="B1735" s="731">
        <f>'Anlage 1d_Pönalen'!B9</f>
        <v>-23750</v>
      </c>
      <c r="C1735" s="18"/>
      <c r="D1735" s="18"/>
      <c r="E1735" s="18"/>
      <c r="F1735" s="18"/>
      <c r="G1735" s="18"/>
      <c r="H1735" s="18"/>
    </row>
    <row r="1736" spans="1:8">
      <c r="A1736" s="418" t="s">
        <v>855</v>
      </c>
      <c r="B1736" s="731">
        <f>'Anlage 1d_Pönalen'!B10</f>
        <v>-299991</v>
      </c>
      <c r="C1736" s="18"/>
      <c r="D1736" s="18"/>
      <c r="E1736" s="18"/>
      <c r="F1736" s="18"/>
      <c r="G1736" s="18"/>
      <c r="H1736" s="18"/>
    </row>
    <row r="1737" spans="1:8" ht="13.5" thickBot="1">
      <c r="A1737" s="274" t="s">
        <v>1486</v>
      </c>
      <c r="B1737" s="732">
        <f>'Anlage 1d_Pönalen'!B11</f>
        <v>-4164</v>
      </c>
      <c r="C1737" s="18"/>
      <c r="D1737" s="18"/>
      <c r="E1737" s="18"/>
      <c r="F1737" s="18"/>
      <c r="G1737" s="18"/>
      <c r="H1737" s="18"/>
    </row>
    <row r="1738" spans="1:8" ht="13.5" thickBot="1">
      <c r="A1738" s="461" t="s">
        <v>1715</v>
      </c>
      <c r="B1738" s="733">
        <f>B1734+B1735+B1736+B1737</f>
        <v>-762351</v>
      </c>
      <c r="C1738" s="18"/>
      <c r="D1738" s="18"/>
      <c r="E1738" s="18"/>
      <c r="F1738" s="18"/>
      <c r="G1738" s="18"/>
      <c r="H1738" s="18"/>
    </row>
    <row r="1739" spans="1:8">
      <c r="A1739" s="8"/>
      <c r="B1739" s="18"/>
      <c r="C1739" s="18"/>
      <c r="D1739" s="18"/>
      <c r="E1739" s="18"/>
      <c r="F1739" s="18"/>
      <c r="G1739" s="18"/>
      <c r="H1739" s="18"/>
    </row>
    <row r="1740" spans="1:8">
      <c r="A1740" s="8"/>
      <c r="B1740" s="18"/>
      <c r="C1740" s="18"/>
      <c r="D1740" s="18"/>
      <c r="E1740" s="18"/>
      <c r="F1740" s="18"/>
      <c r="G1740" s="18"/>
      <c r="H1740" s="18"/>
    </row>
    <row r="1741" spans="1:8">
      <c r="A1741" s="13" t="s">
        <v>2073</v>
      </c>
      <c r="B1741" s="18"/>
      <c r="C1741" s="18"/>
      <c r="D1741" s="18"/>
      <c r="E1741" s="18"/>
      <c r="F1741" s="18"/>
      <c r="G1741" s="18"/>
      <c r="H1741" s="18"/>
    </row>
    <row r="1742" spans="1:8" ht="13.5" thickBot="1">
      <c r="A1742" s="8"/>
      <c r="B1742" s="18"/>
      <c r="C1742" s="18"/>
      <c r="D1742" s="18"/>
      <c r="E1742" s="18"/>
      <c r="F1742" s="18"/>
      <c r="G1742" s="18"/>
      <c r="H1742" s="18"/>
    </row>
    <row r="1743" spans="1:8" ht="54" customHeight="1" thickBot="1">
      <c r="A1743" s="542"/>
      <c r="B1743" s="457" t="s">
        <v>2074</v>
      </c>
      <c r="C1743" s="110" t="s">
        <v>2075</v>
      </c>
      <c r="D1743" s="150" t="s">
        <v>2076</v>
      </c>
      <c r="E1743" s="18"/>
      <c r="F1743" s="18"/>
      <c r="G1743" s="18"/>
      <c r="H1743" s="18"/>
    </row>
    <row r="1744" spans="1:8" s="8" customFormat="1" ht="13.5" thickBot="1">
      <c r="A1744" s="541"/>
      <c r="B1744" s="581" t="s">
        <v>1722</v>
      </c>
      <c r="C1744" s="583" t="s">
        <v>1722</v>
      </c>
      <c r="D1744" s="585" t="s">
        <v>1722</v>
      </c>
      <c r="E1744" s="18"/>
      <c r="F1744" s="18"/>
      <c r="G1744" s="18"/>
      <c r="H1744" s="18"/>
    </row>
    <row r="1745" spans="1:9">
      <c r="A1745" s="462" t="s">
        <v>85</v>
      </c>
      <c r="B1745" s="734">
        <f>'Anlage 1e_WKNS'!D8</f>
        <v>59131589</v>
      </c>
      <c r="C1745" s="735">
        <f>'Anlage 1e_WKNS'!D20+'Anlage 1e_WKNS'!D32+'Anlage 1e_WKNS'!D44</f>
        <v>0</v>
      </c>
      <c r="D1745" s="736">
        <f>SUM(B1745:C1745)</f>
        <v>59131589</v>
      </c>
      <c r="E1745" s="18"/>
      <c r="F1745" s="18"/>
      <c r="G1745" s="18"/>
      <c r="H1745" s="18"/>
    </row>
    <row r="1746" spans="1:9">
      <c r="A1746" s="418" t="s">
        <v>404</v>
      </c>
      <c r="B1746" s="737">
        <f>'Anlage 1e_WKNS'!D9</f>
        <v>108029346</v>
      </c>
      <c r="C1746" s="738">
        <f>'Anlage 1e_WKNS'!D21+'Anlage 1e_WKNS'!D33+'Anlage 1e_WKNS'!D45</f>
        <v>0</v>
      </c>
      <c r="D1746" s="739">
        <f t="shared" ref="D1746:D1748" si="55">SUM(B1746:C1746)</f>
        <v>108029346</v>
      </c>
      <c r="E1746" s="18"/>
      <c r="F1746" s="18"/>
      <c r="G1746" s="18"/>
      <c r="H1746" s="18"/>
    </row>
    <row r="1747" spans="1:9">
      <c r="A1747" s="418" t="s">
        <v>855</v>
      </c>
      <c r="B1747" s="737">
        <f>'Anlage 1e_WKNS'!D10</f>
        <v>78551387</v>
      </c>
      <c r="C1747" s="738">
        <f>'Anlage 1e_WKNS'!D22+'Anlage 1e_WKNS'!D34+'Anlage 1e_WKNS'!D46</f>
        <v>2601996</v>
      </c>
      <c r="D1747" s="739">
        <f t="shared" si="55"/>
        <v>81153383</v>
      </c>
      <c r="E1747" s="18"/>
      <c r="F1747" s="18"/>
      <c r="G1747" s="18"/>
      <c r="H1747" s="18"/>
    </row>
    <row r="1748" spans="1:9" ht="13.5" thickBot="1">
      <c r="A1748" s="449" t="s">
        <v>1486</v>
      </c>
      <c r="B1748" s="740">
        <f>'Anlage 1e_WKNS'!D11</f>
        <v>36662094</v>
      </c>
      <c r="C1748" s="741">
        <f>'Anlage 1e_WKNS'!D23+'Anlage 1e_WKNS'!D35+'Anlage 1e_WKNS'!D47</f>
        <v>-285077</v>
      </c>
      <c r="D1748" s="742">
        <f t="shared" si="55"/>
        <v>36377017</v>
      </c>
      <c r="E1748" s="18"/>
      <c r="F1748" s="18"/>
      <c r="G1748" s="18"/>
      <c r="H1748" s="18"/>
    </row>
    <row r="1749" spans="1:9" ht="13.5" thickBot="1">
      <c r="A1749" s="463" t="s">
        <v>1715</v>
      </c>
      <c r="B1749" s="743">
        <f>SUM(B1745:B1748)</f>
        <v>282374416</v>
      </c>
      <c r="C1749" s="744">
        <f>SUM(C1745:C1748)</f>
        <v>2316919</v>
      </c>
      <c r="D1749" s="745">
        <f>SUM(D1745:D1748)</f>
        <v>284691335</v>
      </c>
      <c r="E1749" s="18"/>
      <c r="F1749" s="18"/>
      <c r="G1749" s="18"/>
      <c r="H1749" s="18"/>
    </row>
    <row r="1750" spans="1:9">
      <c r="A1750" s="8"/>
      <c r="B1750" s="18"/>
      <c r="C1750" s="18"/>
      <c r="D1750" s="18"/>
      <c r="E1750" s="18"/>
      <c r="F1750" s="18"/>
      <c r="G1750" s="18"/>
      <c r="H1750" s="18"/>
    </row>
    <row r="1751" spans="1:9">
      <c r="A1751" s="28" t="s">
        <v>2077</v>
      </c>
      <c r="B1751" s="18"/>
      <c r="C1751" s="18"/>
      <c r="D1751" s="18"/>
      <c r="E1751" s="18"/>
      <c r="F1751" s="18"/>
      <c r="G1751" s="18"/>
      <c r="H1751" s="18"/>
    </row>
    <row r="1752" spans="1:9" ht="13.5" thickBot="1"/>
    <row r="1753" spans="1:9" ht="74.25" customHeight="1">
      <c r="A1753" s="542"/>
      <c r="B1753" s="546" t="s">
        <v>2078</v>
      </c>
      <c r="C1753" s="108" t="s">
        <v>2079</v>
      </c>
      <c r="D1753" s="108" t="s">
        <v>2080</v>
      </c>
      <c r="E1753" s="108" t="s">
        <v>2081</v>
      </c>
      <c r="F1753" s="108" t="s">
        <v>2082</v>
      </c>
      <c r="G1753" s="109" t="s">
        <v>2083</v>
      </c>
      <c r="H1753" s="97"/>
    </row>
    <row r="1754" spans="1:9" s="8" customFormat="1" ht="13.5" thickBot="1">
      <c r="A1754" s="541"/>
      <c r="B1754" s="581" t="s">
        <v>1722</v>
      </c>
      <c r="C1754" s="580" t="s">
        <v>1722</v>
      </c>
      <c r="D1754" s="580" t="s">
        <v>1722</v>
      </c>
      <c r="E1754" s="580" t="s">
        <v>1722</v>
      </c>
      <c r="F1754" s="580" t="s">
        <v>1722</v>
      </c>
      <c r="G1754" s="586" t="s">
        <v>1722</v>
      </c>
      <c r="H1754" s="10"/>
    </row>
    <row r="1755" spans="1:9">
      <c r="A1755" s="464" t="str">
        <f>A7</f>
        <v>Regelzone 50Hertz (gesamt)</v>
      </c>
      <c r="B1755" s="547">
        <f t="shared" ref="B1755:F1755" si="56">+SUM(B1756:B1924)</f>
        <v>178181436.17000005</v>
      </c>
      <c r="C1755" s="151">
        <f t="shared" si="56"/>
        <v>-12264574.399999999</v>
      </c>
      <c r="D1755" s="151">
        <f t="shared" si="56"/>
        <v>0</v>
      </c>
      <c r="E1755" s="151">
        <f>B1755+C1755+D1755</f>
        <v>165916861.77000004</v>
      </c>
      <c r="F1755" s="151">
        <f t="shared" si="56"/>
        <v>685111.31999999972</v>
      </c>
      <c r="G1755" s="152">
        <f>E1755+F1755</f>
        <v>166601973.09000003</v>
      </c>
      <c r="H1755" s="143"/>
    </row>
    <row r="1756" spans="1:9" hidden="1" outlineLevel="1">
      <c r="A1756" s="465" t="s">
        <v>86</v>
      </c>
      <c r="B1756" s="544">
        <v>201136.73</v>
      </c>
      <c r="C1756" s="95">
        <f>+IF(ISNA(VLOOKUP(A1756,'Anlage 2a_Letztverbrauch'!$A$2810:$C$2819,3,0)),0,VLOOKUP(A1756,'Anlage 2a_Letztverbrauch'!$A$2810:$C$2819,3,0))</f>
        <v>0</v>
      </c>
      <c r="D1756" s="95">
        <v>0</v>
      </c>
      <c r="E1756" s="95">
        <f>B1756+C1756+D1756</f>
        <v>201136.73</v>
      </c>
      <c r="F1756" s="95">
        <f>+SUMIF('Anlage 2b_Korrekturen'!$B$8:$B$202,'Anlage 3a_Zusammenfassung_KWKG'!A1756,'Anlage 2b_Korrekturen'!$E$8:$E$202)</f>
        <v>58.409999999999968</v>
      </c>
      <c r="G1756" s="145">
        <f>E1756+F1756</f>
        <v>201195.14</v>
      </c>
      <c r="H1756" s="143"/>
      <c r="I1756" s="99" t="s">
        <v>87</v>
      </c>
    </row>
    <row r="1757" spans="1:9" hidden="1" outlineLevel="1">
      <c r="A1757" s="465" t="s">
        <v>88</v>
      </c>
      <c r="B1757" s="544">
        <v>212251.03</v>
      </c>
      <c r="C1757" s="95">
        <f>+IF(ISNA(VLOOKUP(A1757,'Anlage 2a_Letztverbrauch'!$A$2810:$C$2819,3,0)),0,VLOOKUP(A1757,'Anlage 2a_Letztverbrauch'!$A$2810:$C$2819,3,0))</f>
        <v>0</v>
      </c>
      <c r="D1757" s="95">
        <v>0</v>
      </c>
      <c r="E1757" s="95">
        <f t="shared" ref="E1757:E1819" si="57">B1757+C1757+D1757</f>
        <v>212251.03</v>
      </c>
      <c r="F1757" s="95">
        <f>+SUMIF('Anlage 2b_Korrekturen'!$B$8:$B$202,'Anlage 3a_Zusammenfassung_KWKG'!A1757,'Anlage 2b_Korrekturen'!$E$8:$E$202)</f>
        <v>-382.1</v>
      </c>
      <c r="G1757" s="145">
        <f t="shared" ref="G1757:G1819" si="58">E1757+F1757</f>
        <v>211868.93</v>
      </c>
      <c r="H1757" s="143"/>
      <c r="I1757" s="99" t="s">
        <v>89</v>
      </c>
    </row>
    <row r="1758" spans="1:9" hidden="1" outlineLevel="1">
      <c r="A1758" s="465" t="s">
        <v>90</v>
      </c>
      <c r="B1758" s="544">
        <v>546473.81000000006</v>
      </c>
      <c r="C1758" s="95">
        <f>+IF(ISNA(VLOOKUP(A1758,'Anlage 2a_Letztverbrauch'!$A$2810:$C$2819,3,0)),0,VLOOKUP(A1758,'Anlage 2a_Letztverbrauch'!$A$2810:$C$2819,3,0))</f>
        <v>0</v>
      </c>
      <c r="D1758" s="95">
        <v>0</v>
      </c>
      <c r="E1758" s="95">
        <f t="shared" si="57"/>
        <v>546473.81000000006</v>
      </c>
      <c r="F1758" s="95">
        <f>+SUMIF('Anlage 2b_Korrekturen'!$B$8:$B$202,'Anlage 3a_Zusammenfassung_KWKG'!A1758,'Anlage 2b_Korrekturen'!$E$8:$E$202)</f>
        <v>0</v>
      </c>
      <c r="G1758" s="145">
        <f t="shared" si="58"/>
        <v>546473.81000000006</v>
      </c>
      <c r="H1758" s="143"/>
      <c r="I1758" s="99" t="s">
        <v>91</v>
      </c>
    </row>
    <row r="1759" spans="1:9" hidden="1" outlineLevel="1">
      <c r="A1759" s="465" t="s">
        <v>92</v>
      </c>
      <c r="B1759" s="544">
        <v>158766.56</v>
      </c>
      <c r="C1759" s="95">
        <f>+IF(ISNA(VLOOKUP(A1759,'Anlage 2a_Letztverbrauch'!$A$2810:$C$2819,3,0)),0,VLOOKUP(A1759,'Anlage 2a_Letztverbrauch'!$A$2810:$C$2819,3,0))</f>
        <v>0</v>
      </c>
      <c r="D1759" s="95">
        <v>0</v>
      </c>
      <c r="E1759" s="95">
        <f t="shared" si="57"/>
        <v>158766.56</v>
      </c>
      <c r="F1759" s="95">
        <f>+SUMIF('Anlage 2b_Korrekturen'!$B$8:$B$202,'Anlage 3a_Zusammenfassung_KWKG'!A1759,'Anlage 2b_Korrekturen'!$E$8:$E$202)</f>
        <v>-708.15</v>
      </c>
      <c r="G1759" s="145">
        <f t="shared" si="58"/>
        <v>158058.41</v>
      </c>
      <c r="H1759" s="143"/>
      <c r="I1759" s="99" t="s">
        <v>93</v>
      </c>
    </row>
    <row r="1760" spans="1:9" hidden="1" outlineLevel="1">
      <c r="A1760" s="465" t="s">
        <v>94</v>
      </c>
      <c r="B1760" s="544">
        <v>221853.69</v>
      </c>
      <c r="C1760" s="95">
        <f>+IF(ISNA(VLOOKUP(A1760,'Anlage 2a_Letztverbrauch'!$A$2810:$C$2819,3,0)),0,VLOOKUP(A1760,'Anlage 2a_Letztverbrauch'!$A$2810:$C$2819,3,0))</f>
        <v>0</v>
      </c>
      <c r="D1760" s="95">
        <v>0</v>
      </c>
      <c r="E1760" s="95">
        <f t="shared" si="57"/>
        <v>221853.69</v>
      </c>
      <c r="F1760" s="95">
        <f>+SUMIF('Anlage 2b_Korrekturen'!$B$8:$B$202,'Anlage 3a_Zusammenfassung_KWKG'!A1760,'Anlage 2b_Korrekturen'!$E$8:$E$202)</f>
        <v>869.92000000000007</v>
      </c>
      <c r="G1760" s="145">
        <f t="shared" si="58"/>
        <v>222723.61000000002</v>
      </c>
      <c r="H1760" s="143"/>
      <c r="I1760" s="99" t="s">
        <v>95</v>
      </c>
    </row>
    <row r="1761" spans="1:9" hidden="1" outlineLevel="1">
      <c r="A1761" s="465" t="s">
        <v>96</v>
      </c>
      <c r="B1761" s="544">
        <v>824521.03</v>
      </c>
      <c r="C1761" s="95">
        <f>+IF(ISNA(VLOOKUP(A1761,'Anlage 2a_Letztverbrauch'!$A$2810:$C$2819,3,0)),0,VLOOKUP(A1761,'Anlage 2a_Letztverbrauch'!$A$2810:$C$2819,3,0))</f>
        <v>0</v>
      </c>
      <c r="D1761" s="95">
        <v>0</v>
      </c>
      <c r="E1761" s="95">
        <f t="shared" si="57"/>
        <v>824521.03</v>
      </c>
      <c r="F1761" s="95">
        <f>+SUMIF('Anlage 2b_Korrekturen'!$B$8:$B$202,'Anlage 3a_Zusammenfassung_KWKG'!A1761,'Anlage 2b_Korrekturen'!$E$8:$E$202)</f>
        <v>0</v>
      </c>
      <c r="G1761" s="145">
        <f t="shared" si="58"/>
        <v>824521.03</v>
      </c>
      <c r="H1761" s="143"/>
      <c r="I1761" s="99" t="s">
        <v>97</v>
      </c>
    </row>
    <row r="1762" spans="1:9" hidden="1" outlineLevel="1">
      <c r="A1762" s="465" t="s">
        <v>98</v>
      </c>
      <c r="B1762" s="544">
        <v>221803.98</v>
      </c>
      <c r="C1762" s="95">
        <f>+IF(ISNA(VLOOKUP(A1762,'Anlage 2a_Letztverbrauch'!$A$2810:$C$2819,3,0)),0,VLOOKUP(A1762,'Anlage 2a_Letztverbrauch'!$A$2810:$C$2819,3,0))</f>
        <v>0</v>
      </c>
      <c r="D1762" s="95">
        <v>0</v>
      </c>
      <c r="E1762" s="95">
        <f t="shared" si="57"/>
        <v>221803.98</v>
      </c>
      <c r="F1762" s="95">
        <f>+SUMIF('Anlage 2b_Korrekturen'!$B$8:$B$202,'Anlage 3a_Zusammenfassung_KWKG'!A1762,'Anlage 2b_Korrekturen'!$E$8:$E$202)</f>
        <v>0</v>
      </c>
      <c r="G1762" s="145">
        <f t="shared" si="58"/>
        <v>221803.98</v>
      </c>
      <c r="H1762" s="143"/>
      <c r="I1762" s="99" t="s">
        <v>99</v>
      </c>
    </row>
    <row r="1763" spans="1:9" hidden="1" outlineLevel="1">
      <c r="A1763" s="465" t="s">
        <v>100</v>
      </c>
      <c r="B1763" s="544">
        <v>258674.17</v>
      </c>
      <c r="C1763" s="95">
        <f>+IF(ISNA(VLOOKUP(A1763,'Anlage 2a_Letztverbrauch'!$A$2810:$C$2819,3,0)),0,VLOOKUP(A1763,'Anlage 2a_Letztverbrauch'!$A$2810:$C$2819,3,0))</f>
        <v>0</v>
      </c>
      <c r="D1763" s="95">
        <v>0</v>
      </c>
      <c r="E1763" s="95">
        <f t="shared" si="57"/>
        <v>258674.17</v>
      </c>
      <c r="F1763" s="95">
        <f>+SUMIF('Anlage 2b_Korrekturen'!$B$8:$B$202,'Anlage 3a_Zusammenfassung_KWKG'!A1763,'Anlage 2b_Korrekturen'!$E$8:$E$202)</f>
        <v>1235.6600000000001</v>
      </c>
      <c r="G1763" s="145">
        <f t="shared" si="58"/>
        <v>259909.83000000002</v>
      </c>
      <c r="H1763" s="143"/>
      <c r="I1763" s="99" t="s">
        <v>101</v>
      </c>
    </row>
    <row r="1764" spans="1:9" hidden="1" outlineLevel="1">
      <c r="A1764" s="465" t="s">
        <v>429</v>
      </c>
      <c r="B1764" s="544">
        <v>18663.349999999999</v>
      </c>
      <c r="C1764" s="95">
        <f>+IF(ISNA(VLOOKUP(A1764,'Anlage 2a_Letztverbrauch'!$A$2810:$C$2819,3,0)),0,VLOOKUP(A1764,'Anlage 2a_Letztverbrauch'!$A$2810:$C$2819,3,0))</f>
        <v>0</v>
      </c>
      <c r="D1764" s="95">
        <v>0</v>
      </c>
      <c r="E1764" s="95">
        <f t="shared" si="57"/>
        <v>18663.349999999999</v>
      </c>
      <c r="F1764" s="95">
        <f>+SUMIF('Anlage 2b_Korrekturen'!$B$8:$B$202,'Anlage 3a_Zusammenfassung_KWKG'!A1764,'Anlage 2b_Korrekturen'!$E$8:$E$202)</f>
        <v>0</v>
      </c>
      <c r="G1764" s="145">
        <f t="shared" si="58"/>
        <v>18663.349999999999</v>
      </c>
      <c r="H1764" s="143"/>
      <c r="I1764" s="99" t="s">
        <v>2084</v>
      </c>
    </row>
    <row r="1765" spans="1:9" hidden="1" outlineLevel="1">
      <c r="A1765" s="465" t="s">
        <v>102</v>
      </c>
      <c r="B1765" s="544">
        <v>226736.16</v>
      </c>
      <c r="C1765" s="95">
        <f>+IF(ISNA(VLOOKUP(A1765,'Anlage 2a_Letztverbrauch'!$A$2810:$C$2819,3,0)),0,VLOOKUP(A1765,'Anlage 2a_Letztverbrauch'!$A$2810:$C$2819,3,0))</f>
        <v>0</v>
      </c>
      <c r="D1765" s="95">
        <v>0</v>
      </c>
      <c r="E1765" s="95">
        <f t="shared" si="57"/>
        <v>226736.16</v>
      </c>
      <c r="F1765" s="95">
        <f>+SUMIF('Anlage 2b_Korrekturen'!$B$8:$B$202,'Anlage 3a_Zusammenfassung_KWKG'!A1765,'Anlage 2b_Korrekturen'!$E$8:$E$202)</f>
        <v>0</v>
      </c>
      <c r="G1765" s="145">
        <f t="shared" si="58"/>
        <v>226736.16</v>
      </c>
      <c r="H1765" s="143"/>
      <c r="I1765" s="99" t="s">
        <v>103</v>
      </c>
    </row>
    <row r="1766" spans="1:9" hidden="1" outlineLevel="1">
      <c r="A1766" s="465" t="s">
        <v>104</v>
      </c>
      <c r="B1766" s="544">
        <v>148617.26999999999</v>
      </c>
      <c r="C1766" s="95">
        <f>+IF(ISNA(VLOOKUP(A1766,'Anlage 2a_Letztverbrauch'!$A$2810:$C$2819,3,0)),0,VLOOKUP(A1766,'Anlage 2a_Letztverbrauch'!$A$2810:$C$2819,3,0))</f>
        <v>0</v>
      </c>
      <c r="D1766" s="95">
        <v>0</v>
      </c>
      <c r="E1766" s="95">
        <f t="shared" si="57"/>
        <v>148617.26999999999</v>
      </c>
      <c r="F1766" s="95">
        <f>+SUMIF('Anlage 2b_Korrekturen'!$B$8:$B$202,'Anlage 3a_Zusammenfassung_KWKG'!A1766,'Anlage 2b_Korrekturen'!$E$8:$E$202)</f>
        <v>0</v>
      </c>
      <c r="G1766" s="145">
        <f t="shared" si="58"/>
        <v>148617.26999999999</v>
      </c>
      <c r="H1766" s="143"/>
      <c r="I1766" s="99" t="s">
        <v>105</v>
      </c>
    </row>
    <row r="1767" spans="1:9" hidden="1" outlineLevel="1">
      <c r="A1767" s="465" t="s">
        <v>106</v>
      </c>
      <c r="B1767" s="544">
        <v>399734.1</v>
      </c>
      <c r="C1767" s="95">
        <f>+IF(ISNA(VLOOKUP(A1767,'Anlage 2a_Letztverbrauch'!$A$2810:$C$2819,3,0)),0,VLOOKUP(A1767,'Anlage 2a_Letztverbrauch'!$A$2810:$C$2819,3,0))</f>
        <v>0</v>
      </c>
      <c r="D1767" s="95">
        <v>0</v>
      </c>
      <c r="E1767" s="95">
        <f t="shared" si="57"/>
        <v>399734.1</v>
      </c>
      <c r="F1767" s="95">
        <f>+SUMIF('Anlage 2b_Korrekturen'!$B$8:$B$202,'Anlage 3a_Zusammenfassung_KWKG'!A1767,'Anlage 2b_Korrekturen'!$E$8:$E$202)</f>
        <v>0</v>
      </c>
      <c r="G1767" s="145">
        <f t="shared" si="58"/>
        <v>399734.1</v>
      </c>
      <c r="H1767" s="143"/>
      <c r="I1767" s="99" t="s">
        <v>107</v>
      </c>
    </row>
    <row r="1768" spans="1:9" hidden="1" outlineLevel="1">
      <c r="A1768" s="465" t="s">
        <v>108</v>
      </c>
      <c r="B1768" s="544">
        <v>110955.48</v>
      </c>
      <c r="C1768" s="95">
        <f>+IF(ISNA(VLOOKUP(A1768,'Anlage 2a_Letztverbrauch'!$A$2810:$C$2819,3,0)),0,VLOOKUP(A1768,'Anlage 2a_Letztverbrauch'!$A$2810:$C$2819,3,0))</f>
        <v>0</v>
      </c>
      <c r="D1768" s="95">
        <v>0</v>
      </c>
      <c r="E1768" s="95">
        <f t="shared" si="57"/>
        <v>110955.48</v>
      </c>
      <c r="F1768" s="95">
        <f>+SUMIF('Anlage 2b_Korrekturen'!$B$8:$B$202,'Anlage 3a_Zusammenfassung_KWKG'!A1768,'Anlage 2b_Korrekturen'!$E$8:$E$202)</f>
        <v>0</v>
      </c>
      <c r="G1768" s="145">
        <f t="shared" si="58"/>
        <v>110955.48</v>
      </c>
      <c r="H1768" s="143"/>
      <c r="I1768" s="99" t="s">
        <v>109</v>
      </c>
    </row>
    <row r="1769" spans="1:9" hidden="1" outlineLevel="1">
      <c r="A1769" s="465" t="s">
        <v>110</v>
      </c>
      <c r="B1769" s="544">
        <v>67165.64</v>
      </c>
      <c r="C1769" s="95">
        <f>+IF(ISNA(VLOOKUP(A1769,'Anlage 2a_Letztverbrauch'!$A$2810:$C$2819,3,0)),0,VLOOKUP(A1769,'Anlage 2a_Letztverbrauch'!$A$2810:$C$2819,3,0))</f>
        <v>0</v>
      </c>
      <c r="D1769" s="95">
        <v>0</v>
      </c>
      <c r="E1769" s="95">
        <f t="shared" si="57"/>
        <v>67165.64</v>
      </c>
      <c r="F1769" s="95">
        <f>+SUMIF('Anlage 2b_Korrekturen'!$B$8:$B$202,'Anlage 3a_Zusammenfassung_KWKG'!A1769,'Anlage 2b_Korrekturen'!$E$8:$E$202)</f>
        <v>0</v>
      </c>
      <c r="G1769" s="145">
        <f t="shared" si="58"/>
        <v>67165.64</v>
      </c>
      <c r="H1769" s="143"/>
      <c r="I1769" s="99" t="s">
        <v>111</v>
      </c>
    </row>
    <row r="1770" spans="1:9" hidden="1" outlineLevel="1">
      <c r="A1770" s="465" t="s">
        <v>112</v>
      </c>
      <c r="B1770" s="544">
        <v>487756.48000000004</v>
      </c>
      <c r="C1770" s="95">
        <f>+IF(ISNA(VLOOKUP(A1770,'Anlage 2a_Letztverbrauch'!$A$2810:$C$2819,3,0)),0,VLOOKUP(A1770,'Anlage 2a_Letztverbrauch'!$A$2810:$C$2819,3,0))</f>
        <v>0</v>
      </c>
      <c r="D1770" s="95">
        <v>0</v>
      </c>
      <c r="E1770" s="95">
        <f t="shared" si="57"/>
        <v>487756.48000000004</v>
      </c>
      <c r="F1770" s="95">
        <f>+SUMIF('Anlage 2b_Korrekturen'!$B$8:$B$202,'Anlage 3a_Zusammenfassung_KWKG'!A1770,'Anlage 2b_Korrekturen'!$E$8:$E$202)</f>
        <v>0</v>
      </c>
      <c r="G1770" s="145">
        <f t="shared" si="58"/>
        <v>487756.48000000004</v>
      </c>
      <c r="H1770" s="143"/>
      <c r="I1770" s="99" t="s">
        <v>2085</v>
      </c>
    </row>
    <row r="1771" spans="1:9" hidden="1" outlineLevel="1">
      <c r="A1771" s="465" t="s">
        <v>114</v>
      </c>
      <c r="B1771" s="544">
        <v>21327063.43</v>
      </c>
      <c r="C1771" s="95">
        <f>+IF(ISNA(VLOOKUP(A1771,'Anlage 2a_Letztverbrauch'!$A$2810:$C$2819,3,0)),0,VLOOKUP(A1771,'Anlage 2a_Letztverbrauch'!$A$2810:$C$2819,3,0))</f>
        <v>0</v>
      </c>
      <c r="D1771" s="95">
        <v>0</v>
      </c>
      <c r="E1771" s="95">
        <f t="shared" si="57"/>
        <v>21327063.43</v>
      </c>
      <c r="F1771" s="95">
        <f>+SUMIF('Anlage 2b_Korrekturen'!$B$8:$B$202,'Anlage 3a_Zusammenfassung_KWKG'!A1771,'Anlage 2b_Korrekturen'!$E$8:$E$202)</f>
        <v>-229908.02000000002</v>
      </c>
      <c r="G1771" s="145">
        <f t="shared" si="58"/>
        <v>21097155.41</v>
      </c>
      <c r="H1771" s="143"/>
      <c r="I1771" s="99" t="s">
        <v>115</v>
      </c>
    </row>
    <row r="1772" spans="1:9" hidden="1" outlineLevel="1">
      <c r="A1772" s="465" t="s">
        <v>116</v>
      </c>
      <c r="B1772" s="544">
        <v>1820780.0899999999</v>
      </c>
      <c r="C1772" s="95">
        <f>+IF(ISNA(VLOOKUP(A1772,'Anlage 2a_Letztverbrauch'!$A$2810:$C$2819,3,0)),0,VLOOKUP(A1772,'Anlage 2a_Letztverbrauch'!$A$2810:$C$2819,3,0))</f>
        <v>-13387.92</v>
      </c>
      <c r="D1772" s="95">
        <v>0</v>
      </c>
      <c r="E1772" s="95">
        <f t="shared" si="57"/>
        <v>1807392.17</v>
      </c>
      <c r="F1772" s="95">
        <f>+SUMIF('Anlage 2b_Korrekturen'!$B$8:$B$202,'Anlage 3a_Zusammenfassung_KWKG'!A1772,'Anlage 2b_Korrekturen'!$E$8:$E$202)</f>
        <v>0</v>
      </c>
      <c r="G1772" s="145">
        <f t="shared" si="58"/>
        <v>1807392.17</v>
      </c>
      <c r="H1772" s="143"/>
      <c r="I1772" s="99" t="s">
        <v>117</v>
      </c>
    </row>
    <row r="1773" spans="1:9" hidden="1" outlineLevel="1">
      <c r="A1773" s="465" t="s">
        <v>118</v>
      </c>
      <c r="B1773" s="544">
        <v>280941.90000000002</v>
      </c>
      <c r="C1773" s="95">
        <f>+IF(ISNA(VLOOKUP(A1773,'Anlage 2a_Letztverbrauch'!$A$2810:$C$2819,3,0)),0,VLOOKUP(A1773,'Anlage 2a_Letztverbrauch'!$A$2810:$C$2819,3,0))</f>
        <v>0</v>
      </c>
      <c r="D1773" s="95">
        <v>0</v>
      </c>
      <c r="E1773" s="95">
        <f t="shared" si="57"/>
        <v>280941.90000000002</v>
      </c>
      <c r="F1773" s="95">
        <f>+SUMIF('Anlage 2b_Korrekturen'!$B$8:$B$202,'Anlage 3a_Zusammenfassung_KWKG'!A1773,'Anlage 2b_Korrekturen'!$E$8:$E$202)</f>
        <v>0</v>
      </c>
      <c r="G1773" s="145">
        <f t="shared" si="58"/>
        <v>280941.90000000002</v>
      </c>
      <c r="H1773" s="143"/>
      <c r="I1773" s="99" t="s">
        <v>119</v>
      </c>
    </row>
    <row r="1774" spans="1:9" hidden="1" outlineLevel="1">
      <c r="A1774" s="465" t="s">
        <v>120</v>
      </c>
      <c r="B1774" s="544">
        <v>93003.54</v>
      </c>
      <c r="C1774" s="95">
        <f>+IF(ISNA(VLOOKUP(A1774,'Anlage 2a_Letztverbrauch'!$A$2810:$C$2819,3,0)),0,VLOOKUP(A1774,'Anlage 2a_Letztverbrauch'!$A$2810:$C$2819,3,0))</f>
        <v>0</v>
      </c>
      <c r="D1774" s="95">
        <v>0</v>
      </c>
      <c r="E1774" s="95">
        <f t="shared" si="57"/>
        <v>93003.54</v>
      </c>
      <c r="F1774" s="95">
        <f>+SUMIF('Anlage 2b_Korrekturen'!$B$8:$B$202,'Anlage 3a_Zusammenfassung_KWKG'!A1774,'Anlage 2b_Korrekturen'!$E$8:$E$202)</f>
        <v>1233.96</v>
      </c>
      <c r="G1774" s="145">
        <f t="shared" si="58"/>
        <v>94237.5</v>
      </c>
      <c r="H1774" s="143"/>
      <c r="I1774" s="99" t="s">
        <v>121</v>
      </c>
    </row>
    <row r="1775" spans="1:9" hidden="1" outlineLevel="1">
      <c r="A1775" s="465" t="s">
        <v>122</v>
      </c>
      <c r="B1775" s="544">
        <v>175239</v>
      </c>
      <c r="C1775" s="95">
        <f>+IF(ISNA(VLOOKUP(A1775,'Anlage 2a_Letztverbrauch'!$A$2810:$C$2819,3,0)),0,VLOOKUP(A1775,'Anlage 2a_Letztverbrauch'!$A$2810:$C$2819,3,0))</f>
        <v>0</v>
      </c>
      <c r="D1775" s="95">
        <v>0</v>
      </c>
      <c r="E1775" s="95">
        <f t="shared" si="57"/>
        <v>175239</v>
      </c>
      <c r="F1775" s="95">
        <f>+SUMIF('Anlage 2b_Korrekturen'!$B$8:$B$202,'Anlage 3a_Zusammenfassung_KWKG'!A1775,'Anlage 2b_Korrekturen'!$E$8:$E$202)</f>
        <v>0</v>
      </c>
      <c r="G1775" s="145">
        <f t="shared" si="58"/>
        <v>175239</v>
      </c>
      <c r="H1775" s="143"/>
      <c r="I1775" s="99" t="s">
        <v>123</v>
      </c>
    </row>
    <row r="1776" spans="1:9" hidden="1" outlineLevel="1">
      <c r="A1776" s="465" t="s">
        <v>124</v>
      </c>
      <c r="B1776" s="544">
        <v>93795.55</v>
      </c>
      <c r="C1776" s="95">
        <f>+IF(ISNA(VLOOKUP(A1776,'Anlage 2a_Letztverbrauch'!$A$2810:$C$2819,3,0)),0,VLOOKUP(A1776,'Anlage 2a_Letztverbrauch'!$A$2810:$C$2819,3,0))</f>
        <v>0</v>
      </c>
      <c r="D1776" s="95">
        <v>0</v>
      </c>
      <c r="E1776" s="95">
        <f t="shared" si="57"/>
        <v>93795.55</v>
      </c>
      <c r="F1776" s="95">
        <f>+SUMIF('Anlage 2b_Korrekturen'!$B$8:$B$202,'Anlage 3a_Zusammenfassung_KWKG'!A1776,'Anlage 2b_Korrekturen'!$E$8:$E$202)</f>
        <v>-608.95000000000005</v>
      </c>
      <c r="G1776" s="145">
        <f t="shared" si="58"/>
        <v>93186.6</v>
      </c>
      <c r="H1776" s="143"/>
      <c r="I1776" s="99" t="s">
        <v>125</v>
      </c>
    </row>
    <row r="1777" spans="1:9" hidden="1" outlineLevel="1">
      <c r="A1777" s="465" t="s">
        <v>1854</v>
      </c>
      <c r="B1777" s="544">
        <v>48785.27</v>
      </c>
      <c r="C1777" s="95">
        <f>+IF(ISNA(VLOOKUP(A1777,'Anlage 2a_Letztverbrauch'!$A$2810:$C$2819,3,0)),0,VLOOKUP(A1777,'Anlage 2a_Letztverbrauch'!$A$2810:$C$2819,3,0))</f>
        <v>0</v>
      </c>
      <c r="D1777" s="95">
        <v>0</v>
      </c>
      <c r="E1777" s="95">
        <f t="shared" si="57"/>
        <v>48785.27</v>
      </c>
      <c r="F1777" s="95">
        <f>+SUMIF('Anlage 2b_Korrekturen'!$B$8:$B$202,'Anlage 3a_Zusammenfassung_KWKG'!A1777,'Anlage 2b_Korrekturen'!$E$8:$E$202)</f>
        <v>0</v>
      </c>
      <c r="G1777" s="145">
        <f t="shared" si="58"/>
        <v>48785.27</v>
      </c>
      <c r="H1777" s="143"/>
      <c r="I1777" s="99" t="s">
        <v>2086</v>
      </c>
    </row>
    <row r="1778" spans="1:9" hidden="1" outlineLevel="1">
      <c r="A1778" s="465" t="s">
        <v>126</v>
      </c>
      <c r="B1778" s="544">
        <v>146049.32999999999</v>
      </c>
      <c r="C1778" s="95">
        <f>+IF(ISNA(VLOOKUP(A1778,'Anlage 2a_Letztverbrauch'!$A$2810:$C$2819,3,0)),0,VLOOKUP(A1778,'Anlage 2a_Letztverbrauch'!$A$2810:$C$2819,3,0))</f>
        <v>0</v>
      </c>
      <c r="D1778" s="95">
        <v>0</v>
      </c>
      <c r="E1778" s="95">
        <f t="shared" si="57"/>
        <v>146049.32999999999</v>
      </c>
      <c r="F1778" s="95">
        <f>+SUMIF('Anlage 2b_Korrekturen'!$B$8:$B$202,'Anlage 3a_Zusammenfassung_KWKG'!A1778,'Anlage 2b_Korrekturen'!$E$8:$E$202)</f>
        <v>0</v>
      </c>
      <c r="G1778" s="145">
        <f t="shared" si="58"/>
        <v>146049.32999999999</v>
      </c>
      <c r="H1778" s="143"/>
      <c r="I1778" s="99" t="s">
        <v>127</v>
      </c>
    </row>
    <row r="1779" spans="1:9" hidden="1" outlineLevel="1">
      <c r="A1779" s="465" t="s">
        <v>128</v>
      </c>
      <c r="B1779" s="544">
        <v>167505.70000000001</v>
      </c>
      <c r="C1779" s="95">
        <f>+IF(ISNA(VLOOKUP(A1779,'Anlage 2a_Letztverbrauch'!$A$2810:$C$2819,3,0)),0,VLOOKUP(A1779,'Anlage 2a_Letztverbrauch'!$A$2810:$C$2819,3,0))</f>
        <v>0</v>
      </c>
      <c r="D1779" s="95">
        <v>0</v>
      </c>
      <c r="E1779" s="95">
        <f t="shared" si="57"/>
        <v>167505.70000000001</v>
      </c>
      <c r="F1779" s="95">
        <f>+SUMIF('Anlage 2b_Korrekturen'!$B$8:$B$202,'Anlage 3a_Zusammenfassung_KWKG'!A1779,'Anlage 2b_Korrekturen'!$E$8:$E$202)</f>
        <v>-339.74</v>
      </c>
      <c r="G1779" s="145">
        <f t="shared" si="58"/>
        <v>167165.96000000002</v>
      </c>
      <c r="H1779" s="143"/>
      <c r="I1779" s="99" t="s">
        <v>129</v>
      </c>
    </row>
    <row r="1780" spans="1:9" hidden="1" outlineLevel="1">
      <c r="A1780" s="465" t="s">
        <v>130</v>
      </c>
      <c r="B1780" s="544">
        <v>88080.83</v>
      </c>
      <c r="C1780" s="95">
        <f>+IF(ISNA(VLOOKUP(A1780,'Anlage 2a_Letztverbrauch'!$A$2810:$C$2819,3,0)),0,VLOOKUP(A1780,'Anlage 2a_Letztverbrauch'!$A$2810:$C$2819,3,0))</f>
        <v>0</v>
      </c>
      <c r="D1780" s="95">
        <v>0</v>
      </c>
      <c r="E1780" s="95">
        <f t="shared" si="57"/>
        <v>88080.83</v>
      </c>
      <c r="F1780" s="95">
        <f>+SUMIF('Anlage 2b_Korrekturen'!$B$8:$B$202,'Anlage 3a_Zusammenfassung_KWKG'!A1780,'Anlage 2b_Korrekturen'!$E$8:$E$202)</f>
        <v>0</v>
      </c>
      <c r="G1780" s="145">
        <f t="shared" si="58"/>
        <v>88080.83</v>
      </c>
      <c r="H1780" s="143"/>
      <c r="I1780" s="99" t="s">
        <v>131</v>
      </c>
    </row>
    <row r="1781" spans="1:9" hidden="1" outlineLevel="1">
      <c r="A1781" s="465" t="s">
        <v>132</v>
      </c>
      <c r="B1781" s="544">
        <v>240372.37</v>
      </c>
      <c r="C1781" s="95">
        <f>+IF(ISNA(VLOOKUP(A1781,'Anlage 2a_Letztverbrauch'!$A$2810:$C$2819,3,0)),0,VLOOKUP(A1781,'Anlage 2a_Letztverbrauch'!$A$2810:$C$2819,3,0))</f>
        <v>0</v>
      </c>
      <c r="D1781" s="95">
        <v>0</v>
      </c>
      <c r="E1781" s="95">
        <f t="shared" si="57"/>
        <v>240372.37</v>
      </c>
      <c r="F1781" s="95">
        <f>+SUMIF('Anlage 2b_Korrekturen'!$B$8:$B$202,'Anlage 3a_Zusammenfassung_KWKG'!A1781,'Anlage 2b_Korrekturen'!$E$8:$E$202)</f>
        <v>-88.74</v>
      </c>
      <c r="G1781" s="145">
        <f t="shared" si="58"/>
        <v>240283.63</v>
      </c>
      <c r="H1781" s="143"/>
      <c r="I1781" s="99" t="s">
        <v>133</v>
      </c>
    </row>
    <row r="1782" spans="1:9" hidden="1" outlineLevel="1">
      <c r="A1782" s="465" t="s">
        <v>1855</v>
      </c>
      <c r="B1782" s="544">
        <v>52889.26</v>
      </c>
      <c r="C1782" s="95">
        <f>+IF(ISNA(VLOOKUP(A1782,'Anlage 2a_Letztverbrauch'!$A$2810:$C$2819,3,0)),0,VLOOKUP(A1782,'Anlage 2a_Letztverbrauch'!$A$2810:$C$2819,3,0))</f>
        <v>0</v>
      </c>
      <c r="D1782" s="95">
        <v>0</v>
      </c>
      <c r="E1782" s="95">
        <f t="shared" si="57"/>
        <v>52889.26</v>
      </c>
      <c r="F1782" s="95">
        <f>+SUMIF('Anlage 2b_Korrekturen'!$B$8:$B$202,'Anlage 3a_Zusammenfassung_KWKG'!A1782,'Anlage 2b_Korrekturen'!$E$8:$E$202)</f>
        <v>324.52</v>
      </c>
      <c r="G1782" s="145">
        <f t="shared" si="58"/>
        <v>53213.78</v>
      </c>
      <c r="H1782" s="143"/>
      <c r="I1782" s="99" t="s">
        <v>2019</v>
      </c>
    </row>
    <row r="1783" spans="1:9" hidden="1" outlineLevel="1">
      <c r="A1783" s="465" t="s">
        <v>134</v>
      </c>
      <c r="B1783" s="544">
        <v>248541.32</v>
      </c>
      <c r="C1783" s="95">
        <f>+IF(ISNA(VLOOKUP(A1783,'Anlage 2a_Letztverbrauch'!$A$2810:$C$2819,3,0)),0,VLOOKUP(A1783,'Anlage 2a_Letztverbrauch'!$A$2810:$C$2819,3,0))</f>
        <v>0</v>
      </c>
      <c r="D1783" s="95">
        <v>0</v>
      </c>
      <c r="E1783" s="95">
        <f t="shared" si="57"/>
        <v>248541.32</v>
      </c>
      <c r="F1783" s="95">
        <f>+SUMIF('Anlage 2b_Korrekturen'!$B$8:$B$202,'Anlage 3a_Zusammenfassung_KWKG'!A1783,'Anlage 2b_Korrekturen'!$E$8:$E$202)</f>
        <v>-492.52</v>
      </c>
      <c r="G1783" s="145">
        <f t="shared" si="58"/>
        <v>248048.80000000002</v>
      </c>
      <c r="H1783" s="143"/>
      <c r="I1783" s="99" t="s">
        <v>135</v>
      </c>
    </row>
    <row r="1784" spans="1:9" hidden="1" outlineLevel="1">
      <c r="A1784" s="465" t="s">
        <v>136</v>
      </c>
      <c r="B1784" s="544">
        <v>462862.28</v>
      </c>
      <c r="C1784" s="95">
        <f>+IF(ISNA(VLOOKUP(A1784,'Anlage 2a_Letztverbrauch'!$A$2810:$C$2819,3,0)),0,VLOOKUP(A1784,'Anlage 2a_Letztverbrauch'!$A$2810:$C$2819,3,0))</f>
        <v>0</v>
      </c>
      <c r="D1784" s="95">
        <v>0</v>
      </c>
      <c r="E1784" s="95">
        <f t="shared" si="57"/>
        <v>462862.28</v>
      </c>
      <c r="F1784" s="95">
        <f>+SUMIF('Anlage 2b_Korrekturen'!$B$8:$B$202,'Anlage 3a_Zusammenfassung_KWKG'!A1784,'Anlage 2b_Korrekturen'!$E$8:$E$202)</f>
        <v>4798.3</v>
      </c>
      <c r="G1784" s="145">
        <f t="shared" si="58"/>
        <v>467660.58</v>
      </c>
      <c r="H1784" s="143"/>
      <c r="I1784" s="99" t="s">
        <v>137</v>
      </c>
    </row>
    <row r="1785" spans="1:9" hidden="1" outlineLevel="1">
      <c r="A1785" s="465" t="s">
        <v>138</v>
      </c>
      <c r="B1785" s="544">
        <v>16541.75</v>
      </c>
      <c r="C1785" s="95">
        <f>+IF(ISNA(VLOOKUP(A1785,'Anlage 2a_Letztverbrauch'!$A$2810:$C$2819,3,0)),0,VLOOKUP(A1785,'Anlage 2a_Letztverbrauch'!$A$2810:$C$2819,3,0))</f>
        <v>0</v>
      </c>
      <c r="D1785" s="95">
        <v>0</v>
      </c>
      <c r="E1785" s="95">
        <f t="shared" si="57"/>
        <v>16541.75</v>
      </c>
      <c r="F1785" s="95">
        <f>+SUMIF('Anlage 2b_Korrekturen'!$B$8:$B$202,'Anlage 3a_Zusammenfassung_KWKG'!A1785,'Anlage 2b_Korrekturen'!$E$8:$E$202)</f>
        <v>0</v>
      </c>
      <c r="G1785" s="145">
        <f t="shared" si="58"/>
        <v>16541.75</v>
      </c>
      <c r="H1785" s="143"/>
      <c r="I1785" s="99" t="s">
        <v>139</v>
      </c>
    </row>
    <row r="1786" spans="1:9" hidden="1" outlineLevel="1">
      <c r="A1786" s="465" t="s">
        <v>140</v>
      </c>
      <c r="B1786" s="544">
        <v>114983.66</v>
      </c>
      <c r="C1786" s="95">
        <f>+IF(ISNA(VLOOKUP(A1786,'Anlage 2a_Letztverbrauch'!$A$2810:$C$2819,3,0)),0,VLOOKUP(A1786,'Anlage 2a_Letztverbrauch'!$A$2810:$C$2819,3,0))</f>
        <v>0</v>
      </c>
      <c r="D1786" s="95">
        <v>0</v>
      </c>
      <c r="E1786" s="95">
        <f t="shared" si="57"/>
        <v>114983.66</v>
      </c>
      <c r="F1786" s="95">
        <f>+SUMIF('Anlage 2b_Korrekturen'!$B$8:$B$202,'Anlage 3a_Zusammenfassung_KWKG'!A1786,'Anlage 2b_Korrekturen'!$E$8:$E$202)</f>
        <v>19519.18</v>
      </c>
      <c r="G1786" s="145">
        <f t="shared" si="58"/>
        <v>134502.84</v>
      </c>
      <c r="H1786" s="143"/>
      <c r="I1786" s="99" t="s">
        <v>141</v>
      </c>
    </row>
    <row r="1787" spans="1:9" hidden="1" outlineLevel="1">
      <c r="A1787" s="465" t="s">
        <v>142</v>
      </c>
      <c r="B1787" s="544">
        <v>75805.66</v>
      </c>
      <c r="C1787" s="95">
        <f>+IF(ISNA(VLOOKUP(A1787,'Anlage 2a_Letztverbrauch'!$A$2810:$C$2819,3,0)),0,VLOOKUP(A1787,'Anlage 2a_Letztverbrauch'!$A$2810:$C$2819,3,0))</f>
        <v>0</v>
      </c>
      <c r="D1787" s="95">
        <v>0</v>
      </c>
      <c r="E1787" s="95">
        <f t="shared" si="57"/>
        <v>75805.66</v>
      </c>
      <c r="F1787" s="95">
        <f>+SUMIF('Anlage 2b_Korrekturen'!$B$8:$B$202,'Anlage 3a_Zusammenfassung_KWKG'!A1787,'Anlage 2b_Korrekturen'!$E$8:$E$202)</f>
        <v>0</v>
      </c>
      <c r="G1787" s="145">
        <f t="shared" si="58"/>
        <v>75805.66</v>
      </c>
      <c r="H1787" s="143"/>
      <c r="I1787" s="99" t="s">
        <v>143</v>
      </c>
    </row>
    <row r="1788" spans="1:9" hidden="1" outlineLevel="1">
      <c r="A1788" s="465" t="s">
        <v>144</v>
      </c>
      <c r="B1788" s="544">
        <v>273142.21999999997</v>
      </c>
      <c r="C1788" s="95">
        <f>+IF(ISNA(VLOOKUP(A1788,'Anlage 2a_Letztverbrauch'!$A$2810:$C$2819,3,0)),0,VLOOKUP(A1788,'Anlage 2a_Letztverbrauch'!$A$2810:$C$2819,3,0))</f>
        <v>0</v>
      </c>
      <c r="D1788" s="95">
        <v>0</v>
      </c>
      <c r="E1788" s="95">
        <f t="shared" si="57"/>
        <v>273142.21999999997</v>
      </c>
      <c r="F1788" s="95">
        <f>+SUMIF('Anlage 2b_Korrekturen'!$B$8:$B$202,'Anlage 3a_Zusammenfassung_KWKG'!A1788,'Anlage 2b_Korrekturen'!$E$8:$E$202)</f>
        <v>959.33999999999992</v>
      </c>
      <c r="G1788" s="145">
        <f t="shared" si="58"/>
        <v>274101.56</v>
      </c>
      <c r="H1788" s="143"/>
      <c r="I1788" s="99" t="s">
        <v>2087</v>
      </c>
    </row>
    <row r="1789" spans="1:9" hidden="1" outlineLevel="1">
      <c r="A1789" s="465" t="s">
        <v>146</v>
      </c>
      <c r="B1789" s="544">
        <v>214430.98</v>
      </c>
      <c r="C1789" s="95">
        <f>+IF(ISNA(VLOOKUP(A1789,'Anlage 2a_Letztverbrauch'!$A$2810:$C$2819,3,0)),0,VLOOKUP(A1789,'Anlage 2a_Letztverbrauch'!$A$2810:$C$2819,3,0))</f>
        <v>0</v>
      </c>
      <c r="D1789" s="95">
        <v>0</v>
      </c>
      <c r="E1789" s="95">
        <f t="shared" si="57"/>
        <v>214430.98</v>
      </c>
      <c r="F1789" s="95">
        <f>+SUMIF('Anlage 2b_Korrekturen'!$B$8:$B$202,'Anlage 3a_Zusammenfassung_KWKG'!A1789,'Anlage 2b_Korrekturen'!$E$8:$E$202)</f>
        <v>0</v>
      </c>
      <c r="G1789" s="145">
        <f t="shared" si="58"/>
        <v>214430.98</v>
      </c>
      <c r="H1789" s="143"/>
      <c r="I1789" s="99" t="s">
        <v>147</v>
      </c>
    </row>
    <row r="1790" spans="1:9" hidden="1" outlineLevel="1">
      <c r="A1790" s="465" t="s">
        <v>148</v>
      </c>
      <c r="B1790" s="544">
        <v>697728.42</v>
      </c>
      <c r="C1790" s="95">
        <f>+IF(ISNA(VLOOKUP(A1790,'Anlage 2a_Letztverbrauch'!$A$2810:$C$2819,3,0)),0,VLOOKUP(A1790,'Anlage 2a_Letztverbrauch'!$A$2810:$C$2819,3,0))</f>
        <v>0</v>
      </c>
      <c r="D1790" s="95">
        <v>0</v>
      </c>
      <c r="E1790" s="95">
        <f t="shared" si="57"/>
        <v>697728.42</v>
      </c>
      <c r="F1790" s="95">
        <f>+SUMIF('Anlage 2b_Korrekturen'!$B$8:$B$202,'Anlage 3a_Zusammenfassung_KWKG'!A1790,'Anlage 2b_Korrekturen'!$E$8:$E$202)</f>
        <v>0</v>
      </c>
      <c r="G1790" s="145">
        <f t="shared" si="58"/>
        <v>697728.42</v>
      </c>
      <c r="H1790" s="143"/>
      <c r="I1790" s="99" t="s">
        <v>149</v>
      </c>
    </row>
    <row r="1791" spans="1:9" hidden="1" outlineLevel="1">
      <c r="A1791" s="465" t="s">
        <v>150</v>
      </c>
      <c r="B1791" s="544">
        <v>216223.29</v>
      </c>
      <c r="C1791" s="95">
        <f>+IF(ISNA(VLOOKUP(A1791,'Anlage 2a_Letztverbrauch'!$A$2810:$C$2819,3,0)),0,VLOOKUP(A1791,'Anlage 2a_Letztverbrauch'!$A$2810:$C$2819,3,0))</f>
        <v>0</v>
      </c>
      <c r="D1791" s="95">
        <v>0</v>
      </c>
      <c r="E1791" s="95">
        <f t="shared" si="57"/>
        <v>216223.29</v>
      </c>
      <c r="F1791" s="95">
        <f>+SUMIF('Anlage 2b_Korrekturen'!$B$8:$B$202,'Anlage 3a_Zusammenfassung_KWKG'!A1791,'Anlage 2b_Korrekturen'!$E$8:$E$202)</f>
        <v>6348.14</v>
      </c>
      <c r="G1791" s="145">
        <f t="shared" si="58"/>
        <v>222571.43000000002</v>
      </c>
      <c r="H1791" s="143"/>
      <c r="I1791" s="99" t="s">
        <v>151</v>
      </c>
    </row>
    <row r="1792" spans="1:9" hidden="1" outlineLevel="1">
      <c r="A1792" s="465" t="s">
        <v>152</v>
      </c>
      <c r="B1792" s="544">
        <v>161335.18</v>
      </c>
      <c r="C1792" s="95">
        <f>+IF(ISNA(VLOOKUP(A1792,'Anlage 2a_Letztverbrauch'!$A$2810:$C$2819,3,0)),0,VLOOKUP(A1792,'Anlage 2a_Letztverbrauch'!$A$2810:$C$2819,3,0))</f>
        <v>0</v>
      </c>
      <c r="D1792" s="95">
        <v>0</v>
      </c>
      <c r="E1792" s="95">
        <f t="shared" si="57"/>
        <v>161335.18</v>
      </c>
      <c r="F1792" s="95">
        <f>+SUMIF('Anlage 2b_Korrekturen'!$B$8:$B$202,'Anlage 3a_Zusammenfassung_KWKG'!A1792,'Anlage 2b_Korrekturen'!$E$8:$E$202)</f>
        <v>0</v>
      </c>
      <c r="G1792" s="145">
        <f t="shared" si="58"/>
        <v>161335.18</v>
      </c>
      <c r="H1792" s="143"/>
      <c r="I1792" s="99" t="s">
        <v>153</v>
      </c>
    </row>
    <row r="1793" spans="1:9" hidden="1" outlineLevel="1">
      <c r="A1793" s="465" t="s">
        <v>154</v>
      </c>
      <c r="B1793" s="544">
        <v>519933.95</v>
      </c>
      <c r="C1793" s="95">
        <f>+IF(ISNA(VLOOKUP(A1793,'Anlage 2a_Letztverbrauch'!$A$2810:$C$2819,3,0)),0,VLOOKUP(A1793,'Anlage 2a_Letztverbrauch'!$A$2810:$C$2819,3,0))</f>
        <v>0</v>
      </c>
      <c r="D1793" s="95">
        <v>0</v>
      </c>
      <c r="E1793" s="95">
        <f t="shared" si="57"/>
        <v>519933.95</v>
      </c>
      <c r="F1793" s="95">
        <f>+SUMIF('Anlage 2b_Korrekturen'!$B$8:$B$202,'Anlage 3a_Zusammenfassung_KWKG'!A1793,'Anlage 2b_Korrekturen'!$E$8:$E$202)</f>
        <v>-3542.1800000000003</v>
      </c>
      <c r="G1793" s="145">
        <f t="shared" si="58"/>
        <v>516391.77</v>
      </c>
      <c r="H1793" s="143"/>
      <c r="I1793" s="99" t="s">
        <v>155</v>
      </c>
    </row>
    <row r="1794" spans="1:9" hidden="1" outlineLevel="1">
      <c r="A1794" s="465" t="s">
        <v>156</v>
      </c>
      <c r="B1794" s="544">
        <v>111183.95</v>
      </c>
      <c r="C1794" s="95">
        <f>+IF(ISNA(VLOOKUP(A1794,'Anlage 2a_Letztverbrauch'!$A$2810:$C$2819,3,0)),0,VLOOKUP(A1794,'Anlage 2a_Letztverbrauch'!$A$2810:$C$2819,3,0))</f>
        <v>0</v>
      </c>
      <c r="D1794" s="95">
        <v>0</v>
      </c>
      <c r="E1794" s="95">
        <f t="shared" si="57"/>
        <v>111183.95</v>
      </c>
      <c r="F1794" s="95">
        <f>+SUMIF('Anlage 2b_Korrekturen'!$B$8:$B$202,'Anlage 3a_Zusammenfassung_KWKG'!A1794,'Anlage 2b_Korrekturen'!$E$8:$E$202)</f>
        <v>0</v>
      </c>
      <c r="G1794" s="145">
        <f t="shared" si="58"/>
        <v>111183.95</v>
      </c>
      <c r="H1794" s="143"/>
      <c r="I1794" s="99" t="s">
        <v>157</v>
      </c>
    </row>
    <row r="1795" spans="1:9" hidden="1" outlineLevel="1">
      <c r="A1795" s="465" t="s">
        <v>158</v>
      </c>
      <c r="B1795" s="544">
        <v>227146.14</v>
      </c>
      <c r="C1795" s="95">
        <f>+IF(ISNA(VLOOKUP(A1795,'Anlage 2a_Letztverbrauch'!$A$2810:$C$2819,3,0)),0,VLOOKUP(A1795,'Anlage 2a_Letztverbrauch'!$A$2810:$C$2819,3,0))</f>
        <v>0</v>
      </c>
      <c r="D1795" s="95">
        <v>0</v>
      </c>
      <c r="E1795" s="95">
        <f t="shared" si="57"/>
        <v>227146.14</v>
      </c>
      <c r="F1795" s="95">
        <f>+SUMIF('Anlage 2b_Korrekturen'!$B$8:$B$202,'Anlage 3a_Zusammenfassung_KWKG'!A1795,'Anlage 2b_Korrekturen'!$E$8:$E$202)</f>
        <v>-2340.25</v>
      </c>
      <c r="G1795" s="145">
        <f t="shared" si="58"/>
        <v>224805.89</v>
      </c>
      <c r="H1795" s="143"/>
      <c r="I1795" s="99" t="s">
        <v>159</v>
      </c>
    </row>
    <row r="1796" spans="1:9" hidden="1" outlineLevel="1">
      <c r="A1796" s="465" t="s">
        <v>160</v>
      </c>
      <c r="B1796" s="544">
        <v>313373.71000000002</v>
      </c>
      <c r="C1796" s="95">
        <f>+IF(ISNA(VLOOKUP(A1796,'Anlage 2a_Letztverbrauch'!$A$2810:$C$2819,3,0)),0,VLOOKUP(A1796,'Anlage 2a_Letztverbrauch'!$A$2810:$C$2819,3,0))</f>
        <v>0</v>
      </c>
      <c r="D1796" s="95">
        <v>0</v>
      </c>
      <c r="E1796" s="95">
        <f t="shared" si="57"/>
        <v>313373.71000000002</v>
      </c>
      <c r="F1796" s="95">
        <f>+SUMIF('Anlage 2b_Korrekturen'!$B$8:$B$202,'Anlage 3a_Zusammenfassung_KWKG'!A1796,'Anlage 2b_Korrekturen'!$E$8:$E$202)</f>
        <v>308.66000000000003</v>
      </c>
      <c r="G1796" s="145">
        <f t="shared" si="58"/>
        <v>313682.37</v>
      </c>
      <c r="H1796" s="143"/>
      <c r="I1796" s="99" t="s">
        <v>161</v>
      </c>
    </row>
    <row r="1797" spans="1:9" hidden="1" outlineLevel="1">
      <c r="A1797" s="465" t="s">
        <v>162</v>
      </c>
      <c r="B1797" s="544">
        <v>100902.98</v>
      </c>
      <c r="C1797" s="95">
        <f>+IF(ISNA(VLOOKUP(A1797,'Anlage 2a_Letztverbrauch'!$A$2810:$C$2819,3,0)),0,VLOOKUP(A1797,'Anlage 2a_Letztverbrauch'!$A$2810:$C$2819,3,0))</f>
        <v>0</v>
      </c>
      <c r="D1797" s="95">
        <v>0</v>
      </c>
      <c r="E1797" s="95">
        <f t="shared" si="57"/>
        <v>100902.98</v>
      </c>
      <c r="F1797" s="95">
        <f>+SUMIF('Anlage 2b_Korrekturen'!$B$8:$B$202,'Anlage 3a_Zusammenfassung_KWKG'!A1797,'Anlage 2b_Korrekturen'!$E$8:$E$202)</f>
        <v>-503.37</v>
      </c>
      <c r="G1797" s="145">
        <f t="shared" si="58"/>
        <v>100399.61</v>
      </c>
      <c r="H1797" s="143"/>
      <c r="I1797" s="99" t="s">
        <v>163</v>
      </c>
    </row>
    <row r="1798" spans="1:9" hidden="1" outlineLevel="1">
      <c r="A1798" s="465" t="s">
        <v>164</v>
      </c>
      <c r="B1798" s="544">
        <v>93147.39</v>
      </c>
      <c r="C1798" s="95">
        <f>+IF(ISNA(VLOOKUP(A1798,'Anlage 2a_Letztverbrauch'!$A$2810:$C$2819,3,0)),0,VLOOKUP(A1798,'Anlage 2a_Letztverbrauch'!$A$2810:$C$2819,3,0))</f>
        <v>0</v>
      </c>
      <c r="D1798" s="95">
        <v>0</v>
      </c>
      <c r="E1798" s="95">
        <f t="shared" si="57"/>
        <v>93147.39</v>
      </c>
      <c r="F1798" s="95">
        <f>+SUMIF('Anlage 2b_Korrekturen'!$B$8:$B$202,'Anlage 3a_Zusammenfassung_KWKG'!A1798,'Anlage 2b_Korrekturen'!$E$8:$E$202)</f>
        <v>0</v>
      </c>
      <c r="G1798" s="145">
        <f t="shared" si="58"/>
        <v>93147.39</v>
      </c>
      <c r="H1798" s="143"/>
      <c r="I1798" s="99" t="s">
        <v>165</v>
      </c>
    </row>
    <row r="1799" spans="1:9" hidden="1" outlineLevel="1">
      <c r="A1799" s="465" t="s">
        <v>166</v>
      </c>
      <c r="B1799" s="544">
        <v>2503278.54</v>
      </c>
      <c r="C1799" s="95">
        <f>+IF(ISNA(VLOOKUP(A1799,'Anlage 2a_Letztverbrauch'!$A$2810:$C$2819,3,0)),0,VLOOKUP(A1799,'Anlage 2a_Letztverbrauch'!$A$2810:$C$2819,3,0))</f>
        <v>0</v>
      </c>
      <c r="D1799" s="95">
        <v>0</v>
      </c>
      <c r="E1799" s="95">
        <f t="shared" si="57"/>
        <v>2503278.54</v>
      </c>
      <c r="F1799" s="95">
        <f>+SUMIF('Anlage 2b_Korrekturen'!$B$8:$B$202,'Anlage 3a_Zusammenfassung_KWKG'!A1799,'Anlage 2b_Korrekturen'!$E$8:$E$202)</f>
        <v>-127588.43000000001</v>
      </c>
      <c r="G1799" s="145">
        <f t="shared" si="58"/>
        <v>2375690.11</v>
      </c>
      <c r="H1799" s="143"/>
      <c r="I1799" s="99" t="s">
        <v>167</v>
      </c>
    </row>
    <row r="1800" spans="1:9" hidden="1" outlineLevel="1">
      <c r="A1800" s="465" t="s">
        <v>168</v>
      </c>
      <c r="B1800" s="544">
        <v>1408345.46</v>
      </c>
      <c r="C1800" s="95">
        <f>+IF(ISNA(VLOOKUP(A1800,'Anlage 2a_Letztverbrauch'!$A$2810:$C$2819,3,0)),0,VLOOKUP(A1800,'Anlage 2a_Letztverbrauch'!$A$2810:$C$2819,3,0))</f>
        <v>0</v>
      </c>
      <c r="D1800" s="95">
        <v>0</v>
      </c>
      <c r="E1800" s="95">
        <f t="shared" si="57"/>
        <v>1408345.46</v>
      </c>
      <c r="F1800" s="95">
        <f>+SUMIF('Anlage 2b_Korrekturen'!$B$8:$B$202,'Anlage 3a_Zusammenfassung_KWKG'!A1800,'Anlage 2b_Korrekturen'!$E$8:$E$202)</f>
        <v>1228.8799999999999</v>
      </c>
      <c r="G1800" s="145">
        <f t="shared" si="58"/>
        <v>1409574.3399999999</v>
      </c>
      <c r="H1800" s="143"/>
      <c r="I1800" s="99" t="s">
        <v>169</v>
      </c>
    </row>
    <row r="1801" spans="1:9" hidden="1" outlineLevel="1">
      <c r="A1801" s="465" t="s">
        <v>170</v>
      </c>
      <c r="B1801" s="544">
        <v>142844.79</v>
      </c>
      <c r="C1801" s="95">
        <f>+IF(ISNA(VLOOKUP(A1801,'Anlage 2a_Letztverbrauch'!$A$2810:$C$2819,3,0)),0,VLOOKUP(A1801,'Anlage 2a_Letztverbrauch'!$A$2810:$C$2819,3,0))</f>
        <v>0</v>
      </c>
      <c r="D1801" s="95">
        <v>0</v>
      </c>
      <c r="E1801" s="95">
        <f t="shared" si="57"/>
        <v>142844.79</v>
      </c>
      <c r="F1801" s="95">
        <f>+SUMIF('Anlage 2b_Korrekturen'!$B$8:$B$202,'Anlage 3a_Zusammenfassung_KWKG'!A1801,'Anlage 2b_Korrekturen'!$E$8:$E$202)</f>
        <v>104.34</v>
      </c>
      <c r="G1801" s="145">
        <f t="shared" si="58"/>
        <v>142949.13</v>
      </c>
      <c r="H1801" s="143"/>
      <c r="I1801" s="99" t="s">
        <v>171</v>
      </c>
    </row>
    <row r="1802" spans="1:9" hidden="1" outlineLevel="1">
      <c r="A1802" s="465" t="s">
        <v>172</v>
      </c>
      <c r="B1802" s="544">
        <v>5060.78</v>
      </c>
      <c r="C1802" s="95">
        <f>+IF(ISNA(VLOOKUP(A1802,'Anlage 2a_Letztverbrauch'!$A$2810:$C$2819,3,0)),0,VLOOKUP(A1802,'Anlage 2a_Letztverbrauch'!$A$2810:$C$2819,3,0))</f>
        <v>0</v>
      </c>
      <c r="D1802" s="95">
        <v>0</v>
      </c>
      <c r="E1802" s="95">
        <f t="shared" si="57"/>
        <v>5060.78</v>
      </c>
      <c r="F1802" s="95">
        <f>+SUMIF('Anlage 2b_Korrekturen'!$B$8:$B$202,'Anlage 3a_Zusammenfassung_KWKG'!A1802,'Anlage 2b_Korrekturen'!$E$8:$E$202)</f>
        <v>85.39</v>
      </c>
      <c r="G1802" s="145">
        <f t="shared" si="58"/>
        <v>5146.17</v>
      </c>
      <c r="H1802" s="143"/>
      <c r="I1802" s="99" t="s">
        <v>173</v>
      </c>
    </row>
    <row r="1803" spans="1:9" hidden="1" outlineLevel="1">
      <c r="A1803" s="465" t="s">
        <v>174</v>
      </c>
      <c r="B1803" s="544">
        <v>85402.12</v>
      </c>
      <c r="C1803" s="95">
        <f>+IF(ISNA(VLOOKUP(A1803,'Anlage 2a_Letztverbrauch'!$A$2810:$C$2819,3,0)),0,VLOOKUP(A1803,'Anlage 2a_Letztverbrauch'!$A$2810:$C$2819,3,0))</f>
        <v>0</v>
      </c>
      <c r="D1803" s="95">
        <v>0</v>
      </c>
      <c r="E1803" s="95">
        <f t="shared" si="57"/>
        <v>85402.12</v>
      </c>
      <c r="F1803" s="95">
        <f>+SUMIF('Anlage 2b_Korrekturen'!$B$8:$B$202,'Anlage 3a_Zusammenfassung_KWKG'!A1803,'Anlage 2b_Korrekturen'!$E$8:$E$202)</f>
        <v>0</v>
      </c>
      <c r="G1803" s="145">
        <f t="shared" si="58"/>
        <v>85402.12</v>
      </c>
      <c r="H1803" s="143"/>
      <c r="I1803" s="99" t="s">
        <v>175</v>
      </c>
    </row>
    <row r="1804" spans="1:9" hidden="1" outlineLevel="1">
      <c r="A1804" s="465" t="s">
        <v>176</v>
      </c>
      <c r="B1804" s="544">
        <v>630318.06000000006</v>
      </c>
      <c r="C1804" s="95">
        <f>+IF(ISNA(VLOOKUP(A1804,'Anlage 2a_Letztverbrauch'!$A$2810:$C$2819,3,0)),0,VLOOKUP(A1804,'Anlage 2a_Letztverbrauch'!$A$2810:$C$2819,3,0))</f>
        <v>0</v>
      </c>
      <c r="D1804" s="95">
        <v>0</v>
      </c>
      <c r="E1804" s="95">
        <f t="shared" si="57"/>
        <v>630318.06000000006</v>
      </c>
      <c r="F1804" s="95">
        <f>+SUMIF('Anlage 2b_Korrekturen'!$B$8:$B$202,'Anlage 3a_Zusammenfassung_KWKG'!A1804,'Anlage 2b_Korrekturen'!$E$8:$E$202)</f>
        <v>0</v>
      </c>
      <c r="G1804" s="145">
        <f t="shared" si="58"/>
        <v>630318.06000000006</v>
      </c>
      <c r="H1804" s="143"/>
      <c r="I1804" s="99" t="s">
        <v>177</v>
      </c>
    </row>
    <row r="1805" spans="1:9" hidden="1" outlineLevel="1">
      <c r="A1805" s="465" t="s">
        <v>178</v>
      </c>
      <c r="B1805" s="544">
        <v>269555.76</v>
      </c>
      <c r="C1805" s="95">
        <f>+IF(ISNA(VLOOKUP(A1805,'Anlage 2a_Letztverbrauch'!$A$2810:$C$2819,3,0)),0,VLOOKUP(A1805,'Anlage 2a_Letztverbrauch'!$A$2810:$C$2819,3,0))</f>
        <v>0</v>
      </c>
      <c r="D1805" s="95">
        <v>0</v>
      </c>
      <c r="E1805" s="95">
        <f t="shared" si="57"/>
        <v>269555.76</v>
      </c>
      <c r="F1805" s="95">
        <f>+SUMIF('Anlage 2b_Korrekturen'!$B$8:$B$202,'Anlage 3a_Zusammenfassung_KWKG'!A1805,'Anlage 2b_Korrekturen'!$E$8:$E$202)</f>
        <v>0</v>
      </c>
      <c r="G1805" s="145">
        <f t="shared" si="58"/>
        <v>269555.76</v>
      </c>
      <c r="H1805" s="143"/>
      <c r="I1805" s="99" t="s">
        <v>179</v>
      </c>
    </row>
    <row r="1806" spans="1:9" hidden="1" outlineLevel="1">
      <c r="A1806" s="465" t="s">
        <v>180</v>
      </c>
      <c r="B1806" s="544">
        <v>118572.99</v>
      </c>
      <c r="C1806" s="95">
        <f>+IF(ISNA(VLOOKUP(A1806,'Anlage 2a_Letztverbrauch'!$A$2810:$C$2819,3,0)),0,VLOOKUP(A1806,'Anlage 2a_Letztverbrauch'!$A$2810:$C$2819,3,0))</f>
        <v>0</v>
      </c>
      <c r="D1806" s="95">
        <v>0</v>
      </c>
      <c r="E1806" s="95">
        <f t="shared" si="57"/>
        <v>118572.99</v>
      </c>
      <c r="F1806" s="95">
        <f>+SUMIF('Anlage 2b_Korrekturen'!$B$8:$B$202,'Anlage 3a_Zusammenfassung_KWKG'!A1806,'Anlage 2b_Korrekturen'!$E$8:$E$202)</f>
        <v>0</v>
      </c>
      <c r="G1806" s="145">
        <f t="shared" si="58"/>
        <v>118572.99</v>
      </c>
      <c r="H1806" s="143"/>
      <c r="I1806" s="99" t="s">
        <v>181</v>
      </c>
    </row>
    <row r="1807" spans="1:9" hidden="1" outlineLevel="1">
      <c r="A1807" s="465" t="s">
        <v>182</v>
      </c>
      <c r="B1807" s="544">
        <v>608482.05000000005</v>
      </c>
      <c r="C1807" s="95">
        <f>+IF(ISNA(VLOOKUP(A1807,'Anlage 2a_Letztverbrauch'!$A$2810:$C$2819,3,0)),0,VLOOKUP(A1807,'Anlage 2a_Letztverbrauch'!$A$2810:$C$2819,3,0))</f>
        <v>0</v>
      </c>
      <c r="D1807" s="95">
        <v>0</v>
      </c>
      <c r="E1807" s="95">
        <f t="shared" si="57"/>
        <v>608482.05000000005</v>
      </c>
      <c r="F1807" s="95">
        <f>+SUMIF('Anlage 2b_Korrekturen'!$B$8:$B$202,'Anlage 3a_Zusammenfassung_KWKG'!A1807,'Anlage 2b_Korrekturen'!$E$8:$E$202)</f>
        <v>-7475.1399999999994</v>
      </c>
      <c r="G1807" s="145">
        <f t="shared" si="58"/>
        <v>601006.91</v>
      </c>
      <c r="H1807" s="143"/>
      <c r="I1807" s="99" t="s">
        <v>183</v>
      </c>
    </row>
    <row r="1808" spans="1:9" hidden="1" outlineLevel="1">
      <c r="A1808" s="465" t="s">
        <v>184</v>
      </c>
      <c r="B1808" s="544">
        <v>95758.14</v>
      </c>
      <c r="C1808" s="95">
        <f>+IF(ISNA(VLOOKUP(A1808,'Anlage 2a_Letztverbrauch'!$A$2810:$C$2819,3,0)),0,VLOOKUP(A1808,'Anlage 2a_Letztverbrauch'!$A$2810:$C$2819,3,0))</f>
        <v>0</v>
      </c>
      <c r="D1808" s="95">
        <v>0</v>
      </c>
      <c r="E1808" s="95">
        <f t="shared" si="57"/>
        <v>95758.14</v>
      </c>
      <c r="F1808" s="95">
        <f>+SUMIF('Anlage 2b_Korrekturen'!$B$8:$B$202,'Anlage 3a_Zusammenfassung_KWKG'!A1808,'Anlage 2b_Korrekturen'!$E$8:$E$202)</f>
        <v>0</v>
      </c>
      <c r="G1808" s="145">
        <f t="shared" si="58"/>
        <v>95758.14</v>
      </c>
      <c r="H1808" s="143"/>
      <c r="I1808" s="99" t="s">
        <v>185</v>
      </c>
    </row>
    <row r="1809" spans="1:9" hidden="1" outlineLevel="1">
      <c r="A1809" s="465" t="s">
        <v>186</v>
      </c>
      <c r="B1809" s="544">
        <v>171166.5</v>
      </c>
      <c r="C1809" s="95">
        <f>+IF(ISNA(VLOOKUP(A1809,'Anlage 2a_Letztverbrauch'!$A$2810:$C$2819,3,0)),0,VLOOKUP(A1809,'Anlage 2a_Letztverbrauch'!$A$2810:$C$2819,3,0))</f>
        <v>0</v>
      </c>
      <c r="D1809" s="95">
        <v>0</v>
      </c>
      <c r="E1809" s="95">
        <f t="shared" si="57"/>
        <v>171166.5</v>
      </c>
      <c r="F1809" s="95">
        <f>+SUMIF('Anlage 2b_Korrekturen'!$B$8:$B$202,'Anlage 3a_Zusammenfassung_KWKG'!A1809,'Anlage 2b_Korrekturen'!$E$8:$E$202)</f>
        <v>0</v>
      </c>
      <c r="G1809" s="145">
        <f t="shared" si="58"/>
        <v>171166.5</v>
      </c>
      <c r="H1809" s="143"/>
      <c r="I1809" s="99" t="s">
        <v>187</v>
      </c>
    </row>
    <row r="1810" spans="1:9" hidden="1" outlineLevel="1">
      <c r="A1810" s="465" t="s">
        <v>188</v>
      </c>
      <c r="B1810" s="544">
        <v>249669.26</v>
      </c>
      <c r="C1810" s="95">
        <f>+IF(ISNA(VLOOKUP(A1810,'Anlage 2a_Letztverbrauch'!$A$2810:$C$2819,3,0)),0,VLOOKUP(A1810,'Anlage 2a_Letztverbrauch'!$A$2810:$C$2819,3,0))</f>
        <v>0</v>
      </c>
      <c r="D1810" s="95">
        <v>0</v>
      </c>
      <c r="E1810" s="95">
        <f t="shared" si="57"/>
        <v>249669.26</v>
      </c>
      <c r="F1810" s="95">
        <f>+SUMIF('Anlage 2b_Korrekturen'!$B$8:$B$202,'Anlage 3a_Zusammenfassung_KWKG'!A1810,'Anlage 2b_Korrekturen'!$E$8:$E$202)</f>
        <v>-641.69000000000051</v>
      </c>
      <c r="G1810" s="145">
        <f t="shared" si="58"/>
        <v>249027.57</v>
      </c>
      <c r="H1810" s="143"/>
      <c r="I1810" s="99" t="s">
        <v>189</v>
      </c>
    </row>
    <row r="1811" spans="1:9" hidden="1" outlineLevel="1">
      <c r="A1811" s="465" t="s">
        <v>190</v>
      </c>
      <c r="B1811" s="544">
        <v>2029192.74</v>
      </c>
      <c r="C1811" s="95">
        <f>+IF(ISNA(VLOOKUP(A1811,'Anlage 2a_Letztverbrauch'!$A$2810:$C$2819,3,0)),0,VLOOKUP(A1811,'Anlage 2a_Letztverbrauch'!$A$2810:$C$2819,3,0))</f>
        <v>0</v>
      </c>
      <c r="D1811" s="95">
        <v>0</v>
      </c>
      <c r="E1811" s="95">
        <f t="shared" si="57"/>
        <v>2029192.74</v>
      </c>
      <c r="F1811" s="95">
        <f>+SUMIF('Anlage 2b_Korrekturen'!$B$8:$B$202,'Anlage 3a_Zusammenfassung_KWKG'!A1811,'Anlage 2b_Korrekturen'!$E$8:$E$202)</f>
        <v>-533.29000000000008</v>
      </c>
      <c r="G1811" s="145">
        <f t="shared" si="58"/>
        <v>2028659.45</v>
      </c>
      <c r="H1811" s="143"/>
      <c r="I1811" s="99" t="s">
        <v>191</v>
      </c>
    </row>
    <row r="1812" spans="1:9" hidden="1" outlineLevel="1">
      <c r="A1812" s="465" t="s">
        <v>192</v>
      </c>
      <c r="B1812" s="544">
        <v>142433.13</v>
      </c>
      <c r="C1812" s="95">
        <f>+IF(ISNA(VLOOKUP(A1812,'Anlage 2a_Letztverbrauch'!$A$2810:$C$2819,3,0)),0,VLOOKUP(A1812,'Anlage 2a_Letztverbrauch'!$A$2810:$C$2819,3,0))</f>
        <v>0</v>
      </c>
      <c r="D1812" s="95">
        <v>0</v>
      </c>
      <c r="E1812" s="95">
        <f t="shared" si="57"/>
        <v>142433.13</v>
      </c>
      <c r="F1812" s="95">
        <f>+SUMIF('Anlage 2b_Korrekturen'!$B$8:$B$202,'Anlage 3a_Zusammenfassung_KWKG'!A1812,'Anlage 2b_Korrekturen'!$E$8:$E$202)</f>
        <v>-52453.39</v>
      </c>
      <c r="G1812" s="145">
        <f t="shared" si="58"/>
        <v>89979.74</v>
      </c>
      <c r="H1812" s="143"/>
      <c r="I1812" s="99" t="s">
        <v>193</v>
      </c>
    </row>
    <row r="1813" spans="1:9" hidden="1" outlineLevel="1">
      <c r="A1813" s="465" t="s">
        <v>194</v>
      </c>
      <c r="B1813" s="544">
        <v>45634.31</v>
      </c>
      <c r="C1813" s="95">
        <f>+IF(ISNA(VLOOKUP(A1813,'Anlage 2a_Letztverbrauch'!$A$2810:$C$2819,3,0)),0,VLOOKUP(A1813,'Anlage 2a_Letztverbrauch'!$A$2810:$C$2819,3,0))</f>
        <v>0</v>
      </c>
      <c r="D1813" s="95">
        <v>0</v>
      </c>
      <c r="E1813" s="95">
        <f t="shared" si="57"/>
        <v>45634.31</v>
      </c>
      <c r="F1813" s="95">
        <f>+SUMIF('Anlage 2b_Korrekturen'!$B$8:$B$202,'Anlage 3a_Zusammenfassung_KWKG'!A1813,'Anlage 2b_Korrekturen'!$E$8:$E$202)</f>
        <v>0</v>
      </c>
      <c r="G1813" s="145">
        <f t="shared" si="58"/>
        <v>45634.31</v>
      </c>
      <c r="H1813" s="143"/>
      <c r="I1813" s="99" t="s">
        <v>195</v>
      </c>
    </row>
    <row r="1814" spans="1:9" hidden="1" outlineLevel="1">
      <c r="A1814" s="465" t="s">
        <v>196</v>
      </c>
      <c r="B1814" s="544">
        <v>71181.17</v>
      </c>
      <c r="C1814" s="95">
        <f>+IF(ISNA(VLOOKUP(A1814,'Anlage 2a_Letztverbrauch'!$A$2810:$C$2819,3,0)),0,VLOOKUP(A1814,'Anlage 2a_Letztverbrauch'!$A$2810:$C$2819,3,0))</f>
        <v>0</v>
      </c>
      <c r="D1814" s="95">
        <v>0</v>
      </c>
      <c r="E1814" s="95">
        <f t="shared" si="57"/>
        <v>71181.17</v>
      </c>
      <c r="F1814" s="95">
        <f>+SUMIF('Anlage 2b_Korrekturen'!$B$8:$B$202,'Anlage 3a_Zusammenfassung_KWKG'!A1814,'Anlage 2b_Korrekturen'!$E$8:$E$202)</f>
        <v>-21.81</v>
      </c>
      <c r="G1814" s="145">
        <f t="shared" si="58"/>
        <v>71159.360000000001</v>
      </c>
      <c r="H1814" s="143"/>
      <c r="I1814" s="99" t="s">
        <v>197</v>
      </c>
    </row>
    <row r="1815" spans="1:9" hidden="1" outlineLevel="1">
      <c r="A1815" s="465" t="s">
        <v>198</v>
      </c>
      <c r="B1815" s="544">
        <v>231399.59</v>
      </c>
      <c r="C1815" s="95">
        <f>+IF(ISNA(VLOOKUP(A1815,'Anlage 2a_Letztverbrauch'!$A$2810:$C$2819,3,0)),0,VLOOKUP(A1815,'Anlage 2a_Letztverbrauch'!$A$2810:$C$2819,3,0))</f>
        <v>0</v>
      </c>
      <c r="D1815" s="95">
        <v>0</v>
      </c>
      <c r="E1815" s="95">
        <f t="shared" si="57"/>
        <v>231399.59</v>
      </c>
      <c r="F1815" s="95">
        <f>+SUMIF('Anlage 2b_Korrekturen'!$B$8:$B$202,'Anlage 3a_Zusammenfassung_KWKG'!A1815,'Anlage 2b_Korrekturen'!$E$8:$E$202)</f>
        <v>0</v>
      </c>
      <c r="G1815" s="145">
        <f t="shared" si="58"/>
        <v>231399.59</v>
      </c>
      <c r="H1815" s="143"/>
      <c r="I1815" s="99" t="s">
        <v>199</v>
      </c>
    </row>
    <row r="1816" spans="1:9" hidden="1" outlineLevel="1">
      <c r="A1816" s="465" t="s">
        <v>200</v>
      </c>
      <c r="B1816" s="544">
        <v>109167.08</v>
      </c>
      <c r="C1816" s="95">
        <f>+IF(ISNA(VLOOKUP(A1816,'Anlage 2a_Letztverbrauch'!$A$2810:$C$2819,3,0)),0,VLOOKUP(A1816,'Anlage 2a_Letztverbrauch'!$A$2810:$C$2819,3,0))</f>
        <v>0</v>
      </c>
      <c r="D1816" s="95">
        <v>0</v>
      </c>
      <c r="E1816" s="95">
        <f t="shared" si="57"/>
        <v>109167.08</v>
      </c>
      <c r="F1816" s="95">
        <f>+SUMIF('Anlage 2b_Korrekturen'!$B$8:$B$202,'Anlage 3a_Zusammenfassung_KWKG'!A1816,'Anlage 2b_Korrekturen'!$E$8:$E$202)</f>
        <v>-702.38</v>
      </c>
      <c r="G1816" s="145">
        <f t="shared" si="58"/>
        <v>108464.7</v>
      </c>
      <c r="H1816" s="143"/>
      <c r="I1816" s="99" t="s">
        <v>201</v>
      </c>
    </row>
    <row r="1817" spans="1:9" hidden="1" outlineLevel="1">
      <c r="A1817" s="465" t="s">
        <v>202</v>
      </c>
      <c r="B1817" s="544">
        <v>451566.69</v>
      </c>
      <c r="C1817" s="95">
        <f>+IF(ISNA(VLOOKUP(A1817,'Anlage 2a_Letztverbrauch'!$A$2810:$C$2819,3,0)),0,VLOOKUP(A1817,'Anlage 2a_Letztverbrauch'!$A$2810:$C$2819,3,0))</f>
        <v>0</v>
      </c>
      <c r="D1817" s="95">
        <v>0</v>
      </c>
      <c r="E1817" s="95">
        <f t="shared" si="57"/>
        <v>451566.69</v>
      </c>
      <c r="F1817" s="95">
        <f>+SUMIF('Anlage 2b_Korrekturen'!$B$8:$B$202,'Anlage 3a_Zusammenfassung_KWKG'!A1817,'Anlage 2b_Korrekturen'!$E$8:$E$202)</f>
        <v>0</v>
      </c>
      <c r="G1817" s="145">
        <f t="shared" si="58"/>
        <v>451566.69</v>
      </c>
      <c r="H1817" s="143"/>
      <c r="I1817" s="99" t="s">
        <v>203</v>
      </c>
    </row>
    <row r="1818" spans="1:9" hidden="1" outlineLevel="1">
      <c r="A1818" s="465" t="s">
        <v>204</v>
      </c>
      <c r="B1818" s="544">
        <v>333777.96999999997</v>
      </c>
      <c r="C1818" s="95">
        <f>+IF(ISNA(VLOOKUP(A1818,'Anlage 2a_Letztverbrauch'!$A$2810:$C$2819,3,0)),0,VLOOKUP(A1818,'Anlage 2a_Letztverbrauch'!$A$2810:$C$2819,3,0))</f>
        <v>0</v>
      </c>
      <c r="D1818" s="95">
        <v>0</v>
      </c>
      <c r="E1818" s="95">
        <f t="shared" si="57"/>
        <v>333777.96999999997</v>
      </c>
      <c r="F1818" s="95">
        <f>+SUMIF('Anlage 2b_Korrekturen'!$B$8:$B$202,'Anlage 3a_Zusammenfassung_KWKG'!A1818,'Anlage 2b_Korrekturen'!$E$8:$E$202)</f>
        <v>-689.08000000000015</v>
      </c>
      <c r="G1818" s="145">
        <f t="shared" si="58"/>
        <v>333088.88999999996</v>
      </c>
      <c r="H1818" s="143"/>
      <c r="I1818" s="99" t="s">
        <v>2088</v>
      </c>
    </row>
    <row r="1819" spans="1:9" hidden="1" outlineLevel="1">
      <c r="A1819" s="465" t="s">
        <v>206</v>
      </c>
      <c r="B1819" s="544">
        <v>2132.5</v>
      </c>
      <c r="C1819" s="95">
        <f>+IF(ISNA(VLOOKUP(A1819,'Anlage 2a_Letztverbrauch'!$A$2810:$C$2819,3,0)),0,VLOOKUP(A1819,'Anlage 2a_Letztverbrauch'!$A$2810:$C$2819,3,0))</f>
        <v>0</v>
      </c>
      <c r="D1819" s="95">
        <v>0</v>
      </c>
      <c r="E1819" s="95">
        <f t="shared" si="57"/>
        <v>2132.5</v>
      </c>
      <c r="F1819" s="95">
        <f>+SUMIF('Anlage 2b_Korrekturen'!$B$8:$B$202,'Anlage 3a_Zusammenfassung_KWKG'!A1819,'Anlage 2b_Korrekturen'!$E$8:$E$202)</f>
        <v>0</v>
      </c>
      <c r="G1819" s="145">
        <f t="shared" si="58"/>
        <v>2132.5</v>
      </c>
      <c r="H1819" s="143"/>
      <c r="I1819" s="99" t="s">
        <v>2089</v>
      </c>
    </row>
    <row r="1820" spans="1:9" hidden="1" outlineLevel="1">
      <c r="A1820" s="465" t="s">
        <v>208</v>
      </c>
      <c r="B1820" s="544">
        <v>255461.68</v>
      </c>
      <c r="C1820" s="95">
        <f>+IF(ISNA(VLOOKUP(A1820,'Anlage 2a_Letztverbrauch'!$A$2810:$C$2819,3,0)),0,VLOOKUP(A1820,'Anlage 2a_Letztverbrauch'!$A$2810:$C$2819,3,0))</f>
        <v>0</v>
      </c>
      <c r="D1820" s="95">
        <v>0</v>
      </c>
      <c r="E1820" s="95">
        <f t="shared" ref="E1820:E1883" si="59">B1820+C1820+D1820</f>
        <v>255461.68</v>
      </c>
      <c r="F1820" s="95">
        <f>+SUMIF('Anlage 2b_Korrekturen'!$B$8:$B$202,'Anlage 3a_Zusammenfassung_KWKG'!A1820,'Anlage 2b_Korrekturen'!$E$8:$E$202)</f>
        <v>0</v>
      </c>
      <c r="G1820" s="145">
        <f t="shared" ref="G1820:G1883" si="60">E1820+F1820</f>
        <v>255461.68</v>
      </c>
      <c r="H1820" s="143"/>
      <c r="I1820" s="99" t="s">
        <v>209</v>
      </c>
    </row>
    <row r="1821" spans="1:9" hidden="1" outlineLevel="1">
      <c r="A1821" s="465" t="s">
        <v>210</v>
      </c>
      <c r="B1821" s="544">
        <v>159648.04999999999</v>
      </c>
      <c r="C1821" s="95">
        <f>+IF(ISNA(VLOOKUP(A1821,'Anlage 2a_Letztverbrauch'!$A$2810:$C$2819,3,0)),0,VLOOKUP(A1821,'Anlage 2a_Letztverbrauch'!$A$2810:$C$2819,3,0))</f>
        <v>0</v>
      </c>
      <c r="D1821" s="95">
        <v>0</v>
      </c>
      <c r="E1821" s="95">
        <f t="shared" si="59"/>
        <v>159648.04999999999</v>
      </c>
      <c r="F1821" s="95">
        <f>+SUMIF('Anlage 2b_Korrekturen'!$B$8:$B$202,'Anlage 3a_Zusammenfassung_KWKG'!A1821,'Anlage 2b_Korrekturen'!$E$8:$E$202)</f>
        <v>0</v>
      </c>
      <c r="G1821" s="145">
        <f t="shared" si="60"/>
        <v>159648.04999999999</v>
      </c>
      <c r="H1821" s="143"/>
      <c r="I1821" s="99" t="s">
        <v>211</v>
      </c>
    </row>
    <row r="1822" spans="1:9" hidden="1" outlineLevel="1">
      <c r="A1822" s="465" t="s">
        <v>212</v>
      </c>
      <c r="B1822" s="544">
        <v>174471.54</v>
      </c>
      <c r="C1822" s="95">
        <f>+IF(ISNA(VLOOKUP(A1822,'Anlage 2a_Letztverbrauch'!$A$2810:$C$2819,3,0)),0,VLOOKUP(A1822,'Anlage 2a_Letztverbrauch'!$A$2810:$C$2819,3,0))</f>
        <v>0</v>
      </c>
      <c r="D1822" s="95">
        <v>0</v>
      </c>
      <c r="E1822" s="95">
        <f t="shared" si="59"/>
        <v>174471.54</v>
      </c>
      <c r="F1822" s="95">
        <f>+SUMIF('Anlage 2b_Korrekturen'!$B$8:$B$202,'Anlage 3a_Zusammenfassung_KWKG'!A1822,'Anlage 2b_Korrekturen'!$E$8:$E$202)</f>
        <v>577.79999999999995</v>
      </c>
      <c r="G1822" s="145">
        <f t="shared" si="60"/>
        <v>175049.34</v>
      </c>
      <c r="H1822" s="143"/>
      <c r="I1822" s="99" t="s">
        <v>213</v>
      </c>
    </row>
    <row r="1823" spans="1:9" hidden="1" outlineLevel="1">
      <c r="A1823" s="465" t="s">
        <v>214</v>
      </c>
      <c r="B1823" s="544">
        <v>319604.77</v>
      </c>
      <c r="C1823" s="95">
        <f>+IF(ISNA(VLOOKUP(A1823,'Anlage 2a_Letztverbrauch'!$A$2810:$C$2819,3,0)),0,VLOOKUP(A1823,'Anlage 2a_Letztverbrauch'!$A$2810:$C$2819,3,0))</f>
        <v>0</v>
      </c>
      <c r="D1823" s="95">
        <v>0</v>
      </c>
      <c r="E1823" s="95">
        <f t="shared" si="59"/>
        <v>319604.77</v>
      </c>
      <c r="F1823" s="95">
        <f>+SUMIF('Anlage 2b_Korrekturen'!$B$8:$B$202,'Anlage 3a_Zusammenfassung_KWKG'!A1823,'Anlage 2b_Korrekturen'!$E$8:$E$202)</f>
        <v>-18.140000000000008</v>
      </c>
      <c r="G1823" s="145">
        <f t="shared" si="60"/>
        <v>319586.63</v>
      </c>
      <c r="H1823" s="143"/>
      <c r="I1823" s="99" t="s">
        <v>215</v>
      </c>
    </row>
    <row r="1824" spans="1:9" hidden="1" outlineLevel="1">
      <c r="A1824" s="465" t="s">
        <v>216</v>
      </c>
      <c r="B1824" s="544">
        <v>142059.96</v>
      </c>
      <c r="C1824" s="95">
        <f>+IF(ISNA(VLOOKUP(A1824,'Anlage 2a_Letztverbrauch'!$A$2810:$C$2819,3,0)),0,VLOOKUP(A1824,'Anlage 2a_Letztverbrauch'!$A$2810:$C$2819,3,0))</f>
        <v>0</v>
      </c>
      <c r="D1824" s="95">
        <v>0</v>
      </c>
      <c r="E1824" s="95">
        <f t="shared" si="59"/>
        <v>142059.96</v>
      </c>
      <c r="F1824" s="95">
        <f>+SUMIF('Anlage 2b_Korrekturen'!$B$8:$B$202,'Anlage 3a_Zusammenfassung_KWKG'!A1824,'Anlage 2b_Korrekturen'!$E$8:$E$202)</f>
        <v>-182.95</v>
      </c>
      <c r="G1824" s="145">
        <f t="shared" si="60"/>
        <v>141877.00999999998</v>
      </c>
      <c r="H1824" s="143"/>
      <c r="I1824" s="99" t="s">
        <v>217</v>
      </c>
    </row>
    <row r="1825" spans="1:9" hidden="1" outlineLevel="1">
      <c r="A1825" s="465" t="s">
        <v>1856</v>
      </c>
      <c r="B1825" s="544">
        <v>285164.18</v>
      </c>
      <c r="C1825" s="95">
        <f>+IF(ISNA(VLOOKUP(A1825,'Anlage 2a_Letztverbrauch'!$A$2810:$C$2819,3,0)),0,VLOOKUP(A1825,'Anlage 2a_Letztverbrauch'!$A$2810:$C$2819,3,0))</f>
        <v>0</v>
      </c>
      <c r="D1825" s="95">
        <v>0</v>
      </c>
      <c r="E1825" s="95">
        <f t="shared" si="59"/>
        <v>285164.18</v>
      </c>
      <c r="F1825" s="95">
        <f>+SUMIF('Anlage 2b_Korrekturen'!$B$8:$B$202,'Anlage 3a_Zusammenfassung_KWKG'!A1825,'Anlage 2b_Korrekturen'!$E$8:$E$202)</f>
        <v>20295.14</v>
      </c>
      <c r="G1825" s="145">
        <f t="shared" si="60"/>
        <v>305459.32</v>
      </c>
      <c r="H1825" s="143"/>
      <c r="I1825" s="99" t="s">
        <v>2020</v>
      </c>
    </row>
    <row r="1826" spans="1:9" hidden="1" outlineLevel="1">
      <c r="A1826" s="465" t="s">
        <v>218</v>
      </c>
      <c r="B1826" s="544">
        <v>512360.39</v>
      </c>
      <c r="C1826" s="95">
        <f>+IF(ISNA(VLOOKUP(A1826,'Anlage 2a_Letztverbrauch'!$A$2810:$C$2819,3,0)),0,VLOOKUP(A1826,'Anlage 2a_Letztverbrauch'!$A$2810:$C$2819,3,0))</f>
        <v>0</v>
      </c>
      <c r="D1826" s="95">
        <v>0</v>
      </c>
      <c r="E1826" s="95">
        <f t="shared" si="59"/>
        <v>512360.39</v>
      </c>
      <c r="F1826" s="95">
        <f>+SUMIF('Anlage 2b_Korrekturen'!$B$8:$B$202,'Anlage 3a_Zusammenfassung_KWKG'!A1826,'Anlage 2b_Korrekturen'!$E$8:$E$202)</f>
        <v>0</v>
      </c>
      <c r="G1826" s="145">
        <f t="shared" si="60"/>
        <v>512360.39</v>
      </c>
      <c r="H1826" s="143"/>
      <c r="I1826" s="99" t="s">
        <v>219</v>
      </c>
    </row>
    <row r="1827" spans="1:9" hidden="1" outlineLevel="1">
      <c r="A1827" s="465" t="s">
        <v>220</v>
      </c>
      <c r="B1827" s="544">
        <v>1781358.28</v>
      </c>
      <c r="C1827" s="95">
        <f>+IF(ISNA(VLOOKUP(A1827,'Anlage 2a_Letztverbrauch'!$A$2810:$C$2819,3,0)),0,VLOOKUP(A1827,'Anlage 2a_Letztverbrauch'!$A$2810:$C$2819,3,0))</f>
        <v>0</v>
      </c>
      <c r="D1827" s="95">
        <v>0</v>
      </c>
      <c r="E1827" s="95">
        <f t="shared" si="59"/>
        <v>1781358.28</v>
      </c>
      <c r="F1827" s="95">
        <f>+SUMIF('Anlage 2b_Korrekturen'!$B$8:$B$202,'Anlage 3a_Zusammenfassung_KWKG'!A1827,'Anlage 2b_Korrekturen'!$E$8:$E$202)</f>
        <v>1896.18</v>
      </c>
      <c r="G1827" s="145">
        <f t="shared" si="60"/>
        <v>1783254.46</v>
      </c>
      <c r="H1827" s="143"/>
      <c r="I1827" s="99" t="s">
        <v>221</v>
      </c>
    </row>
    <row r="1828" spans="1:9" hidden="1" outlineLevel="1">
      <c r="A1828" s="465" t="s">
        <v>222</v>
      </c>
      <c r="B1828" s="544">
        <v>141816.63</v>
      </c>
      <c r="C1828" s="95">
        <f>+IF(ISNA(VLOOKUP(A1828,'Anlage 2a_Letztverbrauch'!$A$2810:$C$2819,3,0)),0,VLOOKUP(A1828,'Anlage 2a_Letztverbrauch'!$A$2810:$C$2819,3,0))</f>
        <v>0</v>
      </c>
      <c r="D1828" s="95">
        <v>0</v>
      </c>
      <c r="E1828" s="95">
        <f t="shared" si="59"/>
        <v>141816.63</v>
      </c>
      <c r="F1828" s="95">
        <f>+SUMIF('Anlage 2b_Korrekturen'!$B$8:$B$202,'Anlage 3a_Zusammenfassung_KWKG'!A1828,'Anlage 2b_Korrekturen'!$E$8:$E$202)</f>
        <v>0</v>
      </c>
      <c r="G1828" s="145">
        <f t="shared" si="60"/>
        <v>141816.63</v>
      </c>
      <c r="H1828" s="143"/>
      <c r="I1828" s="99" t="s">
        <v>223</v>
      </c>
    </row>
    <row r="1829" spans="1:9" hidden="1" outlineLevel="1">
      <c r="A1829" s="465" t="s">
        <v>224</v>
      </c>
      <c r="B1829" s="544">
        <v>156482.54999999999</v>
      </c>
      <c r="C1829" s="95">
        <f>+IF(ISNA(VLOOKUP(A1829,'Anlage 2a_Letztverbrauch'!$A$2810:$C$2819,3,0)),0,VLOOKUP(A1829,'Anlage 2a_Letztverbrauch'!$A$2810:$C$2819,3,0))</f>
        <v>0</v>
      </c>
      <c r="D1829" s="95">
        <v>0</v>
      </c>
      <c r="E1829" s="95">
        <f t="shared" si="59"/>
        <v>156482.54999999999</v>
      </c>
      <c r="F1829" s="95">
        <f>+SUMIF('Anlage 2b_Korrekturen'!$B$8:$B$202,'Anlage 3a_Zusammenfassung_KWKG'!A1829,'Anlage 2b_Korrekturen'!$E$8:$E$202)</f>
        <v>0</v>
      </c>
      <c r="G1829" s="145">
        <f t="shared" si="60"/>
        <v>156482.54999999999</v>
      </c>
      <c r="H1829" s="143"/>
      <c r="I1829" s="99" t="s">
        <v>225</v>
      </c>
    </row>
    <row r="1830" spans="1:9" hidden="1" outlineLevel="1">
      <c r="A1830" s="465" t="s">
        <v>226</v>
      </c>
      <c r="B1830" s="544">
        <v>91516.05</v>
      </c>
      <c r="C1830" s="95">
        <f>+IF(ISNA(VLOOKUP(A1830,'Anlage 2a_Letztverbrauch'!$A$2810:$C$2819,3,0)),0,VLOOKUP(A1830,'Anlage 2a_Letztverbrauch'!$A$2810:$C$2819,3,0))</f>
        <v>0</v>
      </c>
      <c r="D1830" s="95">
        <v>0</v>
      </c>
      <c r="E1830" s="95">
        <f t="shared" si="59"/>
        <v>91516.05</v>
      </c>
      <c r="F1830" s="95">
        <f>+SUMIF('Anlage 2b_Korrekturen'!$B$8:$B$202,'Anlage 3a_Zusammenfassung_KWKG'!A1830,'Anlage 2b_Korrekturen'!$E$8:$E$202)</f>
        <v>-221.5</v>
      </c>
      <c r="G1830" s="145">
        <f t="shared" si="60"/>
        <v>91294.55</v>
      </c>
      <c r="H1830" s="143"/>
      <c r="I1830" s="99" t="s">
        <v>227</v>
      </c>
    </row>
    <row r="1831" spans="1:9" hidden="1" outlineLevel="1">
      <c r="A1831" s="465" t="s">
        <v>228</v>
      </c>
      <c r="B1831" s="544">
        <v>18881349.98</v>
      </c>
      <c r="C1831" s="95">
        <f>+IF(ISNA(VLOOKUP(A1831,'Anlage 2a_Letztverbrauch'!$A$2810:$C$2819,3,0)),0,VLOOKUP(A1831,'Anlage 2a_Letztverbrauch'!$A$2810:$C$2819,3,0))</f>
        <v>-1256.0999999999999</v>
      </c>
      <c r="D1831" s="95">
        <v>0</v>
      </c>
      <c r="E1831" s="95">
        <f t="shared" si="59"/>
        <v>18880093.879999999</v>
      </c>
      <c r="F1831" s="95">
        <f>+SUMIF('Anlage 2b_Korrekturen'!$B$8:$B$202,'Anlage 3a_Zusammenfassung_KWKG'!A1831,'Anlage 2b_Korrekturen'!$E$8:$E$202)</f>
        <v>-153130.97</v>
      </c>
      <c r="G1831" s="145">
        <f t="shared" si="60"/>
        <v>18726962.91</v>
      </c>
      <c r="H1831" s="143"/>
      <c r="I1831" s="99" t="s">
        <v>229</v>
      </c>
    </row>
    <row r="1832" spans="1:9" hidden="1" outlineLevel="1">
      <c r="A1832" s="465" t="s">
        <v>230</v>
      </c>
      <c r="B1832" s="544">
        <v>243390.28</v>
      </c>
      <c r="C1832" s="95">
        <f>+IF(ISNA(VLOOKUP(A1832,'Anlage 2a_Letztverbrauch'!$A$2810:$C$2819,3,0)),0,VLOOKUP(A1832,'Anlage 2a_Letztverbrauch'!$A$2810:$C$2819,3,0))</f>
        <v>0</v>
      </c>
      <c r="D1832" s="95">
        <v>0</v>
      </c>
      <c r="E1832" s="95">
        <f t="shared" si="59"/>
        <v>243390.28</v>
      </c>
      <c r="F1832" s="95">
        <f>+SUMIF('Anlage 2b_Korrekturen'!$B$8:$B$202,'Anlage 3a_Zusammenfassung_KWKG'!A1832,'Anlage 2b_Korrekturen'!$E$8:$E$202)</f>
        <v>2129.5700000000002</v>
      </c>
      <c r="G1832" s="145">
        <f t="shared" si="60"/>
        <v>245519.85</v>
      </c>
      <c r="H1832" s="143"/>
      <c r="I1832" s="99" t="s">
        <v>231</v>
      </c>
    </row>
    <row r="1833" spans="1:9" hidden="1" outlineLevel="1">
      <c r="A1833" s="465" t="s">
        <v>577</v>
      </c>
      <c r="B1833" s="544">
        <v>1395559.79</v>
      </c>
      <c r="C1833" s="95">
        <f>+IF(ISNA(VLOOKUP(A1833,'Anlage 2a_Letztverbrauch'!$A$2810:$C$2819,3,0)),0,VLOOKUP(A1833,'Anlage 2a_Letztverbrauch'!$A$2810:$C$2819,3,0))</f>
        <v>0</v>
      </c>
      <c r="D1833" s="95">
        <v>0</v>
      </c>
      <c r="E1833" s="95">
        <f t="shared" si="59"/>
        <v>1395559.79</v>
      </c>
      <c r="F1833" s="95">
        <f>+SUMIF('Anlage 2b_Korrekturen'!$B$8:$B$202,'Anlage 3a_Zusammenfassung_KWKG'!A1833,'Anlage 2b_Korrekturen'!$E$8:$E$202)</f>
        <v>1904.7400000000002</v>
      </c>
      <c r="G1833" s="145">
        <f t="shared" si="60"/>
        <v>1397464.53</v>
      </c>
      <c r="H1833" s="143"/>
      <c r="I1833" s="99" t="s">
        <v>578</v>
      </c>
    </row>
    <row r="1834" spans="1:9" hidden="1" outlineLevel="1">
      <c r="A1834" s="465" t="s">
        <v>232</v>
      </c>
      <c r="B1834" s="544">
        <v>168987.87</v>
      </c>
      <c r="C1834" s="95">
        <f>+IF(ISNA(VLOOKUP(A1834,'Anlage 2a_Letztverbrauch'!$A$2810:$C$2819,3,0)),0,VLOOKUP(A1834,'Anlage 2a_Letztverbrauch'!$A$2810:$C$2819,3,0))</f>
        <v>0</v>
      </c>
      <c r="D1834" s="95">
        <v>0</v>
      </c>
      <c r="E1834" s="95">
        <f t="shared" si="59"/>
        <v>168987.87</v>
      </c>
      <c r="F1834" s="95">
        <f>+SUMIF('Anlage 2b_Korrekturen'!$B$8:$B$202,'Anlage 3a_Zusammenfassung_KWKG'!A1834,'Anlage 2b_Korrekturen'!$E$8:$E$202)</f>
        <v>0</v>
      </c>
      <c r="G1834" s="145">
        <f t="shared" si="60"/>
        <v>168987.87</v>
      </c>
      <c r="H1834" s="143"/>
      <c r="I1834" s="99" t="s">
        <v>233</v>
      </c>
    </row>
    <row r="1835" spans="1:9" hidden="1" outlineLevel="1">
      <c r="A1835" s="465" t="s">
        <v>234</v>
      </c>
      <c r="B1835" s="544">
        <v>335083.76</v>
      </c>
      <c r="C1835" s="95">
        <f>+IF(ISNA(VLOOKUP(A1835,'Anlage 2a_Letztverbrauch'!$A$2810:$C$2819,3,0)),0,VLOOKUP(A1835,'Anlage 2a_Letztverbrauch'!$A$2810:$C$2819,3,0))</f>
        <v>0</v>
      </c>
      <c r="D1835" s="95">
        <v>0</v>
      </c>
      <c r="E1835" s="95">
        <f t="shared" si="59"/>
        <v>335083.76</v>
      </c>
      <c r="F1835" s="95">
        <f>+SUMIF('Anlage 2b_Korrekturen'!$B$8:$B$202,'Anlage 3a_Zusammenfassung_KWKG'!A1835,'Anlage 2b_Korrekturen'!$E$8:$E$202)</f>
        <v>2905.29</v>
      </c>
      <c r="G1835" s="145">
        <f t="shared" si="60"/>
        <v>337989.05</v>
      </c>
      <c r="H1835" s="143"/>
      <c r="I1835" s="99" t="s">
        <v>2090</v>
      </c>
    </row>
    <row r="1836" spans="1:9" hidden="1" outlineLevel="1">
      <c r="A1836" s="465" t="s">
        <v>236</v>
      </c>
      <c r="B1836" s="544">
        <v>75820.42</v>
      </c>
      <c r="C1836" s="95">
        <f>+IF(ISNA(VLOOKUP(A1836,'Anlage 2a_Letztverbrauch'!$A$2810:$C$2819,3,0)),0,VLOOKUP(A1836,'Anlage 2a_Letztverbrauch'!$A$2810:$C$2819,3,0))</f>
        <v>0</v>
      </c>
      <c r="D1836" s="95">
        <v>0</v>
      </c>
      <c r="E1836" s="95">
        <f t="shared" si="59"/>
        <v>75820.42</v>
      </c>
      <c r="F1836" s="95">
        <f>+SUMIF('Anlage 2b_Korrekturen'!$B$8:$B$202,'Anlage 3a_Zusammenfassung_KWKG'!A1836,'Anlage 2b_Korrekturen'!$E$8:$E$202)</f>
        <v>0</v>
      </c>
      <c r="G1836" s="145">
        <f t="shared" si="60"/>
        <v>75820.42</v>
      </c>
      <c r="H1836" s="143"/>
      <c r="I1836" s="99" t="s">
        <v>237</v>
      </c>
    </row>
    <row r="1837" spans="1:9" hidden="1" outlineLevel="1">
      <c r="A1837" s="465" t="s">
        <v>238</v>
      </c>
      <c r="B1837" s="544">
        <v>1669877.63</v>
      </c>
      <c r="C1837" s="95">
        <f>+IF(ISNA(VLOOKUP(A1837,'Anlage 2a_Letztverbrauch'!$A$2810:$C$2819,3,0)),0,VLOOKUP(A1837,'Anlage 2a_Letztverbrauch'!$A$2810:$C$2819,3,0))</f>
        <v>0</v>
      </c>
      <c r="D1837" s="95">
        <v>0</v>
      </c>
      <c r="E1837" s="95">
        <f t="shared" si="59"/>
        <v>1669877.63</v>
      </c>
      <c r="F1837" s="95">
        <f>+SUMIF('Anlage 2b_Korrekturen'!$B$8:$B$202,'Anlage 3a_Zusammenfassung_KWKG'!A1837,'Anlage 2b_Korrekturen'!$E$8:$E$202)</f>
        <v>58.490000000000009</v>
      </c>
      <c r="G1837" s="145">
        <f t="shared" si="60"/>
        <v>1669936.1199999999</v>
      </c>
      <c r="H1837" s="143"/>
      <c r="I1837" s="99" t="s">
        <v>239</v>
      </c>
    </row>
    <row r="1838" spans="1:9" hidden="1" outlineLevel="1">
      <c r="A1838" s="465" t="s">
        <v>240</v>
      </c>
      <c r="B1838" s="544">
        <v>109178.42</v>
      </c>
      <c r="C1838" s="95">
        <f>+IF(ISNA(VLOOKUP(A1838,'Anlage 2a_Letztverbrauch'!$A$2810:$C$2819,3,0)),0,VLOOKUP(A1838,'Anlage 2a_Letztverbrauch'!$A$2810:$C$2819,3,0))</f>
        <v>0</v>
      </c>
      <c r="D1838" s="95">
        <v>0</v>
      </c>
      <c r="E1838" s="95">
        <f t="shared" si="59"/>
        <v>109178.42</v>
      </c>
      <c r="F1838" s="95">
        <f>+SUMIF('Anlage 2b_Korrekturen'!$B$8:$B$202,'Anlage 3a_Zusammenfassung_KWKG'!A1838,'Anlage 2b_Korrekturen'!$E$8:$E$202)</f>
        <v>190.34000000000003</v>
      </c>
      <c r="G1838" s="145">
        <f t="shared" si="60"/>
        <v>109368.76</v>
      </c>
      <c r="H1838" s="143"/>
      <c r="I1838" s="99" t="s">
        <v>241</v>
      </c>
    </row>
    <row r="1839" spans="1:9" hidden="1" outlineLevel="1">
      <c r="A1839" s="465" t="s">
        <v>242</v>
      </c>
      <c r="B1839" s="544">
        <v>324382.96999999997</v>
      </c>
      <c r="C1839" s="95">
        <f>+IF(ISNA(VLOOKUP(A1839,'Anlage 2a_Letztverbrauch'!$A$2810:$C$2819,3,0)),0,VLOOKUP(A1839,'Anlage 2a_Letztverbrauch'!$A$2810:$C$2819,3,0))</f>
        <v>0</v>
      </c>
      <c r="D1839" s="95">
        <v>0</v>
      </c>
      <c r="E1839" s="95">
        <f t="shared" si="59"/>
        <v>324382.96999999997</v>
      </c>
      <c r="F1839" s="95">
        <f>+SUMIF('Anlage 2b_Korrekturen'!$B$8:$B$202,'Anlage 3a_Zusammenfassung_KWKG'!A1839,'Anlage 2b_Korrekturen'!$E$8:$E$202)</f>
        <v>-3162.86</v>
      </c>
      <c r="G1839" s="145">
        <f t="shared" si="60"/>
        <v>321220.11</v>
      </c>
      <c r="H1839" s="143"/>
      <c r="I1839" s="99" t="s">
        <v>243</v>
      </c>
    </row>
    <row r="1840" spans="1:9" hidden="1" outlineLevel="1">
      <c r="A1840" s="465" t="s">
        <v>244</v>
      </c>
      <c r="B1840" s="544">
        <v>222425.46</v>
      </c>
      <c r="C1840" s="95">
        <f>+IF(ISNA(VLOOKUP(A1840,'Anlage 2a_Letztverbrauch'!$A$2810:$C$2819,3,0)),0,VLOOKUP(A1840,'Anlage 2a_Letztverbrauch'!$A$2810:$C$2819,3,0))</f>
        <v>0</v>
      </c>
      <c r="D1840" s="95">
        <v>0</v>
      </c>
      <c r="E1840" s="95">
        <f t="shared" si="59"/>
        <v>222425.46</v>
      </c>
      <c r="F1840" s="95">
        <f>+SUMIF('Anlage 2b_Korrekturen'!$B$8:$B$202,'Anlage 3a_Zusammenfassung_KWKG'!A1840,'Anlage 2b_Korrekturen'!$E$8:$E$202)</f>
        <v>-4333.87</v>
      </c>
      <c r="G1840" s="145">
        <f t="shared" si="60"/>
        <v>218091.59</v>
      </c>
      <c r="H1840" s="143"/>
      <c r="I1840" s="99" t="s">
        <v>245</v>
      </c>
    </row>
    <row r="1841" spans="1:9" hidden="1" outlineLevel="1">
      <c r="A1841" s="465" t="s">
        <v>246</v>
      </c>
      <c r="B1841" s="544">
        <v>53600.09</v>
      </c>
      <c r="C1841" s="95">
        <f>+IF(ISNA(VLOOKUP(A1841,'Anlage 2a_Letztverbrauch'!$A$2810:$C$2819,3,0)),0,VLOOKUP(A1841,'Anlage 2a_Letztverbrauch'!$A$2810:$C$2819,3,0))</f>
        <v>0</v>
      </c>
      <c r="D1841" s="95">
        <v>0</v>
      </c>
      <c r="E1841" s="95">
        <f t="shared" si="59"/>
        <v>53600.09</v>
      </c>
      <c r="F1841" s="95">
        <f>+SUMIF('Anlage 2b_Korrekturen'!$B$8:$B$202,'Anlage 3a_Zusammenfassung_KWKG'!A1841,'Anlage 2b_Korrekturen'!$E$8:$E$202)</f>
        <v>0</v>
      </c>
      <c r="G1841" s="145">
        <f t="shared" si="60"/>
        <v>53600.09</v>
      </c>
      <c r="H1841" s="143"/>
      <c r="I1841" s="99" t="s">
        <v>247</v>
      </c>
    </row>
    <row r="1842" spans="1:9" hidden="1" outlineLevel="1">
      <c r="A1842" s="465" t="s">
        <v>248</v>
      </c>
      <c r="B1842" s="544">
        <v>733222.18</v>
      </c>
      <c r="C1842" s="95">
        <f>+IF(ISNA(VLOOKUP(A1842,'Anlage 2a_Letztverbrauch'!$A$2810:$C$2819,3,0)),0,VLOOKUP(A1842,'Anlage 2a_Letztverbrauch'!$A$2810:$C$2819,3,0))</f>
        <v>-872.14</v>
      </c>
      <c r="D1842" s="95">
        <v>0</v>
      </c>
      <c r="E1842" s="95">
        <f t="shared" si="59"/>
        <v>732350.04</v>
      </c>
      <c r="F1842" s="95">
        <f>+SUMIF('Anlage 2b_Korrekturen'!$B$8:$B$202,'Anlage 3a_Zusammenfassung_KWKG'!A1842,'Anlage 2b_Korrekturen'!$E$8:$E$202)</f>
        <v>2314.0699999999997</v>
      </c>
      <c r="G1842" s="145">
        <f t="shared" si="60"/>
        <v>734664.11</v>
      </c>
      <c r="H1842" s="143"/>
      <c r="I1842" s="99" t="s">
        <v>249</v>
      </c>
    </row>
    <row r="1843" spans="1:9" hidden="1" outlineLevel="1">
      <c r="A1843" s="465" t="s">
        <v>250</v>
      </c>
      <c r="B1843" s="544">
        <v>4460816.47</v>
      </c>
      <c r="C1843" s="95">
        <f>+IF(ISNA(VLOOKUP(A1843,'Anlage 2a_Letztverbrauch'!$A$2810:$C$2819,3,0)),0,VLOOKUP(A1843,'Anlage 2a_Letztverbrauch'!$A$2810:$C$2819,3,0))</f>
        <v>0</v>
      </c>
      <c r="D1843" s="95">
        <v>0</v>
      </c>
      <c r="E1843" s="95">
        <f t="shared" si="59"/>
        <v>4460816.47</v>
      </c>
      <c r="F1843" s="95">
        <f>+SUMIF('Anlage 2b_Korrekturen'!$B$8:$B$202,'Anlage 3a_Zusammenfassung_KWKG'!A1843,'Anlage 2b_Korrekturen'!$E$8:$E$202)</f>
        <v>3014.79</v>
      </c>
      <c r="G1843" s="145">
        <f t="shared" si="60"/>
        <v>4463831.26</v>
      </c>
      <c r="H1843" s="143"/>
      <c r="I1843" s="99" t="s">
        <v>251</v>
      </c>
    </row>
    <row r="1844" spans="1:9" hidden="1" outlineLevel="1">
      <c r="A1844" s="465" t="s">
        <v>252</v>
      </c>
      <c r="B1844" s="544">
        <v>1722198.3</v>
      </c>
      <c r="C1844" s="95">
        <f>+IF(ISNA(VLOOKUP(A1844,'Anlage 2a_Letztverbrauch'!$A$2810:$C$2819,3,0)),0,VLOOKUP(A1844,'Anlage 2a_Letztverbrauch'!$A$2810:$C$2819,3,0))</f>
        <v>0</v>
      </c>
      <c r="D1844" s="95">
        <v>0</v>
      </c>
      <c r="E1844" s="95">
        <f t="shared" si="59"/>
        <v>1722198.3</v>
      </c>
      <c r="F1844" s="95">
        <f>+SUMIF('Anlage 2b_Korrekturen'!$B$8:$B$202,'Anlage 3a_Zusammenfassung_KWKG'!A1844,'Anlage 2b_Korrekturen'!$E$8:$E$202)</f>
        <v>-19764.800000000003</v>
      </c>
      <c r="G1844" s="145">
        <f t="shared" si="60"/>
        <v>1702433.5</v>
      </c>
      <c r="H1844" s="143"/>
      <c r="I1844" s="99" t="s">
        <v>1698</v>
      </c>
    </row>
    <row r="1845" spans="1:9" hidden="1" outlineLevel="1">
      <c r="A1845" s="465" t="s">
        <v>254</v>
      </c>
      <c r="B1845" s="544">
        <v>532974.85</v>
      </c>
      <c r="C1845" s="95">
        <f>+IF(ISNA(VLOOKUP(A1845,'Anlage 2a_Letztverbrauch'!$A$2810:$C$2819,3,0)),0,VLOOKUP(A1845,'Anlage 2a_Letztverbrauch'!$A$2810:$C$2819,3,0))</f>
        <v>0</v>
      </c>
      <c r="D1845" s="95">
        <v>0</v>
      </c>
      <c r="E1845" s="95">
        <f t="shared" si="59"/>
        <v>532974.85</v>
      </c>
      <c r="F1845" s="95">
        <f>+SUMIF('Anlage 2b_Korrekturen'!$B$8:$B$202,'Anlage 3a_Zusammenfassung_KWKG'!A1845,'Anlage 2b_Korrekturen'!$E$8:$E$202)</f>
        <v>-3879.09</v>
      </c>
      <c r="G1845" s="145">
        <f t="shared" si="60"/>
        <v>529095.76</v>
      </c>
      <c r="H1845" s="143"/>
      <c r="I1845" s="99" t="s">
        <v>255</v>
      </c>
    </row>
    <row r="1846" spans="1:9" hidden="1" outlineLevel="1">
      <c r="A1846" s="465" t="s">
        <v>256</v>
      </c>
      <c r="B1846" s="544">
        <v>226883.86</v>
      </c>
      <c r="C1846" s="95">
        <f>+IF(ISNA(VLOOKUP(A1846,'Anlage 2a_Letztverbrauch'!$A$2810:$C$2819,3,0)),0,VLOOKUP(A1846,'Anlage 2a_Letztverbrauch'!$A$2810:$C$2819,3,0))</f>
        <v>0</v>
      </c>
      <c r="D1846" s="95">
        <v>0</v>
      </c>
      <c r="E1846" s="95">
        <f t="shared" si="59"/>
        <v>226883.86</v>
      </c>
      <c r="F1846" s="95">
        <f>+SUMIF('Anlage 2b_Korrekturen'!$B$8:$B$202,'Anlage 3a_Zusammenfassung_KWKG'!A1846,'Anlage 2b_Korrekturen'!$E$8:$E$202)</f>
        <v>157.05000000000001</v>
      </c>
      <c r="G1846" s="145">
        <f t="shared" si="60"/>
        <v>227040.90999999997</v>
      </c>
      <c r="H1846" s="143"/>
      <c r="I1846" s="99" t="s">
        <v>257</v>
      </c>
    </row>
    <row r="1847" spans="1:9" hidden="1" outlineLevel="1">
      <c r="A1847" s="465" t="s">
        <v>258</v>
      </c>
      <c r="B1847" s="544">
        <v>250686.06</v>
      </c>
      <c r="C1847" s="95">
        <f>+IF(ISNA(VLOOKUP(A1847,'Anlage 2a_Letztverbrauch'!$A$2810:$C$2819,3,0)),0,VLOOKUP(A1847,'Anlage 2a_Letztverbrauch'!$A$2810:$C$2819,3,0))</f>
        <v>0</v>
      </c>
      <c r="D1847" s="95">
        <v>0</v>
      </c>
      <c r="E1847" s="95">
        <f t="shared" si="59"/>
        <v>250686.06</v>
      </c>
      <c r="F1847" s="95">
        <f>+SUMIF('Anlage 2b_Korrekturen'!$B$8:$B$202,'Anlage 3a_Zusammenfassung_KWKG'!A1847,'Anlage 2b_Korrekturen'!$E$8:$E$202)</f>
        <v>1032.6500000000001</v>
      </c>
      <c r="G1847" s="145">
        <f t="shared" si="60"/>
        <v>251718.71</v>
      </c>
      <c r="H1847" s="143"/>
      <c r="I1847" s="99" t="s">
        <v>259</v>
      </c>
    </row>
    <row r="1848" spans="1:9" hidden="1" outlineLevel="1">
      <c r="A1848" s="465" t="s">
        <v>260</v>
      </c>
      <c r="B1848" s="544">
        <v>208104.89</v>
      </c>
      <c r="C1848" s="95">
        <f>+IF(ISNA(VLOOKUP(A1848,'Anlage 2a_Letztverbrauch'!$A$2810:$C$2819,3,0)),0,VLOOKUP(A1848,'Anlage 2a_Letztverbrauch'!$A$2810:$C$2819,3,0))</f>
        <v>0</v>
      </c>
      <c r="D1848" s="95">
        <v>0</v>
      </c>
      <c r="E1848" s="95">
        <f t="shared" si="59"/>
        <v>208104.89</v>
      </c>
      <c r="F1848" s="95">
        <f>+SUMIF('Anlage 2b_Korrekturen'!$B$8:$B$202,'Anlage 3a_Zusammenfassung_KWKG'!A1848,'Anlage 2b_Korrekturen'!$E$8:$E$202)</f>
        <v>0</v>
      </c>
      <c r="G1848" s="145">
        <f t="shared" si="60"/>
        <v>208104.89</v>
      </c>
      <c r="H1848" s="143"/>
      <c r="I1848" s="99" t="s">
        <v>261</v>
      </c>
    </row>
    <row r="1849" spans="1:9" hidden="1" outlineLevel="1">
      <c r="A1849" s="465" t="s">
        <v>262</v>
      </c>
      <c r="B1849" s="544">
        <v>320226.12</v>
      </c>
      <c r="C1849" s="95">
        <f>+IF(ISNA(VLOOKUP(A1849,'Anlage 2a_Letztverbrauch'!$A$2810:$C$2819,3,0)),0,VLOOKUP(A1849,'Anlage 2a_Letztverbrauch'!$A$2810:$C$2819,3,0))</f>
        <v>0</v>
      </c>
      <c r="D1849" s="95">
        <v>0</v>
      </c>
      <c r="E1849" s="95">
        <f t="shared" si="59"/>
        <v>320226.12</v>
      </c>
      <c r="F1849" s="95">
        <f>+SUMIF('Anlage 2b_Korrekturen'!$B$8:$B$202,'Anlage 3a_Zusammenfassung_KWKG'!A1849,'Anlage 2b_Korrekturen'!$E$8:$E$202)</f>
        <v>0</v>
      </c>
      <c r="G1849" s="145">
        <f t="shared" si="60"/>
        <v>320226.12</v>
      </c>
      <c r="H1849" s="143"/>
      <c r="I1849" s="99" t="s">
        <v>263</v>
      </c>
    </row>
    <row r="1850" spans="1:9" hidden="1" outlineLevel="1">
      <c r="A1850" s="465" t="s">
        <v>264</v>
      </c>
      <c r="B1850" s="544">
        <v>696839.88</v>
      </c>
      <c r="C1850" s="95">
        <f>+IF(ISNA(VLOOKUP(A1850,'Anlage 2a_Letztverbrauch'!$A$2810:$C$2819,3,0)),0,VLOOKUP(A1850,'Anlage 2a_Letztverbrauch'!$A$2810:$C$2819,3,0))</f>
        <v>0</v>
      </c>
      <c r="D1850" s="95">
        <v>0</v>
      </c>
      <c r="E1850" s="95">
        <f t="shared" si="59"/>
        <v>696839.88</v>
      </c>
      <c r="F1850" s="95">
        <f>+SUMIF('Anlage 2b_Korrekturen'!$B$8:$B$202,'Anlage 3a_Zusammenfassung_KWKG'!A1850,'Anlage 2b_Korrekturen'!$E$8:$E$202)</f>
        <v>-6937.67</v>
      </c>
      <c r="G1850" s="145">
        <f t="shared" si="60"/>
        <v>689902.21</v>
      </c>
      <c r="H1850" s="143"/>
      <c r="I1850" s="99" t="s">
        <v>265</v>
      </c>
    </row>
    <row r="1851" spans="1:9" hidden="1" outlineLevel="1">
      <c r="A1851" s="465" t="s">
        <v>266</v>
      </c>
      <c r="B1851" s="544">
        <v>546338.44999999995</v>
      </c>
      <c r="C1851" s="95">
        <f>+IF(ISNA(VLOOKUP(A1851,'Anlage 2a_Letztverbrauch'!$A$2810:$C$2819,3,0)),0,VLOOKUP(A1851,'Anlage 2a_Letztverbrauch'!$A$2810:$C$2819,3,0))</f>
        <v>0</v>
      </c>
      <c r="D1851" s="95">
        <v>0</v>
      </c>
      <c r="E1851" s="95">
        <f t="shared" si="59"/>
        <v>546338.44999999995</v>
      </c>
      <c r="F1851" s="95">
        <f>+SUMIF('Anlage 2b_Korrekturen'!$B$8:$B$202,'Anlage 3a_Zusammenfassung_KWKG'!A1851,'Anlage 2b_Korrekturen'!$E$8:$E$202)</f>
        <v>0</v>
      </c>
      <c r="G1851" s="145">
        <f t="shared" si="60"/>
        <v>546338.44999999995</v>
      </c>
      <c r="H1851" s="143"/>
      <c r="I1851" s="99" t="s">
        <v>267</v>
      </c>
    </row>
    <row r="1852" spans="1:9" hidden="1" outlineLevel="1">
      <c r="A1852" s="465" t="s">
        <v>268</v>
      </c>
      <c r="B1852" s="544">
        <v>237948.7</v>
      </c>
      <c r="C1852" s="95">
        <f>+IF(ISNA(VLOOKUP(A1852,'Anlage 2a_Letztverbrauch'!$A$2810:$C$2819,3,0)),0,VLOOKUP(A1852,'Anlage 2a_Letztverbrauch'!$A$2810:$C$2819,3,0))</f>
        <v>0</v>
      </c>
      <c r="D1852" s="95">
        <v>0</v>
      </c>
      <c r="E1852" s="95">
        <f t="shared" si="59"/>
        <v>237948.7</v>
      </c>
      <c r="F1852" s="95">
        <f>+SUMIF('Anlage 2b_Korrekturen'!$B$8:$B$202,'Anlage 3a_Zusammenfassung_KWKG'!A1852,'Anlage 2b_Korrekturen'!$E$8:$E$202)</f>
        <v>0</v>
      </c>
      <c r="G1852" s="145">
        <f t="shared" si="60"/>
        <v>237948.7</v>
      </c>
      <c r="H1852" s="143"/>
      <c r="I1852" s="99" t="s">
        <v>2091</v>
      </c>
    </row>
    <row r="1853" spans="1:9" hidden="1" outlineLevel="1">
      <c r="A1853" s="465" t="s">
        <v>270</v>
      </c>
      <c r="B1853" s="544">
        <v>126426.06</v>
      </c>
      <c r="C1853" s="95">
        <f>+IF(ISNA(VLOOKUP(A1853,'Anlage 2a_Letztverbrauch'!$A$2810:$C$2819,3,0)),0,VLOOKUP(A1853,'Anlage 2a_Letztverbrauch'!$A$2810:$C$2819,3,0))</f>
        <v>0</v>
      </c>
      <c r="D1853" s="95">
        <v>0</v>
      </c>
      <c r="E1853" s="95">
        <f t="shared" si="59"/>
        <v>126426.06</v>
      </c>
      <c r="F1853" s="95">
        <f>+SUMIF('Anlage 2b_Korrekturen'!$B$8:$B$202,'Anlage 3a_Zusammenfassung_KWKG'!A1853,'Anlage 2b_Korrekturen'!$E$8:$E$202)</f>
        <v>0</v>
      </c>
      <c r="G1853" s="145">
        <f t="shared" si="60"/>
        <v>126426.06</v>
      </c>
      <c r="H1853" s="143"/>
      <c r="I1853" s="99" t="s">
        <v>271</v>
      </c>
    </row>
    <row r="1854" spans="1:9" hidden="1" outlineLevel="1">
      <c r="A1854" s="465" t="s">
        <v>272</v>
      </c>
      <c r="B1854" s="544">
        <v>108182.59</v>
      </c>
      <c r="C1854" s="95">
        <f>+IF(ISNA(VLOOKUP(A1854,'Anlage 2a_Letztverbrauch'!$A$2810:$C$2819,3,0)),0,VLOOKUP(A1854,'Anlage 2a_Letztverbrauch'!$A$2810:$C$2819,3,0))</f>
        <v>0</v>
      </c>
      <c r="D1854" s="95">
        <v>0</v>
      </c>
      <c r="E1854" s="95">
        <f t="shared" si="59"/>
        <v>108182.59</v>
      </c>
      <c r="F1854" s="95">
        <f>+SUMIF('Anlage 2b_Korrekturen'!$B$8:$B$202,'Anlage 3a_Zusammenfassung_KWKG'!A1854,'Anlage 2b_Korrekturen'!$E$8:$E$202)</f>
        <v>0</v>
      </c>
      <c r="G1854" s="145">
        <f t="shared" si="60"/>
        <v>108182.59</v>
      </c>
      <c r="H1854" s="143"/>
      <c r="I1854" s="99" t="s">
        <v>273</v>
      </c>
    </row>
    <row r="1855" spans="1:9" hidden="1" outlineLevel="1">
      <c r="A1855" s="465" t="s">
        <v>274</v>
      </c>
      <c r="B1855" s="544">
        <v>144722.68</v>
      </c>
      <c r="C1855" s="95">
        <f>+IF(ISNA(VLOOKUP(A1855,'Anlage 2a_Letztverbrauch'!$A$2810:$C$2819,3,0)),0,VLOOKUP(A1855,'Anlage 2a_Letztverbrauch'!$A$2810:$C$2819,3,0))</f>
        <v>0</v>
      </c>
      <c r="D1855" s="95">
        <v>0</v>
      </c>
      <c r="E1855" s="95">
        <f t="shared" si="59"/>
        <v>144722.68</v>
      </c>
      <c r="F1855" s="95">
        <f>+SUMIF('Anlage 2b_Korrekturen'!$B$8:$B$202,'Anlage 3a_Zusammenfassung_KWKG'!A1855,'Anlage 2b_Korrekturen'!$E$8:$E$202)</f>
        <v>0</v>
      </c>
      <c r="G1855" s="145">
        <f t="shared" si="60"/>
        <v>144722.68</v>
      </c>
      <c r="H1855" s="143"/>
      <c r="I1855" s="99" t="s">
        <v>275</v>
      </c>
    </row>
    <row r="1856" spans="1:9" hidden="1" outlineLevel="1">
      <c r="A1856" s="465" t="s">
        <v>276</v>
      </c>
      <c r="B1856" s="544">
        <v>204617.58</v>
      </c>
      <c r="C1856" s="95">
        <f>+IF(ISNA(VLOOKUP(A1856,'Anlage 2a_Letztverbrauch'!$A$2810:$C$2819,3,0)),0,VLOOKUP(A1856,'Anlage 2a_Letztverbrauch'!$A$2810:$C$2819,3,0))</f>
        <v>0</v>
      </c>
      <c r="D1856" s="95">
        <v>0</v>
      </c>
      <c r="E1856" s="95">
        <f t="shared" si="59"/>
        <v>204617.58</v>
      </c>
      <c r="F1856" s="95">
        <f>+SUMIF('Anlage 2b_Korrekturen'!$B$8:$B$202,'Anlage 3a_Zusammenfassung_KWKG'!A1856,'Anlage 2b_Korrekturen'!$E$8:$E$202)</f>
        <v>-331.53999999999996</v>
      </c>
      <c r="G1856" s="145">
        <f t="shared" si="60"/>
        <v>204286.03999999998</v>
      </c>
      <c r="H1856" s="143"/>
      <c r="I1856" s="99" t="s">
        <v>277</v>
      </c>
    </row>
    <row r="1857" spans="1:9" hidden="1" outlineLevel="1">
      <c r="A1857" s="465" t="s">
        <v>278</v>
      </c>
      <c r="B1857" s="544">
        <v>298231.78999999998</v>
      </c>
      <c r="C1857" s="95">
        <f>+IF(ISNA(VLOOKUP(A1857,'Anlage 2a_Letztverbrauch'!$A$2810:$C$2819,3,0)),0,VLOOKUP(A1857,'Anlage 2a_Letztverbrauch'!$A$2810:$C$2819,3,0))</f>
        <v>0</v>
      </c>
      <c r="D1857" s="95">
        <v>0</v>
      </c>
      <c r="E1857" s="95">
        <f t="shared" si="59"/>
        <v>298231.78999999998</v>
      </c>
      <c r="F1857" s="95">
        <f>+SUMIF('Anlage 2b_Korrekturen'!$B$8:$B$202,'Anlage 3a_Zusammenfassung_KWKG'!A1857,'Anlage 2b_Korrekturen'!$E$8:$E$202)</f>
        <v>0</v>
      </c>
      <c r="G1857" s="145">
        <f t="shared" si="60"/>
        <v>298231.78999999998</v>
      </c>
      <c r="H1857" s="143"/>
      <c r="I1857" s="99" t="s">
        <v>279</v>
      </c>
    </row>
    <row r="1858" spans="1:9" hidden="1" outlineLevel="1">
      <c r="A1858" s="465" t="s">
        <v>280</v>
      </c>
      <c r="B1858" s="544">
        <v>566989.18000000005</v>
      </c>
      <c r="C1858" s="95">
        <f>+IF(ISNA(VLOOKUP(A1858,'Anlage 2a_Letztverbrauch'!$A$2810:$C$2819,3,0)),0,VLOOKUP(A1858,'Anlage 2a_Letztverbrauch'!$A$2810:$C$2819,3,0))</f>
        <v>0</v>
      </c>
      <c r="D1858" s="95">
        <v>0</v>
      </c>
      <c r="E1858" s="95">
        <f t="shared" si="59"/>
        <v>566989.18000000005</v>
      </c>
      <c r="F1858" s="95">
        <f>+SUMIF('Anlage 2b_Korrekturen'!$B$8:$B$202,'Anlage 3a_Zusammenfassung_KWKG'!A1858,'Anlage 2b_Korrekturen'!$E$8:$E$202)</f>
        <v>0</v>
      </c>
      <c r="G1858" s="145">
        <f t="shared" si="60"/>
        <v>566989.18000000005</v>
      </c>
      <c r="H1858" s="143"/>
      <c r="I1858" s="99" t="s">
        <v>281</v>
      </c>
    </row>
    <row r="1859" spans="1:9" hidden="1" outlineLevel="1">
      <c r="A1859" s="465" t="s">
        <v>1857</v>
      </c>
      <c r="B1859" s="544">
        <v>91084.2</v>
      </c>
      <c r="C1859" s="95">
        <f>+IF(ISNA(VLOOKUP(A1859,'Anlage 2a_Letztverbrauch'!$A$2810:$C$2819,3,0)),0,VLOOKUP(A1859,'Anlage 2a_Letztverbrauch'!$A$2810:$C$2819,3,0))</f>
        <v>0</v>
      </c>
      <c r="D1859" s="95">
        <v>0</v>
      </c>
      <c r="E1859" s="95">
        <f t="shared" si="59"/>
        <v>91084.2</v>
      </c>
      <c r="F1859" s="95">
        <f>+SUMIF('Anlage 2b_Korrekturen'!$B$8:$B$202,'Anlage 3a_Zusammenfassung_KWKG'!A1859,'Anlage 2b_Korrekturen'!$E$8:$E$202)</f>
        <v>0</v>
      </c>
      <c r="G1859" s="145">
        <f t="shared" si="60"/>
        <v>91084.2</v>
      </c>
      <c r="H1859" s="143"/>
      <c r="I1859" s="99" t="s">
        <v>2092</v>
      </c>
    </row>
    <row r="1860" spans="1:9" hidden="1" outlineLevel="1">
      <c r="A1860" s="465" t="s">
        <v>282</v>
      </c>
      <c r="B1860" s="544">
        <v>143446.18</v>
      </c>
      <c r="C1860" s="95">
        <f>+IF(ISNA(VLOOKUP(A1860,'Anlage 2a_Letztverbrauch'!$A$2810:$C$2819,3,0)),0,VLOOKUP(A1860,'Anlage 2a_Letztverbrauch'!$A$2810:$C$2819,3,0))</f>
        <v>0</v>
      </c>
      <c r="D1860" s="95">
        <v>0</v>
      </c>
      <c r="E1860" s="95">
        <f t="shared" si="59"/>
        <v>143446.18</v>
      </c>
      <c r="F1860" s="95">
        <f>+SUMIF('Anlage 2b_Korrekturen'!$B$8:$B$202,'Anlage 3a_Zusammenfassung_KWKG'!A1860,'Anlage 2b_Korrekturen'!$E$8:$E$202)</f>
        <v>0</v>
      </c>
      <c r="G1860" s="145">
        <f t="shared" si="60"/>
        <v>143446.18</v>
      </c>
      <c r="H1860" s="143"/>
      <c r="I1860" s="99" t="s">
        <v>2093</v>
      </c>
    </row>
    <row r="1861" spans="1:9" hidden="1" outlineLevel="1">
      <c r="A1861" s="465" t="s">
        <v>284</v>
      </c>
      <c r="B1861" s="544">
        <v>179430.34</v>
      </c>
      <c r="C1861" s="95">
        <f>+IF(ISNA(VLOOKUP(A1861,'Anlage 2a_Letztverbrauch'!$A$2810:$C$2819,3,0)),0,VLOOKUP(A1861,'Anlage 2a_Letztverbrauch'!$A$2810:$C$2819,3,0))</f>
        <v>0</v>
      </c>
      <c r="D1861" s="95">
        <v>0</v>
      </c>
      <c r="E1861" s="95">
        <f t="shared" si="59"/>
        <v>179430.34</v>
      </c>
      <c r="F1861" s="95">
        <f>+SUMIF('Anlage 2b_Korrekturen'!$B$8:$B$202,'Anlage 3a_Zusammenfassung_KWKG'!A1861,'Anlage 2b_Korrekturen'!$E$8:$E$202)</f>
        <v>-115.19999999999993</v>
      </c>
      <c r="G1861" s="145">
        <f t="shared" si="60"/>
        <v>179315.13999999998</v>
      </c>
      <c r="H1861" s="143"/>
      <c r="I1861" s="99" t="s">
        <v>285</v>
      </c>
    </row>
    <row r="1862" spans="1:9" hidden="1" outlineLevel="1">
      <c r="A1862" s="465" t="s">
        <v>286</v>
      </c>
      <c r="B1862" s="544">
        <v>39160.28</v>
      </c>
      <c r="C1862" s="95">
        <f>+IF(ISNA(VLOOKUP(A1862,'Anlage 2a_Letztverbrauch'!$A$2810:$C$2819,3,0)),0,VLOOKUP(A1862,'Anlage 2a_Letztverbrauch'!$A$2810:$C$2819,3,0))</f>
        <v>0</v>
      </c>
      <c r="D1862" s="95">
        <v>0</v>
      </c>
      <c r="E1862" s="95">
        <f t="shared" si="59"/>
        <v>39160.28</v>
      </c>
      <c r="F1862" s="95">
        <f>+SUMIF('Anlage 2b_Korrekturen'!$B$8:$B$202,'Anlage 3a_Zusammenfassung_KWKG'!A1862,'Anlage 2b_Korrekturen'!$E$8:$E$202)</f>
        <v>-4815.53</v>
      </c>
      <c r="G1862" s="145">
        <f t="shared" si="60"/>
        <v>34344.75</v>
      </c>
      <c r="H1862" s="143"/>
      <c r="I1862" s="99" t="s">
        <v>287</v>
      </c>
    </row>
    <row r="1863" spans="1:9" hidden="1" outlineLevel="1">
      <c r="A1863" s="465" t="s">
        <v>288</v>
      </c>
      <c r="B1863" s="544">
        <v>397950.68</v>
      </c>
      <c r="C1863" s="95">
        <f>+IF(ISNA(VLOOKUP(A1863,'Anlage 2a_Letztverbrauch'!$A$2810:$C$2819,3,0)),0,VLOOKUP(A1863,'Anlage 2a_Letztverbrauch'!$A$2810:$C$2819,3,0))</f>
        <v>0</v>
      </c>
      <c r="D1863" s="95">
        <v>0</v>
      </c>
      <c r="E1863" s="95">
        <f t="shared" si="59"/>
        <v>397950.68</v>
      </c>
      <c r="F1863" s="95">
        <f>+SUMIF('Anlage 2b_Korrekturen'!$B$8:$B$202,'Anlage 3a_Zusammenfassung_KWKG'!A1863,'Anlage 2b_Korrekturen'!$E$8:$E$202)</f>
        <v>0</v>
      </c>
      <c r="G1863" s="145">
        <f t="shared" si="60"/>
        <v>397950.68</v>
      </c>
      <c r="H1863" s="143"/>
      <c r="I1863" s="99" t="s">
        <v>2094</v>
      </c>
    </row>
    <row r="1864" spans="1:9" hidden="1" outlineLevel="1">
      <c r="A1864" s="465" t="s">
        <v>290</v>
      </c>
      <c r="B1864" s="544">
        <v>91329.17</v>
      </c>
      <c r="C1864" s="95">
        <f>+IF(ISNA(VLOOKUP(A1864,'Anlage 2a_Letztverbrauch'!$A$2810:$C$2819,3,0)),0,VLOOKUP(A1864,'Anlage 2a_Letztverbrauch'!$A$2810:$C$2819,3,0))</f>
        <v>0</v>
      </c>
      <c r="D1864" s="95">
        <v>0</v>
      </c>
      <c r="E1864" s="95">
        <f t="shared" si="59"/>
        <v>91329.17</v>
      </c>
      <c r="F1864" s="95">
        <f>+SUMIF('Anlage 2b_Korrekturen'!$B$8:$B$202,'Anlage 3a_Zusammenfassung_KWKG'!A1864,'Anlage 2b_Korrekturen'!$E$8:$E$202)</f>
        <v>0</v>
      </c>
      <c r="G1864" s="145">
        <f t="shared" si="60"/>
        <v>91329.17</v>
      </c>
      <c r="H1864" s="143"/>
      <c r="I1864" s="99" t="s">
        <v>291</v>
      </c>
    </row>
    <row r="1865" spans="1:9" hidden="1" outlineLevel="1">
      <c r="A1865" s="465" t="s">
        <v>292</v>
      </c>
      <c r="B1865" s="544">
        <v>74351.600000000006</v>
      </c>
      <c r="C1865" s="95">
        <f>+IF(ISNA(VLOOKUP(A1865,'Anlage 2a_Letztverbrauch'!$A$2810:$C$2819,3,0)),0,VLOOKUP(A1865,'Anlage 2a_Letztverbrauch'!$A$2810:$C$2819,3,0))</f>
        <v>0</v>
      </c>
      <c r="D1865" s="95">
        <v>0</v>
      </c>
      <c r="E1865" s="95">
        <f t="shared" si="59"/>
        <v>74351.600000000006</v>
      </c>
      <c r="F1865" s="95">
        <f>+SUMIF('Anlage 2b_Korrekturen'!$B$8:$B$202,'Anlage 3a_Zusammenfassung_KWKG'!A1865,'Anlage 2b_Korrekturen'!$E$8:$E$202)</f>
        <v>0</v>
      </c>
      <c r="G1865" s="145">
        <f t="shared" si="60"/>
        <v>74351.600000000006</v>
      </c>
      <c r="H1865" s="143"/>
      <c r="I1865" s="99" t="s">
        <v>293</v>
      </c>
    </row>
    <row r="1866" spans="1:9" hidden="1" outlineLevel="1">
      <c r="A1866" s="465" t="s">
        <v>294</v>
      </c>
      <c r="B1866" s="544">
        <v>134490.9</v>
      </c>
      <c r="C1866" s="95">
        <f>+IF(ISNA(VLOOKUP(A1866,'Anlage 2a_Letztverbrauch'!$A$2810:$C$2819,3,0)),0,VLOOKUP(A1866,'Anlage 2a_Letztverbrauch'!$A$2810:$C$2819,3,0))</f>
        <v>0</v>
      </c>
      <c r="D1866" s="95">
        <v>0</v>
      </c>
      <c r="E1866" s="95">
        <f t="shared" si="59"/>
        <v>134490.9</v>
      </c>
      <c r="F1866" s="95">
        <f>+SUMIF('Anlage 2b_Korrekturen'!$B$8:$B$202,'Anlage 3a_Zusammenfassung_KWKG'!A1866,'Anlage 2b_Korrekturen'!$E$8:$E$202)</f>
        <v>-1114.74</v>
      </c>
      <c r="G1866" s="145">
        <f t="shared" si="60"/>
        <v>133376.16</v>
      </c>
      <c r="H1866" s="143"/>
      <c r="I1866" s="99" t="s">
        <v>295</v>
      </c>
    </row>
    <row r="1867" spans="1:9" hidden="1" outlineLevel="1">
      <c r="A1867" s="465" t="s">
        <v>296</v>
      </c>
      <c r="B1867" s="544">
        <v>254285.57</v>
      </c>
      <c r="C1867" s="95">
        <f>+IF(ISNA(VLOOKUP(A1867,'Anlage 2a_Letztverbrauch'!$A$2810:$C$2819,3,0)),0,VLOOKUP(A1867,'Anlage 2a_Letztverbrauch'!$A$2810:$C$2819,3,0))</f>
        <v>0</v>
      </c>
      <c r="D1867" s="95">
        <v>0</v>
      </c>
      <c r="E1867" s="95">
        <f t="shared" si="59"/>
        <v>254285.57</v>
      </c>
      <c r="F1867" s="95">
        <f>+SUMIF('Anlage 2b_Korrekturen'!$B$8:$B$202,'Anlage 3a_Zusammenfassung_KWKG'!A1867,'Anlage 2b_Korrekturen'!$E$8:$E$202)</f>
        <v>1863.35</v>
      </c>
      <c r="G1867" s="145">
        <f t="shared" si="60"/>
        <v>256148.92</v>
      </c>
      <c r="H1867" s="143"/>
      <c r="I1867" s="99" t="s">
        <v>297</v>
      </c>
    </row>
    <row r="1868" spans="1:9" hidden="1" outlineLevel="1">
      <c r="A1868" s="465" t="s">
        <v>298</v>
      </c>
      <c r="B1868" s="544">
        <v>172553.56</v>
      </c>
      <c r="C1868" s="95">
        <f>+IF(ISNA(VLOOKUP(A1868,'Anlage 2a_Letztverbrauch'!$A$2810:$C$2819,3,0)),0,VLOOKUP(A1868,'Anlage 2a_Letztverbrauch'!$A$2810:$C$2819,3,0))</f>
        <v>0</v>
      </c>
      <c r="D1868" s="95">
        <v>0</v>
      </c>
      <c r="E1868" s="95">
        <f t="shared" si="59"/>
        <v>172553.56</v>
      </c>
      <c r="F1868" s="95">
        <f>+SUMIF('Anlage 2b_Korrekturen'!$B$8:$B$202,'Anlage 3a_Zusammenfassung_KWKG'!A1868,'Anlage 2b_Korrekturen'!$E$8:$E$202)</f>
        <v>0</v>
      </c>
      <c r="G1868" s="145">
        <f t="shared" si="60"/>
        <v>172553.56</v>
      </c>
      <c r="H1868" s="143"/>
      <c r="I1868" s="99" t="s">
        <v>299</v>
      </c>
    </row>
    <row r="1869" spans="1:9" hidden="1" outlineLevel="1">
      <c r="A1869" s="465" t="s">
        <v>300</v>
      </c>
      <c r="B1869" s="544">
        <v>479822.24</v>
      </c>
      <c r="C1869" s="95">
        <f>+IF(ISNA(VLOOKUP(A1869,'Anlage 2a_Letztverbrauch'!$A$2810:$C$2819,3,0)),0,VLOOKUP(A1869,'Anlage 2a_Letztverbrauch'!$A$2810:$C$2819,3,0))</f>
        <v>0</v>
      </c>
      <c r="D1869" s="95">
        <v>0</v>
      </c>
      <c r="E1869" s="95">
        <f t="shared" si="59"/>
        <v>479822.24</v>
      </c>
      <c r="F1869" s="95">
        <f>+SUMIF('Anlage 2b_Korrekturen'!$B$8:$B$202,'Anlage 3a_Zusammenfassung_KWKG'!A1869,'Anlage 2b_Korrekturen'!$E$8:$E$202)</f>
        <v>123.00000000000003</v>
      </c>
      <c r="G1869" s="145">
        <f t="shared" si="60"/>
        <v>479945.24</v>
      </c>
      <c r="H1869" s="143"/>
      <c r="I1869" s="99" t="s">
        <v>301</v>
      </c>
    </row>
    <row r="1870" spans="1:9" hidden="1" outlineLevel="1">
      <c r="A1870" s="465" t="s">
        <v>302</v>
      </c>
      <c r="B1870" s="544">
        <v>159102.45000000001</v>
      </c>
      <c r="C1870" s="95">
        <f>+IF(ISNA(VLOOKUP(A1870,'Anlage 2a_Letztverbrauch'!$A$2810:$C$2819,3,0)),0,VLOOKUP(A1870,'Anlage 2a_Letztverbrauch'!$A$2810:$C$2819,3,0))</f>
        <v>0</v>
      </c>
      <c r="D1870" s="95">
        <v>0</v>
      </c>
      <c r="E1870" s="95">
        <f t="shared" si="59"/>
        <v>159102.45000000001</v>
      </c>
      <c r="F1870" s="95">
        <f>+SUMIF('Anlage 2b_Korrekturen'!$B$8:$B$202,'Anlage 3a_Zusammenfassung_KWKG'!A1870,'Anlage 2b_Korrekturen'!$E$8:$E$202)</f>
        <v>-380.81000000000006</v>
      </c>
      <c r="G1870" s="145">
        <f t="shared" si="60"/>
        <v>158721.64000000001</v>
      </c>
      <c r="H1870" s="143"/>
      <c r="I1870" s="99" t="s">
        <v>303</v>
      </c>
    </row>
    <row r="1871" spans="1:9" hidden="1" outlineLevel="1">
      <c r="A1871" s="465" t="s">
        <v>304</v>
      </c>
      <c r="B1871" s="544">
        <v>371922.33</v>
      </c>
      <c r="C1871" s="95">
        <f>+IF(ISNA(VLOOKUP(A1871,'Anlage 2a_Letztverbrauch'!$A$2810:$C$2819,3,0)),0,VLOOKUP(A1871,'Anlage 2a_Letztverbrauch'!$A$2810:$C$2819,3,0))</f>
        <v>0</v>
      </c>
      <c r="D1871" s="95">
        <v>0</v>
      </c>
      <c r="E1871" s="95">
        <f t="shared" si="59"/>
        <v>371922.33</v>
      </c>
      <c r="F1871" s="95">
        <f>+SUMIF('Anlage 2b_Korrekturen'!$B$8:$B$202,'Anlage 3a_Zusammenfassung_KWKG'!A1871,'Anlage 2b_Korrekturen'!$E$8:$E$202)</f>
        <v>1389.76</v>
      </c>
      <c r="G1871" s="145">
        <f t="shared" si="60"/>
        <v>373312.09</v>
      </c>
      <c r="H1871" s="143"/>
      <c r="I1871" s="99" t="s">
        <v>2095</v>
      </c>
    </row>
    <row r="1872" spans="1:9" hidden="1" outlineLevel="1">
      <c r="A1872" s="465" t="s">
        <v>306</v>
      </c>
      <c r="B1872" s="544">
        <v>113827.61</v>
      </c>
      <c r="C1872" s="95">
        <f>+IF(ISNA(VLOOKUP(A1872,'Anlage 2a_Letztverbrauch'!$A$2810:$C$2819,3,0)),0,VLOOKUP(A1872,'Anlage 2a_Letztverbrauch'!$A$2810:$C$2819,3,0))</f>
        <v>0</v>
      </c>
      <c r="D1872" s="95">
        <v>0</v>
      </c>
      <c r="E1872" s="95">
        <f t="shared" si="59"/>
        <v>113827.61</v>
      </c>
      <c r="F1872" s="95">
        <f>+SUMIF('Anlage 2b_Korrekturen'!$B$8:$B$202,'Anlage 3a_Zusammenfassung_KWKG'!A1872,'Anlage 2b_Korrekturen'!$E$8:$E$202)</f>
        <v>0</v>
      </c>
      <c r="G1872" s="145">
        <f t="shared" si="60"/>
        <v>113827.61</v>
      </c>
      <c r="H1872" s="143"/>
      <c r="I1872" s="99" t="s">
        <v>307</v>
      </c>
    </row>
    <row r="1873" spans="1:9" hidden="1" outlineLevel="1">
      <c r="A1873" s="465" t="s">
        <v>308</v>
      </c>
      <c r="B1873" s="544">
        <v>235900.51</v>
      </c>
      <c r="C1873" s="95">
        <f>+IF(ISNA(VLOOKUP(A1873,'Anlage 2a_Letztverbrauch'!$A$2810:$C$2819,3,0)),0,VLOOKUP(A1873,'Anlage 2a_Letztverbrauch'!$A$2810:$C$2819,3,0))</f>
        <v>0</v>
      </c>
      <c r="D1873" s="95">
        <v>0</v>
      </c>
      <c r="E1873" s="95">
        <f t="shared" si="59"/>
        <v>235900.51</v>
      </c>
      <c r="F1873" s="95">
        <f>+SUMIF('Anlage 2b_Korrekturen'!$B$8:$B$202,'Anlage 3a_Zusammenfassung_KWKG'!A1873,'Anlage 2b_Korrekturen'!$E$8:$E$202)</f>
        <v>0</v>
      </c>
      <c r="G1873" s="145">
        <f t="shared" si="60"/>
        <v>235900.51</v>
      </c>
      <c r="H1873" s="143"/>
      <c r="I1873" s="99" t="s">
        <v>309</v>
      </c>
    </row>
    <row r="1874" spans="1:9" hidden="1" outlineLevel="1">
      <c r="A1874" s="465" t="s">
        <v>310</v>
      </c>
      <c r="B1874" s="544">
        <v>18633420.140000001</v>
      </c>
      <c r="C1874" s="95">
        <f>+IF(ISNA(VLOOKUP(A1874,'Anlage 2a_Letztverbrauch'!$A$2810:$C$2819,3,0)),0,VLOOKUP(A1874,'Anlage 2a_Letztverbrauch'!$A$2810:$C$2819,3,0))</f>
        <v>-37303.24</v>
      </c>
      <c r="D1874" s="95">
        <v>0</v>
      </c>
      <c r="E1874" s="95">
        <f t="shared" si="59"/>
        <v>18596116.900000002</v>
      </c>
      <c r="F1874" s="95">
        <f>+SUMIF('Anlage 2b_Korrekturen'!$B$8:$B$202,'Anlage 3a_Zusammenfassung_KWKG'!A1874,'Anlage 2b_Korrekturen'!$E$8:$E$202)</f>
        <v>-1661.26</v>
      </c>
      <c r="G1874" s="145">
        <f t="shared" si="60"/>
        <v>18594455.640000001</v>
      </c>
      <c r="H1874" s="143"/>
      <c r="I1874" s="99" t="s">
        <v>311</v>
      </c>
    </row>
    <row r="1875" spans="1:9" hidden="1" outlineLevel="1">
      <c r="A1875" s="465" t="s">
        <v>312</v>
      </c>
      <c r="B1875" s="544">
        <v>5644969.0199999996</v>
      </c>
      <c r="C1875" s="95">
        <f>+IF(ISNA(VLOOKUP(A1875,'Anlage 2a_Letztverbrauch'!$A$2810:$C$2819,3,0)),0,VLOOKUP(A1875,'Anlage 2a_Letztverbrauch'!$A$2810:$C$2819,3,0))</f>
        <v>-5570</v>
      </c>
      <c r="D1875" s="95">
        <v>0</v>
      </c>
      <c r="E1875" s="95">
        <f t="shared" si="59"/>
        <v>5639399.0199999996</v>
      </c>
      <c r="F1875" s="95">
        <f>+SUMIF('Anlage 2b_Korrekturen'!$B$8:$B$202,'Anlage 3a_Zusammenfassung_KWKG'!A1875,'Anlage 2b_Korrekturen'!$E$8:$E$202)</f>
        <v>137594.51</v>
      </c>
      <c r="G1875" s="145">
        <f t="shared" si="60"/>
        <v>5776993.5299999993</v>
      </c>
      <c r="H1875" s="143"/>
      <c r="I1875" s="99" t="s">
        <v>313</v>
      </c>
    </row>
    <row r="1876" spans="1:9" hidden="1" outlineLevel="1">
      <c r="A1876" s="465" t="s">
        <v>314</v>
      </c>
      <c r="B1876" s="544">
        <v>218008.55</v>
      </c>
      <c r="C1876" s="95">
        <f>+IF(ISNA(VLOOKUP(A1876,'Anlage 2a_Letztverbrauch'!$A$2810:$C$2819,3,0)),0,VLOOKUP(A1876,'Anlage 2a_Letztverbrauch'!$A$2810:$C$2819,3,0))</f>
        <v>0</v>
      </c>
      <c r="D1876" s="95">
        <v>0</v>
      </c>
      <c r="E1876" s="95">
        <f t="shared" si="59"/>
        <v>218008.55</v>
      </c>
      <c r="F1876" s="95">
        <f>+SUMIF('Anlage 2b_Korrekturen'!$B$8:$B$202,'Anlage 3a_Zusammenfassung_KWKG'!A1876,'Anlage 2b_Korrekturen'!$E$8:$E$202)</f>
        <v>0</v>
      </c>
      <c r="G1876" s="145">
        <f t="shared" si="60"/>
        <v>218008.55</v>
      </c>
      <c r="H1876" s="143"/>
      <c r="I1876" s="99" t="s">
        <v>315</v>
      </c>
    </row>
    <row r="1877" spans="1:9" hidden="1" outlineLevel="1">
      <c r="A1877" s="465" t="s">
        <v>316</v>
      </c>
      <c r="B1877" s="544">
        <v>8182777.96</v>
      </c>
      <c r="C1877" s="95">
        <f>+IF(ISNA(VLOOKUP(A1877,'Anlage 2a_Letztverbrauch'!$A$2810:$C$2819,3,0)),0,VLOOKUP(A1877,'Anlage 2a_Letztverbrauch'!$A$2810:$C$2819,3,0))</f>
        <v>-127458.9</v>
      </c>
      <c r="D1877" s="95">
        <v>0</v>
      </c>
      <c r="E1877" s="95">
        <f t="shared" si="59"/>
        <v>8055319.0599999996</v>
      </c>
      <c r="F1877" s="95">
        <f>+SUMIF('Anlage 2b_Korrekturen'!$B$8:$B$202,'Anlage 3a_Zusammenfassung_KWKG'!A1877,'Anlage 2b_Korrekturen'!$E$8:$E$202)</f>
        <v>320376.50999999995</v>
      </c>
      <c r="G1877" s="145">
        <f t="shared" si="60"/>
        <v>8375695.5699999994</v>
      </c>
      <c r="H1877" s="143"/>
      <c r="I1877" s="99" t="s">
        <v>317</v>
      </c>
    </row>
    <row r="1878" spans="1:9" hidden="1" outlineLevel="1">
      <c r="A1878" s="465" t="s">
        <v>318</v>
      </c>
      <c r="B1878" s="544">
        <v>593418.20000000007</v>
      </c>
      <c r="C1878" s="95">
        <f>+IF(ISNA(VLOOKUP(A1878,'Anlage 2a_Letztverbrauch'!$A$2810:$C$2819,3,0)),0,VLOOKUP(A1878,'Anlage 2a_Letztverbrauch'!$A$2810:$C$2819,3,0))</f>
        <v>0</v>
      </c>
      <c r="D1878" s="95">
        <v>0</v>
      </c>
      <c r="E1878" s="95">
        <f t="shared" si="59"/>
        <v>593418.20000000007</v>
      </c>
      <c r="F1878" s="95">
        <f>+SUMIF('Anlage 2b_Korrekturen'!$B$8:$B$202,'Anlage 3a_Zusammenfassung_KWKG'!A1878,'Anlage 2b_Korrekturen'!$E$8:$E$202)</f>
        <v>-10108.4</v>
      </c>
      <c r="G1878" s="145">
        <f t="shared" si="60"/>
        <v>583309.80000000005</v>
      </c>
      <c r="H1878" s="143"/>
      <c r="I1878" s="99" t="s">
        <v>319</v>
      </c>
    </row>
    <row r="1879" spans="1:9" hidden="1" outlineLevel="1">
      <c r="A1879" s="465" t="s">
        <v>320</v>
      </c>
      <c r="B1879" s="544">
        <v>101466.26</v>
      </c>
      <c r="C1879" s="95">
        <f>+IF(ISNA(VLOOKUP(A1879,'Anlage 2a_Letztverbrauch'!$A$2810:$C$2819,3,0)),0,VLOOKUP(A1879,'Anlage 2a_Letztverbrauch'!$A$2810:$C$2819,3,0))</f>
        <v>0</v>
      </c>
      <c r="D1879" s="95">
        <v>0</v>
      </c>
      <c r="E1879" s="95">
        <f t="shared" si="59"/>
        <v>101466.26</v>
      </c>
      <c r="F1879" s="95">
        <f>+SUMIF('Anlage 2b_Korrekturen'!$B$8:$B$202,'Anlage 3a_Zusammenfassung_KWKG'!A1879,'Anlage 2b_Korrekturen'!$E$8:$E$202)</f>
        <v>0</v>
      </c>
      <c r="G1879" s="145">
        <f t="shared" si="60"/>
        <v>101466.26</v>
      </c>
      <c r="H1879" s="143"/>
      <c r="I1879" s="99" t="s">
        <v>321</v>
      </c>
    </row>
    <row r="1880" spans="1:9" hidden="1" outlineLevel="1">
      <c r="A1880" s="465" t="s">
        <v>322</v>
      </c>
      <c r="B1880" s="544">
        <v>71805.52</v>
      </c>
      <c r="C1880" s="95">
        <f>+IF(ISNA(VLOOKUP(A1880,'Anlage 2a_Letztverbrauch'!$A$2810:$C$2819,3,0)),0,VLOOKUP(A1880,'Anlage 2a_Letztverbrauch'!$A$2810:$C$2819,3,0))</f>
        <v>0</v>
      </c>
      <c r="D1880" s="95">
        <v>0</v>
      </c>
      <c r="E1880" s="95">
        <f t="shared" si="59"/>
        <v>71805.52</v>
      </c>
      <c r="F1880" s="95">
        <f>+SUMIF('Anlage 2b_Korrekturen'!$B$8:$B$202,'Anlage 3a_Zusammenfassung_KWKG'!A1880,'Anlage 2b_Korrekturen'!$E$8:$E$202)</f>
        <v>-682.5</v>
      </c>
      <c r="G1880" s="145">
        <f t="shared" si="60"/>
        <v>71123.02</v>
      </c>
      <c r="H1880" s="143"/>
      <c r="I1880" s="99" t="s">
        <v>323</v>
      </c>
    </row>
    <row r="1881" spans="1:9" hidden="1" outlineLevel="1">
      <c r="A1881" s="465" t="s">
        <v>324</v>
      </c>
      <c r="B1881" s="544">
        <v>14823.47</v>
      </c>
      <c r="C1881" s="95">
        <f>+IF(ISNA(VLOOKUP(A1881,'Anlage 2a_Letztverbrauch'!$A$2810:$C$2819,3,0)),0,VLOOKUP(A1881,'Anlage 2a_Letztverbrauch'!$A$2810:$C$2819,3,0))</f>
        <v>0</v>
      </c>
      <c r="D1881" s="95">
        <v>0</v>
      </c>
      <c r="E1881" s="95">
        <f t="shared" si="59"/>
        <v>14823.47</v>
      </c>
      <c r="F1881" s="95">
        <f>+SUMIF('Anlage 2b_Korrekturen'!$B$8:$B$202,'Anlage 3a_Zusammenfassung_KWKG'!A1881,'Anlage 2b_Korrekturen'!$E$8:$E$202)</f>
        <v>0</v>
      </c>
      <c r="G1881" s="145">
        <f t="shared" si="60"/>
        <v>14823.47</v>
      </c>
      <c r="H1881" s="143"/>
      <c r="I1881" s="99" t="s">
        <v>2096</v>
      </c>
    </row>
    <row r="1882" spans="1:9" hidden="1" outlineLevel="1">
      <c r="A1882" s="465" t="s">
        <v>326</v>
      </c>
      <c r="B1882" s="544">
        <v>265265.93</v>
      </c>
      <c r="C1882" s="95">
        <f>+IF(ISNA(VLOOKUP(A1882,'Anlage 2a_Letztverbrauch'!$A$2810:$C$2819,3,0)),0,VLOOKUP(A1882,'Anlage 2a_Letztverbrauch'!$A$2810:$C$2819,3,0))</f>
        <v>0</v>
      </c>
      <c r="D1882" s="95">
        <v>0</v>
      </c>
      <c r="E1882" s="95">
        <f t="shared" si="59"/>
        <v>265265.93</v>
      </c>
      <c r="F1882" s="95">
        <f>+SUMIF('Anlage 2b_Korrekturen'!$B$8:$B$202,'Anlage 3a_Zusammenfassung_KWKG'!A1882,'Anlage 2b_Korrekturen'!$E$8:$E$202)</f>
        <v>0</v>
      </c>
      <c r="G1882" s="145">
        <f t="shared" si="60"/>
        <v>265265.93</v>
      </c>
      <c r="H1882" s="143"/>
      <c r="I1882" s="99" t="s">
        <v>327</v>
      </c>
    </row>
    <row r="1883" spans="1:9" hidden="1" outlineLevel="1">
      <c r="A1883" s="465" t="s">
        <v>328</v>
      </c>
      <c r="B1883" s="544">
        <v>194609.81</v>
      </c>
      <c r="C1883" s="95">
        <f>+IF(ISNA(VLOOKUP(A1883,'Anlage 2a_Letztverbrauch'!$A$2810:$C$2819,3,0)),0,VLOOKUP(A1883,'Anlage 2a_Letztverbrauch'!$A$2810:$C$2819,3,0))</f>
        <v>0</v>
      </c>
      <c r="D1883" s="95">
        <v>0</v>
      </c>
      <c r="E1883" s="95">
        <f t="shared" si="59"/>
        <v>194609.81</v>
      </c>
      <c r="F1883" s="95">
        <f>+SUMIF('Anlage 2b_Korrekturen'!$B$8:$B$202,'Anlage 3a_Zusammenfassung_KWKG'!A1883,'Anlage 2b_Korrekturen'!$E$8:$E$202)</f>
        <v>0</v>
      </c>
      <c r="G1883" s="145">
        <f t="shared" si="60"/>
        <v>194609.81</v>
      </c>
      <c r="H1883" s="143"/>
      <c r="I1883" s="99" t="s">
        <v>329</v>
      </c>
    </row>
    <row r="1884" spans="1:9" hidden="1" outlineLevel="1">
      <c r="A1884" s="465" t="s">
        <v>330</v>
      </c>
      <c r="B1884" s="544">
        <v>119714.63</v>
      </c>
      <c r="C1884" s="95">
        <f>+IF(ISNA(VLOOKUP(A1884,'Anlage 2a_Letztverbrauch'!$A$2810:$C$2819,3,0)),0,VLOOKUP(A1884,'Anlage 2a_Letztverbrauch'!$A$2810:$C$2819,3,0))</f>
        <v>0</v>
      </c>
      <c r="D1884" s="95">
        <v>0</v>
      </c>
      <c r="E1884" s="95">
        <f t="shared" ref="E1884:E1948" si="61">B1884+C1884+D1884</f>
        <v>119714.63</v>
      </c>
      <c r="F1884" s="95">
        <f>+SUMIF('Anlage 2b_Korrekturen'!$B$8:$B$202,'Anlage 3a_Zusammenfassung_KWKG'!A1884,'Anlage 2b_Korrekturen'!$E$8:$E$202)</f>
        <v>1043.5899999999999</v>
      </c>
      <c r="G1884" s="145">
        <f t="shared" ref="G1884:G1948" si="62">E1884+F1884</f>
        <v>120758.22</v>
      </c>
      <c r="H1884" s="143"/>
      <c r="I1884" s="99" t="s">
        <v>331</v>
      </c>
    </row>
    <row r="1885" spans="1:9" hidden="1" outlineLevel="1">
      <c r="A1885" s="465" t="s">
        <v>1858</v>
      </c>
      <c r="B1885" s="544">
        <v>528352.84</v>
      </c>
      <c r="C1885" s="95">
        <f>+IF(ISNA(VLOOKUP(A1885,'Anlage 2a_Letztverbrauch'!$A$2810:$C$2819,3,0)),0,VLOOKUP(A1885,'Anlage 2a_Letztverbrauch'!$A$2810:$C$2819,3,0))</f>
        <v>0</v>
      </c>
      <c r="D1885" s="95">
        <v>0</v>
      </c>
      <c r="E1885" s="95">
        <f t="shared" si="61"/>
        <v>528352.84</v>
      </c>
      <c r="F1885" s="95">
        <f>+SUMIF('Anlage 2b_Korrekturen'!$B$8:$B$202,'Anlage 3a_Zusammenfassung_KWKG'!A1885,'Anlage 2b_Korrekturen'!$E$8:$E$202)</f>
        <v>118.92</v>
      </c>
      <c r="G1885" s="145">
        <f t="shared" si="62"/>
        <v>528471.76</v>
      </c>
      <c r="H1885" s="143"/>
      <c r="I1885" s="99" t="s">
        <v>2021</v>
      </c>
    </row>
    <row r="1886" spans="1:9" hidden="1" outlineLevel="1">
      <c r="A1886" s="465" t="s">
        <v>332</v>
      </c>
      <c r="B1886" s="544">
        <v>93705.49</v>
      </c>
      <c r="C1886" s="95">
        <f>+IF(ISNA(VLOOKUP(A1886,'Anlage 2a_Letztverbrauch'!$A$2810:$C$2819,3,0)),0,VLOOKUP(A1886,'Anlage 2a_Letztverbrauch'!$A$2810:$C$2819,3,0))</f>
        <v>0</v>
      </c>
      <c r="D1886" s="95">
        <v>0</v>
      </c>
      <c r="E1886" s="95">
        <f t="shared" si="61"/>
        <v>93705.49</v>
      </c>
      <c r="F1886" s="95">
        <f>+SUMIF('Anlage 2b_Korrekturen'!$B$8:$B$202,'Anlage 3a_Zusammenfassung_KWKG'!A1886,'Anlage 2b_Korrekturen'!$E$8:$E$202)</f>
        <v>0</v>
      </c>
      <c r="G1886" s="145">
        <f t="shared" si="62"/>
        <v>93705.49</v>
      </c>
      <c r="H1886" s="143"/>
      <c r="I1886" s="99" t="s">
        <v>333</v>
      </c>
    </row>
    <row r="1887" spans="1:9" hidden="1" outlineLevel="1">
      <c r="A1887" s="465" t="s">
        <v>334</v>
      </c>
      <c r="B1887" s="544">
        <v>3630.74</v>
      </c>
      <c r="C1887" s="95">
        <f>+IF(ISNA(VLOOKUP(A1887,'Anlage 2a_Letztverbrauch'!$A$2810:$C$2819,3,0)),0,VLOOKUP(A1887,'Anlage 2a_Letztverbrauch'!$A$2810:$C$2819,3,0))</f>
        <v>0</v>
      </c>
      <c r="D1887" s="95">
        <v>0</v>
      </c>
      <c r="E1887" s="95">
        <f t="shared" si="61"/>
        <v>3630.74</v>
      </c>
      <c r="F1887" s="95">
        <f>+SUMIF('Anlage 2b_Korrekturen'!$B$8:$B$202,'Anlage 3a_Zusammenfassung_KWKG'!A1887,'Anlage 2b_Korrekturen'!$E$8:$E$202)</f>
        <v>0</v>
      </c>
      <c r="G1887" s="145">
        <f t="shared" si="62"/>
        <v>3630.74</v>
      </c>
      <c r="H1887" s="143"/>
      <c r="I1887" s="99" t="s">
        <v>335</v>
      </c>
    </row>
    <row r="1888" spans="1:9" hidden="1" outlineLevel="1">
      <c r="A1888" s="465" t="s">
        <v>336</v>
      </c>
      <c r="B1888" s="544">
        <v>188256.98</v>
      </c>
      <c r="C1888" s="95">
        <f>+IF(ISNA(VLOOKUP(A1888,'Anlage 2a_Letztverbrauch'!$A$2810:$C$2819,3,0)),0,VLOOKUP(A1888,'Anlage 2a_Letztverbrauch'!$A$2810:$C$2819,3,0))</f>
        <v>0</v>
      </c>
      <c r="D1888" s="95">
        <v>0</v>
      </c>
      <c r="E1888" s="95">
        <f t="shared" si="61"/>
        <v>188256.98</v>
      </c>
      <c r="F1888" s="95">
        <f>+SUMIF('Anlage 2b_Korrekturen'!$B$8:$B$202,'Anlage 3a_Zusammenfassung_KWKG'!A1888,'Anlage 2b_Korrekturen'!$E$8:$E$202)</f>
        <v>0</v>
      </c>
      <c r="G1888" s="145">
        <f t="shared" si="62"/>
        <v>188256.98</v>
      </c>
      <c r="H1888" s="143"/>
      <c r="I1888" s="99" t="s">
        <v>337</v>
      </c>
    </row>
    <row r="1889" spans="1:9" hidden="1" outlineLevel="1">
      <c r="A1889" s="465" t="s">
        <v>338</v>
      </c>
      <c r="B1889" s="544">
        <v>56706.05</v>
      </c>
      <c r="C1889" s="95">
        <f>+IF(ISNA(VLOOKUP(A1889,'Anlage 2a_Letztverbrauch'!$A$2810:$C$2819,3,0)),0,VLOOKUP(A1889,'Anlage 2a_Letztverbrauch'!$A$2810:$C$2819,3,0))</f>
        <v>0</v>
      </c>
      <c r="D1889" s="95">
        <v>0</v>
      </c>
      <c r="E1889" s="95">
        <f t="shared" si="61"/>
        <v>56706.05</v>
      </c>
      <c r="F1889" s="95">
        <f>+SUMIF('Anlage 2b_Korrekturen'!$B$8:$B$202,'Anlage 3a_Zusammenfassung_KWKG'!A1889,'Anlage 2b_Korrekturen'!$E$8:$E$202)</f>
        <v>381.01</v>
      </c>
      <c r="G1889" s="145">
        <f t="shared" si="62"/>
        <v>57087.060000000005</v>
      </c>
      <c r="H1889" s="143"/>
      <c r="I1889" s="99" t="s">
        <v>339</v>
      </c>
    </row>
    <row r="1890" spans="1:9" hidden="1" outlineLevel="1">
      <c r="A1890" s="465" t="s">
        <v>340</v>
      </c>
      <c r="B1890" s="544">
        <v>236437.33</v>
      </c>
      <c r="C1890" s="95">
        <f>+IF(ISNA(VLOOKUP(A1890,'Anlage 2a_Letztverbrauch'!$A$2810:$C$2819,3,0)),0,VLOOKUP(A1890,'Anlage 2a_Letztverbrauch'!$A$2810:$C$2819,3,0))</f>
        <v>0</v>
      </c>
      <c r="D1890" s="95">
        <v>0</v>
      </c>
      <c r="E1890" s="95">
        <f t="shared" si="61"/>
        <v>236437.33</v>
      </c>
      <c r="F1890" s="95">
        <f>+SUMIF('Anlage 2b_Korrekturen'!$B$8:$B$202,'Anlage 3a_Zusammenfassung_KWKG'!A1890,'Anlage 2b_Korrekturen'!$E$8:$E$202)</f>
        <v>0</v>
      </c>
      <c r="G1890" s="145">
        <f t="shared" si="62"/>
        <v>236437.33</v>
      </c>
      <c r="H1890" s="143"/>
      <c r="I1890" s="99" t="s">
        <v>341</v>
      </c>
    </row>
    <row r="1891" spans="1:9" hidden="1" outlineLevel="1">
      <c r="A1891" s="465" t="s">
        <v>342</v>
      </c>
      <c r="B1891" s="544">
        <v>110308.03</v>
      </c>
      <c r="C1891" s="95">
        <f>+IF(ISNA(VLOOKUP(A1891,'Anlage 2a_Letztverbrauch'!$A$2810:$C$2819,3,0)),0,VLOOKUP(A1891,'Anlage 2a_Letztverbrauch'!$A$2810:$C$2819,3,0))</f>
        <v>0</v>
      </c>
      <c r="D1891" s="95">
        <v>0</v>
      </c>
      <c r="E1891" s="95">
        <f t="shared" si="61"/>
        <v>110308.03</v>
      </c>
      <c r="F1891" s="95">
        <f>+SUMIF('Anlage 2b_Korrekturen'!$B$8:$B$202,'Anlage 3a_Zusammenfassung_KWKG'!A1891,'Anlage 2b_Korrekturen'!$E$8:$E$202)</f>
        <v>0</v>
      </c>
      <c r="G1891" s="145">
        <f t="shared" si="62"/>
        <v>110308.03</v>
      </c>
      <c r="H1891" s="143"/>
      <c r="I1891" s="99" t="s">
        <v>343</v>
      </c>
    </row>
    <row r="1892" spans="1:9" hidden="1" outlineLevel="1">
      <c r="A1892" s="465" t="s">
        <v>344</v>
      </c>
      <c r="B1892" s="544">
        <v>338750.95</v>
      </c>
      <c r="C1892" s="95">
        <f>+IF(ISNA(VLOOKUP(A1892,'Anlage 2a_Letztverbrauch'!$A$2810:$C$2819,3,0)),0,VLOOKUP(A1892,'Anlage 2a_Letztverbrauch'!$A$2810:$C$2819,3,0))</f>
        <v>0</v>
      </c>
      <c r="D1892" s="95">
        <v>0</v>
      </c>
      <c r="E1892" s="95">
        <f t="shared" si="61"/>
        <v>338750.95</v>
      </c>
      <c r="F1892" s="95">
        <f>+SUMIF('Anlage 2b_Korrekturen'!$B$8:$B$202,'Anlage 3a_Zusammenfassung_KWKG'!A1892,'Anlage 2b_Korrekturen'!$E$8:$E$202)</f>
        <v>0</v>
      </c>
      <c r="G1892" s="145">
        <f t="shared" si="62"/>
        <v>338750.95</v>
      </c>
      <c r="H1892" s="143"/>
      <c r="I1892" s="99" t="s">
        <v>2097</v>
      </c>
    </row>
    <row r="1893" spans="1:9" hidden="1" outlineLevel="1">
      <c r="A1893" s="465" t="s">
        <v>346</v>
      </c>
      <c r="B1893" s="544">
        <v>558959.76</v>
      </c>
      <c r="C1893" s="95">
        <f>+IF(ISNA(VLOOKUP(A1893,'Anlage 2a_Letztverbrauch'!$A$2810:$C$2819,3,0)),0,VLOOKUP(A1893,'Anlage 2a_Letztverbrauch'!$A$2810:$C$2819,3,0))</f>
        <v>0</v>
      </c>
      <c r="D1893" s="95">
        <v>0</v>
      </c>
      <c r="E1893" s="95">
        <f t="shared" si="61"/>
        <v>558959.76</v>
      </c>
      <c r="F1893" s="95">
        <f>+SUMIF('Anlage 2b_Korrekturen'!$B$8:$B$202,'Anlage 3a_Zusammenfassung_KWKG'!A1893,'Anlage 2b_Korrekturen'!$E$8:$E$202)</f>
        <v>-3003.6600000000003</v>
      </c>
      <c r="G1893" s="145">
        <f t="shared" si="62"/>
        <v>555956.1</v>
      </c>
      <c r="H1893" s="143"/>
      <c r="I1893" s="99" t="s">
        <v>347</v>
      </c>
    </row>
    <row r="1894" spans="1:9" hidden="1" outlineLevel="1">
      <c r="A1894" s="465" t="s">
        <v>348</v>
      </c>
      <c r="B1894" s="544">
        <v>73107.490000000005</v>
      </c>
      <c r="C1894" s="95">
        <f>+IF(ISNA(VLOOKUP(A1894,'Anlage 2a_Letztverbrauch'!$A$2810:$C$2819,3,0)),0,VLOOKUP(A1894,'Anlage 2a_Letztverbrauch'!$A$2810:$C$2819,3,0))</f>
        <v>0</v>
      </c>
      <c r="D1894" s="95">
        <v>0</v>
      </c>
      <c r="E1894" s="95">
        <f t="shared" si="61"/>
        <v>73107.490000000005</v>
      </c>
      <c r="F1894" s="95">
        <f>+SUMIF('Anlage 2b_Korrekturen'!$B$8:$B$202,'Anlage 3a_Zusammenfassung_KWKG'!A1894,'Anlage 2b_Korrekturen'!$E$8:$E$202)</f>
        <v>5388.2199999999993</v>
      </c>
      <c r="G1894" s="145">
        <f t="shared" si="62"/>
        <v>78495.710000000006</v>
      </c>
      <c r="H1894" s="143"/>
      <c r="I1894" s="99" t="s">
        <v>349</v>
      </c>
    </row>
    <row r="1895" spans="1:9" hidden="1" outlineLevel="1">
      <c r="A1895" s="465" t="s">
        <v>350</v>
      </c>
      <c r="B1895" s="544">
        <v>184151.43</v>
      </c>
      <c r="C1895" s="95">
        <f>+IF(ISNA(VLOOKUP(A1895,'Anlage 2a_Letztverbrauch'!$A$2810:$C$2819,3,0)),0,VLOOKUP(A1895,'Anlage 2a_Letztverbrauch'!$A$2810:$C$2819,3,0))</f>
        <v>0</v>
      </c>
      <c r="D1895" s="95">
        <v>0</v>
      </c>
      <c r="E1895" s="95">
        <f t="shared" si="61"/>
        <v>184151.43</v>
      </c>
      <c r="F1895" s="95">
        <f>+SUMIF('Anlage 2b_Korrekturen'!$B$8:$B$202,'Anlage 3a_Zusammenfassung_KWKG'!A1895,'Anlage 2b_Korrekturen'!$E$8:$E$202)</f>
        <v>2118.9899999999998</v>
      </c>
      <c r="G1895" s="145">
        <f t="shared" si="62"/>
        <v>186270.41999999998</v>
      </c>
      <c r="H1895" s="143"/>
      <c r="I1895" s="99" t="s">
        <v>351</v>
      </c>
    </row>
    <row r="1896" spans="1:9" hidden="1" outlineLevel="1">
      <c r="A1896" s="465" t="s">
        <v>352</v>
      </c>
      <c r="B1896" s="544">
        <v>29176684.190000001</v>
      </c>
      <c r="C1896" s="95">
        <f>+IF(ISNA(VLOOKUP(A1896,'Anlage 2a_Letztverbrauch'!$A$2810:$C$2819,3,0)),0,VLOOKUP(A1896,'Anlage 2a_Letztverbrauch'!$A$2810:$C$2819,3,0))</f>
        <v>0</v>
      </c>
      <c r="D1896" s="95">
        <v>0</v>
      </c>
      <c r="E1896" s="95">
        <f t="shared" si="61"/>
        <v>29176684.190000001</v>
      </c>
      <c r="F1896" s="95">
        <f>+SUMIF('Anlage 2b_Korrekturen'!$B$8:$B$202,'Anlage 3a_Zusammenfassung_KWKG'!A1896,'Anlage 2b_Korrekturen'!$E$8:$E$202)</f>
        <v>722591.40999999992</v>
      </c>
      <c r="G1896" s="145">
        <f t="shared" si="62"/>
        <v>29899275.600000001</v>
      </c>
      <c r="H1896" s="143"/>
      <c r="I1896" s="99" t="s">
        <v>353</v>
      </c>
    </row>
    <row r="1897" spans="1:9" hidden="1" outlineLevel="1">
      <c r="A1897" s="465" t="s">
        <v>354</v>
      </c>
      <c r="B1897" s="544">
        <v>163615.26999999999</v>
      </c>
      <c r="C1897" s="95">
        <f>+IF(ISNA(VLOOKUP(A1897,'Anlage 2a_Letztverbrauch'!$A$2810:$C$2819,3,0)),0,VLOOKUP(A1897,'Anlage 2a_Letztverbrauch'!$A$2810:$C$2819,3,0))</f>
        <v>-1948.86</v>
      </c>
      <c r="D1897" s="95">
        <v>0</v>
      </c>
      <c r="E1897" s="95">
        <f t="shared" si="61"/>
        <v>161666.41</v>
      </c>
      <c r="F1897" s="95">
        <f>+SUMIF('Anlage 2b_Korrekturen'!$B$8:$B$202,'Anlage 3a_Zusammenfassung_KWKG'!A1897,'Anlage 2b_Korrekturen'!$E$8:$E$202)</f>
        <v>0</v>
      </c>
      <c r="G1897" s="145">
        <f t="shared" si="62"/>
        <v>161666.41</v>
      </c>
      <c r="H1897" s="143"/>
      <c r="I1897" s="99" t="s">
        <v>355</v>
      </c>
    </row>
    <row r="1898" spans="1:9" hidden="1" outlineLevel="1">
      <c r="A1898" s="465" t="s">
        <v>356</v>
      </c>
      <c r="B1898" s="544">
        <v>23058.639999999999</v>
      </c>
      <c r="C1898" s="95">
        <f>+IF(ISNA(VLOOKUP(A1898,'Anlage 2a_Letztverbrauch'!$A$2810:$C$2819,3,0)),0,VLOOKUP(A1898,'Anlage 2a_Letztverbrauch'!$A$2810:$C$2819,3,0))</f>
        <v>0</v>
      </c>
      <c r="D1898" s="95">
        <v>0</v>
      </c>
      <c r="E1898" s="95">
        <f t="shared" si="61"/>
        <v>23058.639999999999</v>
      </c>
      <c r="F1898" s="95">
        <f>+SUMIF('Anlage 2b_Korrekturen'!$B$8:$B$202,'Anlage 3a_Zusammenfassung_KWKG'!A1898,'Anlage 2b_Korrekturen'!$E$8:$E$202)</f>
        <v>0</v>
      </c>
      <c r="G1898" s="145">
        <f t="shared" si="62"/>
        <v>23058.639999999999</v>
      </c>
      <c r="H1898" s="143"/>
      <c r="I1898" s="99" t="s">
        <v>357</v>
      </c>
    </row>
    <row r="1899" spans="1:9" hidden="1" outlineLevel="1">
      <c r="A1899" s="465" t="s">
        <v>358</v>
      </c>
      <c r="B1899" s="544">
        <v>5398278.5500000007</v>
      </c>
      <c r="C1899" s="95">
        <f>+IF(ISNA(VLOOKUP(A1899,'Anlage 2a_Letztverbrauch'!$A$2810:$C$2819,3,0)),0,VLOOKUP(A1899,'Anlage 2a_Letztverbrauch'!$A$2810:$C$2819,3,0))</f>
        <v>-1964.53</v>
      </c>
      <c r="D1899" s="95">
        <v>0</v>
      </c>
      <c r="E1899" s="95">
        <f t="shared" si="61"/>
        <v>5396314.0200000005</v>
      </c>
      <c r="F1899" s="95">
        <f>+SUMIF('Anlage 2b_Korrekturen'!$B$8:$B$202,'Anlage 3a_Zusammenfassung_KWKG'!A1899,'Anlage 2b_Korrekturen'!$E$8:$E$202)</f>
        <v>45043.26</v>
      </c>
      <c r="G1899" s="145">
        <f t="shared" si="62"/>
        <v>5441357.2800000003</v>
      </c>
      <c r="H1899" s="143"/>
      <c r="I1899" s="99" t="s">
        <v>359</v>
      </c>
    </row>
    <row r="1900" spans="1:9" hidden="1" outlineLevel="1">
      <c r="A1900" s="465" t="s">
        <v>360</v>
      </c>
      <c r="B1900" s="544">
        <v>2513.35</v>
      </c>
      <c r="C1900" s="95">
        <f>+IF(ISNA(VLOOKUP(A1900,'Anlage 2a_Letztverbrauch'!$A$2810:$C$2819,3,0)),0,VLOOKUP(A1900,'Anlage 2a_Letztverbrauch'!$A$2810:$C$2819,3,0))</f>
        <v>0</v>
      </c>
      <c r="D1900" s="95">
        <v>0</v>
      </c>
      <c r="E1900" s="95">
        <f t="shared" si="61"/>
        <v>2513.35</v>
      </c>
      <c r="F1900" s="95">
        <f>+SUMIF('Anlage 2b_Korrekturen'!$B$8:$B$202,'Anlage 3a_Zusammenfassung_KWKG'!A1900,'Anlage 2b_Korrekturen'!$E$8:$E$202)</f>
        <v>0</v>
      </c>
      <c r="G1900" s="145">
        <f t="shared" si="62"/>
        <v>2513.35</v>
      </c>
      <c r="H1900" s="143"/>
      <c r="I1900" s="99" t="s">
        <v>361</v>
      </c>
    </row>
    <row r="1901" spans="1:9" hidden="1" outlineLevel="1">
      <c r="A1901" s="465" t="s">
        <v>362</v>
      </c>
      <c r="B1901" s="544">
        <v>64858.41</v>
      </c>
      <c r="C1901" s="95">
        <f>+IF(ISNA(VLOOKUP(A1901,'Anlage 2a_Letztverbrauch'!$A$2810:$C$2819,3,0)),0,VLOOKUP(A1901,'Anlage 2a_Letztverbrauch'!$A$2810:$C$2819,3,0))</f>
        <v>0</v>
      </c>
      <c r="D1901" s="95">
        <v>0</v>
      </c>
      <c r="E1901" s="95">
        <f t="shared" si="61"/>
        <v>64858.41</v>
      </c>
      <c r="F1901" s="95">
        <f>+SUMIF('Anlage 2b_Korrekturen'!$B$8:$B$202,'Anlage 3a_Zusammenfassung_KWKG'!A1901,'Anlage 2b_Korrekturen'!$E$8:$E$202)</f>
        <v>-329.9</v>
      </c>
      <c r="G1901" s="145">
        <f t="shared" si="62"/>
        <v>64528.51</v>
      </c>
      <c r="H1901" s="143"/>
      <c r="I1901" s="99" t="s">
        <v>363</v>
      </c>
    </row>
    <row r="1902" spans="1:9" hidden="1" outlineLevel="1">
      <c r="A1902" s="465" t="s">
        <v>364</v>
      </c>
      <c r="B1902" s="544">
        <v>15003.98</v>
      </c>
      <c r="C1902" s="95">
        <f>+IF(ISNA(VLOOKUP(A1902,'Anlage 2a_Letztverbrauch'!$A$2810:$C$2819,3,0)),0,VLOOKUP(A1902,'Anlage 2a_Letztverbrauch'!$A$2810:$C$2819,3,0))</f>
        <v>0</v>
      </c>
      <c r="D1902" s="95">
        <v>0</v>
      </c>
      <c r="E1902" s="95">
        <f t="shared" si="61"/>
        <v>15003.98</v>
      </c>
      <c r="F1902" s="95">
        <f>+SUMIF('Anlage 2b_Korrekturen'!$B$8:$B$202,'Anlage 3a_Zusammenfassung_KWKG'!A1902,'Anlage 2b_Korrekturen'!$E$8:$E$202)</f>
        <v>0</v>
      </c>
      <c r="G1902" s="145">
        <f t="shared" si="62"/>
        <v>15003.98</v>
      </c>
      <c r="H1902" s="143"/>
      <c r="I1902" s="99" t="s">
        <v>365</v>
      </c>
    </row>
    <row r="1903" spans="1:9" hidden="1" outlineLevel="1">
      <c r="A1903" s="465" t="s">
        <v>402</v>
      </c>
      <c r="B1903" s="544">
        <v>12085778.119999999</v>
      </c>
      <c r="C1903" s="95">
        <f>+IF(ISNA(VLOOKUP(A1903,'Anlage 2a_Letztverbrauch'!$A$2810:$C$2819,3,0)),0,VLOOKUP(A1903,'Anlage 2a_Letztverbrauch'!$A$2810:$C$2819,3,0))</f>
        <v>-11699222.289999999</v>
      </c>
      <c r="D1903" s="95">
        <v>0</v>
      </c>
      <c r="E1903" s="95">
        <f t="shared" si="61"/>
        <v>386555.83000000007</v>
      </c>
      <c r="F1903" s="95">
        <f>+SUMIF('Anlage 2b_Korrekturen'!$B$8:$B$202,'Anlage 3a_Zusammenfassung_KWKG'!A1903,'Anlage 2b_Korrekturen'!$E$8:$E$202)</f>
        <v>0</v>
      </c>
      <c r="G1903" s="145">
        <f t="shared" si="62"/>
        <v>386555.83000000007</v>
      </c>
      <c r="H1903" s="143"/>
      <c r="I1903" s="99" t="s">
        <v>403</v>
      </c>
    </row>
    <row r="1904" spans="1:9" hidden="1" outlineLevel="1">
      <c r="A1904" s="465" t="s">
        <v>366</v>
      </c>
      <c r="B1904" s="544">
        <v>207384.21</v>
      </c>
      <c r="C1904" s="95">
        <f>+IF(ISNA(VLOOKUP(A1904,'Anlage 2a_Letztverbrauch'!$A$2810:$C$2819,3,0)),0,VLOOKUP(A1904,'Anlage 2a_Letztverbrauch'!$A$2810:$C$2819,3,0))</f>
        <v>0</v>
      </c>
      <c r="D1904" s="95">
        <v>0</v>
      </c>
      <c r="E1904" s="95">
        <f t="shared" si="61"/>
        <v>207384.21</v>
      </c>
      <c r="F1904" s="95">
        <f>+SUMIF('Anlage 2b_Korrekturen'!$B$8:$B$202,'Anlage 3a_Zusammenfassung_KWKG'!A1904,'Anlage 2b_Korrekturen'!$E$8:$E$202)</f>
        <v>0</v>
      </c>
      <c r="G1904" s="145">
        <f t="shared" si="62"/>
        <v>207384.21</v>
      </c>
      <c r="H1904" s="143"/>
      <c r="I1904" s="99" t="s">
        <v>367</v>
      </c>
    </row>
    <row r="1905" spans="1:9" hidden="1" outlineLevel="1">
      <c r="A1905" s="465" t="s">
        <v>368</v>
      </c>
      <c r="B1905" s="544">
        <v>752176.83</v>
      </c>
      <c r="C1905" s="95">
        <f>+IF(ISNA(VLOOKUP(A1905,'Anlage 2a_Letztverbrauch'!$A$2810:$C$2819,3,0)),0,VLOOKUP(A1905,'Anlage 2a_Letztverbrauch'!$A$2810:$C$2819,3,0))</f>
        <v>0</v>
      </c>
      <c r="D1905" s="95">
        <v>0</v>
      </c>
      <c r="E1905" s="95">
        <f t="shared" si="61"/>
        <v>752176.83</v>
      </c>
      <c r="F1905" s="95">
        <f>+SUMIF('Anlage 2b_Korrekturen'!$B$8:$B$202,'Anlage 3a_Zusammenfassung_KWKG'!A1905,'Anlage 2b_Korrekturen'!$E$8:$E$202)</f>
        <v>0</v>
      </c>
      <c r="G1905" s="145">
        <f t="shared" si="62"/>
        <v>752176.83</v>
      </c>
      <c r="H1905" s="143"/>
      <c r="I1905" s="99" t="s">
        <v>369</v>
      </c>
    </row>
    <row r="1906" spans="1:9" hidden="1" outlineLevel="1">
      <c r="A1906" s="465" t="s">
        <v>370</v>
      </c>
      <c r="B1906" s="544">
        <v>1784159.18</v>
      </c>
      <c r="C1906" s="95">
        <f>+IF(ISNA(VLOOKUP(A1906,'Anlage 2a_Letztverbrauch'!$A$2810:$C$2819,3,0)),0,VLOOKUP(A1906,'Anlage 2a_Letztverbrauch'!$A$2810:$C$2819,3,0))</f>
        <v>0</v>
      </c>
      <c r="D1906" s="95">
        <v>0</v>
      </c>
      <c r="E1906" s="95">
        <f t="shared" si="61"/>
        <v>1784159.18</v>
      </c>
      <c r="F1906" s="95">
        <f>+SUMIF('Anlage 2b_Korrekturen'!$B$8:$B$202,'Anlage 3a_Zusammenfassung_KWKG'!A1906,'Anlage 2b_Korrekturen'!$E$8:$E$202)</f>
        <v>0</v>
      </c>
      <c r="G1906" s="145">
        <f t="shared" si="62"/>
        <v>1784159.18</v>
      </c>
      <c r="H1906" s="143"/>
      <c r="I1906" s="99" t="s">
        <v>371</v>
      </c>
    </row>
    <row r="1907" spans="1:9" hidden="1" outlineLevel="1">
      <c r="A1907" s="465" t="s">
        <v>372</v>
      </c>
      <c r="B1907" s="544">
        <v>229333.32</v>
      </c>
      <c r="C1907" s="95">
        <f>+IF(ISNA(VLOOKUP(A1907,'Anlage 2a_Letztverbrauch'!$A$2810:$C$2819,3,0)),0,VLOOKUP(A1907,'Anlage 2a_Letztverbrauch'!$A$2810:$C$2819,3,0))</f>
        <v>0</v>
      </c>
      <c r="D1907" s="95">
        <v>0</v>
      </c>
      <c r="E1907" s="95">
        <f t="shared" si="61"/>
        <v>229333.32</v>
      </c>
      <c r="F1907" s="95">
        <f>+SUMIF('Anlage 2b_Korrekturen'!$B$8:$B$202,'Anlage 3a_Zusammenfassung_KWKG'!A1907,'Anlage 2b_Korrekturen'!$E$8:$E$202)</f>
        <v>0</v>
      </c>
      <c r="G1907" s="145">
        <f t="shared" si="62"/>
        <v>229333.32</v>
      </c>
      <c r="H1907" s="143"/>
      <c r="I1907" s="99" t="s">
        <v>373</v>
      </c>
    </row>
    <row r="1908" spans="1:9" hidden="1" outlineLevel="1">
      <c r="A1908" s="465" t="s">
        <v>374</v>
      </c>
      <c r="B1908" s="544">
        <v>140886.01</v>
      </c>
      <c r="C1908" s="95">
        <f>+IF(ISNA(VLOOKUP(A1908,'Anlage 2a_Letztverbrauch'!$A$2810:$C$2819,3,0)),0,VLOOKUP(A1908,'Anlage 2a_Letztverbrauch'!$A$2810:$C$2819,3,0))</f>
        <v>0</v>
      </c>
      <c r="D1908" s="95">
        <v>0</v>
      </c>
      <c r="E1908" s="95">
        <f t="shared" si="61"/>
        <v>140886.01</v>
      </c>
      <c r="F1908" s="95">
        <f>+SUMIF('Anlage 2b_Korrekturen'!$B$8:$B$202,'Anlage 3a_Zusammenfassung_KWKG'!A1908,'Anlage 2b_Korrekturen'!$E$8:$E$202)</f>
        <v>0</v>
      </c>
      <c r="G1908" s="145">
        <f t="shared" si="62"/>
        <v>140886.01</v>
      </c>
      <c r="H1908" s="143"/>
      <c r="I1908" s="99" t="s">
        <v>375</v>
      </c>
    </row>
    <row r="1909" spans="1:9" hidden="1" outlineLevel="1">
      <c r="A1909" s="465" t="s">
        <v>376</v>
      </c>
      <c r="B1909" s="544">
        <v>118037.2</v>
      </c>
      <c r="C1909" s="95">
        <f>+IF(ISNA(VLOOKUP(A1909,'Anlage 2a_Letztverbrauch'!$A$2810:$C$2819,3,0)),0,VLOOKUP(A1909,'Anlage 2a_Letztverbrauch'!$A$2810:$C$2819,3,0))</f>
        <v>0</v>
      </c>
      <c r="D1909" s="95">
        <v>0</v>
      </c>
      <c r="E1909" s="95">
        <f t="shared" si="61"/>
        <v>118037.2</v>
      </c>
      <c r="F1909" s="95">
        <f>+SUMIF('Anlage 2b_Korrekturen'!$B$8:$B$202,'Anlage 3a_Zusammenfassung_KWKG'!A1909,'Anlage 2b_Korrekturen'!$E$8:$E$202)</f>
        <v>0</v>
      </c>
      <c r="G1909" s="145">
        <f t="shared" si="62"/>
        <v>118037.2</v>
      </c>
      <c r="H1909" s="143"/>
      <c r="I1909" s="99" t="s">
        <v>377</v>
      </c>
    </row>
    <row r="1910" spans="1:9" hidden="1" outlineLevel="1">
      <c r="A1910" s="465" t="s">
        <v>1859</v>
      </c>
      <c r="B1910" s="544">
        <v>26689.94</v>
      </c>
      <c r="C1910" s="95">
        <f>+IF(ISNA(VLOOKUP(A1910,'Anlage 2a_Letztverbrauch'!$A$2810:$C$2819,3,0)),0,VLOOKUP(A1910,'Anlage 2a_Letztverbrauch'!$A$2810:$C$2819,3,0))</f>
        <v>0</v>
      </c>
      <c r="D1910" s="95">
        <v>0</v>
      </c>
      <c r="E1910" s="95">
        <f t="shared" si="61"/>
        <v>26689.94</v>
      </c>
      <c r="F1910" s="95">
        <f>+SUMIF('Anlage 2b_Korrekturen'!$B$8:$B$202,'Anlage 3a_Zusammenfassung_KWKG'!A1910,'Anlage 2b_Korrekturen'!$E$8:$E$202)</f>
        <v>0</v>
      </c>
      <c r="G1910" s="145">
        <f t="shared" si="62"/>
        <v>26689.94</v>
      </c>
      <c r="H1910" s="143"/>
      <c r="I1910" s="99" t="s">
        <v>2098</v>
      </c>
    </row>
    <row r="1911" spans="1:9" hidden="1" outlineLevel="1">
      <c r="A1911" s="465" t="s">
        <v>378</v>
      </c>
      <c r="B1911" s="544">
        <v>359272.2</v>
      </c>
      <c r="C1911" s="95">
        <f>+IF(ISNA(VLOOKUP(A1911,'Anlage 2a_Letztverbrauch'!$A$2810:$C$2819,3,0)),0,VLOOKUP(A1911,'Anlage 2a_Letztverbrauch'!$A$2810:$C$2819,3,0))</f>
        <v>0</v>
      </c>
      <c r="D1911" s="95">
        <v>0</v>
      </c>
      <c r="E1911" s="95">
        <f t="shared" si="61"/>
        <v>359272.2</v>
      </c>
      <c r="F1911" s="95">
        <f>+SUMIF('Anlage 2b_Korrekturen'!$B$8:$B$202,'Anlage 3a_Zusammenfassung_KWKG'!A1911,'Anlage 2b_Korrekturen'!$E$8:$E$202)</f>
        <v>0</v>
      </c>
      <c r="G1911" s="145">
        <f t="shared" si="62"/>
        <v>359272.2</v>
      </c>
      <c r="H1911" s="143"/>
      <c r="I1911" s="99" t="s">
        <v>379</v>
      </c>
    </row>
    <row r="1912" spans="1:9" hidden="1" outlineLevel="1">
      <c r="A1912" s="465" t="s">
        <v>380</v>
      </c>
      <c r="B1912" s="544">
        <v>113965.29</v>
      </c>
      <c r="C1912" s="95">
        <f>+IF(ISNA(VLOOKUP(A1912,'Anlage 2a_Letztverbrauch'!$A$2810:$C$2819,3,0)),0,VLOOKUP(A1912,'Anlage 2a_Letztverbrauch'!$A$2810:$C$2819,3,0))</f>
        <v>0</v>
      </c>
      <c r="D1912" s="95">
        <v>0</v>
      </c>
      <c r="E1912" s="95">
        <f t="shared" si="61"/>
        <v>113965.29</v>
      </c>
      <c r="F1912" s="95">
        <f>+SUMIF('Anlage 2b_Korrekturen'!$B$8:$B$202,'Anlage 3a_Zusammenfassung_KWKG'!A1912,'Anlage 2b_Korrekturen'!$E$8:$E$202)</f>
        <v>-9765.8700000000008</v>
      </c>
      <c r="G1912" s="145">
        <f t="shared" si="62"/>
        <v>104199.42</v>
      </c>
      <c r="H1912" s="143"/>
      <c r="I1912" s="99" t="s">
        <v>381</v>
      </c>
    </row>
    <row r="1913" spans="1:9" hidden="1" outlineLevel="1">
      <c r="A1913" s="465" t="s">
        <v>382</v>
      </c>
      <c r="B1913" s="544">
        <v>195778.41</v>
      </c>
      <c r="C1913" s="95">
        <f>+IF(ISNA(VLOOKUP(A1913,'Anlage 2a_Letztverbrauch'!$A$2810:$C$2819,3,0)),0,VLOOKUP(A1913,'Anlage 2a_Letztverbrauch'!$A$2810:$C$2819,3,0))</f>
        <v>0</v>
      </c>
      <c r="D1913" s="95">
        <v>0</v>
      </c>
      <c r="E1913" s="95">
        <f t="shared" si="61"/>
        <v>195778.41</v>
      </c>
      <c r="F1913" s="95">
        <f>+SUMIF('Anlage 2b_Korrekturen'!$B$8:$B$202,'Anlage 3a_Zusammenfassung_KWKG'!A1913,'Anlage 2b_Korrekturen'!$E$8:$E$202)</f>
        <v>0</v>
      </c>
      <c r="G1913" s="145">
        <f t="shared" si="62"/>
        <v>195778.41</v>
      </c>
      <c r="H1913" s="143"/>
      <c r="I1913" s="99" t="s">
        <v>383</v>
      </c>
    </row>
    <row r="1914" spans="1:9" hidden="1" outlineLevel="1">
      <c r="A1914" s="465" t="s">
        <v>384</v>
      </c>
      <c r="B1914" s="544">
        <v>82961.240000000005</v>
      </c>
      <c r="C1914" s="95">
        <f>+IF(ISNA(VLOOKUP(A1914,'Anlage 2a_Letztverbrauch'!$A$2810:$C$2819,3,0)),0,VLOOKUP(A1914,'Anlage 2a_Letztverbrauch'!$A$2810:$C$2819,3,0))</f>
        <v>0</v>
      </c>
      <c r="D1914" s="95">
        <v>0</v>
      </c>
      <c r="E1914" s="95">
        <f t="shared" si="61"/>
        <v>82961.240000000005</v>
      </c>
      <c r="F1914" s="95">
        <f>+SUMIF('Anlage 2b_Korrekturen'!$B$8:$B$202,'Anlage 3a_Zusammenfassung_KWKG'!A1914,'Anlage 2b_Korrekturen'!$E$8:$E$202)</f>
        <v>0</v>
      </c>
      <c r="G1914" s="145">
        <f t="shared" si="62"/>
        <v>82961.240000000005</v>
      </c>
      <c r="H1914" s="143"/>
      <c r="I1914" s="99" t="s">
        <v>385</v>
      </c>
    </row>
    <row r="1915" spans="1:9" hidden="1" outlineLevel="1">
      <c r="A1915" s="465" t="s">
        <v>386</v>
      </c>
      <c r="B1915" s="544">
        <v>428530.37</v>
      </c>
      <c r="C1915" s="95">
        <f>+IF(ISNA(VLOOKUP(A1915,'Anlage 2a_Letztverbrauch'!$A$2810:$C$2819,3,0)),0,VLOOKUP(A1915,'Anlage 2a_Letztverbrauch'!$A$2810:$C$2819,3,0))</f>
        <v>0</v>
      </c>
      <c r="D1915" s="95">
        <v>0</v>
      </c>
      <c r="E1915" s="95">
        <f t="shared" si="61"/>
        <v>428530.37</v>
      </c>
      <c r="F1915" s="95">
        <f>+SUMIF('Anlage 2b_Korrekturen'!$B$8:$B$202,'Anlage 3a_Zusammenfassung_KWKG'!A1915,'Anlage 2b_Korrekturen'!$E$8:$E$202)</f>
        <v>316.32</v>
      </c>
      <c r="G1915" s="145">
        <f t="shared" si="62"/>
        <v>428846.69</v>
      </c>
      <c r="H1915" s="143"/>
      <c r="I1915" s="99" t="s">
        <v>387</v>
      </c>
    </row>
    <row r="1916" spans="1:9" hidden="1" outlineLevel="1">
      <c r="A1916" s="465" t="s">
        <v>388</v>
      </c>
      <c r="B1916" s="544">
        <v>5161952.72</v>
      </c>
      <c r="C1916" s="95">
        <f>+IF(ISNA(VLOOKUP(A1916,'Anlage 2a_Letztverbrauch'!$A$2810:$C$2819,3,0)),0,VLOOKUP(A1916,'Anlage 2a_Letztverbrauch'!$A$2810:$C$2819,3,0))</f>
        <v>-375590.42</v>
      </c>
      <c r="D1916" s="95">
        <v>0</v>
      </c>
      <c r="E1916" s="95">
        <f t="shared" si="61"/>
        <v>4786362.3</v>
      </c>
      <c r="F1916" s="95">
        <f>+SUMIF('Anlage 2b_Korrekturen'!$B$8:$B$202,'Anlage 3a_Zusammenfassung_KWKG'!A1916,'Anlage 2b_Korrekturen'!$E$8:$E$202)</f>
        <v>-3698.8599999999997</v>
      </c>
      <c r="G1916" s="145">
        <f t="shared" si="62"/>
        <v>4782663.4399999995</v>
      </c>
      <c r="H1916" s="143"/>
      <c r="I1916" s="99" t="s">
        <v>389</v>
      </c>
    </row>
    <row r="1917" spans="1:9" hidden="1" outlineLevel="1">
      <c r="A1917" s="465" t="s">
        <v>1860</v>
      </c>
      <c r="B1917" s="544">
        <v>172005.92</v>
      </c>
      <c r="C1917" s="95">
        <f>+IF(ISNA(VLOOKUP(A1917,'Anlage 2a_Letztverbrauch'!$A$2810:$C$2819,3,0)),0,VLOOKUP(A1917,'Anlage 2a_Letztverbrauch'!$A$2810:$C$2819,3,0))</f>
        <v>0</v>
      </c>
      <c r="D1917" s="95">
        <v>0</v>
      </c>
      <c r="E1917" s="95">
        <f t="shared" si="61"/>
        <v>172005.92</v>
      </c>
      <c r="F1917" s="95">
        <f>+SUMIF('Anlage 2b_Korrekturen'!$B$8:$B$202,'Anlage 3a_Zusammenfassung_KWKG'!A1917,'Anlage 2b_Korrekturen'!$E$8:$E$202)</f>
        <v>0</v>
      </c>
      <c r="G1917" s="145">
        <f t="shared" si="62"/>
        <v>172005.92</v>
      </c>
      <c r="H1917" s="143"/>
      <c r="I1917" s="99" t="s">
        <v>2099</v>
      </c>
    </row>
    <row r="1918" spans="1:9" hidden="1" outlineLevel="1">
      <c r="A1918" s="465" t="s">
        <v>390</v>
      </c>
      <c r="B1918" s="544">
        <v>391268.96</v>
      </c>
      <c r="C1918" s="95">
        <f>+IF(ISNA(VLOOKUP(A1918,'Anlage 2a_Letztverbrauch'!$A$2810:$C$2819,3,0)),0,VLOOKUP(A1918,'Anlage 2a_Letztverbrauch'!$A$2810:$C$2819,3,0))</f>
        <v>0</v>
      </c>
      <c r="D1918" s="95">
        <v>0</v>
      </c>
      <c r="E1918" s="95">
        <f t="shared" si="61"/>
        <v>391268.96</v>
      </c>
      <c r="F1918" s="95">
        <f>+SUMIF('Anlage 2b_Korrekturen'!$B$8:$B$202,'Anlage 3a_Zusammenfassung_KWKG'!A1918,'Anlage 2b_Korrekturen'!$E$8:$E$202)</f>
        <v>4029.96</v>
      </c>
      <c r="G1918" s="145">
        <f t="shared" si="62"/>
        <v>395298.92000000004</v>
      </c>
      <c r="H1918" s="143"/>
      <c r="I1918" s="99" t="s">
        <v>391</v>
      </c>
    </row>
    <row r="1919" spans="1:9" hidden="1" outlineLevel="1">
      <c r="A1919" s="465" t="s">
        <v>392</v>
      </c>
      <c r="B1919" s="544">
        <v>73084.03</v>
      </c>
      <c r="C1919" s="95">
        <f>+IF(ISNA(VLOOKUP(A1919,'Anlage 2a_Letztverbrauch'!$A$2810:$C$2819,3,0)),0,VLOOKUP(A1919,'Anlage 2a_Letztverbrauch'!$A$2810:$C$2819,3,0))</f>
        <v>0</v>
      </c>
      <c r="D1919" s="95">
        <v>0</v>
      </c>
      <c r="E1919" s="95">
        <f t="shared" si="61"/>
        <v>73084.03</v>
      </c>
      <c r="F1919" s="95">
        <f>+SUMIF('Anlage 2b_Korrekturen'!$B$8:$B$202,'Anlage 3a_Zusammenfassung_KWKG'!A1919,'Anlage 2b_Korrekturen'!$E$8:$E$202)</f>
        <v>0</v>
      </c>
      <c r="G1919" s="145">
        <f t="shared" si="62"/>
        <v>73084.03</v>
      </c>
      <c r="H1919" s="143"/>
      <c r="I1919" s="99" t="s">
        <v>393</v>
      </c>
    </row>
    <row r="1920" spans="1:9" hidden="1" outlineLevel="1">
      <c r="A1920" s="465" t="s">
        <v>394</v>
      </c>
      <c r="B1920" s="544">
        <v>88702.03</v>
      </c>
      <c r="C1920" s="95">
        <f>+IF(ISNA(VLOOKUP(A1920,'Anlage 2a_Letztverbrauch'!$A$2810:$C$2819,3,0)),0,VLOOKUP(A1920,'Anlage 2a_Letztverbrauch'!$A$2810:$C$2819,3,0))</f>
        <v>0</v>
      </c>
      <c r="D1920" s="95">
        <v>0</v>
      </c>
      <c r="E1920" s="95">
        <f t="shared" si="61"/>
        <v>88702.03</v>
      </c>
      <c r="F1920" s="95">
        <f>+SUMIF('Anlage 2b_Korrekturen'!$B$8:$B$202,'Anlage 3a_Zusammenfassung_KWKG'!A1920,'Anlage 2b_Korrekturen'!$E$8:$E$202)</f>
        <v>0</v>
      </c>
      <c r="G1920" s="145">
        <f t="shared" si="62"/>
        <v>88702.03</v>
      </c>
      <c r="H1920" s="143"/>
      <c r="I1920" s="99" t="s">
        <v>395</v>
      </c>
    </row>
    <row r="1921" spans="1:9" hidden="1" outlineLevel="1">
      <c r="A1921" s="465" t="s">
        <v>396</v>
      </c>
      <c r="B1921" s="544">
        <v>191360.61</v>
      </c>
      <c r="C1921" s="95">
        <f>+IF(ISNA(VLOOKUP(A1921,'Anlage 2a_Letztverbrauch'!$A$2810:$C$2819,3,0)),0,VLOOKUP(A1921,'Anlage 2a_Letztverbrauch'!$A$2810:$C$2819,3,0))</f>
        <v>0</v>
      </c>
      <c r="D1921" s="95">
        <v>0</v>
      </c>
      <c r="E1921" s="95">
        <f t="shared" si="61"/>
        <v>191360.61</v>
      </c>
      <c r="F1921" s="95">
        <f>+SUMIF('Anlage 2b_Korrekturen'!$B$8:$B$202,'Anlage 3a_Zusammenfassung_KWKG'!A1921,'Anlage 2b_Korrekturen'!$E$8:$E$202)</f>
        <v>0</v>
      </c>
      <c r="G1921" s="145">
        <f t="shared" si="62"/>
        <v>191360.61</v>
      </c>
      <c r="H1921" s="143"/>
      <c r="I1921" s="99" t="s">
        <v>397</v>
      </c>
    </row>
    <row r="1922" spans="1:9" hidden="1" outlineLevel="1">
      <c r="A1922" s="465" t="s">
        <v>398</v>
      </c>
      <c r="B1922" s="544">
        <v>120372.85</v>
      </c>
      <c r="C1922" s="95">
        <f>+IF(ISNA(VLOOKUP(A1922,'Anlage 2a_Letztverbrauch'!$A$2810:$C$2819,3,0)),0,VLOOKUP(A1922,'Anlage 2a_Letztverbrauch'!$A$2810:$C$2819,3,0))</f>
        <v>0</v>
      </c>
      <c r="D1922" s="95">
        <v>0</v>
      </c>
      <c r="E1922" s="95">
        <f t="shared" si="61"/>
        <v>120372.85</v>
      </c>
      <c r="F1922" s="95">
        <f>+SUMIF('Anlage 2b_Korrekturen'!$B$8:$B$202,'Anlage 3a_Zusammenfassung_KWKG'!A1922,'Anlage 2b_Korrekturen'!$E$8:$E$202)</f>
        <v>25851.620000000003</v>
      </c>
      <c r="G1922" s="145">
        <f t="shared" si="62"/>
        <v>146224.47</v>
      </c>
      <c r="H1922" s="143"/>
      <c r="I1922" s="99" t="s">
        <v>399</v>
      </c>
    </row>
    <row r="1923" spans="1:9" hidden="1" outlineLevel="1">
      <c r="A1923" s="465" t="s">
        <v>831</v>
      </c>
      <c r="B1923" s="544">
        <v>42377.88</v>
      </c>
      <c r="C1923" s="95">
        <f>+IF(ISNA(VLOOKUP(A1923,'Anlage 2a_Letztverbrauch'!$A$2810:$C$2819,3,0)),0,VLOOKUP(A1923,'Anlage 2a_Letztverbrauch'!$A$2810:$C$2819,3,0))</f>
        <v>0</v>
      </c>
      <c r="D1923" s="95">
        <v>0</v>
      </c>
      <c r="E1923" s="95">
        <f>B1923+C1923+D1923</f>
        <v>42377.88</v>
      </c>
      <c r="F1923" s="95">
        <f>+SUMIF('Anlage 2b_Korrekturen'!$B$8:$B$202,'Anlage 3a_Zusammenfassung_KWKG'!A1923,'Anlage 2b_Korrekturen'!$E$8:$E$202)</f>
        <v>0</v>
      </c>
      <c r="G1923" s="145">
        <f>E1923+F1923</f>
        <v>42377.88</v>
      </c>
      <c r="H1923" s="143"/>
      <c r="I1923" s="99" t="s">
        <v>832</v>
      </c>
    </row>
    <row r="1924" spans="1:9" hidden="1" outlineLevel="1">
      <c r="A1924" s="465" t="s">
        <v>400</v>
      </c>
      <c r="B1924" s="544">
        <v>143193.60999999999</v>
      </c>
      <c r="C1924" s="95">
        <f>+IF(ISNA(VLOOKUP(A1924,'Anlage 2a_Letztverbrauch'!$A$2810:$C$2819,3,0)),0,VLOOKUP(A1924,'Anlage 2a_Letztverbrauch'!$A$2810:$C$2819,3,0))</f>
        <v>0</v>
      </c>
      <c r="D1924" s="95">
        <v>0</v>
      </c>
      <c r="E1924" s="95">
        <f>B1924+C1924+D1924</f>
        <v>143193.60999999999</v>
      </c>
      <c r="F1924" s="95">
        <f>+SUMIF('Anlage 2b_Korrekturen'!$B$8:$B$202,'Anlage 3a_Zusammenfassung_KWKG'!A1924,'Anlage 2b_Korrekturen'!$E$8:$E$202)</f>
        <v>-10.569999999999965</v>
      </c>
      <c r="G1924" s="145">
        <f>E1924+F1924</f>
        <v>143183.03999999998</v>
      </c>
      <c r="H1924" s="143"/>
      <c r="I1924" s="99" t="s">
        <v>401</v>
      </c>
    </row>
    <row r="1925" spans="1:9" collapsed="1">
      <c r="A1925" s="791" t="str">
        <f>A167</f>
        <v>Regelzone Amprion (gesamt)</v>
      </c>
      <c r="B1925" s="792">
        <f>SUM(B1926:B2159)</f>
        <v>291143395.26648742</v>
      </c>
      <c r="C1925" s="95">
        <f>SUM(C1926:C2159)</f>
        <v>-8453226.5899999999</v>
      </c>
      <c r="D1925" s="452">
        <f>SUM(D1926:D2159)</f>
        <v>5426.52</v>
      </c>
      <c r="E1925" s="95">
        <f>B1925+C1925+D1925</f>
        <v>282695595.19648743</v>
      </c>
      <c r="F1925" s="452">
        <f>SUM(F1926:F2159)</f>
        <v>-1185197.9999999998</v>
      </c>
      <c r="G1925" s="145">
        <f t="shared" si="62"/>
        <v>281510397.19648743</v>
      </c>
      <c r="H1925" s="143"/>
    </row>
    <row r="1926" spans="1:9" hidden="1" outlineLevel="1">
      <c r="A1926" s="465" t="s">
        <v>405</v>
      </c>
      <c r="B1926" s="544">
        <v>250474.48800000001</v>
      </c>
      <c r="C1926" s="95">
        <v>0</v>
      </c>
      <c r="D1926" s="1045">
        <v>0</v>
      </c>
      <c r="E1926" s="95">
        <f t="shared" si="61"/>
        <v>250474.48800000001</v>
      </c>
      <c r="F1926" s="95">
        <v>0</v>
      </c>
      <c r="G1926" s="145">
        <f t="shared" si="62"/>
        <v>250474.48800000001</v>
      </c>
      <c r="H1926" s="143"/>
      <c r="I1926" s="99" t="s">
        <v>406</v>
      </c>
    </row>
    <row r="1927" spans="1:9" hidden="1" outlineLevel="1">
      <c r="A1927" s="465" t="s">
        <v>86</v>
      </c>
      <c r="B1927" s="544">
        <v>287046.02299999999</v>
      </c>
      <c r="C1927" s="95">
        <v>0</v>
      </c>
      <c r="D1927" s="1045">
        <v>0</v>
      </c>
      <c r="E1927" s="95">
        <f t="shared" si="61"/>
        <v>287046.02299999999</v>
      </c>
      <c r="F1927" s="95">
        <v>-13727.15</v>
      </c>
      <c r="G1927" s="145">
        <f t="shared" si="62"/>
        <v>273318.87299999996</v>
      </c>
      <c r="H1927" s="143"/>
      <c r="I1927" s="99" t="s">
        <v>87</v>
      </c>
    </row>
    <row r="1928" spans="1:9" hidden="1" outlineLevel="1">
      <c r="A1928" s="465" t="s">
        <v>407</v>
      </c>
      <c r="B1928" s="544">
        <v>329591.18555000005</v>
      </c>
      <c r="C1928" s="95">
        <v>0</v>
      </c>
      <c r="D1928" s="1045">
        <v>0</v>
      </c>
      <c r="E1928" s="95">
        <f t="shared" si="61"/>
        <v>329591.18555000005</v>
      </c>
      <c r="F1928" s="95">
        <v>5211.32</v>
      </c>
      <c r="G1928" s="145">
        <f t="shared" si="62"/>
        <v>334802.50555000006</v>
      </c>
      <c r="H1928" s="143"/>
      <c r="I1928" s="99" t="s">
        <v>408</v>
      </c>
    </row>
    <row r="1929" spans="1:9" hidden="1" outlineLevel="1">
      <c r="A1929" s="465" t="s">
        <v>409</v>
      </c>
      <c r="B1929" s="544">
        <v>837525.87875000003</v>
      </c>
      <c r="C1929" s="95">
        <v>0</v>
      </c>
      <c r="D1929" s="1045">
        <v>0</v>
      </c>
      <c r="E1929" s="95">
        <f t="shared" si="61"/>
        <v>837525.87875000003</v>
      </c>
      <c r="F1929" s="95">
        <v>0</v>
      </c>
      <c r="G1929" s="145">
        <f t="shared" si="62"/>
        <v>837525.87875000003</v>
      </c>
      <c r="H1929" s="143"/>
      <c r="I1929" s="99" t="s">
        <v>410</v>
      </c>
    </row>
    <row r="1930" spans="1:9" hidden="1" outlineLevel="1">
      <c r="A1930" s="465" t="s">
        <v>411</v>
      </c>
      <c r="B1930" s="544">
        <v>2457370.0318750003</v>
      </c>
      <c r="C1930" s="95">
        <v>0</v>
      </c>
      <c r="D1930" s="1045">
        <v>0</v>
      </c>
      <c r="E1930" s="95">
        <f t="shared" si="61"/>
        <v>2457370.0318750003</v>
      </c>
      <c r="F1930" s="95">
        <v>29203.07</v>
      </c>
      <c r="G1930" s="145">
        <f t="shared" si="62"/>
        <v>2486573.1018750002</v>
      </c>
      <c r="H1930" s="143"/>
      <c r="I1930" s="99" t="s">
        <v>412</v>
      </c>
    </row>
    <row r="1931" spans="1:9" hidden="1" outlineLevel="1">
      <c r="A1931" s="465" t="s">
        <v>413</v>
      </c>
      <c r="B1931" s="544">
        <v>464945.74225000001</v>
      </c>
      <c r="C1931" s="95">
        <v>0</v>
      </c>
      <c r="D1931" s="1045">
        <v>0</v>
      </c>
      <c r="E1931" s="95">
        <f t="shared" si="61"/>
        <v>464945.74225000001</v>
      </c>
      <c r="F1931" s="95">
        <v>-4383.62</v>
      </c>
      <c r="G1931" s="145">
        <f t="shared" si="62"/>
        <v>460562.12225000001</v>
      </c>
      <c r="H1931" s="143"/>
      <c r="I1931" s="99" t="s">
        <v>414</v>
      </c>
    </row>
    <row r="1932" spans="1:9" hidden="1" outlineLevel="1">
      <c r="A1932" s="465" t="s">
        <v>415</v>
      </c>
      <c r="B1932" s="544">
        <v>327601.67275000003</v>
      </c>
      <c r="C1932" s="95">
        <v>0</v>
      </c>
      <c r="D1932" s="1045">
        <f>VLOOKUP(A1932,'Anlage 2a_Letztverbrauch'!$A$2863:$G$2864,3,FALSE)+VLOOKUP(A1932,'Anlage 2a_Letztverbrauch'!A$2863:$G$2864,6,FALSE)</f>
        <v>41.52</v>
      </c>
      <c r="E1932" s="95">
        <f t="shared" si="61"/>
        <v>327643.19275000005</v>
      </c>
      <c r="F1932" s="95">
        <v>0</v>
      </c>
      <c r="G1932" s="145">
        <f t="shared" si="62"/>
        <v>327643.19275000005</v>
      </c>
      <c r="H1932" s="143"/>
      <c r="I1932" s="99" t="s">
        <v>416</v>
      </c>
    </row>
    <row r="1933" spans="1:9" hidden="1" outlineLevel="1">
      <c r="A1933" s="465" t="s">
        <v>417</v>
      </c>
      <c r="B1933" s="544">
        <v>5295502.1124499999</v>
      </c>
      <c r="C1933" s="95">
        <v>0</v>
      </c>
      <c r="D1933" s="1045">
        <v>0</v>
      </c>
      <c r="E1933" s="95">
        <f t="shared" si="61"/>
        <v>5295502.1124499999</v>
      </c>
      <c r="F1933" s="95">
        <v>26042.18</v>
      </c>
      <c r="G1933" s="145">
        <f t="shared" si="62"/>
        <v>5321544.2924499996</v>
      </c>
      <c r="H1933" s="143"/>
      <c r="I1933" s="99" t="s">
        <v>418</v>
      </c>
    </row>
    <row r="1934" spans="1:9" hidden="1" outlineLevel="1">
      <c r="A1934" s="465" t="s">
        <v>419</v>
      </c>
      <c r="B1934" s="544">
        <v>9754600.6909999996</v>
      </c>
      <c r="C1934" s="95">
        <v>-11515</v>
      </c>
      <c r="D1934" s="1045">
        <v>0</v>
      </c>
      <c r="E1934" s="95">
        <f t="shared" si="61"/>
        <v>9743085.6909999996</v>
      </c>
      <c r="F1934" s="95">
        <v>101980.47</v>
      </c>
      <c r="G1934" s="145">
        <f t="shared" si="62"/>
        <v>9845066.1610000003</v>
      </c>
      <c r="H1934" s="143"/>
      <c r="I1934" s="99" t="s">
        <v>420</v>
      </c>
    </row>
    <row r="1935" spans="1:9" hidden="1" outlineLevel="1">
      <c r="A1935" s="465" t="s">
        <v>421</v>
      </c>
      <c r="B1935" s="544">
        <v>332192.24500000005</v>
      </c>
      <c r="C1935" s="95">
        <v>0</v>
      </c>
      <c r="D1935" s="1045">
        <v>0</v>
      </c>
      <c r="E1935" s="95">
        <f t="shared" si="61"/>
        <v>332192.24500000005</v>
      </c>
      <c r="F1935" s="95">
        <v>-4803.12</v>
      </c>
      <c r="G1935" s="145">
        <f t="shared" si="62"/>
        <v>327389.12500000006</v>
      </c>
      <c r="H1935" s="143"/>
      <c r="I1935" s="99" t="s">
        <v>422</v>
      </c>
    </row>
    <row r="1936" spans="1:9" hidden="1" outlineLevel="1">
      <c r="A1936" s="465" t="s">
        <v>423</v>
      </c>
      <c r="B1936" s="544">
        <v>529342.64625000011</v>
      </c>
      <c r="C1936" s="95">
        <v>0</v>
      </c>
      <c r="D1936" s="1045">
        <v>0</v>
      </c>
      <c r="E1936" s="95">
        <f t="shared" si="61"/>
        <v>529342.64625000011</v>
      </c>
      <c r="F1936" s="95">
        <v>-521.95000000000005</v>
      </c>
      <c r="G1936" s="145">
        <f t="shared" si="62"/>
        <v>528820.69625000015</v>
      </c>
      <c r="H1936" s="143"/>
      <c r="I1936" s="99" t="s">
        <v>424</v>
      </c>
    </row>
    <row r="1937" spans="1:9" hidden="1" outlineLevel="1">
      <c r="A1937" s="465" t="s">
        <v>425</v>
      </c>
      <c r="B1937" s="544">
        <v>1600149.98275</v>
      </c>
      <c r="C1937" s="95">
        <v>0</v>
      </c>
      <c r="D1937" s="1045">
        <v>0</v>
      </c>
      <c r="E1937" s="95">
        <f t="shared" si="61"/>
        <v>1600149.98275</v>
      </c>
      <c r="F1937" s="95">
        <v>0</v>
      </c>
      <c r="G1937" s="145">
        <f t="shared" si="62"/>
        <v>1600149.98275</v>
      </c>
      <c r="H1937" s="143"/>
      <c r="I1937" s="99" t="s">
        <v>426</v>
      </c>
    </row>
    <row r="1938" spans="1:9" hidden="1" outlineLevel="1">
      <c r="A1938" s="465" t="s">
        <v>427</v>
      </c>
      <c r="B1938" s="544">
        <v>1039687.1760000001</v>
      </c>
      <c r="C1938" s="95">
        <v>0</v>
      </c>
      <c r="D1938" s="1045">
        <v>0</v>
      </c>
      <c r="E1938" s="95">
        <f t="shared" si="61"/>
        <v>1039687.1760000001</v>
      </c>
      <c r="F1938" s="95">
        <v>0</v>
      </c>
      <c r="G1938" s="145">
        <f t="shared" si="62"/>
        <v>1039687.1760000001</v>
      </c>
      <c r="H1938" s="143"/>
      <c r="I1938" s="99" t="s">
        <v>428</v>
      </c>
    </row>
    <row r="1939" spans="1:9" hidden="1" outlineLevel="1">
      <c r="A1939" s="465" t="s">
        <v>429</v>
      </c>
      <c r="B1939" s="544">
        <v>140317.77925000002</v>
      </c>
      <c r="C1939" s="95">
        <v>0</v>
      </c>
      <c r="D1939" s="1045">
        <v>0</v>
      </c>
      <c r="E1939" s="95">
        <f t="shared" si="61"/>
        <v>140317.77925000002</v>
      </c>
      <c r="F1939" s="95">
        <v>3468.12</v>
      </c>
      <c r="G1939" s="145">
        <f t="shared" si="62"/>
        <v>143785.89925000002</v>
      </c>
      <c r="H1939" s="143"/>
      <c r="I1939" s="99" t="s">
        <v>430</v>
      </c>
    </row>
    <row r="1940" spans="1:9" hidden="1" outlineLevel="1">
      <c r="A1940" s="465" t="s">
        <v>431</v>
      </c>
      <c r="B1940" s="544">
        <v>80553.956999999995</v>
      </c>
      <c r="C1940" s="95">
        <v>0</v>
      </c>
      <c r="D1940" s="1045">
        <v>0</v>
      </c>
      <c r="E1940" s="95">
        <f t="shared" si="61"/>
        <v>80553.956999999995</v>
      </c>
      <c r="F1940" s="95">
        <v>0</v>
      </c>
      <c r="G1940" s="145">
        <f t="shared" si="62"/>
        <v>80553.956999999995</v>
      </c>
      <c r="H1940" s="143"/>
      <c r="I1940" s="99" t="s">
        <v>432</v>
      </c>
    </row>
    <row r="1941" spans="1:9" hidden="1" outlineLevel="1">
      <c r="A1941" s="465" t="s">
        <v>433</v>
      </c>
      <c r="B1941" s="544">
        <v>3365223.4745250004</v>
      </c>
      <c r="C1941" s="95">
        <v>0</v>
      </c>
      <c r="D1941" s="1045">
        <v>0</v>
      </c>
      <c r="E1941" s="95">
        <f t="shared" si="61"/>
        <v>3365223.4745250004</v>
      </c>
      <c r="F1941" s="95">
        <v>0</v>
      </c>
      <c r="G1941" s="145">
        <f t="shared" si="62"/>
        <v>3365223.4745250004</v>
      </c>
      <c r="H1941" s="143"/>
      <c r="I1941" s="99" t="s">
        <v>434</v>
      </c>
    </row>
    <row r="1942" spans="1:9" hidden="1" outlineLevel="1">
      <c r="A1942" s="465" t="s">
        <v>435</v>
      </c>
      <c r="B1942" s="544">
        <v>380264.12874999997</v>
      </c>
      <c r="C1942" s="95">
        <v>0</v>
      </c>
      <c r="D1942" s="1045">
        <v>0</v>
      </c>
      <c r="E1942" s="95">
        <f t="shared" si="61"/>
        <v>380264.12874999997</v>
      </c>
      <c r="F1942" s="95">
        <v>-4364.21</v>
      </c>
      <c r="G1942" s="145">
        <f t="shared" si="62"/>
        <v>375899.91874999995</v>
      </c>
      <c r="H1942" s="143"/>
      <c r="I1942" s="99" t="s">
        <v>436</v>
      </c>
    </row>
    <row r="1943" spans="1:9" hidden="1" outlineLevel="1">
      <c r="A1943" s="465" t="s">
        <v>437</v>
      </c>
      <c r="B1943" s="544">
        <v>2340063.0000000005</v>
      </c>
      <c r="C1943" s="95">
        <v>0</v>
      </c>
      <c r="D1943" s="1045">
        <v>0</v>
      </c>
      <c r="E1943" s="95">
        <f t="shared" si="61"/>
        <v>2340063.0000000005</v>
      </c>
      <c r="F1943" s="95">
        <v>37177.96</v>
      </c>
      <c r="G1943" s="145">
        <f t="shared" si="62"/>
        <v>2377240.9600000004</v>
      </c>
      <c r="H1943" s="143"/>
      <c r="I1943" s="99" t="s">
        <v>438</v>
      </c>
    </row>
    <row r="1944" spans="1:9" hidden="1" outlineLevel="1">
      <c r="A1944" s="465" t="s">
        <v>439</v>
      </c>
      <c r="B1944" s="544">
        <v>557294.71325000003</v>
      </c>
      <c r="C1944" s="95">
        <v>0</v>
      </c>
      <c r="D1944" s="1045">
        <v>0</v>
      </c>
      <c r="E1944" s="95">
        <f t="shared" si="61"/>
        <v>557294.71325000003</v>
      </c>
      <c r="F1944" s="95">
        <v>-2665.69</v>
      </c>
      <c r="G1944" s="145">
        <f t="shared" si="62"/>
        <v>554629.02325000009</v>
      </c>
      <c r="H1944" s="143"/>
      <c r="I1944" s="99" t="s">
        <v>440</v>
      </c>
    </row>
    <row r="1945" spans="1:9" hidden="1" outlineLevel="1">
      <c r="A1945" s="465" t="s">
        <v>441</v>
      </c>
      <c r="B1945" s="544">
        <v>3973590.2503000004</v>
      </c>
      <c r="C1945" s="95">
        <v>0</v>
      </c>
      <c r="D1945" s="1045">
        <v>0</v>
      </c>
      <c r="E1945" s="95">
        <f t="shared" si="61"/>
        <v>3973590.2503000004</v>
      </c>
      <c r="F1945" s="95">
        <v>-56931.789999999994</v>
      </c>
      <c r="G1945" s="145">
        <f t="shared" si="62"/>
        <v>3916658.4603000004</v>
      </c>
      <c r="H1945" s="143"/>
      <c r="I1945" s="99" t="s">
        <v>442</v>
      </c>
    </row>
    <row r="1946" spans="1:9" hidden="1" outlineLevel="1">
      <c r="A1946" s="465" t="s">
        <v>443</v>
      </c>
      <c r="B1946" s="544">
        <v>27015.205250000003</v>
      </c>
      <c r="C1946" s="95">
        <v>0</v>
      </c>
      <c r="D1946" s="1045">
        <v>0</v>
      </c>
      <c r="E1946" s="95">
        <f t="shared" si="61"/>
        <v>27015.205250000003</v>
      </c>
      <c r="F1946" s="95">
        <v>-123.83</v>
      </c>
      <c r="G1946" s="145">
        <f t="shared" si="62"/>
        <v>26891.375250000001</v>
      </c>
      <c r="H1946" s="143"/>
      <c r="I1946" s="99" t="s">
        <v>444</v>
      </c>
    </row>
    <row r="1947" spans="1:9" hidden="1" outlineLevel="1">
      <c r="A1947" s="465" t="s">
        <v>445</v>
      </c>
      <c r="B1947" s="544">
        <v>614902.44475000002</v>
      </c>
      <c r="C1947" s="95">
        <v>0</v>
      </c>
      <c r="D1947" s="1045">
        <v>0</v>
      </c>
      <c r="E1947" s="95">
        <f t="shared" si="61"/>
        <v>614902.44475000002</v>
      </c>
      <c r="F1947" s="95">
        <v>769</v>
      </c>
      <c r="G1947" s="145">
        <f t="shared" si="62"/>
        <v>615671.44475000002</v>
      </c>
      <c r="H1947" s="143"/>
      <c r="I1947" s="99" t="s">
        <v>446</v>
      </c>
    </row>
    <row r="1948" spans="1:9" hidden="1" outlineLevel="1">
      <c r="A1948" s="465" t="s">
        <v>447</v>
      </c>
      <c r="B1948" s="544">
        <v>305656.16400000005</v>
      </c>
      <c r="C1948" s="95">
        <v>0</v>
      </c>
      <c r="D1948" s="1045">
        <v>0</v>
      </c>
      <c r="E1948" s="95">
        <f t="shared" si="61"/>
        <v>305656.16400000005</v>
      </c>
      <c r="F1948" s="95">
        <v>-2152.71</v>
      </c>
      <c r="G1948" s="145">
        <f t="shared" si="62"/>
        <v>303503.45400000003</v>
      </c>
      <c r="H1948" s="143"/>
      <c r="I1948" s="99" t="s">
        <v>448</v>
      </c>
    </row>
    <row r="1949" spans="1:9" hidden="1" outlineLevel="1">
      <c r="A1949" s="465" t="s">
        <v>449</v>
      </c>
      <c r="B1949" s="544">
        <v>14596197.922075002</v>
      </c>
      <c r="C1949" s="95">
        <v>0</v>
      </c>
      <c r="D1949" s="1045">
        <v>0</v>
      </c>
      <c r="E1949" s="95">
        <f t="shared" ref="E1949:E2012" si="63">B1949+C1949+D1949</f>
        <v>14596197.922075002</v>
      </c>
      <c r="F1949" s="95">
        <v>-79535</v>
      </c>
      <c r="G1949" s="145">
        <f t="shared" ref="G1949:G2012" si="64">E1949+F1949</f>
        <v>14516662.922075002</v>
      </c>
      <c r="H1949" s="143"/>
      <c r="I1949" s="99" t="s">
        <v>450</v>
      </c>
    </row>
    <row r="1950" spans="1:9" hidden="1" outlineLevel="1">
      <c r="A1950" s="465" t="s">
        <v>451</v>
      </c>
      <c r="B1950" s="544">
        <v>195858.78675</v>
      </c>
      <c r="C1950" s="95">
        <v>0</v>
      </c>
      <c r="D1950" s="1045">
        <v>0</v>
      </c>
      <c r="E1950" s="95">
        <f t="shared" si="63"/>
        <v>195858.78675</v>
      </c>
      <c r="F1950" s="95">
        <v>2595.85</v>
      </c>
      <c r="G1950" s="145">
        <f t="shared" si="64"/>
        <v>198454.63675000001</v>
      </c>
      <c r="H1950" s="143"/>
      <c r="I1950" s="99" t="s">
        <v>452</v>
      </c>
    </row>
    <row r="1951" spans="1:9" hidden="1" outlineLevel="1">
      <c r="A1951" s="465" t="s">
        <v>453</v>
      </c>
      <c r="B1951" s="544">
        <v>842658.37975000008</v>
      </c>
      <c r="C1951" s="95">
        <v>0</v>
      </c>
      <c r="D1951" s="1045">
        <v>0</v>
      </c>
      <c r="E1951" s="95">
        <f t="shared" si="63"/>
        <v>842658.37975000008</v>
      </c>
      <c r="F1951" s="95">
        <v>-513.63</v>
      </c>
      <c r="G1951" s="145">
        <f t="shared" si="64"/>
        <v>842144.74975000008</v>
      </c>
      <c r="H1951" s="143"/>
      <c r="I1951" s="99" t="s">
        <v>454</v>
      </c>
    </row>
    <row r="1952" spans="1:9" hidden="1" outlineLevel="1">
      <c r="A1952" s="465" t="s">
        <v>455</v>
      </c>
      <c r="B1952" s="544">
        <v>78558.774250000002</v>
      </c>
      <c r="C1952" s="95">
        <v>0</v>
      </c>
      <c r="D1952" s="1045">
        <v>0</v>
      </c>
      <c r="E1952" s="95">
        <f t="shared" si="63"/>
        <v>78558.774250000002</v>
      </c>
      <c r="F1952" s="95">
        <v>608.81999999999994</v>
      </c>
      <c r="G1952" s="145">
        <f t="shared" si="64"/>
        <v>79167.594250000009</v>
      </c>
      <c r="H1952" s="143"/>
      <c r="I1952" s="99" t="s">
        <v>456</v>
      </c>
    </row>
    <row r="1953" spans="1:9" hidden="1" outlineLevel="1">
      <c r="A1953" s="465" t="s">
        <v>457</v>
      </c>
      <c r="B1953" s="544">
        <v>12977.123500000002</v>
      </c>
      <c r="C1953" s="95">
        <v>0</v>
      </c>
      <c r="D1953" s="1045">
        <v>0</v>
      </c>
      <c r="E1953" s="95">
        <f t="shared" si="63"/>
        <v>12977.123500000002</v>
      </c>
      <c r="F1953" s="95">
        <v>231.64999999999998</v>
      </c>
      <c r="G1953" s="145">
        <f t="shared" si="64"/>
        <v>13208.773500000001</v>
      </c>
      <c r="H1953" s="143"/>
      <c r="I1953" s="99" t="s">
        <v>458</v>
      </c>
    </row>
    <row r="1954" spans="1:9" hidden="1" outlineLevel="1">
      <c r="A1954" s="465" t="s">
        <v>459</v>
      </c>
      <c r="B1954" s="544">
        <v>885447.772</v>
      </c>
      <c r="C1954" s="95">
        <v>0</v>
      </c>
      <c r="D1954" s="1045">
        <v>0</v>
      </c>
      <c r="E1954" s="95">
        <f t="shared" si="63"/>
        <v>885447.772</v>
      </c>
      <c r="F1954" s="95">
        <v>998.06</v>
      </c>
      <c r="G1954" s="145">
        <f t="shared" si="64"/>
        <v>886445.83200000005</v>
      </c>
      <c r="H1954" s="143"/>
      <c r="I1954" s="99" t="s">
        <v>460</v>
      </c>
    </row>
    <row r="1955" spans="1:9" hidden="1" outlineLevel="1">
      <c r="A1955" s="465" t="s">
        <v>461</v>
      </c>
      <c r="B1955" s="544">
        <v>88390.238750000004</v>
      </c>
      <c r="C1955" s="95">
        <v>0</v>
      </c>
      <c r="D1955" s="1045">
        <v>0</v>
      </c>
      <c r="E1955" s="95">
        <f t="shared" si="63"/>
        <v>88390.238750000004</v>
      </c>
      <c r="F1955" s="95">
        <v>572.83000000000004</v>
      </c>
      <c r="G1955" s="145">
        <f t="shared" si="64"/>
        <v>88963.068750000006</v>
      </c>
      <c r="H1955" s="143"/>
      <c r="I1955" s="99" t="s">
        <v>462</v>
      </c>
    </row>
    <row r="1956" spans="1:9" hidden="1" outlineLevel="1">
      <c r="A1956" s="465" t="s">
        <v>463</v>
      </c>
      <c r="B1956" s="544">
        <v>5416795.0815000013</v>
      </c>
      <c r="C1956" s="95">
        <v>-732149.55</v>
      </c>
      <c r="D1956" s="1045">
        <v>0</v>
      </c>
      <c r="E1956" s="95">
        <f t="shared" si="63"/>
        <v>4684645.5315000014</v>
      </c>
      <c r="F1956" s="95">
        <v>-71672.13</v>
      </c>
      <c r="G1956" s="145">
        <f t="shared" si="64"/>
        <v>4612973.4015000015</v>
      </c>
      <c r="H1956" s="143"/>
      <c r="I1956" s="99" t="s">
        <v>464</v>
      </c>
    </row>
    <row r="1957" spans="1:9" hidden="1" outlineLevel="1">
      <c r="A1957" s="465" t="s">
        <v>465</v>
      </c>
      <c r="B1957" s="544">
        <v>16526.922500000001</v>
      </c>
      <c r="C1957" s="95">
        <v>0</v>
      </c>
      <c r="D1957" s="1045">
        <v>0</v>
      </c>
      <c r="E1957" s="95">
        <f t="shared" si="63"/>
        <v>16526.922500000001</v>
      </c>
      <c r="F1957" s="95">
        <v>-75.63</v>
      </c>
      <c r="G1957" s="145">
        <f t="shared" si="64"/>
        <v>16451.2925</v>
      </c>
      <c r="H1957" s="143"/>
      <c r="I1957" s="99" t="s">
        <v>466</v>
      </c>
    </row>
    <row r="1958" spans="1:9" hidden="1" outlineLevel="1">
      <c r="A1958" s="465" t="s">
        <v>467</v>
      </c>
      <c r="B1958" s="544">
        <v>301169.16224999999</v>
      </c>
      <c r="C1958" s="95">
        <v>0</v>
      </c>
      <c r="D1958" s="1045">
        <v>0</v>
      </c>
      <c r="E1958" s="95">
        <f t="shared" si="63"/>
        <v>301169.16224999999</v>
      </c>
      <c r="F1958" s="95">
        <v>0</v>
      </c>
      <c r="G1958" s="145">
        <f t="shared" si="64"/>
        <v>301169.16224999999</v>
      </c>
      <c r="H1958" s="143"/>
      <c r="I1958" s="99" t="s">
        <v>468</v>
      </c>
    </row>
    <row r="1959" spans="1:9" hidden="1" outlineLevel="1">
      <c r="A1959" s="465" t="s">
        <v>469</v>
      </c>
      <c r="B1959" s="544">
        <v>60357146.769975007</v>
      </c>
      <c r="C1959" s="95">
        <v>-728843.61</v>
      </c>
      <c r="D1959" s="1045">
        <v>0</v>
      </c>
      <c r="E1959" s="95">
        <f t="shared" si="63"/>
        <v>59628303.159975007</v>
      </c>
      <c r="F1959" s="95">
        <v>-783246.13</v>
      </c>
      <c r="G1959" s="145">
        <f t="shared" si="64"/>
        <v>58845057.029975004</v>
      </c>
      <c r="H1959" s="143"/>
      <c r="I1959" s="99" t="s">
        <v>470</v>
      </c>
    </row>
    <row r="1960" spans="1:9" hidden="1" outlineLevel="1">
      <c r="A1960" s="465" t="s">
        <v>471</v>
      </c>
      <c r="B1960" s="544">
        <v>362582.01374999998</v>
      </c>
      <c r="C1960" s="95">
        <v>0</v>
      </c>
      <c r="D1960" s="1045">
        <v>0</v>
      </c>
      <c r="E1960" s="95">
        <f t="shared" si="63"/>
        <v>362582.01374999998</v>
      </c>
      <c r="F1960" s="95">
        <v>-5232.71</v>
      </c>
      <c r="G1960" s="145">
        <f t="shared" si="64"/>
        <v>357349.30374999996</v>
      </c>
      <c r="H1960" s="143"/>
      <c r="I1960" s="99" t="s">
        <v>472</v>
      </c>
    </row>
    <row r="1961" spans="1:9" hidden="1" outlineLevel="1">
      <c r="A1961" s="465" t="s">
        <v>473</v>
      </c>
      <c r="B1961" s="544">
        <v>45334.81425000001</v>
      </c>
      <c r="C1961" s="95">
        <v>0</v>
      </c>
      <c r="D1961" s="1045">
        <v>0</v>
      </c>
      <c r="E1961" s="95">
        <f t="shared" si="63"/>
        <v>45334.81425000001</v>
      </c>
      <c r="F1961" s="95">
        <v>0</v>
      </c>
      <c r="G1961" s="145">
        <f t="shared" si="64"/>
        <v>45334.81425000001</v>
      </c>
      <c r="H1961" s="143"/>
      <c r="I1961" s="99" t="s">
        <v>474</v>
      </c>
    </row>
    <row r="1962" spans="1:9" hidden="1" outlineLevel="1">
      <c r="A1962" s="465" t="s">
        <v>475</v>
      </c>
      <c r="B1962" s="544">
        <v>161365.23425000001</v>
      </c>
      <c r="C1962" s="95">
        <v>0</v>
      </c>
      <c r="D1962" s="1045">
        <v>0</v>
      </c>
      <c r="E1962" s="95">
        <f t="shared" si="63"/>
        <v>161365.23425000001</v>
      </c>
      <c r="F1962" s="95">
        <v>771.35</v>
      </c>
      <c r="G1962" s="145">
        <f t="shared" si="64"/>
        <v>162136.58425000001</v>
      </c>
      <c r="H1962" s="143"/>
      <c r="I1962" s="99" t="s">
        <v>476</v>
      </c>
    </row>
    <row r="1963" spans="1:9" hidden="1" outlineLevel="1">
      <c r="A1963" s="465" t="s">
        <v>477</v>
      </c>
      <c r="B1963" s="544">
        <v>3315567.7399625001</v>
      </c>
      <c r="C1963" s="95">
        <v>0</v>
      </c>
      <c r="D1963" s="1045">
        <v>0</v>
      </c>
      <c r="E1963" s="95">
        <f t="shared" si="63"/>
        <v>3315567.7399625001</v>
      </c>
      <c r="F1963" s="95">
        <v>-105785.61</v>
      </c>
      <c r="G1963" s="145">
        <f t="shared" si="64"/>
        <v>3209782.1299625002</v>
      </c>
      <c r="H1963" s="143"/>
      <c r="I1963" s="99" t="s">
        <v>478</v>
      </c>
    </row>
    <row r="1964" spans="1:9" hidden="1" outlineLevel="1">
      <c r="A1964" s="465" t="s">
        <v>479</v>
      </c>
      <c r="B1964" s="544">
        <v>499925.98425000004</v>
      </c>
      <c r="C1964" s="95">
        <v>0</v>
      </c>
      <c r="D1964" s="1045">
        <v>0</v>
      </c>
      <c r="E1964" s="95">
        <f t="shared" si="63"/>
        <v>499925.98425000004</v>
      </c>
      <c r="F1964" s="95">
        <v>-2980.39</v>
      </c>
      <c r="G1964" s="145">
        <f t="shared" si="64"/>
        <v>496945.59425000002</v>
      </c>
      <c r="H1964" s="143"/>
      <c r="I1964" s="99" t="s">
        <v>480</v>
      </c>
    </row>
    <row r="1965" spans="1:9" hidden="1" outlineLevel="1">
      <c r="A1965" s="465" t="s">
        <v>481</v>
      </c>
      <c r="B1965" s="544">
        <v>333632.09000000003</v>
      </c>
      <c r="C1965" s="95">
        <v>0</v>
      </c>
      <c r="D1965" s="1045">
        <v>0</v>
      </c>
      <c r="E1965" s="95">
        <f t="shared" si="63"/>
        <v>333632.09000000003</v>
      </c>
      <c r="F1965" s="95">
        <v>0</v>
      </c>
      <c r="G1965" s="145">
        <f t="shared" si="64"/>
        <v>333632.09000000003</v>
      </c>
      <c r="H1965" s="143"/>
      <c r="I1965" s="99" t="s">
        <v>482</v>
      </c>
    </row>
    <row r="1966" spans="1:9" hidden="1" outlineLevel="1">
      <c r="A1966" s="465" t="s">
        <v>483</v>
      </c>
      <c r="B1966" s="544">
        <v>17751132.960825</v>
      </c>
      <c r="C1966" s="95">
        <v>0</v>
      </c>
      <c r="D1966" s="1045">
        <v>0</v>
      </c>
      <c r="E1966" s="95">
        <f t="shared" si="63"/>
        <v>17751132.960825</v>
      </c>
      <c r="F1966" s="95">
        <v>-81015.12</v>
      </c>
      <c r="G1966" s="145">
        <f t="shared" si="64"/>
        <v>17670117.840824999</v>
      </c>
      <c r="H1966" s="143"/>
      <c r="I1966" s="99" t="s">
        <v>484</v>
      </c>
    </row>
    <row r="1967" spans="1:9" hidden="1" outlineLevel="1">
      <c r="A1967" s="465" t="s">
        <v>485</v>
      </c>
      <c r="B1967" s="544">
        <v>923511.57250000013</v>
      </c>
      <c r="C1967" s="95">
        <v>0</v>
      </c>
      <c r="D1967" s="1045">
        <v>0</v>
      </c>
      <c r="E1967" s="95">
        <f t="shared" si="63"/>
        <v>923511.57250000013</v>
      </c>
      <c r="F1967" s="95">
        <v>12852.24</v>
      </c>
      <c r="G1967" s="145">
        <f t="shared" si="64"/>
        <v>936363.81250000012</v>
      </c>
      <c r="H1967" s="143"/>
      <c r="I1967" s="99" t="s">
        <v>486</v>
      </c>
    </row>
    <row r="1968" spans="1:9" hidden="1" outlineLevel="1">
      <c r="A1968" s="465" t="s">
        <v>487</v>
      </c>
      <c r="B1968" s="544">
        <v>199288.46575000003</v>
      </c>
      <c r="C1968" s="95">
        <v>0</v>
      </c>
      <c r="D1968" s="1045">
        <v>0</v>
      </c>
      <c r="E1968" s="95">
        <f t="shared" si="63"/>
        <v>199288.46575000003</v>
      </c>
      <c r="F1968" s="95">
        <v>4843.4799999999996</v>
      </c>
      <c r="G1968" s="145">
        <f t="shared" si="64"/>
        <v>204131.94575000004</v>
      </c>
      <c r="H1968" s="143"/>
      <c r="I1968" s="99" t="s">
        <v>488</v>
      </c>
    </row>
    <row r="1969" spans="1:9" hidden="1" outlineLevel="1">
      <c r="A1969" s="465" t="s">
        <v>489</v>
      </c>
      <c r="B1969" s="544">
        <v>1174697.77975</v>
      </c>
      <c r="C1969" s="95">
        <v>0</v>
      </c>
      <c r="D1969" s="1045">
        <v>0</v>
      </c>
      <c r="E1969" s="95">
        <f t="shared" si="63"/>
        <v>1174697.77975</v>
      </c>
      <c r="F1969" s="95">
        <v>519.33000000000004</v>
      </c>
      <c r="G1969" s="145">
        <f t="shared" si="64"/>
        <v>1175217.1097500001</v>
      </c>
      <c r="H1969" s="143"/>
      <c r="I1969" s="99" t="s">
        <v>490</v>
      </c>
    </row>
    <row r="1970" spans="1:9" hidden="1" outlineLevel="1">
      <c r="A1970" s="465" t="s">
        <v>491</v>
      </c>
      <c r="B1970" s="544">
        <v>52438.98550000001</v>
      </c>
      <c r="C1970" s="95">
        <v>0</v>
      </c>
      <c r="D1970" s="1045">
        <v>0</v>
      </c>
      <c r="E1970" s="95">
        <f t="shared" si="63"/>
        <v>52438.98550000001</v>
      </c>
      <c r="F1970" s="95">
        <v>0</v>
      </c>
      <c r="G1970" s="145">
        <f t="shared" si="64"/>
        <v>52438.98550000001</v>
      </c>
      <c r="H1970" s="143"/>
      <c r="I1970" s="99" t="s">
        <v>492</v>
      </c>
    </row>
    <row r="1971" spans="1:9" hidden="1" outlineLevel="1">
      <c r="A1971" s="465" t="s">
        <v>493</v>
      </c>
      <c r="B1971" s="544">
        <v>596927.17700000003</v>
      </c>
      <c r="C1971" s="95">
        <v>0</v>
      </c>
      <c r="D1971" s="1045">
        <v>0</v>
      </c>
      <c r="E1971" s="95">
        <f t="shared" si="63"/>
        <v>596927.17700000003</v>
      </c>
      <c r="F1971" s="95">
        <v>0</v>
      </c>
      <c r="G1971" s="145">
        <f t="shared" si="64"/>
        <v>596927.17700000003</v>
      </c>
      <c r="H1971" s="143"/>
      <c r="I1971" s="99" t="s">
        <v>494</v>
      </c>
    </row>
    <row r="1972" spans="1:9" hidden="1" outlineLevel="1">
      <c r="A1972" s="465" t="s">
        <v>495</v>
      </c>
      <c r="B1972" s="544">
        <v>2155250.6992500001</v>
      </c>
      <c r="C1972" s="95">
        <v>-14281.41</v>
      </c>
      <c r="D1972" s="1045">
        <v>0</v>
      </c>
      <c r="E1972" s="95">
        <f t="shared" si="63"/>
        <v>2140969.2892499999</v>
      </c>
      <c r="F1972" s="95">
        <v>0</v>
      </c>
      <c r="G1972" s="145">
        <f t="shared" si="64"/>
        <v>2140969.2892499999</v>
      </c>
      <c r="H1972" s="143"/>
      <c r="I1972" s="99" t="s">
        <v>496</v>
      </c>
    </row>
    <row r="1973" spans="1:9" hidden="1" outlineLevel="1">
      <c r="A1973" s="465" t="s">
        <v>497</v>
      </c>
      <c r="B1973" s="544">
        <v>487871.90650000004</v>
      </c>
      <c r="C1973" s="95">
        <v>0</v>
      </c>
      <c r="D1973" s="1045">
        <v>0</v>
      </c>
      <c r="E1973" s="95">
        <f t="shared" si="63"/>
        <v>487871.90650000004</v>
      </c>
      <c r="F1973" s="95">
        <v>-1013.9300000000001</v>
      </c>
      <c r="G1973" s="145">
        <f t="shared" si="64"/>
        <v>486857.97650000005</v>
      </c>
      <c r="H1973" s="143"/>
      <c r="I1973" s="99" t="s">
        <v>498</v>
      </c>
    </row>
    <row r="1974" spans="1:9" hidden="1" outlineLevel="1">
      <c r="A1974" s="465" t="s">
        <v>499</v>
      </c>
      <c r="B1974" s="544">
        <v>40472.927000000003</v>
      </c>
      <c r="C1974" s="95">
        <v>0</v>
      </c>
      <c r="D1974" s="1045">
        <v>0</v>
      </c>
      <c r="E1974" s="95">
        <f t="shared" si="63"/>
        <v>40472.927000000003</v>
      </c>
      <c r="F1974" s="95">
        <v>193.62</v>
      </c>
      <c r="G1974" s="145">
        <f t="shared" si="64"/>
        <v>40666.547000000006</v>
      </c>
      <c r="H1974" s="143"/>
      <c r="I1974" s="99" t="s">
        <v>500</v>
      </c>
    </row>
    <row r="1975" spans="1:9" hidden="1" outlineLevel="1">
      <c r="A1975" s="465" t="s">
        <v>501</v>
      </c>
      <c r="B1975" s="544">
        <v>396558.98425000004</v>
      </c>
      <c r="C1975" s="95">
        <v>0</v>
      </c>
      <c r="D1975" s="1045">
        <v>0</v>
      </c>
      <c r="E1975" s="95">
        <f t="shared" si="63"/>
        <v>396558.98425000004</v>
      </c>
      <c r="F1975" s="95">
        <v>0</v>
      </c>
      <c r="G1975" s="145">
        <f t="shared" si="64"/>
        <v>396558.98425000004</v>
      </c>
      <c r="H1975" s="143"/>
      <c r="I1975" s="99" t="s">
        <v>502</v>
      </c>
    </row>
    <row r="1976" spans="1:9" hidden="1" outlineLevel="1">
      <c r="A1976" s="465" t="s">
        <v>503</v>
      </c>
      <c r="B1976" s="544">
        <v>3416996.7452500002</v>
      </c>
      <c r="C1976" s="95">
        <v>0</v>
      </c>
      <c r="D1976" s="1045">
        <v>0</v>
      </c>
      <c r="E1976" s="95">
        <f t="shared" si="63"/>
        <v>3416996.7452500002</v>
      </c>
      <c r="F1976" s="95">
        <v>-264384.26</v>
      </c>
      <c r="G1976" s="145">
        <f t="shared" si="64"/>
        <v>3152612.4852499999</v>
      </c>
      <c r="H1976" s="143"/>
      <c r="I1976" s="99" t="s">
        <v>504</v>
      </c>
    </row>
    <row r="1977" spans="1:9" hidden="1" outlineLevel="1">
      <c r="A1977" s="465" t="s">
        <v>505</v>
      </c>
      <c r="B1977" s="544">
        <v>300426.21675000002</v>
      </c>
      <c r="C1977" s="95">
        <v>0</v>
      </c>
      <c r="D1977" s="1045">
        <v>0</v>
      </c>
      <c r="E1977" s="95">
        <f t="shared" si="63"/>
        <v>300426.21675000002</v>
      </c>
      <c r="F1977" s="95">
        <v>-748.04</v>
      </c>
      <c r="G1977" s="145">
        <f t="shared" si="64"/>
        <v>299678.17675000004</v>
      </c>
      <c r="H1977" s="143"/>
      <c r="I1977" s="99" t="s">
        <v>506</v>
      </c>
    </row>
    <row r="1978" spans="1:9" hidden="1" outlineLevel="1">
      <c r="A1978" s="465" t="s">
        <v>507</v>
      </c>
      <c r="B1978" s="544">
        <v>336502.71050000004</v>
      </c>
      <c r="C1978" s="95">
        <v>0</v>
      </c>
      <c r="D1978" s="1045">
        <v>0</v>
      </c>
      <c r="E1978" s="95">
        <f t="shared" si="63"/>
        <v>336502.71050000004</v>
      </c>
      <c r="F1978" s="95">
        <v>576.5100000000001</v>
      </c>
      <c r="G1978" s="145">
        <f t="shared" si="64"/>
        <v>337079.22050000005</v>
      </c>
      <c r="H1978" s="143"/>
      <c r="I1978" s="99" t="s">
        <v>508</v>
      </c>
    </row>
    <row r="1979" spans="1:9" hidden="1" outlineLevel="1">
      <c r="A1979" s="465" t="s">
        <v>509</v>
      </c>
      <c r="B1979" s="544">
        <v>357450.7475</v>
      </c>
      <c r="C1979" s="95">
        <v>0</v>
      </c>
      <c r="D1979" s="1045">
        <v>0</v>
      </c>
      <c r="E1979" s="95">
        <f t="shared" si="63"/>
        <v>357450.7475</v>
      </c>
      <c r="F1979" s="95">
        <v>-1672.5</v>
      </c>
      <c r="G1979" s="145">
        <f t="shared" si="64"/>
        <v>355778.2475</v>
      </c>
      <c r="H1979" s="143"/>
      <c r="I1979" s="99" t="s">
        <v>510</v>
      </c>
    </row>
    <row r="1980" spans="1:9" hidden="1" outlineLevel="1">
      <c r="A1980" s="465" t="s">
        <v>511</v>
      </c>
      <c r="B1980" s="544">
        <v>170.79150000000001</v>
      </c>
      <c r="C1980" s="95">
        <v>0</v>
      </c>
      <c r="D1980" s="1045">
        <v>0</v>
      </c>
      <c r="E1980" s="95">
        <f t="shared" si="63"/>
        <v>170.79150000000001</v>
      </c>
      <c r="F1980" s="95">
        <v>0</v>
      </c>
      <c r="G1980" s="145">
        <f t="shared" si="64"/>
        <v>170.79150000000001</v>
      </c>
      <c r="H1980" s="143"/>
      <c r="I1980" s="99" t="s">
        <v>512</v>
      </c>
    </row>
    <row r="1981" spans="1:9" hidden="1" outlineLevel="1">
      <c r="A1981" s="465" t="s">
        <v>172</v>
      </c>
      <c r="B1981" s="544">
        <v>24903.986250000002</v>
      </c>
      <c r="C1981" s="95">
        <v>0</v>
      </c>
      <c r="D1981" s="1045">
        <v>0</v>
      </c>
      <c r="E1981" s="95">
        <f t="shared" si="63"/>
        <v>24903.986250000002</v>
      </c>
      <c r="F1981" s="95">
        <v>1355.87</v>
      </c>
      <c r="G1981" s="145">
        <f t="shared" si="64"/>
        <v>26259.856250000001</v>
      </c>
      <c r="H1981" s="143"/>
      <c r="I1981" s="99" t="s">
        <v>173</v>
      </c>
    </row>
    <row r="1982" spans="1:9" hidden="1" outlineLevel="1">
      <c r="A1982" s="465" t="s">
        <v>513</v>
      </c>
      <c r="B1982" s="544">
        <v>237677.19250000003</v>
      </c>
      <c r="C1982" s="95">
        <v>0</v>
      </c>
      <c r="D1982" s="1045">
        <v>0</v>
      </c>
      <c r="E1982" s="95">
        <f t="shared" si="63"/>
        <v>237677.19250000003</v>
      </c>
      <c r="F1982" s="95">
        <v>574.34</v>
      </c>
      <c r="G1982" s="145">
        <f t="shared" si="64"/>
        <v>238251.53250000003</v>
      </c>
      <c r="H1982" s="143"/>
      <c r="I1982" s="99" t="s">
        <v>514</v>
      </c>
    </row>
    <row r="1983" spans="1:9" hidden="1" outlineLevel="1">
      <c r="A1983" s="465" t="s">
        <v>515</v>
      </c>
      <c r="B1983" s="544">
        <v>9010.9250000000011</v>
      </c>
      <c r="C1983" s="95">
        <v>0</v>
      </c>
      <c r="D1983" s="1045">
        <v>0</v>
      </c>
      <c r="E1983" s="95">
        <f t="shared" si="63"/>
        <v>9010.9250000000011</v>
      </c>
      <c r="F1983" s="95">
        <v>0</v>
      </c>
      <c r="G1983" s="145">
        <f t="shared" si="64"/>
        <v>9010.9250000000011</v>
      </c>
      <c r="H1983" s="143"/>
      <c r="I1983" s="99" t="s">
        <v>516</v>
      </c>
    </row>
    <row r="1984" spans="1:9" hidden="1" outlineLevel="1">
      <c r="A1984" s="465" t="s">
        <v>517</v>
      </c>
      <c r="B1984" s="544">
        <v>379759.59450000001</v>
      </c>
      <c r="C1984" s="95">
        <v>0</v>
      </c>
      <c r="D1984" s="1045">
        <v>0</v>
      </c>
      <c r="E1984" s="95">
        <f t="shared" si="63"/>
        <v>379759.59450000001</v>
      </c>
      <c r="F1984" s="95">
        <v>0</v>
      </c>
      <c r="G1984" s="145">
        <f t="shared" si="64"/>
        <v>379759.59450000001</v>
      </c>
      <c r="H1984" s="143"/>
      <c r="I1984" s="99" t="s">
        <v>518</v>
      </c>
    </row>
    <row r="1985" spans="1:9" hidden="1" outlineLevel="1">
      <c r="A1985" s="465" t="s">
        <v>519</v>
      </c>
      <c r="B1985" s="544">
        <v>260100.69250000003</v>
      </c>
      <c r="C1985" s="95">
        <v>0</v>
      </c>
      <c r="D1985" s="1045">
        <v>0</v>
      </c>
      <c r="E1985" s="95">
        <f t="shared" si="63"/>
        <v>260100.69250000003</v>
      </c>
      <c r="F1985" s="95">
        <v>2789.73</v>
      </c>
      <c r="G1985" s="145">
        <f t="shared" si="64"/>
        <v>262890.42250000004</v>
      </c>
      <c r="H1985" s="143"/>
      <c r="I1985" s="99" t="s">
        <v>520</v>
      </c>
    </row>
    <row r="1986" spans="1:9" hidden="1" outlineLevel="1">
      <c r="A1986" s="465" t="s">
        <v>521</v>
      </c>
      <c r="B1986" s="544">
        <v>833492.22550000018</v>
      </c>
      <c r="C1986" s="95">
        <v>0</v>
      </c>
      <c r="D1986" s="1045">
        <v>0</v>
      </c>
      <c r="E1986" s="95">
        <f t="shared" si="63"/>
        <v>833492.22550000018</v>
      </c>
      <c r="F1986" s="95">
        <v>0</v>
      </c>
      <c r="G1986" s="145">
        <f t="shared" si="64"/>
        <v>833492.22550000018</v>
      </c>
      <c r="H1986" s="143"/>
      <c r="I1986" s="99" t="s">
        <v>522</v>
      </c>
    </row>
    <row r="1987" spans="1:9" hidden="1" outlineLevel="1">
      <c r="A1987" s="465" t="s">
        <v>523</v>
      </c>
      <c r="B1987" s="544">
        <v>383892.77850000001</v>
      </c>
      <c r="C1987" s="95">
        <v>0</v>
      </c>
      <c r="D1987" s="1045">
        <v>0</v>
      </c>
      <c r="E1987" s="95">
        <f t="shared" si="63"/>
        <v>383892.77850000001</v>
      </c>
      <c r="F1987" s="95">
        <v>11107.43</v>
      </c>
      <c r="G1987" s="145">
        <f t="shared" si="64"/>
        <v>395000.20850000001</v>
      </c>
      <c r="H1987" s="143"/>
      <c r="I1987" s="99" t="s">
        <v>524</v>
      </c>
    </row>
    <row r="1988" spans="1:9" hidden="1" outlineLevel="1">
      <c r="A1988" s="465" t="s">
        <v>525</v>
      </c>
      <c r="B1988" s="544">
        <v>52916.858500000002</v>
      </c>
      <c r="C1988" s="95">
        <v>0</v>
      </c>
      <c r="D1988" s="1045">
        <v>0</v>
      </c>
      <c r="E1988" s="95">
        <f t="shared" si="63"/>
        <v>52916.858500000002</v>
      </c>
      <c r="F1988" s="95">
        <v>0</v>
      </c>
      <c r="G1988" s="145">
        <f t="shared" si="64"/>
        <v>52916.858500000002</v>
      </c>
      <c r="H1988" s="143"/>
      <c r="I1988" s="99" t="s">
        <v>526</v>
      </c>
    </row>
    <row r="1989" spans="1:9" hidden="1" outlineLevel="1">
      <c r="A1989" s="465" t="s">
        <v>527</v>
      </c>
      <c r="B1989" s="544">
        <v>500254.97224999999</v>
      </c>
      <c r="C1989" s="95">
        <v>0</v>
      </c>
      <c r="D1989" s="1045">
        <v>0</v>
      </c>
      <c r="E1989" s="95">
        <f t="shared" si="63"/>
        <v>500254.97224999999</v>
      </c>
      <c r="F1989" s="95">
        <v>-10187.030000000001</v>
      </c>
      <c r="G1989" s="145">
        <f t="shared" si="64"/>
        <v>490067.94224999996</v>
      </c>
      <c r="H1989" s="143"/>
      <c r="I1989" s="99" t="s">
        <v>528</v>
      </c>
    </row>
    <row r="1990" spans="1:9" hidden="1" outlineLevel="1">
      <c r="A1990" s="465" t="s">
        <v>529</v>
      </c>
      <c r="B1990" s="544">
        <v>30807.304000000004</v>
      </c>
      <c r="C1990" s="95">
        <v>0</v>
      </c>
      <c r="D1990" s="1045">
        <v>0</v>
      </c>
      <c r="E1990" s="95">
        <f t="shared" si="63"/>
        <v>30807.304000000004</v>
      </c>
      <c r="F1990" s="95">
        <v>191.13</v>
      </c>
      <c r="G1990" s="145">
        <f t="shared" si="64"/>
        <v>30998.434000000005</v>
      </c>
      <c r="H1990" s="143"/>
      <c r="I1990" s="99" t="s">
        <v>530</v>
      </c>
    </row>
    <row r="1991" spans="1:9" hidden="1" outlineLevel="1">
      <c r="A1991" s="465" t="s">
        <v>531</v>
      </c>
      <c r="B1991" s="544">
        <v>912165.06700000004</v>
      </c>
      <c r="C1991" s="95">
        <v>0</v>
      </c>
      <c r="D1991" s="1045">
        <v>0</v>
      </c>
      <c r="E1991" s="95">
        <f t="shared" si="63"/>
        <v>912165.06700000004</v>
      </c>
      <c r="F1991" s="95">
        <v>0</v>
      </c>
      <c r="G1991" s="145">
        <f t="shared" si="64"/>
        <v>912165.06700000004</v>
      </c>
      <c r="H1991" s="143"/>
      <c r="I1991" s="99" t="s">
        <v>532</v>
      </c>
    </row>
    <row r="1992" spans="1:9" hidden="1" outlineLevel="1">
      <c r="A1992" s="465" t="s">
        <v>533</v>
      </c>
      <c r="B1992" s="544">
        <v>674279.10550000006</v>
      </c>
      <c r="C1992" s="95">
        <v>0</v>
      </c>
      <c r="D1992" s="1045">
        <v>0</v>
      </c>
      <c r="E1992" s="95">
        <f t="shared" si="63"/>
        <v>674279.10550000006</v>
      </c>
      <c r="F1992" s="95">
        <v>0</v>
      </c>
      <c r="G1992" s="145">
        <f t="shared" si="64"/>
        <v>674279.10550000006</v>
      </c>
      <c r="H1992" s="143"/>
      <c r="I1992" s="99" t="s">
        <v>534</v>
      </c>
    </row>
    <row r="1993" spans="1:9" hidden="1" outlineLevel="1">
      <c r="A1993" s="465" t="s">
        <v>535</v>
      </c>
      <c r="B1993" s="544">
        <v>390816.52500000002</v>
      </c>
      <c r="C1993" s="95">
        <v>0</v>
      </c>
      <c r="D1993" s="1045">
        <v>0</v>
      </c>
      <c r="E1993" s="95">
        <f t="shared" si="63"/>
        <v>390816.52500000002</v>
      </c>
      <c r="F1993" s="95">
        <v>7814.55</v>
      </c>
      <c r="G1993" s="145">
        <f t="shared" si="64"/>
        <v>398631.07500000001</v>
      </c>
      <c r="H1993" s="143"/>
      <c r="I1993" s="99" t="s">
        <v>536</v>
      </c>
    </row>
    <row r="1994" spans="1:9" hidden="1" outlineLevel="1">
      <c r="A1994" s="465" t="s">
        <v>537</v>
      </c>
      <c r="B1994" s="544">
        <v>86459.829500000007</v>
      </c>
      <c r="C1994" s="95">
        <v>0</v>
      </c>
      <c r="D1994" s="1045">
        <v>0</v>
      </c>
      <c r="E1994" s="95">
        <f t="shared" si="63"/>
        <v>86459.829500000007</v>
      </c>
      <c r="F1994" s="95">
        <v>0</v>
      </c>
      <c r="G1994" s="145">
        <f t="shared" si="64"/>
        <v>86459.829500000007</v>
      </c>
      <c r="H1994" s="143"/>
      <c r="I1994" s="99" t="s">
        <v>538</v>
      </c>
    </row>
    <row r="1995" spans="1:9" hidden="1" outlineLevel="1">
      <c r="A1995" s="465" t="s">
        <v>539</v>
      </c>
      <c r="B1995" s="544">
        <v>413753.05675000005</v>
      </c>
      <c r="C1995" s="95">
        <v>0</v>
      </c>
      <c r="D1995" s="1045">
        <v>0</v>
      </c>
      <c r="E1995" s="95">
        <f t="shared" si="63"/>
        <v>413753.05675000005</v>
      </c>
      <c r="F1995" s="95">
        <v>0</v>
      </c>
      <c r="G1995" s="145">
        <f t="shared" si="64"/>
        <v>413753.05675000005</v>
      </c>
      <c r="H1995" s="143"/>
      <c r="I1995" s="99" t="s">
        <v>540</v>
      </c>
    </row>
    <row r="1996" spans="1:9" hidden="1" outlineLevel="1">
      <c r="A1996" s="465" t="s">
        <v>541</v>
      </c>
      <c r="B1996" s="544">
        <v>7069917.6677250015</v>
      </c>
      <c r="C1996" s="95">
        <v>0</v>
      </c>
      <c r="D1996" s="1045">
        <v>0</v>
      </c>
      <c r="E1996" s="95">
        <f t="shared" si="63"/>
        <v>7069917.6677250015</v>
      </c>
      <c r="F1996" s="95">
        <v>256150.35</v>
      </c>
      <c r="G1996" s="145">
        <f t="shared" si="64"/>
        <v>7326068.0177250011</v>
      </c>
      <c r="H1996" s="143"/>
      <c r="I1996" s="99" t="s">
        <v>542</v>
      </c>
    </row>
    <row r="1997" spans="1:9" hidden="1" outlineLevel="1">
      <c r="A1997" s="465" t="s">
        <v>543</v>
      </c>
      <c r="B1997" s="544">
        <v>822092.36450000003</v>
      </c>
      <c r="C1997" s="95">
        <v>0</v>
      </c>
      <c r="D1997" s="1045">
        <v>0</v>
      </c>
      <c r="E1997" s="95">
        <f t="shared" si="63"/>
        <v>822092.36450000003</v>
      </c>
      <c r="F1997" s="95">
        <v>85.73</v>
      </c>
      <c r="G1997" s="145">
        <f t="shared" si="64"/>
        <v>822178.09450000001</v>
      </c>
      <c r="H1997" s="143"/>
      <c r="I1997" s="99" t="s">
        <v>544</v>
      </c>
    </row>
    <row r="1998" spans="1:9" hidden="1" outlineLevel="1">
      <c r="A1998" s="465" t="s">
        <v>545</v>
      </c>
      <c r="B1998" s="544">
        <v>230277.31925</v>
      </c>
      <c r="C1998" s="95">
        <v>0</v>
      </c>
      <c r="D1998" s="1045">
        <v>0</v>
      </c>
      <c r="E1998" s="95">
        <f t="shared" si="63"/>
        <v>230277.31925</v>
      </c>
      <c r="F1998" s="95">
        <v>1703.5</v>
      </c>
      <c r="G1998" s="145">
        <f t="shared" si="64"/>
        <v>231980.81925</v>
      </c>
      <c r="H1998" s="143"/>
      <c r="I1998" s="99" t="s">
        <v>546</v>
      </c>
    </row>
    <row r="1999" spans="1:9" hidden="1" outlineLevel="1">
      <c r="A1999" s="465" t="s">
        <v>547</v>
      </c>
      <c r="B1999" s="544">
        <v>428319.16600000003</v>
      </c>
      <c r="C1999" s="95">
        <v>-411.69</v>
      </c>
      <c r="D1999" s="1045">
        <v>0</v>
      </c>
      <c r="E1999" s="95">
        <f t="shared" si="63"/>
        <v>427907.47600000002</v>
      </c>
      <c r="F1999" s="95">
        <v>218.56999999999994</v>
      </c>
      <c r="G1999" s="145">
        <f t="shared" si="64"/>
        <v>428126.04600000003</v>
      </c>
      <c r="H1999" s="143"/>
      <c r="I1999" s="99" t="s">
        <v>548</v>
      </c>
    </row>
    <row r="2000" spans="1:9" hidden="1" outlineLevel="1">
      <c r="A2000" s="465" t="s">
        <v>549</v>
      </c>
      <c r="B2000" s="544">
        <v>208759.80400000003</v>
      </c>
      <c r="C2000" s="95">
        <v>0</v>
      </c>
      <c r="D2000" s="1045">
        <v>0</v>
      </c>
      <c r="E2000" s="95">
        <f t="shared" si="63"/>
        <v>208759.80400000003</v>
      </c>
      <c r="F2000" s="95">
        <v>-601.49</v>
      </c>
      <c r="G2000" s="145">
        <f t="shared" si="64"/>
        <v>208158.31400000004</v>
      </c>
      <c r="H2000" s="143"/>
      <c r="I2000" s="99" t="s">
        <v>550</v>
      </c>
    </row>
    <row r="2001" spans="1:9" hidden="1" outlineLevel="1">
      <c r="A2001" s="465" t="s">
        <v>551</v>
      </c>
      <c r="B2001" s="544">
        <v>1263148.5817500001</v>
      </c>
      <c r="C2001" s="95">
        <v>0</v>
      </c>
      <c r="D2001" s="1045">
        <v>0</v>
      </c>
      <c r="E2001" s="95">
        <f t="shared" si="63"/>
        <v>1263148.5817500001</v>
      </c>
      <c r="F2001" s="95">
        <v>-9130.0400000000009</v>
      </c>
      <c r="G2001" s="145">
        <f t="shared" si="64"/>
        <v>1254018.5417500001</v>
      </c>
      <c r="H2001" s="143"/>
      <c r="I2001" s="99" t="s">
        <v>552</v>
      </c>
    </row>
    <row r="2002" spans="1:9" hidden="1" outlineLevel="1">
      <c r="A2002" s="465" t="s">
        <v>553</v>
      </c>
      <c r="B2002" s="544">
        <v>972717.08050000016</v>
      </c>
      <c r="C2002" s="95">
        <v>0</v>
      </c>
      <c r="D2002" s="1045">
        <v>0</v>
      </c>
      <c r="E2002" s="95">
        <f t="shared" si="63"/>
        <v>972717.08050000016</v>
      </c>
      <c r="F2002" s="95">
        <v>8287.19</v>
      </c>
      <c r="G2002" s="145">
        <f t="shared" si="64"/>
        <v>981004.2705000001</v>
      </c>
      <c r="H2002" s="143"/>
      <c r="I2002" s="99" t="s">
        <v>554</v>
      </c>
    </row>
    <row r="2003" spans="1:9" hidden="1" outlineLevel="1">
      <c r="A2003" s="465" t="s">
        <v>555</v>
      </c>
      <c r="B2003" s="544">
        <v>476167.96150000003</v>
      </c>
      <c r="C2003" s="95">
        <v>0</v>
      </c>
      <c r="D2003" s="1045">
        <v>0</v>
      </c>
      <c r="E2003" s="95">
        <f t="shared" si="63"/>
        <v>476167.96150000003</v>
      </c>
      <c r="F2003" s="95">
        <v>5511.86</v>
      </c>
      <c r="G2003" s="145">
        <f t="shared" si="64"/>
        <v>481679.82150000002</v>
      </c>
      <c r="H2003" s="143"/>
      <c r="I2003" s="99" t="s">
        <v>556</v>
      </c>
    </row>
    <row r="2004" spans="1:9" hidden="1" outlineLevel="1">
      <c r="A2004" s="465" t="s">
        <v>559</v>
      </c>
      <c r="B2004" s="544">
        <v>30214.706500000004</v>
      </c>
      <c r="C2004" s="95">
        <v>0</v>
      </c>
      <c r="D2004" s="1045">
        <v>0</v>
      </c>
      <c r="E2004" s="95">
        <f t="shared" si="63"/>
        <v>30214.706500000004</v>
      </c>
      <c r="F2004" s="95">
        <v>28.689999999999998</v>
      </c>
      <c r="G2004" s="145">
        <f t="shared" si="64"/>
        <v>30243.396500000003</v>
      </c>
      <c r="H2004" s="143"/>
      <c r="I2004" s="99" t="s">
        <v>560</v>
      </c>
    </row>
    <row r="2005" spans="1:9" hidden="1" outlineLevel="1">
      <c r="A2005" s="465" t="s">
        <v>561</v>
      </c>
      <c r="B2005" s="544">
        <v>8950.947500000002</v>
      </c>
      <c r="C2005" s="95">
        <v>0</v>
      </c>
      <c r="D2005" s="1045">
        <v>0</v>
      </c>
      <c r="E2005" s="95">
        <f t="shared" si="63"/>
        <v>8950.947500000002</v>
      </c>
      <c r="F2005" s="95">
        <v>-16.37</v>
      </c>
      <c r="G2005" s="145">
        <f t="shared" si="64"/>
        <v>8934.5775000000012</v>
      </c>
      <c r="H2005" s="143"/>
      <c r="I2005" s="99" t="s">
        <v>562</v>
      </c>
    </row>
    <row r="2006" spans="1:9" hidden="1" outlineLevel="1">
      <c r="A2006" s="465" t="s">
        <v>563</v>
      </c>
      <c r="B2006" s="544">
        <v>217189.5055</v>
      </c>
      <c r="C2006" s="95">
        <v>0</v>
      </c>
      <c r="D2006" s="1045">
        <v>0</v>
      </c>
      <c r="E2006" s="95">
        <f t="shared" si="63"/>
        <v>217189.5055</v>
      </c>
      <c r="F2006" s="95">
        <v>-6496.49</v>
      </c>
      <c r="G2006" s="145">
        <f t="shared" si="64"/>
        <v>210693.01550000001</v>
      </c>
      <c r="H2006" s="143"/>
      <c r="I2006" s="99" t="s">
        <v>564</v>
      </c>
    </row>
    <row r="2007" spans="1:9" hidden="1" outlineLevel="1">
      <c r="A2007" s="465" t="s">
        <v>565</v>
      </c>
      <c r="B2007" s="544">
        <v>319848.36674999999</v>
      </c>
      <c r="C2007" s="95">
        <v>-52880.98</v>
      </c>
      <c r="D2007" s="1045">
        <v>0</v>
      </c>
      <c r="E2007" s="95">
        <f t="shared" si="63"/>
        <v>266967.38675000001</v>
      </c>
      <c r="F2007" s="95">
        <v>0</v>
      </c>
      <c r="G2007" s="145">
        <f t="shared" si="64"/>
        <v>266967.38675000001</v>
      </c>
      <c r="H2007" s="143"/>
      <c r="I2007" s="99" t="s">
        <v>566</v>
      </c>
    </row>
    <row r="2008" spans="1:9" hidden="1" outlineLevel="1">
      <c r="A2008" s="465" t="s">
        <v>567</v>
      </c>
      <c r="B2008" s="544">
        <v>6427613.4846000001</v>
      </c>
      <c r="C2008" s="95">
        <v>0</v>
      </c>
      <c r="D2008" s="1045">
        <v>0</v>
      </c>
      <c r="E2008" s="95">
        <f t="shared" si="63"/>
        <v>6427613.4846000001</v>
      </c>
      <c r="F2008" s="95">
        <v>-67845.680000000008</v>
      </c>
      <c r="G2008" s="145">
        <f t="shared" si="64"/>
        <v>6359767.8046000004</v>
      </c>
      <c r="H2008" s="143"/>
      <c r="I2008" s="99" t="s">
        <v>568</v>
      </c>
    </row>
    <row r="2009" spans="1:9" hidden="1" outlineLevel="1">
      <c r="A2009" s="465" t="s">
        <v>569</v>
      </c>
      <c r="B2009" s="544">
        <v>126572.93825000001</v>
      </c>
      <c r="C2009" s="95">
        <v>0</v>
      </c>
      <c r="D2009" s="1045">
        <v>0</v>
      </c>
      <c r="E2009" s="95">
        <f t="shared" si="63"/>
        <v>126572.93825000001</v>
      </c>
      <c r="F2009" s="95">
        <v>0</v>
      </c>
      <c r="G2009" s="145">
        <f t="shared" si="64"/>
        <v>126572.93825000001</v>
      </c>
      <c r="H2009" s="143"/>
      <c r="I2009" s="99" t="s">
        <v>570</v>
      </c>
    </row>
    <row r="2010" spans="1:9" hidden="1" outlineLevel="1">
      <c r="A2010" s="465" t="s">
        <v>571</v>
      </c>
      <c r="B2010" s="544">
        <v>153338.11900000001</v>
      </c>
      <c r="C2010" s="95">
        <v>0</v>
      </c>
      <c r="D2010" s="1045">
        <v>0</v>
      </c>
      <c r="E2010" s="95">
        <f t="shared" si="63"/>
        <v>153338.11900000001</v>
      </c>
      <c r="F2010" s="95">
        <v>0</v>
      </c>
      <c r="G2010" s="145">
        <f t="shared" si="64"/>
        <v>153338.11900000001</v>
      </c>
      <c r="H2010" s="143"/>
      <c r="I2010" s="99" t="s">
        <v>572</v>
      </c>
    </row>
    <row r="2011" spans="1:9" hidden="1" outlineLevel="1">
      <c r="A2011" s="465" t="s">
        <v>573</v>
      </c>
      <c r="B2011" s="544">
        <v>703897.96400000004</v>
      </c>
      <c r="C2011" s="95">
        <v>-10295.39</v>
      </c>
      <c r="D2011" s="1045">
        <v>0</v>
      </c>
      <c r="E2011" s="95">
        <f t="shared" si="63"/>
        <v>693602.57400000002</v>
      </c>
      <c r="F2011" s="95">
        <v>16951.55</v>
      </c>
      <c r="G2011" s="145">
        <f t="shared" si="64"/>
        <v>710554.12400000007</v>
      </c>
      <c r="H2011" s="143"/>
      <c r="I2011" s="99" t="s">
        <v>574</v>
      </c>
    </row>
    <row r="2012" spans="1:9" hidden="1" outlineLevel="1">
      <c r="A2012" s="465" t="s">
        <v>575</v>
      </c>
      <c r="B2012" s="544">
        <v>317538.14400000003</v>
      </c>
      <c r="C2012" s="95">
        <v>0</v>
      </c>
      <c r="D2012" s="1045">
        <v>0</v>
      </c>
      <c r="E2012" s="95">
        <f t="shared" si="63"/>
        <v>317538.14400000003</v>
      </c>
      <c r="F2012" s="95">
        <v>427.99</v>
      </c>
      <c r="G2012" s="145">
        <f t="shared" si="64"/>
        <v>317966.13400000002</v>
      </c>
      <c r="H2012" s="143"/>
      <c r="I2012" s="99" t="s">
        <v>576</v>
      </c>
    </row>
    <row r="2013" spans="1:9" hidden="1" outlineLevel="1">
      <c r="A2013" s="465" t="s">
        <v>577</v>
      </c>
      <c r="B2013" s="544">
        <v>1213705.0395250001</v>
      </c>
      <c r="C2013" s="95">
        <v>0</v>
      </c>
      <c r="D2013" s="1045">
        <v>0</v>
      </c>
      <c r="E2013" s="95">
        <f t="shared" ref="E2013:E2076" si="65">B2013+C2013+D2013</f>
        <v>1213705.0395250001</v>
      </c>
      <c r="F2013" s="95">
        <v>3468.55</v>
      </c>
      <c r="G2013" s="145">
        <f t="shared" ref="G2013:G2076" si="66">E2013+F2013</f>
        <v>1217173.5895250002</v>
      </c>
      <c r="H2013" s="143"/>
      <c r="I2013" s="99" t="s">
        <v>578</v>
      </c>
    </row>
    <row r="2014" spans="1:9" hidden="1" outlineLevel="1">
      <c r="A2014" s="465" t="s">
        <v>579</v>
      </c>
      <c r="B2014" s="544">
        <v>385469.39750000002</v>
      </c>
      <c r="C2014" s="95">
        <v>0</v>
      </c>
      <c r="D2014" s="1045">
        <v>0</v>
      </c>
      <c r="E2014" s="95">
        <f t="shared" si="65"/>
        <v>385469.39750000002</v>
      </c>
      <c r="F2014" s="95">
        <v>935.75</v>
      </c>
      <c r="G2014" s="145">
        <f t="shared" si="66"/>
        <v>386405.14750000002</v>
      </c>
      <c r="H2014" s="143"/>
      <c r="I2014" s="99" t="s">
        <v>580</v>
      </c>
    </row>
    <row r="2015" spans="1:9" hidden="1" outlineLevel="1">
      <c r="A2015" s="465" t="s">
        <v>581</v>
      </c>
      <c r="B2015" s="544">
        <v>88525.038250000012</v>
      </c>
      <c r="C2015" s="95">
        <v>0</v>
      </c>
      <c r="D2015" s="1045">
        <v>0</v>
      </c>
      <c r="E2015" s="95">
        <f t="shared" si="65"/>
        <v>88525.038250000012</v>
      </c>
      <c r="F2015" s="95">
        <v>2368.3200000000002</v>
      </c>
      <c r="G2015" s="145">
        <f t="shared" si="66"/>
        <v>90893.358250000019</v>
      </c>
      <c r="H2015" s="143"/>
      <c r="I2015" s="99" t="s">
        <v>582</v>
      </c>
    </row>
    <row r="2016" spans="1:9" hidden="1" outlineLevel="1">
      <c r="A2016" s="465" t="s">
        <v>583</v>
      </c>
      <c r="B2016" s="544">
        <v>323112.33900000004</v>
      </c>
      <c r="C2016" s="95">
        <v>0</v>
      </c>
      <c r="D2016" s="1045">
        <v>0</v>
      </c>
      <c r="E2016" s="95">
        <f t="shared" si="65"/>
        <v>323112.33900000004</v>
      </c>
      <c r="F2016" s="95">
        <v>-482.21000000000004</v>
      </c>
      <c r="G2016" s="145">
        <f t="shared" si="66"/>
        <v>322630.12900000002</v>
      </c>
      <c r="H2016" s="143"/>
      <c r="I2016" s="99" t="s">
        <v>584</v>
      </c>
    </row>
    <row r="2017" spans="1:9" hidden="1" outlineLevel="1">
      <c r="A2017" s="465" t="s">
        <v>585</v>
      </c>
      <c r="B2017" s="544">
        <v>4577.9387500000003</v>
      </c>
      <c r="C2017" s="95">
        <v>0</v>
      </c>
      <c r="D2017" s="1045">
        <v>0</v>
      </c>
      <c r="E2017" s="95">
        <f t="shared" si="65"/>
        <v>4577.9387500000003</v>
      </c>
      <c r="F2017" s="95">
        <v>0</v>
      </c>
      <c r="G2017" s="145">
        <f t="shared" si="66"/>
        <v>4577.9387500000003</v>
      </c>
      <c r="H2017" s="143"/>
      <c r="I2017" s="99" t="s">
        <v>586</v>
      </c>
    </row>
    <row r="2018" spans="1:9" hidden="1" outlineLevel="1">
      <c r="A2018" s="465" t="s">
        <v>585</v>
      </c>
      <c r="B2018" s="544">
        <v>115221.74675000001</v>
      </c>
      <c r="C2018" s="95">
        <v>0</v>
      </c>
      <c r="D2018" s="1045">
        <v>0</v>
      </c>
      <c r="E2018" s="95">
        <f t="shared" si="65"/>
        <v>115221.74675000001</v>
      </c>
      <c r="F2018" s="95">
        <v>0</v>
      </c>
      <c r="G2018" s="145">
        <f t="shared" si="66"/>
        <v>115221.74675000001</v>
      </c>
      <c r="H2018" s="143"/>
      <c r="I2018" s="99" t="s">
        <v>586</v>
      </c>
    </row>
    <row r="2019" spans="1:9" hidden="1" outlineLevel="1">
      <c r="A2019" s="465" t="s">
        <v>587</v>
      </c>
      <c r="B2019" s="544">
        <v>196066.39800000002</v>
      </c>
      <c r="C2019" s="95">
        <v>0</v>
      </c>
      <c r="D2019" s="1045">
        <v>0</v>
      </c>
      <c r="E2019" s="95">
        <f t="shared" si="65"/>
        <v>196066.39800000002</v>
      </c>
      <c r="F2019" s="95">
        <v>1559.77</v>
      </c>
      <c r="G2019" s="145">
        <f t="shared" si="66"/>
        <v>197626.16800000001</v>
      </c>
      <c r="H2019" s="143"/>
      <c r="I2019" s="99" t="s">
        <v>588</v>
      </c>
    </row>
    <row r="2020" spans="1:9" hidden="1" outlineLevel="1">
      <c r="A2020" s="465" t="s">
        <v>589</v>
      </c>
      <c r="B2020" s="544">
        <v>374696.47875000001</v>
      </c>
      <c r="C2020" s="95">
        <v>0</v>
      </c>
      <c r="D2020" s="1045">
        <v>0</v>
      </c>
      <c r="E2020" s="95">
        <f t="shared" si="65"/>
        <v>374696.47875000001</v>
      </c>
      <c r="F2020" s="95">
        <v>-1909.6100000000001</v>
      </c>
      <c r="G2020" s="145">
        <f t="shared" si="66"/>
        <v>372786.86875000002</v>
      </c>
      <c r="H2020" s="143"/>
      <c r="I2020" s="99" t="s">
        <v>590</v>
      </c>
    </row>
    <row r="2021" spans="1:9" hidden="1" outlineLevel="1">
      <c r="A2021" s="465" t="s">
        <v>591</v>
      </c>
      <c r="B2021" s="544">
        <v>1659183.5051000002</v>
      </c>
      <c r="C2021" s="95">
        <v>0</v>
      </c>
      <c r="D2021" s="1045">
        <v>0</v>
      </c>
      <c r="E2021" s="95">
        <f t="shared" si="65"/>
        <v>1659183.5051000002</v>
      </c>
      <c r="F2021" s="95">
        <v>9742.42</v>
      </c>
      <c r="G2021" s="145">
        <f t="shared" si="66"/>
        <v>1668925.9251000001</v>
      </c>
      <c r="H2021" s="143"/>
      <c r="I2021" s="99" t="s">
        <v>592</v>
      </c>
    </row>
    <row r="2022" spans="1:9" hidden="1" outlineLevel="1">
      <c r="A2022" s="465" t="s">
        <v>593</v>
      </c>
      <c r="B2022" s="544">
        <v>744194.76175000006</v>
      </c>
      <c r="C2022" s="95">
        <v>0</v>
      </c>
      <c r="D2022" s="1045">
        <v>0</v>
      </c>
      <c r="E2022" s="95">
        <f t="shared" si="65"/>
        <v>744194.76175000006</v>
      </c>
      <c r="F2022" s="95">
        <v>2937.34</v>
      </c>
      <c r="G2022" s="145">
        <f t="shared" si="66"/>
        <v>747132.10175000003</v>
      </c>
      <c r="H2022" s="143"/>
      <c r="I2022" s="99" t="s">
        <v>594</v>
      </c>
    </row>
    <row r="2023" spans="1:9" hidden="1" outlineLevel="1">
      <c r="A2023" s="465" t="s">
        <v>595</v>
      </c>
      <c r="B2023" s="544">
        <v>761851.83800000011</v>
      </c>
      <c r="C2023" s="95">
        <v>0</v>
      </c>
      <c r="D2023" s="1045">
        <v>0</v>
      </c>
      <c r="E2023" s="95">
        <f t="shared" si="65"/>
        <v>761851.83800000011</v>
      </c>
      <c r="F2023" s="95">
        <v>0</v>
      </c>
      <c r="G2023" s="145">
        <f t="shared" si="66"/>
        <v>761851.83800000011</v>
      </c>
      <c r="H2023" s="143"/>
      <c r="I2023" s="99" t="s">
        <v>596</v>
      </c>
    </row>
    <row r="2024" spans="1:9" hidden="1" outlineLevel="1">
      <c r="A2024" s="465" t="s">
        <v>597</v>
      </c>
      <c r="B2024" s="544">
        <v>454937.03474999999</v>
      </c>
      <c r="C2024" s="95">
        <v>0</v>
      </c>
      <c r="D2024" s="1045">
        <v>0</v>
      </c>
      <c r="E2024" s="95">
        <f t="shared" si="65"/>
        <v>454937.03474999999</v>
      </c>
      <c r="F2024" s="95">
        <v>-225.4899999999999</v>
      </c>
      <c r="G2024" s="145">
        <f t="shared" si="66"/>
        <v>454711.54475</v>
      </c>
      <c r="H2024" s="143"/>
      <c r="I2024" s="99" t="s">
        <v>598</v>
      </c>
    </row>
    <row r="2025" spans="1:9" hidden="1" outlineLevel="1">
      <c r="A2025" s="465" t="s">
        <v>599</v>
      </c>
      <c r="B2025" s="544">
        <v>281332.07025000005</v>
      </c>
      <c r="C2025" s="95">
        <v>0</v>
      </c>
      <c r="D2025" s="1045">
        <v>0</v>
      </c>
      <c r="E2025" s="95">
        <f t="shared" si="65"/>
        <v>281332.07025000005</v>
      </c>
      <c r="F2025" s="95">
        <v>0</v>
      </c>
      <c r="G2025" s="145">
        <f t="shared" si="66"/>
        <v>281332.07025000005</v>
      </c>
      <c r="H2025" s="143"/>
      <c r="I2025" s="99" t="s">
        <v>600</v>
      </c>
    </row>
    <row r="2026" spans="1:9" hidden="1" outlineLevel="1">
      <c r="A2026" s="465" t="s">
        <v>601</v>
      </c>
      <c r="B2026" s="544">
        <v>43544.679750000003</v>
      </c>
      <c r="C2026" s="95">
        <v>0</v>
      </c>
      <c r="D2026" s="1045">
        <v>0</v>
      </c>
      <c r="E2026" s="95">
        <f t="shared" si="65"/>
        <v>43544.679750000003</v>
      </c>
      <c r="F2026" s="95">
        <v>1412.92</v>
      </c>
      <c r="G2026" s="145">
        <f t="shared" si="66"/>
        <v>44957.599750000001</v>
      </c>
      <c r="H2026" s="143"/>
      <c r="I2026" s="99" t="s">
        <v>602</v>
      </c>
    </row>
    <row r="2027" spans="1:9" hidden="1" outlineLevel="1">
      <c r="A2027" s="465" t="s">
        <v>603</v>
      </c>
      <c r="B2027" s="544">
        <v>329746.35925000004</v>
      </c>
      <c r="C2027" s="95">
        <v>0</v>
      </c>
      <c r="D2027" s="1045">
        <v>0</v>
      </c>
      <c r="E2027" s="95">
        <f t="shared" si="65"/>
        <v>329746.35925000004</v>
      </c>
      <c r="F2027" s="95">
        <v>16963.77</v>
      </c>
      <c r="G2027" s="145">
        <f t="shared" si="66"/>
        <v>346710.12925000006</v>
      </c>
      <c r="H2027" s="143"/>
      <c r="I2027" s="99" t="s">
        <v>604</v>
      </c>
    </row>
    <row r="2028" spans="1:9" hidden="1" outlineLevel="1">
      <c r="A2028" s="465" t="s">
        <v>605</v>
      </c>
      <c r="B2028" s="544">
        <v>755020.93700000003</v>
      </c>
      <c r="C2028" s="95">
        <v>0</v>
      </c>
      <c r="D2028" s="1045">
        <v>0</v>
      </c>
      <c r="E2028" s="95">
        <f t="shared" si="65"/>
        <v>755020.93700000003</v>
      </c>
      <c r="F2028" s="95">
        <v>0</v>
      </c>
      <c r="G2028" s="145">
        <f t="shared" si="66"/>
        <v>755020.93700000003</v>
      </c>
      <c r="H2028" s="143"/>
      <c r="I2028" s="99" t="s">
        <v>606</v>
      </c>
    </row>
    <row r="2029" spans="1:9" hidden="1" outlineLevel="1">
      <c r="A2029" s="465" t="s">
        <v>607</v>
      </c>
      <c r="B2029" s="544">
        <v>53813.177000000003</v>
      </c>
      <c r="C2029" s="95">
        <v>0</v>
      </c>
      <c r="D2029" s="1045">
        <v>0</v>
      </c>
      <c r="E2029" s="95">
        <f t="shared" si="65"/>
        <v>53813.177000000003</v>
      </c>
      <c r="F2029" s="95">
        <v>2178.84</v>
      </c>
      <c r="G2029" s="145">
        <f t="shared" si="66"/>
        <v>55992.017000000007</v>
      </c>
      <c r="H2029" s="143"/>
      <c r="I2029" s="99" t="s">
        <v>608</v>
      </c>
    </row>
    <row r="2030" spans="1:9" hidden="1" outlineLevel="1">
      <c r="A2030" s="465" t="s">
        <v>609</v>
      </c>
      <c r="B2030" s="544">
        <v>585205.92350000003</v>
      </c>
      <c r="C2030" s="95">
        <v>0</v>
      </c>
      <c r="D2030" s="1045">
        <v>0</v>
      </c>
      <c r="E2030" s="95">
        <f t="shared" si="65"/>
        <v>585205.92350000003</v>
      </c>
      <c r="F2030" s="95">
        <v>3313.59</v>
      </c>
      <c r="G2030" s="145">
        <f t="shared" si="66"/>
        <v>588519.5135</v>
      </c>
      <c r="H2030" s="143"/>
      <c r="I2030" s="99" t="s">
        <v>610</v>
      </c>
    </row>
    <row r="2031" spans="1:9" hidden="1" outlineLevel="1">
      <c r="A2031" s="465" t="s">
        <v>611</v>
      </c>
      <c r="B2031" s="544">
        <v>449423.821</v>
      </c>
      <c r="C2031" s="95">
        <v>0</v>
      </c>
      <c r="D2031" s="1045">
        <v>0</v>
      </c>
      <c r="E2031" s="95">
        <f t="shared" si="65"/>
        <v>449423.821</v>
      </c>
      <c r="F2031" s="95">
        <v>-5819.06</v>
      </c>
      <c r="G2031" s="145">
        <f t="shared" si="66"/>
        <v>443604.761</v>
      </c>
      <c r="H2031" s="143"/>
      <c r="I2031" s="99" t="s">
        <v>612</v>
      </c>
    </row>
    <row r="2032" spans="1:9" hidden="1" outlineLevel="1">
      <c r="A2032" s="465" t="s">
        <v>613</v>
      </c>
      <c r="B2032" s="544">
        <v>16214.275000000001</v>
      </c>
      <c r="C2032" s="95">
        <v>0</v>
      </c>
      <c r="D2032" s="1045">
        <v>0</v>
      </c>
      <c r="E2032" s="95">
        <f t="shared" si="65"/>
        <v>16214.275000000001</v>
      </c>
      <c r="F2032" s="95">
        <v>95.56</v>
      </c>
      <c r="G2032" s="145">
        <f t="shared" si="66"/>
        <v>16309.835000000001</v>
      </c>
      <c r="H2032" s="143"/>
      <c r="I2032" s="99" t="s">
        <v>614</v>
      </c>
    </row>
    <row r="2033" spans="1:9" hidden="1" outlineLevel="1">
      <c r="A2033" s="465" t="s">
        <v>615</v>
      </c>
      <c r="B2033" s="544">
        <v>303748.80525000003</v>
      </c>
      <c r="C2033" s="95">
        <v>0</v>
      </c>
      <c r="D2033" s="1045">
        <v>0</v>
      </c>
      <c r="E2033" s="95">
        <f t="shared" si="65"/>
        <v>303748.80525000003</v>
      </c>
      <c r="F2033" s="95">
        <v>0</v>
      </c>
      <c r="G2033" s="145">
        <f t="shared" si="66"/>
        <v>303748.80525000003</v>
      </c>
      <c r="H2033" s="143"/>
      <c r="I2033" s="99" t="s">
        <v>616</v>
      </c>
    </row>
    <row r="2034" spans="1:9" hidden="1" outlineLevel="1">
      <c r="A2034" s="465" t="s">
        <v>617</v>
      </c>
      <c r="B2034" s="544">
        <v>169397.64874999999</v>
      </c>
      <c r="C2034" s="95">
        <v>0</v>
      </c>
      <c r="D2034" s="1045">
        <v>0</v>
      </c>
      <c r="E2034" s="95">
        <f t="shared" si="65"/>
        <v>169397.64874999999</v>
      </c>
      <c r="F2034" s="95">
        <v>0</v>
      </c>
      <c r="G2034" s="145">
        <f t="shared" si="66"/>
        <v>169397.64874999999</v>
      </c>
      <c r="H2034" s="143"/>
      <c r="I2034" s="99" t="s">
        <v>618</v>
      </c>
    </row>
    <row r="2035" spans="1:9" hidden="1" outlineLevel="1">
      <c r="A2035" s="465" t="s">
        <v>619</v>
      </c>
      <c r="B2035" s="544">
        <v>1108780.23025</v>
      </c>
      <c r="C2035" s="95">
        <v>0</v>
      </c>
      <c r="D2035" s="1045">
        <v>0</v>
      </c>
      <c r="E2035" s="95">
        <f t="shared" si="65"/>
        <v>1108780.23025</v>
      </c>
      <c r="F2035" s="95">
        <v>0</v>
      </c>
      <c r="G2035" s="145">
        <f t="shared" si="66"/>
        <v>1108780.23025</v>
      </c>
      <c r="H2035" s="143"/>
      <c r="I2035" s="99" t="s">
        <v>620</v>
      </c>
    </row>
    <row r="2036" spans="1:9" hidden="1" outlineLevel="1">
      <c r="A2036" s="465" t="s">
        <v>621</v>
      </c>
      <c r="B2036" s="544">
        <v>2690464.4249999998</v>
      </c>
      <c r="C2036" s="95">
        <v>0</v>
      </c>
      <c r="D2036" s="1045">
        <v>0</v>
      </c>
      <c r="E2036" s="95">
        <f t="shared" si="65"/>
        <v>2690464.4249999998</v>
      </c>
      <c r="F2036" s="95">
        <v>10767.349999999999</v>
      </c>
      <c r="G2036" s="145">
        <f t="shared" si="66"/>
        <v>2701231.7749999999</v>
      </c>
      <c r="H2036" s="143"/>
      <c r="I2036" s="99" t="s">
        <v>622</v>
      </c>
    </row>
    <row r="2037" spans="1:9" hidden="1" outlineLevel="1">
      <c r="A2037" s="465" t="s">
        <v>623</v>
      </c>
      <c r="B2037" s="544">
        <v>29647.925999999999</v>
      </c>
      <c r="C2037" s="95">
        <v>0</v>
      </c>
      <c r="D2037" s="1045">
        <v>0</v>
      </c>
      <c r="E2037" s="95">
        <f t="shared" si="65"/>
        <v>29647.925999999999</v>
      </c>
      <c r="F2037" s="95">
        <v>1224.8899999999999</v>
      </c>
      <c r="G2037" s="145">
        <f t="shared" si="66"/>
        <v>30872.815999999999</v>
      </c>
      <c r="H2037" s="143"/>
      <c r="I2037" s="99" t="s">
        <v>624</v>
      </c>
    </row>
    <row r="2038" spans="1:9" hidden="1" outlineLevel="1">
      <c r="A2038" s="465" t="s">
        <v>625</v>
      </c>
      <c r="B2038" s="544">
        <v>138766.8315</v>
      </c>
      <c r="C2038" s="95">
        <v>0</v>
      </c>
      <c r="D2038" s="1045">
        <v>0</v>
      </c>
      <c r="E2038" s="95">
        <f t="shared" si="65"/>
        <v>138766.8315</v>
      </c>
      <c r="F2038" s="95">
        <v>-417.33000000000004</v>
      </c>
      <c r="G2038" s="145">
        <f t="shared" si="66"/>
        <v>138349.50150000001</v>
      </c>
      <c r="H2038" s="143"/>
      <c r="I2038" s="99" t="s">
        <v>626</v>
      </c>
    </row>
    <row r="2039" spans="1:9" hidden="1" outlineLevel="1">
      <c r="A2039" s="465" t="s">
        <v>627</v>
      </c>
      <c r="B2039" s="544">
        <v>1001716.9448000002</v>
      </c>
      <c r="C2039" s="95">
        <v>0</v>
      </c>
      <c r="D2039" s="1045">
        <v>0</v>
      </c>
      <c r="E2039" s="95">
        <f t="shared" si="65"/>
        <v>1001716.9448000002</v>
      </c>
      <c r="F2039" s="95">
        <v>0</v>
      </c>
      <c r="G2039" s="145">
        <f t="shared" si="66"/>
        <v>1001716.9448000002</v>
      </c>
      <c r="H2039" s="143"/>
      <c r="I2039" s="99" t="s">
        <v>628</v>
      </c>
    </row>
    <row r="2040" spans="1:9" hidden="1" outlineLevel="1">
      <c r="A2040" s="465" t="s">
        <v>629</v>
      </c>
      <c r="B2040" s="544">
        <v>765643.00725000014</v>
      </c>
      <c r="C2040" s="95">
        <v>0</v>
      </c>
      <c r="D2040" s="1045">
        <v>0</v>
      </c>
      <c r="E2040" s="95">
        <f t="shared" si="65"/>
        <v>765643.00725000014</v>
      </c>
      <c r="F2040" s="95">
        <v>0</v>
      </c>
      <c r="G2040" s="145">
        <f t="shared" si="66"/>
        <v>765643.00725000014</v>
      </c>
      <c r="H2040" s="143"/>
      <c r="I2040" s="99" t="s">
        <v>630</v>
      </c>
    </row>
    <row r="2041" spans="1:9" hidden="1" outlineLevel="1">
      <c r="A2041" s="465" t="s">
        <v>631</v>
      </c>
      <c r="B2041" s="544">
        <v>399105.19825000002</v>
      </c>
      <c r="C2041" s="95">
        <v>0</v>
      </c>
      <c r="D2041" s="1045">
        <v>0</v>
      </c>
      <c r="E2041" s="95">
        <f t="shared" si="65"/>
        <v>399105.19825000002</v>
      </c>
      <c r="F2041" s="95">
        <v>-2665.46</v>
      </c>
      <c r="G2041" s="145">
        <f t="shared" si="66"/>
        <v>396439.73824999999</v>
      </c>
      <c r="H2041" s="143"/>
      <c r="I2041" s="99" t="s">
        <v>632</v>
      </c>
    </row>
    <row r="2042" spans="1:9" hidden="1" outlineLevel="1">
      <c r="A2042" s="465" t="s">
        <v>633</v>
      </c>
      <c r="B2042" s="544">
        <v>79217.399250000002</v>
      </c>
      <c r="C2042" s="95">
        <v>0</v>
      </c>
      <c r="D2042" s="1045">
        <v>0</v>
      </c>
      <c r="E2042" s="95">
        <f t="shared" si="65"/>
        <v>79217.399250000002</v>
      </c>
      <c r="F2042" s="95">
        <v>0</v>
      </c>
      <c r="G2042" s="145">
        <f t="shared" si="66"/>
        <v>79217.399250000002</v>
      </c>
      <c r="H2042" s="143"/>
      <c r="I2042" s="99" t="s">
        <v>634</v>
      </c>
    </row>
    <row r="2043" spans="1:9" hidden="1" outlineLevel="1">
      <c r="A2043" s="465" t="s">
        <v>635</v>
      </c>
      <c r="B2043" s="544">
        <v>146049.39525</v>
      </c>
      <c r="C2043" s="95">
        <v>0</v>
      </c>
      <c r="D2043" s="1045">
        <v>0</v>
      </c>
      <c r="E2043" s="95">
        <f t="shared" si="65"/>
        <v>146049.39525</v>
      </c>
      <c r="F2043" s="95">
        <v>0</v>
      </c>
      <c r="G2043" s="145">
        <f t="shared" si="66"/>
        <v>146049.39525</v>
      </c>
      <c r="H2043" s="143"/>
      <c r="I2043" s="99" t="s">
        <v>636</v>
      </c>
    </row>
    <row r="2044" spans="1:9" hidden="1" outlineLevel="1">
      <c r="A2044" s="465" t="s">
        <v>637</v>
      </c>
      <c r="B2044" s="544">
        <v>1552284.9210000003</v>
      </c>
      <c r="C2044" s="95">
        <v>0</v>
      </c>
      <c r="D2044" s="1045">
        <v>0</v>
      </c>
      <c r="E2044" s="95">
        <f t="shared" si="65"/>
        <v>1552284.9210000003</v>
      </c>
      <c r="F2044" s="95">
        <v>-2766.96</v>
      </c>
      <c r="G2044" s="145">
        <f t="shared" si="66"/>
        <v>1549517.9610000004</v>
      </c>
      <c r="H2044" s="143"/>
      <c r="I2044" s="99" t="s">
        <v>638</v>
      </c>
    </row>
    <row r="2045" spans="1:9" hidden="1" outlineLevel="1">
      <c r="A2045" s="465" t="s">
        <v>639</v>
      </c>
      <c r="B2045" s="544">
        <v>6538524.0745000001</v>
      </c>
      <c r="C2045" s="95">
        <v>0</v>
      </c>
      <c r="D2045" s="1045">
        <v>0</v>
      </c>
      <c r="E2045" s="95">
        <f t="shared" si="65"/>
        <v>6538524.0745000001</v>
      </c>
      <c r="F2045" s="95">
        <v>0</v>
      </c>
      <c r="G2045" s="145">
        <f t="shared" si="66"/>
        <v>6538524.0745000001</v>
      </c>
      <c r="H2045" s="143"/>
      <c r="I2045" s="99" t="s">
        <v>640</v>
      </c>
    </row>
    <row r="2046" spans="1:9" hidden="1" outlineLevel="1">
      <c r="A2046" s="465" t="s">
        <v>641</v>
      </c>
      <c r="B2046" s="544">
        <v>74745.140249999997</v>
      </c>
      <c r="C2046" s="95">
        <v>0</v>
      </c>
      <c r="D2046" s="1045">
        <v>0</v>
      </c>
      <c r="E2046" s="95">
        <f t="shared" si="65"/>
        <v>74745.140249999997</v>
      </c>
      <c r="F2046" s="95">
        <v>66.460000000000008</v>
      </c>
      <c r="G2046" s="145">
        <f t="shared" si="66"/>
        <v>74811.600250000003</v>
      </c>
      <c r="H2046" s="143"/>
      <c r="I2046" s="99" t="s">
        <v>642</v>
      </c>
    </row>
    <row r="2047" spans="1:9" hidden="1" outlineLevel="1">
      <c r="A2047" s="465" t="s">
        <v>643</v>
      </c>
      <c r="B2047" s="544">
        <v>243488.47600000002</v>
      </c>
      <c r="C2047" s="95">
        <v>0</v>
      </c>
      <c r="D2047" s="1045">
        <v>0</v>
      </c>
      <c r="E2047" s="95">
        <f t="shared" si="65"/>
        <v>243488.47600000002</v>
      </c>
      <c r="F2047" s="95">
        <v>-890.06000000000006</v>
      </c>
      <c r="G2047" s="145">
        <f t="shared" si="66"/>
        <v>242598.41600000003</v>
      </c>
      <c r="H2047" s="143"/>
      <c r="I2047" s="99" t="s">
        <v>644</v>
      </c>
    </row>
    <row r="2048" spans="1:9" hidden="1" outlineLevel="1">
      <c r="A2048" s="465" t="s">
        <v>645</v>
      </c>
      <c r="B2048" s="544">
        <v>2757954.2870000005</v>
      </c>
      <c r="C2048" s="95">
        <v>0</v>
      </c>
      <c r="D2048" s="1045">
        <v>0</v>
      </c>
      <c r="E2048" s="95">
        <f t="shared" si="65"/>
        <v>2757954.2870000005</v>
      </c>
      <c r="F2048" s="95">
        <v>-4307.2999999999993</v>
      </c>
      <c r="G2048" s="145">
        <f t="shared" si="66"/>
        <v>2753646.9870000007</v>
      </c>
      <c r="H2048" s="143"/>
      <c r="I2048" s="99" t="s">
        <v>646</v>
      </c>
    </row>
    <row r="2049" spans="1:9" hidden="1" outlineLevel="1">
      <c r="A2049" s="465" t="s">
        <v>647</v>
      </c>
      <c r="B2049" s="544">
        <v>249968.40275000001</v>
      </c>
      <c r="C2049" s="95">
        <v>0</v>
      </c>
      <c r="D2049" s="1045">
        <v>0</v>
      </c>
      <c r="E2049" s="95">
        <f t="shared" si="65"/>
        <v>249968.40275000001</v>
      </c>
      <c r="F2049" s="95">
        <v>0</v>
      </c>
      <c r="G2049" s="145">
        <f t="shared" si="66"/>
        <v>249968.40275000001</v>
      </c>
      <c r="H2049" s="143"/>
      <c r="I2049" s="99" t="s">
        <v>648</v>
      </c>
    </row>
    <row r="2050" spans="1:9" hidden="1" outlineLevel="1">
      <c r="A2050" s="465" t="s">
        <v>649</v>
      </c>
      <c r="B2050" s="544">
        <v>324471.29000000004</v>
      </c>
      <c r="C2050" s="95">
        <v>0</v>
      </c>
      <c r="D2050" s="1045">
        <v>0</v>
      </c>
      <c r="E2050" s="95">
        <f t="shared" si="65"/>
        <v>324471.29000000004</v>
      </c>
      <c r="F2050" s="95">
        <v>-32.64</v>
      </c>
      <c r="G2050" s="145">
        <f t="shared" si="66"/>
        <v>324438.65000000002</v>
      </c>
      <c r="H2050" s="143"/>
      <c r="I2050" s="99" t="s">
        <v>650</v>
      </c>
    </row>
    <row r="2051" spans="1:9" hidden="1" outlineLevel="1">
      <c r="A2051" s="465" t="s">
        <v>651</v>
      </c>
      <c r="B2051" s="544">
        <v>3585299.2554500001</v>
      </c>
      <c r="C2051" s="95">
        <v>0</v>
      </c>
      <c r="D2051" s="1045">
        <v>0</v>
      </c>
      <c r="E2051" s="95">
        <f t="shared" si="65"/>
        <v>3585299.2554500001</v>
      </c>
      <c r="F2051" s="95">
        <v>0</v>
      </c>
      <c r="G2051" s="145">
        <f t="shared" si="66"/>
        <v>3585299.2554500001</v>
      </c>
      <c r="H2051" s="143"/>
      <c r="I2051" s="99" t="s">
        <v>652</v>
      </c>
    </row>
    <row r="2052" spans="1:9" hidden="1" outlineLevel="1">
      <c r="A2052" s="465" t="s">
        <v>653</v>
      </c>
      <c r="B2052" s="544">
        <v>31280.304000000004</v>
      </c>
      <c r="C2052" s="95">
        <v>0</v>
      </c>
      <c r="D2052" s="1045">
        <v>0</v>
      </c>
      <c r="E2052" s="95">
        <f t="shared" si="65"/>
        <v>31280.304000000004</v>
      </c>
      <c r="F2052" s="95">
        <v>361.01</v>
      </c>
      <c r="G2052" s="145">
        <f t="shared" si="66"/>
        <v>31641.314000000002</v>
      </c>
      <c r="H2052" s="143"/>
      <c r="I2052" s="99" t="s">
        <v>654</v>
      </c>
    </row>
    <row r="2053" spans="1:9" hidden="1" outlineLevel="1">
      <c r="A2053" s="465" t="s">
        <v>655</v>
      </c>
      <c r="B2053" s="544">
        <v>219257.33280000003</v>
      </c>
      <c r="C2053" s="95">
        <v>0</v>
      </c>
      <c r="D2053" s="1045">
        <v>0</v>
      </c>
      <c r="E2053" s="95">
        <f t="shared" si="65"/>
        <v>219257.33280000003</v>
      </c>
      <c r="F2053" s="95">
        <v>0</v>
      </c>
      <c r="G2053" s="145">
        <f t="shared" si="66"/>
        <v>219257.33280000003</v>
      </c>
      <c r="H2053" s="143"/>
      <c r="I2053" s="99" t="s">
        <v>578</v>
      </c>
    </row>
    <row r="2054" spans="1:9" hidden="1" outlineLevel="1">
      <c r="A2054" s="465" t="s">
        <v>656</v>
      </c>
      <c r="B2054" s="544">
        <v>365462.80650000006</v>
      </c>
      <c r="C2054" s="95">
        <v>0</v>
      </c>
      <c r="D2054" s="1045">
        <v>0</v>
      </c>
      <c r="E2054" s="95">
        <f t="shared" si="65"/>
        <v>365462.80650000006</v>
      </c>
      <c r="F2054" s="95">
        <v>0</v>
      </c>
      <c r="G2054" s="145">
        <f t="shared" si="66"/>
        <v>365462.80650000006</v>
      </c>
      <c r="H2054" s="143"/>
      <c r="I2054" s="99" t="s">
        <v>657</v>
      </c>
    </row>
    <row r="2055" spans="1:9" hidden="1" outlineLevel="1">
      <c r="A2055" s="465" t="s">
        <v>658</v>
      </c>
      <c r="B2055" s="544">
        <v>244133.76075000002</v>
      </c>
      <c r="C2055" s="95">
        <v>0</v>
      </c>
      <c r="D2055" s="1045">
        <v>0</v>
      </c>
      <c r="E2055" s="95">
        <f t="shared" si="65"/>
        <v>244133.76075000002</v>
      </c>
      <c r="F2055" s="95">
        <v>-267.16000000000003</v>
      </c>
      <c r="G2055" s="145">
        <f t="shared" si="66"/>
        <v>243866.60075000001</v>
      </c>
      <c r="H2055" s="143"/>
      <c r="I2055" s="99" t="s">
        <v>659</v>
      </c>
    </row>
    <row r="2056" spans="1:9" hidden="1" outlineLevel="1">
      <c r="A2056" s="465" t="s">
        <v>660</v>
      </c>
      <c r="B2056" s="544">
        <v>81860.933000000005</v>
      </c>
      <c r="C2056" s="95">
        <v>0</v>
      </c>
      <c r="D2056" s="1045">
        <v>0</v>
      </c>
      <c r="E2056" s="95">
        <f t="shared" si="65"/>
        <v>81860.933000000005</v>
      </c>
      <c r="F2056" s="95">
        <v>-243.58</v>
      </c>
      <c r="G2056" s="145">
        <f t="shared" si="66"/>
        <v>81617.353000000003</v>
      </c>
      <c r="H2056" s="143"/>
      <c r="I2056" s="99" t="s">
        <v>661</v>
      </c>
    </row>
    <row r="2057" spans="1:9" hidden="1" outlineLevel="1">
      <c r="A2057" s="465" t="s">
        <v>662</v>
      </c>
      <c r="B2057" s="544">
        <v>5008834.4608500004</v>
      </c>
      <c r="C2057" s="95">
        <v>0</v>
      </c>
      <c r="D2057" s="1045">
        <v>0</v>
      </c>
      <c r="E2057" s="95">
        <f t="shared" si="65"/>
        <v>5008834.4608500004</v>
      </c>
      <c r="F2057" s="95">
        <v>0</v>
      </c>
      <c r="G2057" s="145">
        <f t="shared" si="66"/>
        <v>5008834.4608500004</v>
      </c>
      <c r="H2057" s="143"/>
      <c r="I2057" s="99" t="s">
        <v>663</v>
      </c>
    </row>
    <row r="2058" spans="1:9" hidden="1" outlineLevel="1">
      <c r="A2058" s="465" t="s">
        <v>664</v>
      </c>
      <c r="B2058" s="544">
        <v>1115115.0560000001</v>
      </c>
      <c r="C2058" s="95">
        <v>0</v>
      </c>
      <c r="D2058" s="1045">
        <v>0</v>
      </c>
      <c r="E2058" s="95">
        <f t="shared" si="65"/>
        <v>1115115.0560000001</v>
      </c>
      <c r="F2058" s="95">
        <v>-6862.06</v>
      </c>
      <c r="G2058" s="145">
        <f t="shared" si="66"/>
        <v>1108252.996</v>
      </c>
      <c r="H2058" s="143"/>
      <c r="I2058" s="99" t="s">
        <v>665</v>
      </c>
    </row>
    <row r="2059" spans="1:9" hidden="1" outlineLevel="1">
      <c r="A2059" s="465" t="s">
        <v>666</v>
      </c>
      <c r="B2059" s="544">
        <v>644101.98875000002</v>
      </c>
      <c r="C2059" s="95">
        <v>0</v>
      </c>
      <c r="D2059" s="1045">
        <v>0</v>
      </c>
      <c r="E2059" s="95">
        <f t="shared" si="65"/>
        <v>644101.98875000002</v>
      </c>
      <c r="F2059" s="95">
        <v>14338.539999999999</v>
      </c>
      <c r="G2059" s="145">
        <f t="shared" si="66"/>
        <v>658440.52875000006</v>
      </c>
      <c r="H2059" s="143"/>
      <c r="I2059" s="99" t="s">
        <v>667</v>
      </c>
    </row>
    <row r="2060" spans="1:9" hidden="1" outlineLevel="1">
      <c r="A2060" s="465" t="s">
        <v>668</v>
      </c>
      <c r="B2060" s="544">
        <v>40964.151250000003</v>
      </c>
      <c r="C2060" s="95">
        <v>0</v>
      </c>
      <c r="D2060" s="1045">
        <v>0</v>
      </c>
      <c r="E2060" s="95">
        <f t="shared" si="65"/>
        <v>40964.151250000003</v>
      </c>
      <c r="F2060" s="95">
        <v>-444.95</v>
      </c>
      <c r="G2060" s="145">
        <f t="shared" si="66"/>
        <v>40519.201250000006</v>
      </c>
      <c r="H2060" s="143"/>
      <c r="I2060" s="99" t="s">
        <v>669</v>
      </c>
    </row>
    <row r="2061" spans="1:9" hidden="1" outlineLevel="1">
      <c r="A2061" s="465" t="s">
        <v>670</v>
      </c>
      <c r="B2061" s="544">
        <v>1156020.129825</v>
      </c>
      <c r="C2061" s="95">
        <v>0</v>
      </c>
      <c r="D2061" s="1045">
        <v>0</v>
      </c>
      <c r="E2061" s="95">
        <f t="shared" si="65"/>
        <v>1156020.129825</v>
      </c>
      <c r="F2061" s="95">
        <v>-13104.88</v>
      </c>
      <c r="G2061" s="145">
        <f t="shared" si="66"/>
        <v>1142915.2498250001</v>
      </c>
      <c r="H2061" s="143"/>
      <c r="I2061" s="99" t="s">
        <v>671</v>
      </c>
    </row>
    <row r="2062" spans="1:9" hidden="1" outlineLevel="1">
      <c r="A2062" s="465" t="s">
        <v>672</v>
      </c>
      <c r="B2062" s="544">
        <v>252626.49775000001</v>
      </c>
      <c r="C2062" s="95">
        <v>0</v>
      </c>
      <c r="D2062" s="1045">
        <v>0</v>
      </c>
      <c r="E2062" s="95">
        <f t="shared" si="65"/>
        <v>252626.49775000001</v>
      </c>
      <c r="F2062" s="95">
        <v>0</v>
      </c>
      <c r="G2062" s="145">
        <f t="shared" si="66"/>
        <v>252626.49775000001</v>
      </c>
      <c r="H2062" s="143"/>
      <c r="I2062" s="99" t="s">
        <v>673</v>
      </c>
    </row>
    <row r="2063" spans="1:9" hidden="1" outlineLevel="1">
      <c r="A2063" s="465" t="s">
        <v>674</v>
      </c>
      <c r="B2063" s="544">
        <v>474944.79450000002</v>
      </c>
      <c r="C2063" s="95">
        <v>0</v>
      </c>
      <c r="D2063" s="1045">
        <v>0</v>
      </c>
      <c r="E2063" s="95">
        <f t="shared" si="65"/>
        <v>474944.79450000002</v>
      </c>
      <c r="F2063" s="95">
        <v>115.8</v>
      </c>
      <c r="G2063" s="145">
        <f t="shared" si="66"/>
        <v>475060.59450000001</v>
      </c>
      <c r="H2063" s="143"/>
      <c r="I2063" s="99" t="s">
        <v>675</v>
      </c>
    </row>
    <row r="2064" spans="1:9" hidden="1" outlineLevel="1">
      <c r="A2064" s="465" t="s">
        <v>676</v>
      </c>
      <c r="B2064" s="544">
        <v>335769.94825000002</v>
      </c>
      <c r="C2064" s="95">
        <v>0</v>
      </c>
      <c r="D2064" s="1045">
        <v>0</v>
      </c>
      <c r="E2064" s="95">
        <f t="shared" si="65"/>
        <v>335769.94825000002</v>
      </c>
      <c r="F2064" s="95">
        <v>792.74</v>
      </c>
      <c r="G2064" s="145">
        <f t="shared" si="66"/>
        <v>336562.68825000001</v>
      </c>
      <c r="H2064" s="143"/>
      <c r="I2064" s="99" t="s">
        <v>677</v>
      </c>
    </row>
    <row r="2065" spans="1:9" hidden="1" outlineLevel="1">
      <c r="A2065" s="465" t="s">
        <v>678</v>
      </c>
      <c r="B2065" s="544">
        <v>448271.34825000004</v>
      </c>
      <c r="C2065" s="95">
        <v>0</v>
      </c>
      <c r="D2065" s="1045">
        <v>0</v>
      </c>
      <c r="E2065" s="95">
        <f t="shared" si="65"/>
        <v>448271.34825000004</v>
      </c>
      <c r="F2065" s="95">
        <v>-288.33999999999997</v>
      </c>
      <c r="G2065" s="145">
        <f t="shared" si="66"/>
        <v>447983.00825000001</v>
      </c>
      <c r="H2065" s="143"/>
      <c r="I2065" s="99" t="s">
        <v>679</v>
      </c>
    </row>
    <row r="2066" spans="1:9" hidden="1" outlineLevel="1">
      <c r="A2066" s="465" t="s">
        <v>680</v>
      </c>
      <c r="B2066" s="544">
        <v>710559.57499999995</v>
      </c>
      <c r="C2066" s="95">
        <v>0</v>
      </c>
      <c r="D2066" s="1045">
        <v>0</v>
      </c>
      <c r="E2066" s="95">
        <f t="shared" si="65"/>
        <v>710559.57499999995</v>
      </c>
      <c r="F2066" s="95">
        <v>0</v>
      </c>
      <c r="G2066" s="145">
        <f t="shared" si="66"/>
        <v>710559.57499999995</v>
      </c>
      <c r="H2066" s="143"/>
      <c r="I2066" s="99" t="s">
        <v>681</v>
      </c>
    </row>
    <row r="2067" spans="1:9" hidden="1" outlineLevel="1">
      <c r="A2067" s="465" t="s">
        <v>682</v>
      </c>
      <c r="B2067" s="544">
        <v>630024.05674999999</v>
      </c>
      <c r="C2067" s="95">
        <v>0</v>
      </c>
      <c r="D2067" s="1045">
        <v>0</v>
      </c>
      <c r="E2067" s="95">
        <f t="shared" si="65"/>
        <v>630024.05674999999</v>
      </c>
      <c r="F2067" s="95">
        <v>-3247.4400000000005</v>
      </c>
      <c r="G2067" s="145">
        <f t="shared" si="66"/>
        <v>626776.61675000004</v>
      </c>
      <c r="H2067" s="143"/>
      <c r="I2067" s="99" t="s">
        <v>683</v>
      </c>
    </row>
    <row r="2068" spans="1:9" hidden="1" outlineLevel="1">
      <c r="A2068" s="465" t="s">
        <v>684</v>
      </c>
      <c r="B2068" s="544">
        <v>388262.88325000001</v>
      </c>
      <c r="C2068" s="95">
        <v>0</v>
      </c>
      <c r="D2068" s="1045">
        <v>0</v>
      </c>
      <c r="E2068" s="95">
        <f t="shared" si="65"/>
        <v>388262.88325000001</v>
      </c>
      <c r="F2068" s="95">
        <v>0</v>
      </c>
      <c r="G2068" s="145">
        <f t="shared" si="66"/>
        <v>388262.88325000001</v>
      </c>
      <c r="H2068" s="143"/>
      <c r="I2068" s="99" t="s">
        <v>685</v>
      </c>
    </row>
    <row r="2069" spans="1:9" hidden="1" outlineLevel="1">
      <c r="A2069" s="465" t="s">
        <v>688</v>
      </c>
      <c r="B2069" s="544">
        <v>950941.75000000012</v>
      </c>
      <c r="C2069" s="95">
        <v>-5246.07</v>
      </c>
      <c r="D2069" s="1045">
        <v>0</v>
      </c>
      <c r="E2069" s="95">
        <f t="shared" si="65"/>
        <v>945695.68000000017</v>
      </c>
      <c r="F2069" s="95">
        <v>0</v>
      </c>
      <c r="G2069" s="145">
        <f t="shared" si="66"/>
        <v>945695.68000000017</v>
      </c>
      <c r="H2069" s="143"/>
      <c r="I2069" s="99" t="s">
        <v>689</v>
      </c>
    </row>
    <row r="2070" spans="1:9" hidden="1" outlineLevel="1">
      <c r="A2070" s="465" t="s">
        <v>690</v>
      </c>
      <c r="B2070" s="544">
        <v>303955.39350000001</v>
      </c>
      <c r="C2070" s="95">
        <v>0</v>
      </c>
      <c r="D2070" s="1045">
        <v>0</v>
      </c>
      <c r="E2070" s="95">
        <f t="shared" si="65"/>
        <v>303955.39350000001</v>
      </c>
      <c r="F2070" s="95">
        <v>0</v>
      </c>
      <c r="G2070" s="145">
        <f t="shared" si="66"/>
        <v>303955.39350000001</v>
      </c>
      <c r="H2070" s="143"/>
      <c r="I2070" s="99" t="s">
        <v>691</v>
      </c>
    </row>
    <row r="2071" spans="1:9" hidden="1" outlineLevel="1">
      <c r="A2071" s="465" t="s">
        <v>692</v>
      </c>
      <c r="B2071" s="544">
        <v>1230813.2375</v>
      </c>
      <c r="C2071" s="95">
        <v>0</v>
      </c>
      <c r="D2071" s="1045">
        <v>0</v>
      </c>
      <c r="E2071" s="95">
        <f t="shared" si="65"/>
        <v>1230813.2375</v>
      </c>
      <c r="F2071" s="95">
        <v>-31065.52</v>
      </c>
      <c r="G2071" s="145">
        <f t="shared" si="66"/>
        <v>1199747.7175</v>
      </c>
      <c r="H2071" s="143"/>
      <c r="I2071" s="99" t="s">
        <v>693</v>
      </c>
    </row>
    <row r="2072" spans="1:9" hidden="1" outlineLevel="1">
      <c r="A2072" s="465" t="s">
        <v>694</v>
      </c>
      <c r="B2072" s="544">
        <v>8642.4057499999999</v>
      </c>
      <c r="C2072" s="95">
        <v>0</v>
      </c>
      <c r="D2072" s="1045">
        <v>0</v>
      </c>
      <c r="E2072" s="95">
        <f t="shared" si="65"/>
        <v>8642.4057499999999</v>
      </c>
      <c r="F2072" s="95">
        <v>-35.47</v>
      </c>
      <c r="G2072" s="145">
        <f t="shared" si="66"/>
        <v>8606.9357500000006</v>
      </c>
      <c r="H2072" s="143"/>
      <c r="I2072" s="99" t="s">
        <v>695</v>
      </c>
    </row>
    <row r="2073" spans="1:9" hidden="1" outlineLevel="1">
      <c r="A2073" s="465" t="s">
        <v>696</v>
      </c>
      <c r="B2073" s="544">
        <v>326984.96050000004</v>
      </c>
      <c r="C2073" s="95">
        <v>0</v>
      </c>
      <c r="D2073" s="1045">
        <v>0</v>
      </c>
      <c r="E2073" s="95">
        <f t="shared" si="65"/>
        <v>326984.96050000004</v>
      </c>
      <c r="F2073" s="95">
        <v>1378.46</v>
      </c>
      <c r="G2073" s="145">
        <f t="shared" si="66"/>
        <v>328363.42050000007</v>
      </c>
      <c r="H2073" s="143"/>
      <c r="I2073" s="99" t="s">
        <v>697</v>
      </c>
    </row>
    <row r="2074" spans="1:9" hidden="1" outlineLevel="1">
      <c r="A2074" s="465" t="s">
        <v>698</v>
      </c>
      <c r="B2074" s="544">
        <v>1940980.85775</v>
      </c>
      <c r="C2074" s="95">
        <v>0</v>
      </c>
      <c r="D2074" s="1045">
        <v>0</v>
      </c>
      <c r="E2074" s="95">
        <f t="shared" si="65"/>
        <v>1940980.85775</v>
      </c>
      <c r="F2074" s="95">
        <v>39470.18</v>
      </c>
      <c r="G2074" s="145">
        <f t="shared" si="66"/>
        <v>1980451.0377499999</v>
      </c>
      <c r="H2074" s="143"/>
      <c r="I2074" s="99" t="s">
        <v>699</v>
      </c>
    </row>
    <row r="2075" spans="1:9" hidden="1" outlineLevel="1">
      <c r="A2075" s="465" t="s">
        <v>700</v>
      </c>
      <c r="B2075" s="544">
        <v>28870.732000000004</v>
      </c>
      <c r="C2075" s="95">
        <v>0</v>
      </c>
      <c r="D2075" s="1045">
        <v>0</v>
      </c>
      <c r="E2075" s="95">
        <f t="shared" si="65"/>
        <v>28870.732000000004</v>
      </c>
      <c r="F2075" s="95">
        <v>-132.84</v>
      </c>
      <c r="G2075" s="145">
        <f t="shared" si="66"/>
        <v>28737.892000000003</v>
      </c>
      <c r="H2075" s="143"/>
      <c r="I2075" s="99" t="s">
        <v>701</v>
      </c>
    </row>
    <row r="2076" spans="1:9" hidden="1" outlineLevel="1">
      <c r="A2076" s="465" t="s">
        <v>702</v>
      </c>
      <c r="B2076" s="544">
        <v>1328301.6312500001</v>
      </c>
      <c r="C2076" s="95">
        <v>0</v>
      </c>
      <c r="D2076" s="1045">
        <v>0</v>
      </c>
      <c r="E2076" s="95">
        <f t="shared" si="65"/>
        <v>1328301.6312500001</v>
      </c>
      <c r="F2076" s="95">
        <v>-1004.4000000000001</v>
      </c>
      <c r="G2076" s="145">
        <f t="shared" si="66"/>
        <v>1327297.2312500002</v>
      </c>
      <c r="H2076" s="143"/>
      <c r="I2076" s="99" t="s">
        <v>703</v>
      </c>
    </row>
    <row r="2077" spans="1:9" hidden="1" outlineLevel="1">
      <c r="A2077" s="465" t="s">
        <v>704</v>
      </c>
      <c r="B2077" s="544">
        <v>257509.85150000002</v>
      </c>
      <c r="C2077" s="95">
        <v>0</v>
      </c>
      <c r="D2077" s="1045">
        <v>0</v>
      </c>
      <c r="E2077" s="95">
        <f t="shared" ref="E2077:E2159" si="67">B2077+C2077+D2077</f>
        <v>257509.85150000002</v>
      </c>
      <c r="F2077" s="95">
        <v>0</v>
      </c>
      <c r="G2077" s="145">
        <f t="shared" ref="G2077:G2159" si="68">E2077+F2077</f>
        <v>257509.85150000002</v>
      </c>
      <c r="H2077" s="143"/>
      <c r="I2077" s="99" t="s">
        <v>705</v>
      </c>
    </row>
    <row r="2078" spans="1:9" hidden="1" outlineLevel="1">
      <c r="A2078" s="465" t="s">
        <v>706</v>
      </c>
      <c r="B2078" s="544">
        <v>691358.84125000006</v>
      </c>
      <c r="C2078" s="95">
        <v>0</v>
      </c>
      <c r="D2078" s="1045">
        <v>0</v>
      </c>
      <c r="E2078" s="95">
        <f t="shared" si="67"/>
        <v>691358.84125000006</v>
      </c>
      <c r="F2078" s="95">
        <v>-34785.409999999996</v>
      </c>
      <c r="G2078" s="145">
        <f t="shared" si="68"/>
        <v>656573.43125000002</v>
      </c>
      <c r="H2078" s="143"/>
      <c r="I2078" s="99" t="s">
        <v>707</v>
      </c>
    </row>
    <row r="2079" spans="1:9" hidden="1" outlineLevel="1">
      <c r="A2079" s="465" t="s">
        <v>708</v>
      </c>
      <c r="B2079" s="544">
        <v>3367005.0507500004</v>
      </c>
      <c r="C2079" s="95">
        <v>0</v>
      </c>
      <c r="D2079" s="1045">
        <v>0</v>
      </c>
      <c r="E2079" s="95">
        <f t="shared" si="67"/>
        <v>3367005.0507500004</v>
      </c>
      <c r="F2079" s="95">
        <v>26406.15</v>
      </c>
      <c r="G2079" s="145">
        <f t="shared" si="68"/>
        <v>3393411.2007500003</v>
      </c>
      <c r="H2079" s="143"/>
      <c r="I2079" s="99" t="s">
        <v>709</v>
      </c>
    </row>
    <row r="2080" spans="1:9" hidden="1" outlineLevel="1">
      <c r="A2080" s="465" t="s">
        <v>710</v>
      </c>
      <c r="B2080" s="544">
        <v>324030.09375000006</v>
      </c>
      <c r="C2080" s="95">
        <v>0</v>
      </c>
      <c r="D2080" s="1045">
        <v>0</v>
      </c>
      <c r="E2080" s="95">
        <f t="shared" si="67"/>
        <v>324030.09375000006</v>
      </c>
      <c r="F2080" s="95">
        <v>-3139.77</v>
      </c>
      <c r="G2080" s="145">
        <f t="shared" si="68"/>
        <v>320890.32375000004</v>
      </c>
      <c r="H2080" s="143"/>
      <c r="I2080" s="99" t="s">
        <v>711</v>
      </c>
    </row>
    <row r="2081" spans="1:9" hidden="1" outlineLevel="1">
      <c r="A2081" s="465" t="s">
        <v>712</v>
      </c>
      <c r="B2081" s="544">
        <v>1502137.1310000003</v>
      </c>
      <c r="C2081" s="95">
        <v>0</v>
      </c>
      <c r="D2081" s="1045">
        <v>0</v>
      </c>
      <c r="E2081" s="95">
        <f t="shared" si="67"/>
        <v>1502137.1310000003</v>
      </c>
      <c r="F2081" s="95">
        <v>0</v>
      </c>
      <c r="G2081" s="145">
        <f t="shared" si="68"/>
        <v>1502137.1310000003</v>
      </c>
      <c r="H2081" s="143"/>
      <c r="I2081" s="99" t="s">
        <v>713</v>
      </c>
    </row>
    <row r="2082" spans="1:9" hidden="1" outlineLevel="1">
      <c r="A2082" s="465" t="s">
        <v>714</v>
      </c>
      <c r="B2082" s="544">
        <v>86618.292750000008</v>
      </c>
      <c r="C2082" s="95">
        <v>0</v>
      </c>
      <c r="D2082" s="1045">
        <v>0</v>
      </c>
      <c r="E2082" s="95">
        <f t="shared" si="67"/>
        <v>86618.292750000008</v>
      </c>
      <c r="F2082" s="95">
        <v>1001.08</v>
      </c>
      <c r="G2082" s="145">
        <f t="shared" si="68"/>
        <v>87619.37275000001</v>
      </c>
      <c r="H2082" s="143"/>
      <c r="I2082" s="99" t="s">
        <v>715</v>
      </c>
    </row>
    <row r="2083" spans="1:9" hidden="1" outlineLevel="1">
      <c r="A2083" s="465" t="s">
        <v>716</v>
      </c>
      <c r="B2083" s="544">
        <v>640628.11725000001</v>
      </c>
      <c r="C2083" s="95">
        <v>0</v>
      </c>
      <c r="D2083" s="1045">
        <v>0</v>
      </c>
      <c r="E2083" s="95">
        <f t="shared" si="67"/>
        <v>640628.11725000001</v>
      </c>
      <c r="F2083" s="95">
        <v>3151.52</v>
      </c>
      <c r="G2083" s="145">
        <f t="shared" si="68"/>
        <v>643779.63725000003</v>
      </c>
      <c r="H2083" s="143"/>
      <c r="I2083" s="99" t="s">
        <v>717</v>
      </c>
    </row>
    <row r="2084" spans="1:9" hidden="1" outlineLevel="1">
      <c r="A2084" s="465" t="s">
        <v>718</v>
      </c>
      <c r="B2084" s="544">
        <v>471520.56875000009</v>
      </c>
      <c r="C2084" s="95">
        <v>0</v>
      </c>
      <c r="D2084" s="1045">
        <v>0</v>
      </c>
      <c r="E2084" s="95">
        <f t="shared" si="67"/>
        <v>471520.56875000009</v>
      </c>
      <c r="F2084" s="95">
        <v>0</v>
      </c>
      <c r="G2084" s="145">
        <f t="shared" si="68"/>
        <v>471520.56875000009</v>
      </c>
      <c r="H2084" s="143"/>
      <c r="I2084" s="99" t="s">
        <v>719</v>
      </c>
    </row>
    <row r="2085" spans="1:9" hidden="1" outlineLevel="1">
      <c r="A2085" s="465" t="s">
        <v>720</v>
      </c>
      <c r="B2085" s="544">
        <v>221406.23450000002</v>
      </c>
      <c r="C2085" s="95">
        <v>0</v>
      </c>
      <c r="D2085" s="1045">
        <v>0</v>
      </c>
      <c r="E2085" s="95">
        <f t="shared" si="67"/>
        <v>221406.23450000002</v>
      </c>
      <c r="F2085" s="95">
        <v>0</v>
      </c>
      <c r="G2085" s="145">
        <f t="shared" si="68"/>
        <v>221406.23450000002</v>
      </c>
      <c r="H2085" s="143"/>
      <c r="I2085" s="99" t="s">
        <v>721</v>
      </c>
    </row>
    <row r="2086" spans="1:9" hidden="1" outlineLevel="1">
      <c r="A2086" s="465" t="s">
        <v>722</v>
      </c>
      <c r="B2086" s="544">
        <v>122749.79750000002</v>
      </c>
      <c r="C2086" s="95">
        <v>0</v>
      </c>
      <c r="D2086" s="1045">
        <v>0</v>
      </c>
      <c r="E2086" s="95">
        <f t="shared" si="67"/>
        <v>122749.79750000002</v>
      </c>
      <c r="F2086" s="95">
        <v>0</v>
      </c>
      <c r="G2086" s="145">
        <f t="shared" si="68"/>
        <v>122749.79750000002</v>
      </c>
      <c r="H2086" s="143"/>
      <c r="I2086" s="99" t="s">
        <v>723</v>
      </c>
    </row>
    <row r="2087" spans="1:9" hidden="1" outlineLevel="1">
      <c r="A2087" s="465" t="s">
        <v>724</v>
      </c>
      <c r="B2087" s="544">
        <v>809463.60825000005</v>
      </c>
      <c r="C2087" s="95">
        <v>0</v>
      </c>
      <c r="D2087" s="1045">
        <v>0</v>
      </c>
      <c r="E2087" s="95">
        <f t="shared" si="67"/>
        <v>809463.60825000005</v>
      </c>
      <c r="F2087" s="95">
        <v>7290.8600000000006</v>
      </c>
      <c r="G2087" s="145">
        <f t="shared" si="68"/>
        <v>816754.46825000003</v>
      </c>
      <c r="H2087" s="143"/>
      <c r="I2087" s="99" t="s">
        <v>725</v>
      </c>
    </row>
    <row r="2088" spans="1:9" hidden="1" outlineLevel="1">
      <c r="A2088" s="465" t="s">
        <v>726</v>
      </c>
      <c r="B2088" s="544">
        <v>1058883.9541500001</v>
      </c>
      <c r="C2088" s="95">
        <v>0</v>
      </c>
      <c r="D2088" s="1045">
        <v>0</v>
      </c>
      <c r="E2088" s="95">
        <f t="shared" si="67"/>
        <v>1058883.9541500001</v>
      </c>
      <c r="F2088" s="95">
        <v>-44241.55</v>
      </c>
      <c r="G2088" s="145">
        <f t="shared" si="68"/>
        <v>1014642.4041500001</v>
      </c>
      <c r="H2088" s="143"/>
      <c r="I2088" s="99" t="s">
        <v>727</v>
      </c>
    </row>
    <row r="2089" spans="1:9" hidden="1" outlineLevel="1">
      <c r="A2089" s="465" t="s">
        <v>728</v>
      </c>
      <c r="B2089" s="544">
        <v>79250.952000000005</v>
      </c>
      <c r="C2089" s="95">
        <v>0</v>
      </c>
      <c r="D2089" s="1045">
        <v>0</v>
      </c>
      <c r="E2089" s="95">
        <f t="shared" si="67"/>
        <v>79250.952000000005</v>
      </c>
      <c r="F2089" s="95">
        <v>-1384.85</v>
      </c>
      <c r="G2089" s="145">
        <f t="shared" si="68"/>
        <v>77866.101999999999</v>
      </c>
      <c r="H2089" s="143"/>
      <c r="I2089" s="99" t="s">
        <v>729</v>
      </c>
    </row>
    <row r="2090" spans="1:9" hidden="1" outlineLevel="1">
      <c r="A2090" s="465" t="s">
        <v>730</v>
      </c>
      <c r="B2090" s="544">
        <v>314119.4705</v>
      </c>
      <c r="C2090" s="95">
        <v>0</v>
      </c>
      <c r="D2090" s="1045">
        <v>0</v>
      </c>
      <c r="E2090" s="95">
        <f t="shared" si="67"/>
        <v>314119.4705</v>
      </c>
      <c r="F2090" s="95">
        <v>-4593.05</v>
      </c>
      <c r="G2090" s="145">
        <f t="shared" si="68"/>
        <v>309526.42050000001</v>
      </c>
      <c r="H2090" s="143"/>
      <c r="I2090" s="99" t="s">
        <v>731</v>
      </c>
    </row>
    <row r="2091" spans="1:9" hidden="1" outlineLevel="1">
      <c r="A2091" s="465" t="s">
        <v>732</v>
      </c>
      <c r="B2091" s="544">
        <v>26008.889500000001</v>
      </c>
      <c r="C2091" s="95">
        <v>0</v>
      </c>
      <c r="D2091" s="1045">
        <v>0</v>
      </c>
      <c r="E2091" s="95">
        <f t="shared" si="67"/>
        <v>26008.889500000001</v>
      </c>
      <c r="F2091" s="95">
        <v>322</v>
      </c>
      <c r="G2091" s="145">
        <f t="shared" si="68"/>
        <v>26330.889500000001</v>
      </c>
      <c r="H2091" s="143"/>
      <c r="I2091" s="99" t="s">
        <v>733</v>
      </c>
    </row>
    <row r="2092" spans="1:9" hidden="1" outlineLevel="1">
      <c r="A2092" s="465" t="s">
        <v>734</v>
      </c>
      <c r="B2092" s="544">
        <v>3243761.6601500004</v>
      </c>
      <c r="C2092" s="95">
        <v>0</v>
      </c>
      <c r="D2092" s="1045">
        <v>0</v>
      </c>
      <c r="E2092" s="95">
        <f t="shared" si="67"/>
        <v>3243761.6601500004</v>
      </c>
      <c r="F2092" s="95">
        <v>-2607.12</v>
      </c>
      <c r="G2092" s="145">
        <f t="shared" si="68"/>
        <v>3241154.5401500002</v>
      </c>
      <c r="H2092" s="143"/>
      <c r="I2092" s="99" t="s">
        <v>735</v>
      </c>
    </row>
    <row r="2093" spans="1:9" hidden="1" outlineLevel="1">
      <c r="A2093" s="465" t="s">
        <v>736</v>
      </c>
      <c r="B2093" s="544">
        <v>187937.57675000001</v>
      </c>
      <c r="C2093" s="95">
        <v>0</v>
      </c>
      <c r="D2093" s="1045">
        <v>0</v>
      </c>
      <c r="E2093" s="95">
        <f t="shared" si="67"/>
        <v>187937.57675000001</v>
      </c>
      <c r="F2093" s="95">
        <v>0</v>
      </c>
      <c r="G2093" s="145">
        <f t="shared" si="68"/>
        <v>187937.57675000001</v>
      </c>
      <c r="H2093" s="143"/>
      <c r="I2093" s="99" t="s">
        <v>737</v>
      </c>
    </row>
    <row r="2094" spans="1:9" hidden="1" outlineLevel="1">
      <c r="A2094" s="465" t="s">
        <v>738</v>
      </c>
      <c r="B2094" s="544">
        <v>227618.28650000002</v>
      </c>
      <c r="C2094" s="95">
        <v>0</v>
      </c>
      <c r="D2094" s="1045">
        <v>0</v>
      </c>
      <c r="E2094" s="95">
        <f t="shared" si="67"/>
        <v>227618.28650000002</v>
      </c>
      <c r="F2094" s="95">
        <v>3781.41</v>
      </c>
      <c r="G2094" s="145">
        <f t="shared" si="68"/>
        <v>231399.69650000002</v>
      </c>
      <c r="H2094" s="143"/>
      <c r="I2094" s="99" t="s">
        <v>739</v>
      </c>
    </row>
    <row r="2095" spans="1:9" hidden="1" outlineLevel="1">
      <c r="A2095" s="465" t="s">
        <v>740</v>
      </c>
      <c r="B2095" s="544">
        <v>68136.849000000002</v>
      </c>
      <c r="C2095" s="95">
        <v>0</v>
      </c>
      <c r="D2095" s="1045">
        <v>0</v>
      </c>
      <c r="E2095" s="95">
        <f t="shared" si="67"/>
        <v>68136.849000000002</v>
      </c>
      <c r="F2095" s="95">
        <v>0</v>
      </c>
      <c r="G2095" s="145">
        <f t="shared" si="68"/>
        <v>68136.849000000002</v>
      </c>
      <c r="H2095" s="143"/>
      <c r="I2095" s="99" t="s">
        <v>741</v>
      </c>
    </row>
    <row r="2096" spans="1:9" hidden="1" outlineLevel="1">
      <c r="A2096" s="465" t="s">
        <v>742</v>
      </c>
      <c r="B2096" s="544">
        <v>948696.0780000001</v>
      </c>
      <c r="C2096" s="95">
        <v>0</v>
      </c>
      <c r="D2096" s="1045">
        <v>0</v>
      </c>
      <c r="E2096" s="95">
        <f t="shared" si="67"/>
        <v>948696.0780000001</v>
      </c>
      <c r="F2096" s="95">
        <v>-10044.75</v>
      </c>
      <c r="G2096" s="145">
        <f t="shared" si="68"/>
        <v>938651.3280000001</v>
      </c>
      <c r="H2096" s="143"/>
      <c r="I2096" s="99" t="s">
        <v>743</v>
      </c>
    </row>
    <row r="2097" spans="1:9" hidden="1" outlineLevel="1">
      <c r="A2097" s="465" t="s">
        <v>744</v>
      </c>
      <c r="B2097" s="544">
        <v>265656.30575000006</v>
      </c>
      <c r="C2097" s="95">
        <v>0</v>
      </c>
      <c r="D2097" s="1045">
        <v>0</v>
      </c>
      <c r="E2097" s="95">
        <f t="shared" si="67"/>
        <v>265656.30575000006</v>
      </c>
      <c r="F2097" s="95">
        <v>-316.26</v>
      </c>
      <c r="G2097" s="145">
        <f t="shared" si="68"/>
        <v>265340.04575000005</v>
      </c>
      <c r="H2097" s="143"/>
      <c r="I2097" s="99" t="s">
        <v>745</v>
      </c>
    </row>
    <row r="2098" spans="1:9" hidden="1" outlineLevel="1">
      <c r="A2098" s="465" t="s">
        <v>746</v>
      </c>
      <c r="B2098" s="544">
        <v>3116703.0510000004</v>
      </c>
      <c r="C2098" s="95">
        <v>0</v>
      </c>
      <c r="D2098" s="1045">
        <v>0</v>
      </c>
      <c r="E2098" s="95">
        <f t="shared" si="67"/>
        <v>3116703.0510000004</v>
      </c>
      <c r="F2098" s="95">
        <v>1045</v>
      </c>
      <c r="G2098" s="145">
        <f t="shared" si="68"/>
        <v>3117748.0510000004</v>
      </c>
      <c r="H2098" s="143"/>
      <c r="I2098" s="99" t="s">
        <v>747</v>
      </c>
    </row>
    <row r="2099" spans="1:9" hidden="1" outlineLevel="1">
      <c r="A2099" s="465" t="s">
        <v>748</v>
      </c>
      <c r="B2099" s="544">
        <v>133812.86875000002</v>
      </c>
      <c r="C2099" s="95">
        <v>0</v>
      </c>
      <c r="D2099" s="1045">
        <v>0</v>
      </c>
      <c r="E2099" s="95">
        <f t="shared" si="67"/>
        <v>133812.86875000002</v>
      </c>
      <c r="F2099" s="95">
        <v>2246.8599999999997</v>
      </c>
      <c r="G2099" s="145">
        <f t="shared" si="68"/>
        <v>136059.72875000001</v>
      </c>
      <c r="H2099" s="143"/>
      <c r="I2099" s="99" t="s">
        <v>749</v>
      </c>
    </row>
    <row r="2100" spans="1:9" hidden="1" outlineLevel="1">
      <c r="A2100" s="465" t="s">
        <v>750</v>
      </c>
      <c r="B2100" s="544">
        <v>364896.36975000001</v>
      </c>
      <c r="C2100" s="95">
        <v>0</v>
      </c>
      <c r="D2100" s="1045">
        <v>0</v>
      </c>
      <c r="E2100" s="95">
        <f t="shared" si="67"/>
        <v>364896.36975000001</v>
      </c>
      <c r="F2100" s="95">
        <v>0</v>
      </c>
      <c r="G2100" s="145">
        <f t="shared" si="68"/>
        <v>364896.36975000001</v>
      </c>
      <c r="H2100" s="143"/>
      <c r="I2100" s="99" t="s">
        <v>751</v>
      </c>
    </row>
    <row r="2101" spans="1:9" hidden="1" outlineLevel="1">
      <c r="A2101" s="465" t="s">
        <v>752</v>
      </c>
      <c r="B2101" s="544">
        <v>3274930.3345000003</v>
      </c>
      <c r="C2101" s="95">
        <v>0</v>
      </c>
      <c r="D2101" s="1045">
        <v>0</v>
      </c>
      <c r="E2101" s="95">
        <f t="shared" si="67"/>
        <v>3274930.3345000003</v>
      </c>
      <c r="F2101" s="95">
        <v>15591.31</v>
      </c>
      <c r="G2101" s="145">
        <f t="shared" si="68"/>
        <v>3290521.6445000004</v>
      </c>
      <c r="H2101" s="143"/>
      <c r="I2101" s="99" t="s">
        <v>753</v>
      </c>
    </row>
    <row r="2102" spans="1:9" hidden="1" outlineLevel="1">
      <c r="A2102" s="465" t="s">
        <v>754</v>
      </c>
      <c r="B2102" s="544">
        <v>8816269.2997500002</v>
      </c>
      <c r="C2102" s="95">
        <v>-6897602.8899999997</v>
      </c>
      <c r="D2102" s="1045">
        <v>0</v>
      </c>
      <c r="E2102" s="95">
        <f t="shared" si="67"/>
        <v>1918666.4097500006</v>
      </c>
      <c r="F2102" s="95">
        <v>-363.74</v>
      </c>
      <c r="G2102" s="145">
        <f t="shared" si="68"/>
        <v>1918302.6697500006</v>
      </c>
      <c r="H2102" s="143"/>
      <c r="I2102" s="99" t="s">
        <v>755</v>
      </c>
    </row>
    <row r="2103" spans="1:9" hidden="1" outlineLevel="1">
      <c r="A2103" s="465" t="s">
        <v>756</v>
      </c>
      <c r="B2103" s="544">
        <v>447269.82300000003</v>
      </c>
      <c r="C2103" s="95">
        <v>0</v>
      </c>
      <c r="D2103" s="1045">
        <v>0</v>
      </c>
      <c r="E2103" s="95">
        <f t="shared" si="67"/>
        <v>447269.82300000003</v>
      </c>
      <c r="F2103" s="95">
        <v>0</v>
      </c>
      <c r="G2103" s="145">
        <f t="shared" si="68"/>
        <v>447269.82300000003</v>
      </c>
      <c r="H2103" s="143"/>
      <c r="I2103" s="99" t="s">
        <v>610</v>
      </c>
    </row>
    <row r="2104" spans="1:9" hidden="1" outlineLevel="1">
      <c r="A2104" s="465" t="s">
        <v>757</v>
      </c>
      <c r="B2104" s="544">
        <v>13554.444750000001</v>
      </c>
      <c r="C2104" s="95">
        <v>0</v>
      </c>
      <c r="D2104" s="1045">
        <v>0</v>
      </c>
      <c r="E2104" s="95">
        <f t="shared" si="67"/>
        <v>13554.444750000001</v>
      </c>
      <c r="F2104" s="95">
        <v>0</v>
      </c>
      <c r="G2104" s="145">
        <f t="shared" si="68"/>
        <v>13554.444750000001</v>
      </c>
      <c r="H2104" s="143"/>
      <c r="I2104" s="99" t="s">
        <v>758</v>
      </c>
    </row>
    <row r="2105" spans="1:9" hidden="1" outlineLevel="1">
      <c r="A2105" s="465" t="s">
        <v>759</v>
      </c>
      <c r="B2105" s="544">
        <v>346588.68200000003</v>
      </c>
      <c r="C2105" s="95">
        <v>0</v>
      </c>
      <c r="D2105" s="1045">
        <v>0</v>
      </c>
      <c r="E2105" s="95">
        <f t="shared" si="67"/>
        <v>346588.68200000003</v>
      </c>
      <c r="F2105" s="95">
        <v>2147.21</v>
      </c>
      <c r="G2105" s="145">
        <f t="shared" si="68"/>
        <v>348735.89200000005</v>
      </c>
      <c r="H2105" s="143"/>
      <c r="I2105" s="99" t="s">
        <v>760</v>
      </c>
    </row>
    <row r="2106" spans="1:9" hidden="1" outlineLevel="1">
      <c r="A2106" s="465" t="s">
        <v>761</v>
      </c>
      <c r="B2106" s="544">
        <v>2719524.2250000001</v>
      </c>
      <c r="C2106" s="95">
        <v>0</v>
      </c>
      <c r="D2106" s="1045">
        <v>0</v>
      </c>
      <c r="E2106" s="95">
        <f t="shared" si="67"/>
        <v>2719524.2250000001</v>
      </c>
      <c r="F2106" s="95">
        <v>0</v>
      </c>
      <c r="G2106" s="145">
        <f t="shared" si="68"/>
        <v>2719524.2250000001</v>
      </c>
      <c r="H2106" s="143"/>
      <c r="I2106" s="99" t="s">
        <v>762</v>
      </c>
    </row>
    <row r="2107" spans="1:9" hidden="1" outlineLevel="1">
      <c r="A2107" s="465" t="s">
        <v>763</v>
      </c>
      <c r="B2107" s="544">
        <v>740460.16550000012</v>
      </c>
      <c r="C2107" s="95">
        <v>0</v>
      </c>
      <c r="D2107" s="1045">
        <v>0</v>
      </c>
      <c r="E2107" s="95">
        <f t="shared" si="67"/>
        <v>740460.16550000012</v>
      </c>
      <c r="F2107" s="95">
        <v>0</v>
      </c>
      <c r="G2107" s="145">
        <f t="shared" si="68"/>
        <v>740460.16550000012</v>
      </c>
      <c r="H2107" s="143"/>
      <c r="I2107" s="99" t="s">
        <v>764</v>
      </c>
    </row>
    <row r="2108" spans="1:9" hidden="1" outlineLevel="1">
      <c r="A2108" s="465" t="s">
        <v>765</v>
      </c>
      <c r="B2108" s="544">
        <v>276421.74725000001</v>
      </c>
      <c r="C2108" s="95">
        <v>0</v>
      </c>
      <c r="D2108" s="1045">
        <v>0</v>
      </c>
      <c r="E2108" s="95">
        <f t="shared" si="67"/>
        <v>276421.74725000001</v>
      </c>
      <c r="F2108" s="95">
        <v>-2882.83</v>
      </c>
      <c r="G2108" s="145">
        <f t="shared" si="68"/>
        <v>273538.91725</v>
      </c>
      <c r="H2108" s="143"/>
      <c r="I2108" s="99" t="s">
        <v>766</v>
      </c>
    </row>
    <row r="2109" spans="1:9" hidden="1" outlineLevel="1">
      <c r="A2109" s="465" t="s">
        <v>767</v>
      </c>
      <c r="B2109" s="544">
        <v>137230.07375000001</v>
      </c>
      <c r="C2109" s="95">
        <v>0</v>
      </c>
      <c r="D2109" s="1045">
        <v>0</v>
      </c>
      <c r="E2109" s="95">
        <f t="shared" si="67"/>
        <v>137230.07375000001</v>
      </c>
      <c r="F2109" s="95">
        <v>0</v>
      </c>
      <c r="G2109" s="145">
        <f t="shared" si="68"/>
        <v>137230.07375000001</v>
      </c>
      <c r="H2109" s="143"/>
      <c r="I2109" s="99" t="s">
        <v>768</v>
      </c>
    </row>
    <row r="2110" spans="1:9" hidden="1" outlineLevel="1">
      <c r="A2110" s="465" t="s">
        <v>769</v>
      </c>
      <c r="B2110" s="544">
        <v>159180.41150000002</v>
      </c>
      <c r="C2110" s="95">
        <v>0</v>
      </c>
      <c r="D2110" s="1045">
        <v>0</v>
      </c>
      <c r="E2110" s="95">
        <f t="shared" si="67"/>
        <v>159180.41150000002</v>
      </c>
      <c r="F2110" s="95">
        <v>-26.439999999999998</v>
      </c>
      <c r="G2110" s="145">
        <f t="shared" si="68"/>
        <v>159153.97150000001</v>
      </c>
      <c r="H2110" s="143"/>
      <c r="I2110" s="99" t="s">
        <v>770</v>
      </c>
    </row>
    <row r="2111" spans="1:9" hidden="1" outlineLevel="1">
      <c r="A2111" s="465" t="s">
        <v>771</v>
      </c>
      <c r="B2111" s="544">
        <v>312412.58125000005</v>
      </c>
      <c r="C2111" s="95">
        <v>0</v>
      </c>
      <c r="D2111" s="1045">
        <v>0</v>
      </c>
      <c r="E2111" s="95">
        <f t="shared" si="67"/>
        <v>312412.58125000005</v>
      </c>
      <c r="F2111" s="95">
        <v>0</v>
      </c>
      <c r="G2111" s="145">
        <f t="shared" si="68"/>
        <v>312412.58125000005</v>
      </c>
      <c r="H2111" s="143"/>
      <c r="I2111" s="99" t="s">
        <v>772</v>
      </c>
    </row>
    <row r="2112" spans="1:9" hidden="1" outlineLevel="1">
      <c r="A2112" s="465" t="s">
        <v>773</v>
      </c>
      <c r="B2112" s="544">
        <v>3980943.9642500002</v>
      </c>
      <c r="C2112" s="95">
        <v>0</v>
      </c>
      <c r="D2112" s="1045">
        <v>0</v>
      </c>
      <c r="E2112" s="95">
        <f t="shared" si="67"/>
        <v>3980943.9642500002</v>
      </c>
      <c r="F2112" s="95">
        <v>-27925.149999999998</v>
      </c>
      <c r="G2112" s="145">
        <f t="shared" si="68"/>
        <v>3953018.8142500003</v>
      </c>
      <c r="H2112" s="143"/>
      <c r="I2112" s="99" t="s">
        <v>774</v>
      </c>
    </row>
    <row r="2113" spans="1:9" hidden="1" outlineLevel="1">
      <c r="A2113" s="465" t="s">
        <v>356</v>
      </c>
      <c r="B2113" s="544">
        <v>2681.7725</v>
      </c>
      <c r="C2113" s="95">
        <v>0</v>
      </c>
      <c r="D2113" s="1045">
        <v>0</v>
      </c>
      <c r="E2113" s="95">
        <f t="shared" si="67"/>
        <v>2681.7725</v>
      </c>
      <c r="F2113" s="95">
        <v>-104017.44</v>
      </c>
      <c r="G2113" s="145">
        <f t="shared" si="68"/>
        <v>-101335.6675</v>
      </c>
      <c r="H2113" s="143"/>
      <c r="I2113" s="99" t="s">
        <v>357</v>
      </c>
    </row>
    <row r="2114" spans="1:9" hidden="1" outlineLevel="1">
      <c r="A2114" s="465" t="s">
        <v>775</v>
      </c>
      <c r="B2114" s="544">
        <v>3098770.8290000004</v>
      </c>
      <c r="C2114" s="95">
        <v>0</v>
      </c>
      <c r="D2114" s="1045">
        <v>0</v>
      </c>
      <c r="E2114" s="95">
        <f t="shared" si="67"/>
        <v>3098770.8290000004</v>
      </c>
      <c r="F2114" s="95">
        <v>-100037.18</v>
      </c>
      <c r="G2114" s="145">
        <f t="shared" si="68"/>
        <v>2998733.6490000002</v>
      </c>
      <c r="H2114" s="143"/>
      <c r="I2114" s="99" t="s">
        <v>776</v>
      </c>
    </row>
    <row r="2115" spans="1:9" hidden="1" outlineLevel="1">
      <c r="A2115" s="465" t="s">
        <v>777</v>
      </c>
      <c r="B2115" s="544">
        <v>5113387.2594750002</v>
      </c>
      <c r="C2115" s="95">
        <v>0</v>
      </c>
      <c r="D2115" s="1045">
        <v>0</v>
      </c>
      <c r="E2115" s="95">
        <f t="shared" si="67"/>
        <v>5113387.2594750002</v>
      </c>
      <c r="F2115" s="95">
        <v>20015.84</v>
      </c>
      <c r="G2115" s="145">
        <f t="shared" si="68"/>
        <v>5133403.0994750001</v>
      </c>
      <c r="H2115" s="143"/>
      <c r="I2115" s="99" t="s">
        <v>778</v>
      </c>
    </row>
    <row r="2116" spans="1:9" hidden="1" outlineLevel="1">
      <c r="A2116" s="465" t="s">
        <v>360</v>
      </c>
      <c r="B2116" s="544">
        <v>24692.863250000002</v>
      </c>
      <c r="C2116" s="95">
        <v>0</v>
      </c>
      <c r="D2116" s="1045">
        <v>0</v>
      </c>
      <c r="E2116" s="95">
        <f t="shared" si="67"/>
        <v>24692.863250000002</v>
      </c>
      <c r="F2116" s="95">
        <v>0</v>
      </c>
      <c r="G2116" s="145">
        <f t="shared" si="68"/>
        <v>24692.863250000002</v>
      </c>
      <c r="H2116" s="143"/>
      <c r="I2116" s="99" t="s">
        <v>361</v>
      </c>
    </row>
    <row r="2117" spans="1:9" hidden="1" outlineLevel="1">
      <c r="A2117" s="465" t="s">
        <v>779</v>
      </c>
      <c r="B2117" s="544">
        <v>329028.50475000002</v>
      </c>
      <c r="C2117" s="95">
        <v>0</v>
      </c>
      <c r="D2117" s="1045">
        <v>0</v>
      </c>
      <c r="E2117" s="95">
        <f t="shared" si="67"/>
        <v>329028.50475000002</v>
      </c>
      <c r="F2117" s="95">
        <v>4204.07</v>
      </c>
      <c r="G2117" s="145">
        <f t="shared" si="68"/>
        <v>333232.57475000003</v>
      </c>
      <c r="H2117" s="143"/>
      <c r="I2117" s="99" t="s">
        <v>780</v>
      </c>
    </row>
    <row r="2118" spans="1:9" hidden="1" outlineLevel="1">
      <c r="A2118" s="465" t="s">
        <v>781</v>
      </c>
      <c r="B2118" s="544">
        <v>573087.33350000007</v>
      </c>
      <c r="C2118" s="95">
        <v>0</v>
      </c>
      <c r="D2118" s="1045">
        <v>0</v>
      </c>
      <c r="E2118" s="95">
        <f t="shared" si="67"/>
        <v>573087.33350000007</v>
      </c>
      <c r="F2118" s="95">
        <v>586.07999999999993</v>
      </c>
      <c r="G2118" s="145">
        <f t="shared" si="68"/>
        <v>573673.41350000002</v>
      </c>
      <c r="H2118" s="143"/>
      <c r="I2118" s="99" t="s">
        <v>782</v>
      </c>
    </row>
    <row r="2119" spans="1:9" hidden="1" outlineLevel="1">
      <c r="A2119" s="465" t="s">
        <v>783</v>
      </c>
      <c r="B2119" s="544">
        <v>162345.68625000003</v>
      </c>
      <c r="C2119" s="95">
        <v>0</v>
      </c>
      <c r="D2119" s="1045">
        <v>0</v>
      </c>
      <c r="E2119" s="95">
        <f t="shared" si="67"/>
        <v>162345.68625000003</v>
      </c>
      <c r="F2119" s="95">
        <v>164.91000000000003</v>
      </c>
      <c r="G2119" s="145">
        <f t="shared" si="68"/>
        <v>162510.59625000003</v>
      </c>
      <c r="H2119" s="143"/>
      <c r="I2119" s="99" t="s">
        <v>784</v>
      </c>
    </row>
    <row r="2120" spans="1:9" hidden="1" outlineLevel="1">
      <c r="A2120" s="465" t="s">
        <v>785</v>
      </c>
      <c r="B2120" s="544">
        <v>1238910.9205</v>
      </c>
      <c r="C2120" s="95">
        <v>0</v>
      </c>
      <c r="D2120" s="1045">
        <v>0</v>
      </c>
      <c r="E2120" s="95">
        <f t="shared" si="67"/>
        <v>1238910.9205</v>
      </c>
      <c r="F2120" s="95">
        <v>-144.71000000000004</v>
      </c>
      <c r="G2120" s="145">
        <f t="shared" si="68"/>
        <v>1238766.2105</v>
      </c>
      <c r="H2120" s="143"/>
      <c r="I2120" s="99" t="s">
        <v>786</v>
      </c>
    </row>
    <row r="2121" spans="1:9" hidden="1" outlineLevel="1">
      <c r="A2121" s="465" t="s">
        <v>787</v>
      </c>
      <c r="B2121" s="544">
        <v>419815.52525000006</v>
      </c>
      <c r="C2121" s="95">
        <v>0</v>
      </c>
      <c r="D2121" s="1045">
        <v>0</v>
      </c>
      <c r="E2121" s="95">
        <f t="shared" si="67"/>
        <v>419815.52525000006</v>
      </c>
      <c r="F2121" s="95">
        <v>-2171.8000000000002</v>
      </c>
      <c r="G2121" s="145">
        <f t="shared" si="68"/>
        <v>417643.72525000008</v>
      </c>
      <c r="H2121" s="143"/>
      <c r="I2121" s="99" t="s">
        <v>788</v>
      </c>
    </row>
    <row r="2122" spans="1:9" hidden="1" outlineLevel="1">
      <c r="A2122" s="465" t="s">
        <v>789</v>
      </c>
      <c r="B2122" s="544">
        <v>5590.7720000000008</v>
      </c>
      <c r="C2122" s="95">
        <v>0</v>
      </c>
      <c r="D2122" s="1045">
        <v>0</v>
      </c>
      <c r="E2122" s="95">
        <f t="shared" si="67"/>
        <v>5590.7720000000008</v>
      </c>
      <c r="F2122" s="95">
        <v>-7.29</v>
      </c>
      <c r="G2122" s="145">
        <f t="shared" si="68"/>
        <v>5583.4820000000009</v>
      </c>
      <c r="H2122" s="143"/>
      <c r="I2122" s="99" t="s">
        <v>790</v>
      </c>
    </row>
    <row r="2123" spans="1:9" hidden="1" outlineLevel="1">
      <c r="A2123" s="465" t="s">
        <v>791</v>
      </c>
      <c r="B2123" s="544">
        <v>264358.05550000002</v>
      </c>
      <c r="C2123" s="95">
        <v>0</v>
      </c>
      <c r="D2123" s="1045">
        <f>VLOOKUP(A2123,'Anlage 2a_Letztverbrauch'!$A$2863:$G$2864,3,FALSE)+VLOOKUP(A2123,'Anlage 2a_Letztverbrauch'!A$2863:$G$2864,6,FALSE)</f>
        <v>5385</v>
      </c>
      <c r="E2123" s="95">
        <f t="shared" si="67"/>
        <v>269743.05550000002</v>
      </c>
      <c r="F2123" s="95">
        <v>-413.53999999999996</v>
      </c>
      <c r="G2123" s="145">
        <f t="shared" si="68"/>
        <v>269329.51550000004</v>
      </c>
      <c r="H2123" s="143"/>
      <c r="I2123" s="99" t="s">
        <v>792</v>
      </c>
    </row>
    <row r="2124" spans="1:9" hidden="1" outlineLevel="1">
      <c r="A2124" s="465" t="s">
        <v>793</v>
      </c>
      <c r="B2124" s="544">
        <v>385866.0575</v>
      </c>
      <c r="C2124" s="95">
        <v>0</v>
      </c>
      <c r="D2124" s="1045">
        <v>0</v>
      </c>
      <c r="E2124" s="95">
        <f t="shared" si="67"/>
        <v>385866.0575</v>
      </c>
      <c r="F2124" s="95">
        <v>-9534.3099999999977</v>
      </c>
      <c r="G2124" s="145">
        <f t="shared" si="68"/>
        <v>376331.7475</v>
      </c>
      <c r="H2124" s="143"/>
      <c r="I2124" s="99" t="s">
        <v>794</v>
      </c>
    </row>
    <row r="2125" spans="1:9" hidden="1" outlineLevel="1">
      <c r="A2125" s="465" t="s">
        <v>795</v>
      </c>
      <c r="B2125" s="544">
        <v>446547.88200000004</v>
      </c>
      <c r="C2125" s="95">
        <v>0</v>
      </c>
      <c r="D2125" s="1045">
        <v>0</v>
      </c>
      <c r="E2125" s="95">
        <f t="shared" si="67"/>
        <v>446547.88200000004</v>
      </c>
      <c r="F2125" s="95">
        <v>-6862.5499999999993</v>
      </c>
      <c r="G2125" s="145">
        <f t="shared" si="68"/>
        <v>439685.33200000005</v>
      </c>
      <c r="H2125" s="143"/>
      <c r="I2125" s="99" t="s">
        <v>796</v>
      </c>
    </row>
    <row r="2126" spans="1:9" hidden="1" outlineLevel="1">
      <c r="A2126" s="465" t="s">
        <v>797</v>
      </c>
      <c r="B2126" s="544">
        <v>103012.57725000002</v>
      </c>
      <c r="C2126" s="95">
        <v>0</v>
      </c>
      <c r="D2126" s="1045">
        <v>0</v>
      </c>
      <c r="E2126" s="95">
        <f t="shared" si="67"/>
        <v>103012.57725000002</v>
      </c>
      <c r="F2126" s="95">
        <v>-986.66</v>
      </c>
      <c r="G2126" s="145">
        <f t="shared" si="68"/>
        <v>102025.91725000001</v>
      </c>
      <c r="H2126" s="143"/>
      <c r="I2126" s="99" t="s">
        <v>798</v>
      </c>
    </row>
    <row r="2127" spans="1:9" hidden="1" outlineLevel="1">
      <c r="A2127" s="465" t="s">
        <v>799</v>
      </c>
      <c r="B2127" s="544">
        <v>47914.839500000002</v>
      </c>
      <c r="C2127" s="95">
        <v>0</v>
      </c>
      <c r="D2127" s="1045">
        <v>0</v>
      </c>
      <c r="E2127" s="95">
        <f t="shared" si="67"/>
        <v>47914.839500000002</v>
      </c>
      <c r="F2127" s="95">
        <v>0</v>
      </c>
      <c r="G2127" s="145">
        <f t="shared" si="68"/>
        <v>47914.839500000002</v>
      </c>
      <c r="H2127" s="143"/>
      <c r="I2127" s="99" t="s">
        <v>800</v>
      </c>
    </row>
    <row r="2128" spans="1:9" hidden="1" outlineLevel="1">
      <c r="A2128" s="465" t="s">
        <v>801</v>
      </c>
      <c r="B2128" s="544">
        <v>60077.833750000013</v>
      </c>
      <c r="C2128" s="95">
        <v>0</v>
      </c>
      <c r="D2128" s="1045">
        <v>0</v>
      </c>
      <c r="E2128" s="95">
        <f t="shared" si="67"/>
        <v>60077.833750000013</v>
      </c>
      <c r="F2128" s="95">
        <v>0</v>
      </c>
      <c r="G2128" s="145">
        <f t="shared" si="68"/>
        <v>60077.833750000013</v>
      </c>
      <c r="H2128" s="143"/>
      <c r="I2128" s="99" t="s">
        <v>802</v>
      </c>
    </row>
    <row r="2129" spans="1:9" hidden="1" outlineLevel="1">
      <c r="A2129" s="465" t="s">
        <v>803</v>
      </c>
      <c r="B2129" s="544">
        <v>318733.50025000004</v>
      </c>
      <c r="C2129" s="95">
        <v>0</v>
      </c>
      <c r="D2129" s="1045">
        <v>0</v>
      </c>
      <c r="E2129" s="95">
        <f t="shared" ref="E2129:E2158" si="69">B2129+C2129+D2129</f>
        <v>318733.50025000004</v>
      </c>
      <c r="F2129" s="95">
        <v>0</v>
      </c>
      <c r="G2129" s="145">
        <f t="shared" ref="G2129:G2158" si="70">E2129+F2129</f>
        <v>318733.50025000004</v>
      </c>
      <c r="H2129" s="143"/>
      <c r="I2129" s="99" t="s">
        <v>804</v>
      </c>
    </row>
    <row r="2130" spans="1:9" hidden="1" outlineLevel="1">
      <c r="A2130" s="465" t="s">
        <v>805</v>
      </c>
      <c r="B2130" s="544">
        <v>813360.22900000005</v>
      </c>
      <c r="C2130" s="95">
        <v>0</v>
      </c>
      <c r="D2130" s="1045">
        <v>0</v>
      </c>
      <c r="E2130" s="95">
        <f t="shared" si="69"/>
        <v>813360.22900000005</v>
      </c>
      <c r="F2130" s="95">
        <v>5976.55</v>
      </c>
      <c r="G2130" s="145">
        <f t="shared" si="70"/>
        <v>819336.7790000001</v>
      </c>
      <c r="H2130" s="143"/>
      <c r="I2130" s="99" t="s">
        <v>806</v>
      </c>
    </row>
    <row r="2131" spans="1:9" hidden="1" outlineLevel="1">
      <c r="A2131" s="465" t="s">
        <v>807</v>
      </c>
      <c r="B2131" s="544">
        <v>390789.58325000003</v>
      </c>
      <c r="C2131" s="95">
        <v>0</v>
      </c>
      <c r="D2131" s="1045">
        <v>0</v>
      </c>
      <c r="E2131" s="95">
        <f t="shared" si="69"/>
        <v>390789.58325000003</v>
      </c>
      <c r="F2131" s="95">
        <v>170.06</v>
      </c>
      <c r="G2131" s="145">
        <f t="shared" si="70"/>
        <v>390959.64325000002</v>
      </c>
      <c r="H2131" s="143"/>
      <c r="I2131" s="99" t="s">
        <v>808</v>
      </c>
    </row>
    <row r="2132" spans="1:9" hidden="1" outlineLevel="1">
      <c r="A2132" s="465" t="s">
        <v>809</v>
      </c>
      <c r="B2132" s="544">
        <v>2518612.4172000005</v>
      </c>
      <c r="C2132" s="95">
        <v>0</v>
      </c>
      <c r="D2132" s="1045">
        <v>0</v>
      </c>
      <c r="E2132" s="95">
        <f t="shared" si="69"/>
        <v>2518612.4172000005</v>
      </c>
      <c r="F2132" s="95">
        <v>50208.99</v>
      </c>
      <c r="G2132" s="145">
        <f t="shared" si="70"/>
        <v>2568821.4072000007</v>
      </c>
      <c r="H2132" s="143"/>
      <c r="I2132" s="99" t="s">
        <v>810</v>
      </c>
    </row>
    <row r="2133" spans="1:9" hidden="1" outlineLevel="1">
      <c r="A2133" s="465" t="s">
        <v>811</v>
      </c>
      <c r="B2133" s="544">
        <v>538010.46475000004</v>
      </c>
      <c r="C2133" s="95">
        <v>0</v>
      </c>
      <c r="D2133" s="1045">
        <v>0</v>
      </c>
      <c r="E2133" s="95">
        <f t="shared" si="69"/>
        <v>538010.46475000004</v>
      </c>
      <c r="F2133" s="95">
        <v>17136.68</v>
      </c>
      <c r="G2133" s="145">
        <f t="shared" si="70"/>
        <v>555147.14475000009</v>
      </c>
      <c r="H2133" s="143"/>
      <c r="I2133" s="99" t="s">
        <v>812</v>
      </c>
    </row>
    <row r="2134" spans="1:9" hidden="1" outlineLevel="1">
      <c r="A2134" s="465" t="s">
        <v>813</v>
      </c>
      <c r="B2134" s="544">
        <v>93249.865500000014</v>
      </c>
      <c r="C2134" s="95">
        <v>0</v>
      </c>
      <c r="D2134" s="1045">
        <v>0</v>
      </c>
      <c r="E2134" s="95">
        <f t="shared" si="69"/>
        <v>93249.865500000014</v>
      </c>
      <c r="F2134" s="95">
        <v>0</v>
      </c>
      <c r="G2134" s="145">
        <f t="shared" si="70"/>
        <v>93249.865500000014</v>
      </c>
      <c r="H2134" s="143"/>
      <c r="I2134" s="99" t="s">
        <v>814</v>
      </c>
    </row>
    <row r="2135" spans="1:9" hidden="1" outlineLevel="1">
      <c r="A2135" s="465" t="s">
        <v>815</v>
      </c>
      <c r="B2135" s="544">
        <v>196825.24400000004</v>
      </c>
      <c r="C2135" s="95">
        <v>0</v>
      </c>
      <c r="D2135" s="1045">
        <v>0</v>
      </c>
      <c r="E2135" s="95">
        <f t="shared" si="69"/>
        <v>196825.24400000004</v>
      </c>
      <c r="F2135" s="95">
        <v>0</v>
      </c>
      <c r="G2135" s="145">
        <f t="shared" si="70"/>
        <v>196825.24400000004</v>
      </c>
      <c r="H2135" s="143"/>
      <c r="I2135" s="99" t="s">
        <v>816</v>
      </c>
    </row>
    <row r="2136" spans="1:9" hidden="1" outlineLevel="1">
      <c r="A2136" s="465" t="s">
        <v>817</v>
      </c>
      <c r="B2136" s="544">
        <v>428087.6875</v>
      </c>
      <c r="C2136" s="95">
        <v>0</v>
      </c>
      <c r="D2136" s="1045">
        <v>0</v>
      </c>
      <c r="E2136" s="95">
        <f t="shared" si="69"/>
        <v>428087.6875</v>
      </c>
      <c r="F2136" s="95">
        <v>-1691.69</v>
      </c>
      <c r="G2136" s="145">
        <f t="shared" si="70"/>
        <v>426395.9975</v>
      </c>
      <c r="H2136" s="143"/>
      <c r="I2136" s="99" t="s">
        <v>818</v>
      </c>
    </row>
    <row r="2137" spans="1:9" hidden="1" outlineLevel="1">
      <c r="A2137" s="465" t="s">
        <v>819</v>
      </c>
      <c r="B2137" s="544">
        <v>28233.108749999999</v>
      </c>
      <c r="C2137" s="95">
        <v>0</v>
      </c>
      <c r="D2137" s="1045">
        <v>0</v>
      </c>
      <c r="E2137" s="95">
        <f t="shared" si="69"/>
        <v>28233.108749999999</v>
      </c>
      <c r="F2137" s="95">
        <v>0</v>
      </c>
      <c r="G2137" s="145">
        <f t="shared" si="70"/>
        <v>28233.108749999999</v>
      </c>
      <c r="H2137" s="143"/>
      <c r="I2137" s="99" t="s">
        <v>820</v>
      </c>
    </row>
    <row r="2138" spans="1:9" hidden="1" outlineLevel="1">
      <c r="A2138" s="465" t="s">
        <v>821</v>
      </c>
      <c r="B2138" s="544">
        <v>182836.397975</v>
      </c>
      <c r="C2138" s="95">
        <v>0</v>
      </c>
      <c r="D2138" s="1045">
        <v>0</v>
      </c>
      <c r="E2138" s="95">
        <f t="shared" si="69"/>
        <v>182836.397975</v>
      </c>
      <c r="F2138" s="95">
        <v>125.94</v>
      </c>
      <c r="G2138" s="145">
        <f t="shared" si="70"/>
        <v>182962.337975</v>
      </c>
      <c r="H2138" s="143"/>
      <c r="I2138" s="99" t="s">
        <v>822</v>
      </c>
    </row>
    <row r="2139" spans="1:9" hidden="1" outlineLevel="1">
      <c r="A2139" s="465" t="s">
        <v>821</v>
      </c>
      <c r="B2139" s="544">
        <v>30488.600037500004</v>
      </c>
      <c r="C2139" s="95">
        <v>0</v>
      </c>
      <c r="D2139" s="1045">
        <v>0</v>
      </c>
      <c r="E2139" s="95">
        <f t="shared" si="69"/>
        <v>30488.600037500004</v>
      </c>
      <c r="F2139" s="95">
        <v>2734.87</v>
      </c>
      <c r="G2139" s="145">
        <f t="shared" si="70"/>
        <v>33223.470037500003</v>
      </c>
      <c r="H2139" s="143"/>
      <c r="I2139" s="99" t="s">
        <v>822</v>
      </c>
    </row>
    <row r="2140" spans="1:9" hidden="1" outlineLevel="1">
      <c r="A2140" s="465" t="s">
        <v>821</v>
      </c>
      <c r="B2140" s="544">
        <v>141997.71203749999</v>
      </c>
      <c r="C2140" s="95">
        <v>0</v>
      </c>
      <c r="D2140" s="1045">
        <v>0</v>
      </c>
      <c r="E2140" s="95">
        <f t="shared" si="69"/>
        <v>141997.71203749999</v>
      </c>
      <c r="F2140" s="95">
        <v>65.3</v>
      </c>
      <c r="G2140" s="145">
        <f t="shared" si="70"/>
        <v>142063.01203749998</v>
      </c>
      <c r="H2140" s="143"/>
      <c r="I2140" s="99" t="s">
        <v>822</v>
      </c>
    </row>
    <row r="2141" spans="1:9" hidden="1" outlineLevel="1">
      <c r="A2141" s="465" t="s">
        <v>823</v>
      </c>
      <c r="B2141" s="544">
        <v>53491.682750000007</v>
      </c>
      <c r="C2141" s="95">
        <v>0</v>
      </c>
      <c r="D2141" s="1045">
        <v>0</v>
      </c>
      <c r="E2141" s="95">
        <f t="shared" si="69"/>
        <v>53491.682750000007</v>
      </c>
      <c r="F2141" s="95">
        <v>-305.54999999999995</v>
      </c>
      <c r="G2141" s="145">
        <f t="shared" si="70"/>
        <v>53186.132750000004</v>
      </c>
      <c r="H2141" s="143"/>
      <c r="I2141" s="99" t="s">
        <v>824</v>
      </c>
    </row>
    <row r="2142" spans="1:9" hidden="1" outlineLevel="1">
      <c r="A2142" s="465" t="s">
        <v>825</v>
      </c>
      <c r="B2142" s="544">
        <v>186399.42475000001</v>
      </c>
      <c r="C2142" s="95">
        <v>0</v>
      </c>
      <c r="D2142" s="1045">
        <v>0</v>
      </c>
      <c r="E2142" s="95">
        <f t="shared" si="69"/>
        <v>186399.42475000001</v>
      </c>
      <c r="F2142" s="95">
        <v>0</v>
      </c>
      <c r="G2142" s="145">
        <f t="shared" si="70"/>
        <v>186399.42475000001</v>
      </c>
      <c r="H2142" s="143"/>
      <c r="I2142" s="99" t="s">
        <v>826</v>
      </c>
    </row>
    <row r="2143" spans="1:9" hidden="1" outlineLevel="1">
      <c r="A2143" s="465" t="s">
        <v>827</v>
      </c>
      <c r="B2143" s="544">
        <v>90057.871750000006</v>
      </c>
      <c r="C2143" s="95">
        <v>0</v>
      </c>
      <c r="D2143" s="1045">
        <v>0</v>
      </c>
      <c r="E2143" s="95">
        <f t="shared" si="69"/>
        <v>90057.871750000006</v>
      </c>
      <c r="F2143" s="95">
        <v>337.71000000000004</v>
      </c>
      <c r="G2143" s="145">
        <f t="shared" si="70"/>
        <v>90395.581750000012</v>
      </c>
      <c r="H2143" s="143"/>
      <c r="I2143" s="99" t="s">
        <v>828</v>
      </c>
    </row>
    <row r="2144" spans="1:9" hidden="1" outlineLevel="1">
      <c r="A2144" s="465" t="s">
        <v>829</v>
      </c>
      <c r="B2144" s="544">
        <v>107182.34725000002</v>
      </c>
      <c r="C2144" s="95">
        <v>0</v>
      </c>
      <c r="D2144" s="1045">
        <v>0</v>
      </c>
      <c r="E2144" s="95">
        <f t="shared" si="69"/>
        <v>107182.34725000002</v>
      </c>
      <c r="F2144" s="95">
        <v>4918.34</v>
      </c>
      <c r="G2144" s="145">
        <f t="shared" si="70"/>
        <v>112100.68725000002</v>
      </c>
      <c r="H2144" s="143"/>
      <c r="I2144" s="99" t="s">
        <v>830</v>
      </c>
    </row>
    <row r="2145" spans="1:9" hidden="1" outlineLevel="1">
      <c r="A2145" s="465" t="s">
        <v>831</v>
      </c>
      <c r="B2145" s="544">
        <v>3057032.7617500001</v>
      </c>
      <c r="C2145" s="95">
        <v>0</v>
      </c>
      <c r="D2145" s="1045">
        <v>0</v>
      </c>
      <c r="E2145" s="95">
        <f t="shared" si="69"/>
        <v>3057032.7617500001</v>
      </c>
      <c r="F2145" s="95">
        <v>0</v>
      </c>
      <c r="G2145" s="145">
        <f t="shared" si="70"/>
        <v>3057032.7617500001</v>
      </c>
      <c r="H2145" s="143"/>
      <c r="I2145" s="99" t="s">
        <v>832</v>
      </c>
    </row>
    <row r="2146" spans="1:9" hidden="1" outlineLevel="1">
      <c r="A2146" s="465" t="s">
        <v>833</v>
      </c>
      <c r="B2146" s="544">
        <v>261874.15650000001</v>
      </c>
      <c r="C2146" s="95">
        <v>0</v>
      </c>
      <c r="D2146" s="1045">
        <v>0</v>
      </c>
      <c r="E2146" s="95">
        <f t="shared" si="69"/>
        <v>261874.15650000001</v>
      </c>
      <c r="F2146" s="95">
        <v>-48.049999999999983</v>
      </c>
      <c r="G2146" s="145">
        <f t="shared" si="70"/>
        <v>261826.10650000002</v>
      </c>
      <c r="H2146" s="143"/>
      <c r="I2146" s="99" t="s">
        <v>834</v>
      </c>
    </row>
    <row r="2147" spans="1:9" hidden="1" outlineLevel="1">
      <c r="A2147" s="465" t="s">
        <v>835</v>
      </c>
      <c r="B2147" s="544">
        <v>1242182.7165000001</v>
      </c>
      <c r="C2147" s="95">
        <v>0</v>
      </c>
      <c r="D2147" s="1045">
        <v>0</v>
      </c>
      <c r="E2147" s="95">
        <f t="shared" si="69"/>
        <v>1242182.7165000001</v>
      </c>
      <c r="F2147" s="95">
        <v>9299.86</v>
      </c>
      <c r="G2147" s="145">
        <f t="shared" si="70"/>
        <v>1251482.5765000002</v>
      </c>
      <c r="H2147" s="143"/>
      <c r="I2147" s="99" t="s">
        <v>836</v>
      </c>
    </row>
    <row r="2148" spans="1:9" hidden="1" outlineLevel="1">
      <c r="A2148" s="465" t="s">
        <v>837</v>
      </c>
      <c r="B2148" s="544">
        <v>104405.939</v>
      </c>
      <c r="C2148" s="95">
        <v>0</v>
      </c>
      <c r="D2148" s="1045">
        <v>0</v>
      </c>
      <c r="E2148" s="95">
        <f t="shared" si="69"/>
        <v>104405.939</v>
      </c>
      <c r="F2148" s="95">
        <v>0</v>
      </c>
      <c r="G2148" s="145">
        <f t="shared" si="70"/>
        <v>104405.939</v>
      </c>
      <c r="H2148" s="143"/>
      <c r="I2148" s="99" t="s">
        <v>838</v>
      </c>
    </row>
    <row r="2149" spans="1:9" hidden="1" outlineLevel="1">
      <c r="A2149" s="465" t="s">
        <v>837</v>
      </c>
      <c r="B2149" s="544">
        <v>13081.329250000001</v>
      </c>
      <c r="C2149" s="95">
        <v>0</v>
      </c>
      <c r="D2149" s="1045">
        <v>0</v>
      </c>
      <c r="E2149" s="95">
        <f t="shared" si="69"/>
        <v>13081.329250000001</v>
      </c>
      <c r="F2149" s="95">
        <v>0</v>
      </c>
      <c r="G2149" s="145">
        <f t="shared" si="70"/>
        <v>13081.329250000001</v>
      </c>
      <c r="H2149" s="143"/>
      <c r="I2149" s="99" t="s">
        <v>838</v>
      </c>
    </row>
    <row r="2150" spans="1:9" hidden="1" outlineLevel="1">
      <c r="A2150" s="465" t="s">
        <v>837</v>
      </c>
      <c r="B2150" s="544">
        <v>64789.494000000006</v>
      </c>
      <c r="C2150" s="95">
        <v>0</v>
      </c>
      <c r="D2150" s="1045">
        <v>0</v>
      </c>
      <c r="E2150" s="95">
        <f t="shared" si="69"/>
        <v>64789.494000000006</v>
      </c>
      <c r="F2150" s="95">
        <v>0</v>
      </c>
      <c r="G2150" s="145">
        <f t="shared" si="70"/>
        <v>64789.494000000006</v>
      </c>
      <c r="H2150" s="143"/>
      <c r="I2150" s="99" t="s">
        <v>838</v>
      </c>
    </row>
    <row r="2151" spans="1:9" hidden="1" outlineLevel="1">
      <c r="A2151" s="465" t="s">
        <v>839</v>
      </c>
      <c r="B2151" s="544">
        <v>10625.1255</v>
      </c>
      <c r="C2151" s="95">
        <v>0</v>
      </c>
      <c r="D2151" s="1045">
        <v>0</v>
      </c>
      <c r="E2151" s="95">
        <f t="shared" si="69"/>
        <v>10625.1255</v>
      </c>
      <c r="F2151" s="95">
        <v>0</v>
      </c>
      <c r="G2151" s="145">
        <f t="shared" si="70"/>
        <v>10625.1255</v>
      </c>
      <c r="H2151" s="143"/>
      <c r="I2151" s="99" t="s">
        <v>840</v>
      </c>
    </row>
    <row r="2152" spans="1:9" hidden="1" outlineLevel="1">
      <c r="A2152" s="465" t="s">
        <v>841</v>
      </c>
      <c r="B2152" s="544">
        <v>140569.31900000002</v>
      </c>
      <c r="C2152" s="95">
        <v>0</v>
      </c>
      <c r="D2152" s="1045">
        <v>0</v>
      </c>
      <c r="E2152" s="95">
        <f t="shared" si="69"/>
        <v>140569.31900000002</v>
      </c>
      <c r="F2152" s="95">
        <v>-296.58000000000004</v>
      </c>
      <c r="G2152" s="145">
        <f t="shared" si="70"/>
        <v>140272.73900000003</v>
      </c>
      <c r="H2152" s="143"/>
      <c r="I2152" s="99" t="s">
        <v>842</v>
      </c>
    </row>
    <row r="2153" spans="1:9" hidden="1" outlineLevel="1">
      <c r="A2153" s="465" t="s">
        <v>843</v>
      </c>
      <c r="B2153" s="544">
        <v>171522.19150000002</v>
      </c>
      <c r="C2153" s="95">
        <v>0</v>
      </c>
      <c r="D2153" s="1045">
        <v>0</v>
      </c>
      <c r="E2153" s="95">
        <f t="shared" si="69"/>
        <v>171522.19150000002</v>
      </c>
      <c r="F2153" s="95">
        <v>0</v>
      </c>
      <c r="G2153" s="145">
        <f t="shared" si="70"/>
        <v>171522.19150000002</v>
      </c>
      <c r="H2153" s="143"/>
      <c r="I2153" s="99" t="s">
        <v>844</v>
      </c>
    </row>
    <row r="2154" spans="1:9" hidden="1" outlineLevel="1">
      <c r="A2154" s="465" t="s">
        <v>845</v>
      </c>
      <c r="B2154" s="544">
        <v>1757650.0727500001</v>
      </c>
      <c r="C2154" s="95">
        <v>0</v>
      </c>
      <c r="D2154" s="1045">
        <v>0</v>
      </c>
      <c r="E2154" s="95">
        <f t="shared" si="69"/>
        <v>1757650.0727500001</v>
      </c>
      <c r="F2154" s="95">
        <v>-3866.56</v>
      </c>
      <c r="G2154" s="145">
        <f t="shared" si="70"/>
        <v>1753783.51275</v>
      </c>
      <c r="H2154" s="143"/>
      <c r="I2154" s="99" t="s">
        <v>846</v>
      </c>
    </row>
    <row r="2155" spans="1:9" hidden="1" outlineLevel="1">
      <c r="A2155" s="465" t="s">
        <v>847</v>
      </c>
      <c r="B2155" s="544">
        <v>134183.36800000002</v>
      </c>
      <c r="C2155" s="95">
        <v>0</v>
      </c>
      <c r="D2155" s="1045">
        <v>0</v>
      </c>
      <c r="E2155" s="95">
        <f t="shared" si="69"/>
        <v>134183.36800000002</v>
      </c>
      <c r="F2155" s="95">
        <v>0</v>
      </c>
      <c r="G2155" s="145">
        <f t="shared" si="70"/>
        <v>134183.36800000002</v>
      </c>
      <c r="H2155" s="143"/>
      <c r="I2155" s="99" t="s">
        <v>848</v>
      </c>
    </row>
    <row r="2156" spans="1:9" hidden="1" outlineLevel="1">
      <c r="A2156" s="465" t="s">
        <v>849</v>
      </c>
      <c r="B2156" s="544">
        <v>343091.87275000004</v>
      </c>
      <c r="C2156" s="95">
        <v>0</v>
      </c>
      <c r="D2156" s="1045">
        <v>0</v>
      </c>
      <c r="E2156" s="95">
        <f t="shared" si="69"/>
        <v>343091.87275000004</v>
      </c>
      <c r="F2156" s="95">
        <v>0</v>
      </c>
      <c r="G2156" s="145">
        <f t="shared" si="70"/>
        <v>343091.87275000004</v>
      </c>
      <c r="H2156" s="143"/>
      <c r="I2156" s="99" t="s">
        <v>850</v>
      </c>
    </row>
    <row r="2157" spans="1:9" hidden="1" outlineLevel="1">
      <c r="A2157" s="465" t="s">
        <v>398</v>
      </c>
      <c r="B2157" s="544">
        <v>43821.610250000005</v>
      </c>
      <c r="C2157" s="95">
        <v>0</v>
      </c>
      <c r="D2157" s="1045">
        <v>0</v>
      </c>
      <c r="E2157" s="95">
        <f t="shared" si="69"/>
        <v>43821.610250000005</v>
      </c>
      <c r="F2157" s="95">
        <v>-271.64999999999998</v>
      </c>
      <c r="G2157" s="145">
        <f t="shared" si="70"/>
        <v>43549.960250000004</v>
      </c>
      <c r="H2157" s="143"/>
      <c r="I2157" s="99" t="s">
        <v>399</v>
      </c>
    </row>
    <row r="2158" spans="1:9" hidden="1" outlineLevel="1">
      <c r="A2158" s="465" t="s">
        <v>851</v>
      </c>
      <c r="B2158" s="544">
        <v>32972.516500000005</v>
      </c>
      <c r="C2158" s="95">
        <v>0</v>
      </c>
      <c r="D2158" s="1045">
        <v>0</v>
      </c>
      <c r="E2158" s="95">
        <f t="shared" si="69"/>
        <v>32972.516500000005</v>
      </c>
      <c r="F2158" s="95">
        <v>1572.29</v>
      </c>
      <c r="G2158" s="145">
        <f t="shared" si="70"/>
        <v>34544.806500000006</v>
      </c>
      <c r="H2158" s="143"/>
      <c r="I2158" s="99" t="s">
        <v>852</v>
      </c>
    </row>
    <row r="2159" spans="1:9" hidden="1" outlineLevel="1">
      <c r="A2159" s="465" t="s">
        <v>853</v>
      </c>
      <c r="B2159" s="544">
        <v>396756.17300000007</v>
      </c>
      <c r="C2159" s="95">
        <v>0</v>
      </c>
      <c r="D2159" s="1045">
        <v>0</v>
      </c>
      <c r="E2159" s="95">
        <f t="shared" si="67"/>
        <v>396756.17300000007</v>
      </c>
      <c r="F2159" s="95">
        <v>0</v>
      </c>
      <c r="G2159" s="145">
        <f t="shared" si="68"/>
        <v>396756.17300000007</v>
      </c>
      <c r="H2159" s="143"/>
      <c r="I2159" s="99" t="s">
        <v>854</v>
      </c>
    </row>
    <row r="2160" spans="1:9" collapsed="1">
      <c r="A2160" s="465" t="str">
        <f>A405</f>
        <v>Regelzone TenneT (gesamt)</v>
      </c>
      <c r="B2160" s="544">
        <f t="shared" ref="B2160:F2160" si="71">SUM(B2161:B2541)</f>
        <v>283000975.83701223</v>
      </c>
      <c r="C2160" s="95">
        <f t="shared" si="71"/>
        <v>-4845239</v>
      </c>
      <c r="D2160" s="95">
        <f t="shared" si="71"/>
        <v>0</v>
      </c>
      <c r="E2160" s="95">
        <f t="shared" ref="E2160:E2205" si="72">B2160+C2160+D2160</f>
        <v>278155736.83701223</v>
      </c>
      <c r="F2160" s="95">
        <f t="shared" si="71"/>
        <v>-293175</v>
      </c>
      <c r="G2160" s="145">
        <f t="shared" ref="G2160:G2205" si="73">E2160+F2160</f>
        <v>277862561.83701223</v>
      </c>
      <c r="H2160" s="143"/>
    </row>
    <row r="2161" spans="1:9" hidden="1" outlineLevel="1">
      <c r="A2161" s="465" t="s">
        <v>1861</v>
      </c>
      <c r="B2161" s="544">
        <v>16717.156500000001</v>
      </c>
      <c r="C2161" s="95">
        <v>0</v>
      </c>
      <c r="D2161" s="95">
        <v>0</v>
      </c>
      <c r="E2161" s="95">
        <f t="shared" si="72"/>
        <v>16717.156500000001</v>
      </c>
      <c r="F2161" s="95">
        <v>0</v>
      </c>
      <c r="G2161" s="145">
        <f t="shared" si="73"/>
        <v>16717.156500000001</v>
      </c>
      <c r="H2161" s="143"/>
      <c r="I2161" t="s">
        <v>1862</v>
      </c>
    </row>
    <row r="2162" spans="1:9" hidden="1" outlineLevel="1">
      <c r="A2162" s="465" t="s">
        <v>856</v>
      </c>
      <c r="B2162" s="544">
        <v>50670.818000000007</v>
      </c>
      <c r="C2162" s="95">
        <v>0</v>
      </c>
      <c r="D2162" s="95">
        <v>0</v>
      </c>
      <c r="E2162" s="95">
        <f t="shared" si="72"/>
        <v>50670.818000000007</v>
      </c>
      <c r="F2162" s="95">
        <v>0</v>
      </c>
      <c r="G2162" s="145">
        <f t="shared" si="73"/>
        <v>50670.818000000007</v>
      </c>
      <c r="H2162" s="143"/>
      <c r="I2162" t="s">
        <v>857</v>
      </c>
    </row>
    <row r="2163" spans="1:9" hidden="1" outlineLevel="1">
      <c r="A2163" s="465" t="s">
        <v>858</v>
      </c>
      <c r="B2163" s="544">
        <v>86033.285250000001</v>
      </c>
      <c r="C2163" s="95">
        <v>0</v>
      </c>
      <c r="D2163" s="95">
        <v>0</v>
      </c>
      <c r="E2163" s="95">
        <f t="shared" si="72"/>
        <v>86033.285250000001</v>
      </c>
      <c r="F2163" s="95">
        <v>-702</v>
      </c>
      <c r="G2163" s="145">
        <f t="shared" si="73"/>
        <v>85331.285250000001</v>
      </c>
      <c r="H2163" s="143"/>
      <c r="I2163" t="s">
        <v>859</v>
      </c>
    </row>
    <row r="2164" spans="1:9" hidden="1" outlineLevel="1">
      <c r="A2164" s="465" t="s">
        <v>860</v>
      </c>
      <c r="B2164" s="544">
        <v>150631.9045</v>
      </c>
      <c r="C2164" s="95">
        <v>0</v>
      </c>
      <c r="D2164" s="95">
        <v>0</v>
      </c>
      <c r="E2164" s="95">
        <f t="shared" si="72"/>
        <v>150631.9045</v>
      </c>
      <c r="F2164" s="95">
        <v>0</v>
      </c>
      <c r="G2164" s="145">
        <f t="shared" si="73"/>
        <v>150631.9045</v>
      </c>
      <c r="H2164" s="143"/>
      <c r="I2164" t="s">
        <v>861</v>
      </c>
    </row>
    <row r="2165" spans="1:9" hidden="1" outlineLevel="1">
      <c r="A2165" s="465" t="s">
        <v>862</v>
      </c>
      <c r="B2165" s="544">
        <v>65327.061250000006</v>
      </c>
      <c r="C2165" s="95">
        <v>0</v>
      </c>
      <c r="D2165" s="95">
        <v>0</v>
      </c>
      <c r="E2165" s="95">
        <f t="shared" si="72"/>
        <v>65327.061250000006</v>
      </c>
      <c r="F2165" s="95">
        <v>-142</v>
      </c>
      <c r="G2165" s="145">
        <f t="shared" si="73"/>
        <v>65185.061250000006</v>
      </c>
      <c r="H2165" s="143"/>
      <c r="I2165" t="s">
        <v>863</v>
      </c>
    </row>
    <row r="2166" spans="1:9" hidden="1" outlineLevel="1">
      <c r="A2166" s="465" t="s">
        <v>864</v>
      </c>
      <c r="B2166" s="544">
        <v>113723.21124999999</v>
      </c>
      <c r="C2166" s="95">
        <v>0</v>
      </c>
      <c r="D2166" s="95">
        <v>0</v>
      </c>
      <c r="E2166" s="95">
        <f t="shared" si="72"/>
        <v>113723.21124999999</v>
      </c>
      <c r="F2166" s="95">
        <v>16336</v>
      </c>
      <c r="G2166" s="145">
        <f t="shared" si="73"/>
        <v>130059.21124999999</v>
      </c>
      <c r="H2166" s="143"/>
      <c r="I2166" t="s">
        <v>865</v>
      </c>
    </row>
    <row r="2167" spans="1:9" hidden="1" outlineLevel="1">
      <c r="A2167" s="465" t="s">
        <v>866</v>
      </c>
      <c r="B2167" s="544">
        <v>37253.911749999999</v>
      </c>
      <c r="C2167" s="95">
        <v>0</v>
      </c>
      <c r="D2167" s="95">
        <v>0</v>
      </c>
      <c r="E2167" s="95">
        <f t="shared" si="72"/>
        <v>37253.911749999999</v>
      </c>
      <c r="F2167" s="95">
        <v>0</v>
      </c>
      <c r="G2167" s="145">
        <f t="shared" si="73"/>
        <v>37253.911749999999</v>
      </c>
      <c r="H2167" s="143"/>
      <c r="I2167" t="s">
        <v>867</v>
      </c>
    </row>
    <row r="2168" spans="1:9" hidden="1" outlineLevel="1">
      <c r="A2168" s="465" t="s">
        <v>868</v>
      </c>
      <c r="B2168" s="544">
        <v>216850.3425</v>
      </c>
      <c r="C2168" s="95">
        <v>0</v>
      </c>
      <c r="D2168" s="95">
        <v>0</v>
      </c>
      <c r="E2168" s="95">
        <f t="shared" si="72"/>
        <v>216850.3425</v>
      </c>
      <c r="F2168" s="95">
        <v>0</v>
      </c>
      <c r="G2168" s="145">
        <f t="shared" si="73"/>
        <v>216850.3425</v>
      </c>
      <c r="H2168" s="143"/>
      <c r="I2168" t="s">
        <v>869</v>
      </c>
    </row>
    <row r="2169" spans="1:9" hidden="1" outlineLevel="1">
      <c r="A2169" s="465" t="s">
        <v>870</v>
      </c>
      <c r="B2169" s="544">
        <v>460876.48650000006</v>
      </c>
      <c r="C2169" s="95">
        <v>0</v>
      </c>
      <c r="D2169" s="95">
        <v>0</v>
      </c>
      <c r="E2169" s="95">
        <f t="shared" si="72"/>
        <v>460876.48650000006</v>
      </c>
      <c r="F2169" s="95">
        <v>0</v>
      </c>
      <c r="G2169" s="145">
        <f t="shared" si="73"/>
        <v>460876.48650000006</v>
      </c>
      <c r="H2169" s="143"/>
      <c r="I2169" t="s">
        <v>871</v>
      </c>
    </row>
    <row r="2170" spans="1:9" hidden="1" outlineLevel="1">
      <c r="A2170" s="465" t="s">
        <v>872</v>
      </c>
      <c r="B2170" s="544">
        <v>67225.760250000007</v>
      </c>
      <c r="C2170" s="95">
        <v>0</v>
      </c>
      <c r="D2170" s="95">
        <v>0</v>
      </c>
      <c r="E2170" s="95">
        <f t="shared" si="72"/>
        <v>67225.760250000007</v>
      </c>
      <c r="F2170" s="95">
        <v>0</v>
      </c>
      <c r="G2170" s="145">
        <f t="shared" si="73"/>
        <v>67225.760250000007</v>
      </c>
      <c r="H2170" s="143"/>
      <c r="I2170" t="s">
        <v>873</v>
      </c>
    </row>
    <row r="2171" spans="1:9" hidden="1" outlineLevel="1">
      <c r="A2171" s="465" t="s">
        <v>874</v>
      </c>
      <c r="B2171" s="544">
        <v>1375721.4652500001</v>
      </c>
      <c r="C2171" s="95">
        <v>0</v>
      </c>
      <c r="D2171" s="95">
        <v>0</v>
      </c>
      <c r="E2171" s="95">
        <f t="shared" si="72"/>
        <v>1375721.4652500001</v>
      </c>
      <c r="F2171" s="95">
        <v>0</v>
      </c>
      <c r="G2171" s="145">
        <f t="shared" si="73"/>
        <v>1375721.4652500001</v>
      </c>
      <c r="H2171" s="143"/>
      <c r="I2171" t="s">
        <v>875</v>
      </c>
    </row>
    <row r="2172" spans="1:9" hidden="1" outlineLevel="1">
      <c r="A2172" s="465" t="s">
        <v>1863</v>
      </c>
      <c r="B2172" s="544">
        <v>0</v>
      </c>
      <c r="C2172" s="95">
        <v>0</v>
      </c>
      <c r="D2172" s="95">
        <v>0</v>
      </c>
      <c r="E2172" s="95">
        <f t="shared" si="72"/>
        <v>0</v>
      </c>
      <c r="F2172" s="95">
        <v>0</v>
      </c>
      <c r="G2172" s="145">
        <f t="shared" si="73"/>
        <v>0</v>
      </c>
      <c r="H2172" s="143"/>
      <c r="I2172" t="s">
        <v>1864</v>
      </c>
    </row>
    <row r="2173" spans="1:9" hidden="1" outlineLevel="1">
      <c r="A2173" s="465" t="s">
        <v>876</v>
      </c>
      <c r="B2173" s="544">
        <v>76731.704500000007</v>
      </c>
      <c r="C2173" s="95">
        <v>0</v>
      </c>
      <c r="D2173" s="95">
        <v>0</v>
      </c>
      <c r="E2173" s="95">
        <f t="shared" si="72"/>
        <v>76731.704500000007</v>
      </c>
      <c r="F2173" s="95">
        <v>70</v>
      </c>
      <c r="G2173" s="145">
        <f t="shared" si="73"/>
        <v>76801.704500000007</v>
      </c>
      <c r="H2173" s="143"/>
      <c r="I2173" t="s">
        <v>877</v>
      </c>
    </row>
    <row r="2174" spans="1:9" hidden="1" outlineLevel="1">
      <c r="A2174" s="465" t="s">
        <v>878</v>
      </c>
      <c r="B2174" s="544">
        <v>75993.41750000001</v>
      </c>
      <c r="C2174" s="95">
        <v>0</v>
      </c>
      <c r="D2174" s="95">
        <v>0</v>
      </c>
      <c r="E2174" s="95">
        <f t="shared" si="72"/>
        <v>75993.41750000001</v>
      </c>
      <c r="F2174" s="95">
        <v>0</v>
      </c>
      <c r="G2174" s="145">
        <f t="shared" si="73"/>
        <v>75993.41750000001</v>
      </c>
      <c r="H2174" s="143"/>
      <c r="I2174" t="s">
        <v>879</v>
      </c>
    </row>
    <row r="2175" spans="1:9" hidden="1" outlineLevel="1">
      <c r="A2175" s="465" t="s">
        <v>322</v>
      </c>
      <c r="B2175" s="544">
        <v>116704.10675000001</v>
      </c>
      <c r="C2175" s="95">
        <v>0</v>
      </c>
      <c r="D2175" s="95">
        <v>0</v>
      </c>
      <c r="E2175" s="95">
        <f t="shared" si="72"/>
        <v>116704.10675000001</v>
      </c>
      <c r="F2175" s="95">
        <v>-224</v>
      </c>
      <c r="G2175" s="145">
        <f t="shared" si="73"/>
        <v>116480.10675000001</v>
      </c>
      <c r="H2175" s="143"/>
      <c r="I2175" t="s">
        <v>323</v>
      </c>
    </row>
    <row r="2176" spans="1:9" hidden="1" outlineLevel="1">
      <c r="A2176" s="465" t="s">
        <v>880</v>
      </c>
      <c r="B2176" s="544">
        <v>150062.16774999999</v>
      </c>
      <c r="C2176" s="95">
        <v>0</v>
      </c>
      <c r="D2176" s="95">
        <v>0</v>
      </c>
      <c r="E2176" s="95">
        <f t="shared" si="72"/>
        <v>150062.16774999999</v>
      </c>
      <c r="F2176" s="95">
        <v>-504</v>
      </c>
      <c r="G2176" s="145">
        <f t="shared" si="73"/>
        <v>149558.16774999999</v>
      </c>
      <c r="H2176" s="143"/>
      <c r="I2176" t="s">
        <v>881</v>
      </c>
    </row>
    <row r="2177" spans="1:9" hidden="1" outlineLevel="1">
      <c r="A2177" s="465" t="s">
        <v>882</v>
      </c>
      <c r="B2177" s="544">
        <v>501684.02625000005</v>
      </c>
      <c r="C2177" s="95">
        <v>0</v>
      </c>
      <c r="D2177" s="95">
        <v>0</v>
      </c>
      <c r="E2177" s="95">
        <f t="shared" si="72"/>
        <v>501684.02625000005</v>
      </c>
      <c r="F2177" s="95">
        <v>576</v>
      </c>
      <c r="G2177" s="145">
        <f t="shared" si="73"/>
        <v>502260.02625000005</v>
      </c>
      <c r="H2177" s="143"/>
      <c r="I2177" t="s">
        <v>883</v>
      </c>
    </row>
    <row r="2178" spans="1:9" hidden="1" outlineLevel="1">
      <c r="A2178" s="465" t="s">
        <v>884</v>
      </c>
      <c r="B2178" s="544">
        <v>536195.23650000012</v>
      </c>
      <c r="C2178" s="95">
        <v>0</v>
      </c>
      <c r="D2178" s="95">
        <v>0</v>
      </c>
      <c r="E2178" s="95">
        <f t="shared" si="72"/>
        <v>536195.23650000012</v>
      </c>
      <c r="F2178" s="95">
        <v>3843</v>
      </c>
      <c r="G2178" s="145">
        <f t="shared" si="73"/>
        <v>540038.23650000012</v>
      </c>
      <c r="H2178" s="143"/>
      <c r="I2178" t="s">
        <v>885</v>
      </c>
    </row>
    <row r="2179" spans="1:9" hidden="1" outlineLevel="1">
      <c r="A2179" s="465" t="s">
        <v>886</v>
      </c>
      <c r="B2179" s="544">
        <v>164466.77775000001</v>
      </c>
      <c r="C2179" s="95">
        <v>0</v>
      </c>
      <c r="D2179" s="95">
        <v>0</v>
      </c>
      <c r="E2179" s="95">
        <f t="shared" si="72"/>
        <v>164466.77775000001</v>
      </c>
      <c r="F2179" s="95">
        <v>1344</v>
      </c>
      <c r="G2179" s="145">
        <f t="shared" si="73"/>
        <v>165810.77775000001</v>
      </c>
      <c r="H2179" s="143"/>
      <c r="I2179" t="s">
        <v>887</v>
      </c>
    </row>
    <row r="2180" spans="1:9" hidden="1" outlineLevel="1">
      <c r="A2180" s="465" t="s">
        <v>888</v>
      </c>
      <c r="B2180" s="544">
        <v>109289.27350000001</v>
      </c>
      <c r="C2180" s="95">
        <v>0</v>
      </c>
      <c r="D2180" s="95">
        <v>0</v>
      </c>
      <c r="E2180" s="95">
        <f t="shared" si="72"/>
        <v>109289.27350000001</v>
      </c>
      <c r="F2180" s="95">
        <v>0</v>
      </c>
      <c r="G2180" s="145">
        <f t="shared" si="73"/>
        <v>109289.27350000001</v>
      </c>
      <c r="H2180" s="143"/>
      <c r="I2180" t="s">
        <v>889</v>
      </c>
    </row>
    <row r="2181" spans="1:9" hidden="1" outlineLevel="1">
      <c r="A2181" s="465" t="s">
        <v>890</v>
      </c>
      <c r="B2181" s="544">
        <v>499626.82275000005</v>
      </c>
      <c r="C2181" s="95">
        <v>0</v>
      </c>
      <c r="D2181" s="95">
        <v>0</v>
      </c>
      <c r="E2181" s="95">
        <f t="shared" si="72"/>
        <v>499626.82275000005</v>
      </c>
      <c r="F2181" s="95">
        <v>-1</v>
      </c>
      <c r="G2181" s="145">
        <f t="shared" si="73"/>
        <v>499625.82275000005</v>
      </c>
      <c r="H2181" s="143"/>
      <c r="I2181" t="s">
        <v>891</v>
      </c>
    </row>
    <row r="2182" spans="1:9" hidden="1" outlineLevel="1">
      <c r="A2182" s="465" t="s">
        <v>892</v>
      </c>
      <c r="B2182" s="544">
        <v>19960.377250000001</v>
      </c>
      <c r="C2182" s="95">
        <v>0</v>
      </c>
      <c r="D2182" s="95">
        <v>0</v>
      </c>
      <c r="E2182" s="95">
        <f t="shared" si="72"/>
        <v>19960.377250000001</v>
      </c>
      <c r="F2182" s="95">
        <v>1458</v>
      </c>
      <c r="G2182" s="145">
        <f t="shared" si="73"/>
        <v>21418.377250000001</v>
      </c>
      <c r="H2182" s="143"/>
      <c r="I2182" t="s">
        <v>893</v>
      </c>
    </row>
    <row r="2183" spans="1:9" hidden="1" outlineLevel="1">
      <c r="A2183" s="465" t="s">
        <v>894</v>
      </c>
      <c r="B2183" s="544">
        <v>266404.34425000002</v>
      </c>
      <c r="C2183" s="95">
        <v>0</v>
      </c>
      <c r="D2183" s="95">
        <v>0</v>
      </c>
      <c r="E2183" s="95">
        <f t="shared" si="72"/>
        <v>266404.34425000002</v>
      </c>
      <c r="F2183" s="95">
        <v>0</v>
      </c>
      <c r="G2183" s="145">
        <f t="shared" si="73"/>
        <v>266404.34425000002</v>
      </c>
      <c r="H2183" s="143"/>
      <c r="I2183" t="s">
        <v>895</v>
      </c>
    </row>
    <row r="2184" spans="1:9" hidden="1" outlineLevel="1">
      <c r="A2184" s="465" t="s">
        <v>896</v>
      </c>
      <c r="B2184" s="544">
        <v>351847.11925000005</v>
      </c>
      <c r="C2184" s="95">
        <v>0</v>
      </c>
      <c r="D2184" s="95">
        <v>0</v>
      </c>
      <c r="E2184" s="95">
        <f t="shared" si="72"/>
        <v>351847.11925000005</v>
      </c>
      <c r="F2184" s="95">
        <v>39921</v>
      </c>
      <c r="G2184" s="145">
        <f t="shared" si="73"/>
        <v>391768.11925000005</v>
      </c>
      <c r="H2184" s="143"/>
      <c r="I2184" t="s">
        <v>897</v>
      </c>
    </row>
    <row r="2185" spans="1:9" hidden="1" outlineLevel="1">
      <c r="A2185" s="465" t="s">
        <v>1865</v>
      </c>
      <c r="B2185" s="544">
        <v>81138.153250000018</v>
      </c>
      <c r="C2185" s="95">
        <v>0</v>
      </c>
      <c r="D2185" s="95">
        <v>0</v>
      </c>
      <c r="E2185" s="95">
        <f t="shared" si="72"/>
        <v>81138.153250000018</v>
      </c>
      <c r="F2185" s="95">
        <v>1120</v>
      </c>
      <c r="G2185" s="145">
        <f t="shared" si="73"/>
        <v>82258.153250000018</v>
      </c>
      <c r="H2185" s="143"/>
      <c r="I2185" t="s">
        <v>1866</v>
      </c>
    </row>
    <row r="2186" spans="1:9" hidden="1" outlineLevel="1">
      <c r="A2186" s="465" t="s">
        <v>898</v>
      </c>
      <c r="B2186" s="544">
        <v>148882.26925000001</v>
      </c>
      <c r="C2186" s="95">
        <v>0</v>
      </c>
      <c r="D2186" s="95">
        <v>0</v>
      </c>
      <c r="E2186" s="95">
        <f t="shared" si="72"/>
        <v>148882.26925000001</v>
      </c>
      <c r="F2186" s="95">
        <v>21099</v>
      </c>
      <c r="G2186" s="145">
        <f t="shared" si="73"/>
        <v>169981.26925000001</v>
      </c>
      <c r="H2186" s="143"/>
      <c r="I2186" t="s">
        <v>899</v>
      </c>
    </row>
    <row r="2187" spans="1:9" hidden="1" outlineLevel="1">
      <c r="A2187" s="465" t="s">
        <v>900</v>
      </c>
      <c r="B2187" s="544">
        <v>28720.719500000003</v>
      </c>
      <c r="C2187" s="95">
        <v>0</v>
      </c>
      <c r="D2187" s="95">
        <v>0</v>
      </c>
      <c r="E2187" s="95">
        <f t="shared" si="72"/>
        <v>28720.719500000003</v>
      </c>
      <c r="F2187" s="95">
        <v>0</v>
      </c>
      <c r="G2187" s="145">
        <f t="shared" si="73"/>
        <v>28720.719500000003</v>
      </c>
      <c r="H2187" s="143"/>
      <c r="I2187" t="s">
        <v>901</v>
      </c>
    </row>
    <row r="2188" spans="1:9" hidden="1" outlineLevel="1">
      <c r="A2188" s="465" t="s">
        <v>902</v>
      </c>
      <c r="B2188" s="544">
        <v>519170.35225</v>
      </c>
      <c r="C2188" s="95">
        <v>0</v>
      </c>
      <c r="D2188" s="95">
        <v>0</v>
      </c>
      <c r="E2188" s="95">
        <f t="shared" si="72"/>
        <v>519170.35225</v>
      </c>
      <c r="F2188" s="95">
        <v>-1833</v>
      </c>
      <c r="G2188" s="145">
        <f t="shared" si="73"/>
        <v>517337.35225</v>
      </c>
      <c r="H2188" s="143"/>
      <c r="I2188" t="s">
        <v>903</v>
      </c>
    </row>
    <row r="2189" spans="1:9" hidden="1" outlineLevel="1">
      <c r="A2189" s="465" t="s">
        <v>904</v>
      </c>
      <c r="B2189" s="544">
        <v>543760.65700000001</v>
      </c>
      <c r="C2189" s="95">
        <v>0</v>
      </c>
      <c r="D2189" s="95">
        <v>0</v>
      </c>
      <c r="E2189" s="95">
        <f t="shared" si="72"/>
        <v>543760.65700000001</v>
      </c>
      <c r="F2189" s="95">
        <v>1063</v>
      </c>
      <c r="G2189" s="145">
        <f t="shared" si="73"/>
        <v>544823.65700000001</v>
      </c>
      <c r="H2189" s="143"/>
      <c r="I2189" t="s">
        <v>905</v>
      </c>
    </row>
    <row r="2190" spans="1:9" hidden="1" outlineLevel="1">
      <c r="A2190" s="465" t="s">
        <v>906</v>
      </c>
      <c r="B2190" s="544">
        <v>234761.25200000004</v>
      </c>
      <c r="C2190" s="95">
        <v>0</v>
      </c>
      <c r="D2190" s="95">
        <v>0</v>
      </c>
      <c r="E2190" s="95">
        <f t="shared" si="72"/>
        <v>234761.25200000004</v>
      </c>
      <c r="F2190" s="95">
        <v>0</v>
      </c>
      <c r="G2190" s="145">
        <f t="shared" si="73"/>
        <v>234761.25200000004</v>
      </c>
      <c r="H2190" s="143"/>
      <c r="I2190" t="s">
        <v>907</v>
      </c>
    </row>
    <row r="2191" spans="1:9" hidden="1" outlineLevel="1">
      <c r="A2191" s="465" t="s">
        <v>908</v>
      </c>
      <c r="B2191" s="544">
        <v>402180.50124999997</v>
      </c>
      <c r="C2191" s="95">
        <v>0</v>
      </c>
      <c r="D2191" s="95">
        <v>0</v>
      </c>
      <c r="E2191" s="95">
        <f t="shared" si="72"/>
        <v>402180.50124999997</v>
      </c>
      <c r="F2191" s="95">
        <v>0</v>
      </c>
      <c r="G2191" s="145">
        <f t="shared" si="73"/>
        <v>402180.50124999997</v>
      </c>
      <c r="H2191" s="143"/>
      <c r="I2191" t="s">
        <v>909</v>
      </c>
    </row>
    <row r="2192" spans="1:9" hidden="1" outlineLevel="1">
      <c r="A2192" s="465" t="s">
        <v>910</v>
      </c>
      <c r="B2192" s="544">
        <v>1249308.2277500001</v>
      </c>
      <c r="C2192" s="95">
        <v>0</v>
      </c>
      <c r="D2192" s="95">
        <v>0</v>
      </c>
      <c r="E2192" s="95">
        <f t="shared" si="72"/>
        <v>1249308.2277500001</v>
      </c>
      <c r="F2192" s="95">
        <v>-16380</v>
      </c>
      <c r="G2192" s="145">
        <f t="shared" si="73"/>
        <v>1232928.2277500001</v>
      </c>
      <c r="H2192" s="143"/>
      <c r="I2192" t="s">
        <v>911</v>
      </c>
    </row>
    <row r="2193" spans="1:9" hidden="1" outlineLevel="1">
      <c r="A2193" s="465" t="s">
        <v>912</v>
      </c>
      <c r="B2193" s="544">
        <v>46910.729250000004</v>
      </c>
      <c r="C2193" s="95">
        <v>0</v>
      </c>
      <c r="D2193" s="95">
        <v>0</v>
      </c>
      <c r="E2193" s="95">
        <f t="shared" si="72"/>
        <v>46910.729250000004</v>
      </c>
      <c r="F2193" s="95">
        <v>0</v>
      </c>
      <c r="G2193" s="145">
        <f t="shared" si="73"/>
        <v>46910.729250000004</v>
      </c>
      <c r="H2193" s="143"/>
      <c r="I2193" t="s">
        <v>913</v>
      </c>
    </row>
    <row r="2194" spans="1:9" hidden="1" outlineLevel="1">
      <c r="A2194" s="465" t="s">
        <v>914</v>
      </c>
      <c r="B2194" s="544">
        <v>287989.98250000004</v>
      </c>
      <c r="C2194" s="95">
        <v>0</v>
      </c>
      <c r="D2194" s="95">
        <v>0</v>
      </c>
      <c r="E2194" s="95">
        <f t="shared" si="72"/>
        <v>287989.98250000004</v>
      </c>
      <c r="F2194" s="95">
        <v>1134</v>
      </c>
      <c r="G2194" s="145">
        <f t="shared" si="73"/>
        <v>289123.98250000004</v>
      </c>
      <c r="H2194" s="143"/>
      <c r="I2194" t="s">
        <v>915</v>
      </c>
    </row>
    <row r="2195" spans="1:9" hidden="1" outlineLevel="1">
      <c r="A2195" s="465" t="s">
        <v>916</v>
      </c>
      <c r="B2195" s="544">
        <v>36889.138000000006</v>
      </c>
      <c r="C2195" s="95">
        <v>0</v>
      </c>
      <c r="D2195" s="95">
        <v>0</v>
      </c>
      <c r="E2195" s="95">
        <f t="shared" si="72"/>
        <v>36889.138000000006</v>
      </c>
      <c r="F2195" s="95">
        <v>0</v>
      </c>
      <c r="G2195" s="145">
        <f t="shared" si="73"/>
        <v>36889.138000000006</v>
      </c>
      <c r="H2195" s="143"/>
      <c r="I2195" t="s">
        <v>917</v>
      </c>
    </row>
    <row r="2196" spans="1:9" hidden="1" outlineLevel="1">
      <c r="A2196" s="465" t="s">
        <v>918</v>
      </c>
      <c r="B2196" s="544">
        <v>396464.24125000002</v>
      </c>
      <c r="C2196" s="95">
        <v>0</v>
      </c>
      <c r="D2196" s="95">
        <v>0</v>
      </c>
      <c r="E2196" s="95">
        <f t="shared" si="72"/>
        <v>396464.24125000002</v>
      </c>
      <c r="F2196" s="95">
        <v>0</v>
      </c>
      <c r="G2196" s="145">
        <f t="shared" si="73"/>
        <v>396464.24125000002</v>
      </c>
      <c r="H2196" s="143"/>
      <c r="I2196" t="s">
        <v>919</v>
      </c>
    </row>
    <row r="2197" spans="1:9" hidden="1" outlineLevel="1">
      <c r="A2197" s="465" t="s">
        <v>920</v>
      </c>
      <c r="B2197" s="544">
        <v>1310202.4705000001</v>
      </c>
      <c r="C2197" s="95">
        <v>0</v>
      </c>
      <c r="D2197" s="95">
        <v>0</v>
      </c>
      <c r="E2197" s="95">
        <f t="shared" si="72"/>
        <v>1310202.4705000001</v>
      </c>
      <c r="F2197" s="95">
        <v>0</v>
      </c>
      <c r="G2197" s="145">
        <f t="shared" si="73"/>
        <v>1310202.4705000001</v>
      </c>
      <c r="H2197" s="143"/>
      <c r="I2197" t="s">
        <v>921</v>
      </c>
    </row>
    <row r="2198" spans="1:9" hidden="1" outlineLevel="1">
      <c r="A2198" s="465" t="s">
        <v>922</v>
      </c>
      <c r="B2198" s="544">
        <v>31297.721750000004</v>
      </c>
      <c r="C2198" s="95">
        <v>0</v>
      </c>
      <c r="D2198" s="95">
        <v>0</v>
      </c>
      <c r="E2198" s="95">
        <f t="shared" si="72"/>
        <v>31297.721750000004</v>
      </c>
      <c r="F2198" s="95">
        <v>0</v>
      </c>
      <c r="G2198" s="145">
        <f t="shared" si="73"/>
        <v>31297.721750000004</v>
      </c>
      <c r="H2198" s="143"/>
      <c r="I2198" t="s">
        <v>923</v>
      </c>
    </row>
    <row r="2199" spans="1:9" hidden="1" outlineLevel="1">
      <c r="A2199" s="465" t="s">
        <v>924</v>
      </c>
      <c r="B2199" s="544">
        <v>6405.4732500000009</v>
      </c>
      <c r="C2199" s="95">
        <v>0</v>
      </c>
      <c r="D2199" s="95">
        <v>0</v>
      </c>
      <c r="E2199" s="95">
        <f t="shared" si="72"/>
        <v>6405.4732500000009</v>
      </c>
      <c r="F2199" s="95">
        <v>0</v>
      </c>
      <c r="G2199" s="145">
        <f t="shared" si="73"/>
        <v>6405.4732500000009</v>
      </c>
      <c r="H2199" s="143"/>
      <c r="I2199" t="s">
        <v>925</v>
      </c>
    </row>
    <row r="2200" spans="1:9" hidden="1" outlineLevel="1">
      <c r="A2200" s="465" t="s">
        <v>1867</v>
      </c>
      <c r="B2200" s="544">
        <v>17522.436250000002</v>
      </c>
      <c r="C2200" s="95">
        <v>0</v>
      </c>
      <c r="D2200" s="95">
        <v>0</v>
      </c>
      <c r="E2200" s="95">
        <f t="shared" si="72"/>
        <v>17522.436250000002</v>
      </c>
      <c r="F2200" s="95">
        <v>0</v>
      </c>
      <c r="G2200" s="145">
        <f t="shared" si="73"/>
        <v>17522.436250000002</v>
      </c>
      <c r="H2200" s="143"/>
      <c r="I2200" t="s">
        <v>1868</v>
      </c>
    </row>
    <row r="2201" spans="1:9" hidden="1" outlineLevel="1">
      <c r="A2201" s="465" t="s">
        <v>926</v>
      </c>
      <c r="B2201" s="544">
        <v>636212.32675000001</v>
      </c>
      <c r="C2201" s="95">
        <v>0</v>
      </c>
      <c r="D2201" s="95">
        <v>0</v>
      </c>
      <c r="E2201" s="95">
        <f t="shared" si="72"/>
        <v>636212.32675000001</v>
      </c>
      <c r="F2201" s="95">
        <v>-63</v>
      </c>
      <c r="G2201" s="145">
        <f t="shared" si="73"/>
        <v>636149.32675000001</v>
      </c>
      <c r="H2201" s="143"/>
      <c r="I2201" t="s">
        <v>927</v>
      </c>
    </row>
    <row r="2202" spans="1:9" hidden="1" outlineLevel="1">
      <c r="A2202" s="465" t="s">
        <v>928</v>
      </c>
      <c r="B2202" s="544">
        <v>280061.826</v>
      </c>
      <c r="C2202" s="95">
        <v>0</v>
      </c>
      <c r="D2202" s="95">
        <v>0</v>
      </c>
      <c r="E2202" s="95">
        <f t="shared" si="72"/>
        <v>280061.826</v>
      </c>
      <c r="F2202" s="95">
        <v>0</v>
      </c>
      <c r="G2202" s="145">
        <f t="shared" si="73"/>
        <v>280061.826</v>
      </c>
      <c r="H2202" s="143"/>
      <c r="I2202" t="s">
        <v>929</v>
      </c>
    </row>
    <row r="2203" spans="1:9" hidden="1" outlineLevel="1">
      <c r="A2203" s="465" t="s">
        <v>930</v>
      </c>
      <c r="B2203" s="544">
        <v>558246.80450000009</v>
      </c>
      <c r="C2203" s="95">
        <v>0</v>
      </c>
      <c r="D2203" s="95">
        <v>0</v>
      </c>
      <c r="E2203" s="95">
        <f t="shared" si="72"/>
        <v>558246.80450000009</v>
      </c>
      <c r="F2203" s="95">
        <v>0</v>
      </c>
      <c r="G2203" s="145">
        <f t="shared" si="73"/>
        <v>558246.80450000009</v>
      </c>
      <c r="H2203" s="143"/>
      <c r="I2203" t="s">
        <v>931</v>
      </c>
    </row>
    <row r="2204" spans="1:9" hidden="1" outlineLevel="1">
      <c r="A2204" s="465" t="s">
        <v>932</v>
      </c>
      <c r="B2204" s="544">
        <v>59251.266250000008</v>
      </c>
      <c r="C2204" s="95">
        <v>0</v>
      </c>
      <c r="D2204" s="95">
        <v>0</v>
      </c>
      <c r="E2204" s="95">
        <f t="shared" si="72"/>
        <v>59251.266250000008</v>
      </c>
      <c r="F2204" s="95">
        <v>-600</v>
      </c>
      <c r="G2204" s="145">
        <f t="shared" si="73"/>
        <v>58651.266250000008</v>
      </c>
      <c r="H2204" s="143"/>
      <c r="I2204" t="s">
        <v>933</v>
      </c>
    </row>
    <row r="2205" spans="1:9" hidden="1" outlineLevel="1">
      <c r="A2205" s="465" t="s">
        <v>934</v>
      </c>
      <c r="B2205" s="544">
        <v>4595886.9440000001</v>
      </c>
      <c r="C2205" s="95">
        <v>-3697144</v>
      </c>
      <c r="D2205" s="95">
        <v>0</v>
      </c>
      <c r="E2205" s="95">
        <f t="shared" si="72"/>
        <v>898742.94400000013</v>
      </c>
      <c r="F2205" s="95">
        <v>0</v>
      </c>
      <c r="G2205" s="145">
        <f t="shared" si="73"/>
        <v>898742.94400000013</v>
      </c>
      <c r="H2205" s="143"/>
      <c r="I2205" t="s">
        <v>935</v>
      </c>
    </row>
    <row r="2206" spans="1:9" hidden="1" outlineLevel="1">
      <c r="A2206" s="465" t="s">
        <v>936</v>
      </c>
      <c r="B2206" s="544">
        <v>1573092.8565</v>
      </c>
      <c r="C2206" s="95">
        <v>0</v>
      </c>
      <c r="D2206" s="95">
        <v>0</v>
      </c>
      <c r="E2206" s="95">
        <f t="shared" ref="E2206:E2269" si="74">B2206+C2206+D2206</f>
        <v>1573092.8565</v>
      </c>
      <c r="F2206" s="95">
        <v>0</v>
      </c>
      <c r="G2206" s="145">
        <f t="shared" ref="G2206:G2269" si="75">E2206+F2206</f>
        <v>1573092.8565</v>
      </c>
      <c r="H2206" s="143"/>
      <c r="I2206" t="s">
        <v>937</v>
      </c>
    </row>
    <row r="2207" spans="1:9" hidden="1" outlineLevel="1">
      <c r="A2207" s="465" t="s">
        <v>938</v>
      </c>
      <c r="B2207" s="544">
        <v>90388.853500000012</v>
      </c>
      <c r="C2207" s="95">
        <v>0</v>
      </c>
      <c r="D2207" s="95">
        <v>0</v>
      </c>
      <c r="E2207" s="95">
        <f t="shared" si="74"/>
        <v>90388.853500000012</v>
      </c>
      <c r="F2207" s="95">
        <v>-17</v>
      </c>
      <c r="G2207" s="145">
        <f t="shared" si="75"/>
        <v>90371.853500000012</v>
      </c>
      <c r="H2207" s="143"/>
      <c r="I2207" t="s">
        <v>939</v>
      </c>
    </row>
    <row r="2208" spans="1:9" hidden="1" outlineLevel="1">
      <c r="A2208" s="465" t="s">
        <v>940</v>
      </c>
      <c r="B2208" s="544">
        <v>129946.71250000002</v>
      </c>
      <c r="C2208" s="95">
        <v>0</v>
      </c>
      <c r="D2208" s="95">
        <v>0</v>
      </c>
      <c r="E2208" s="95">
        <f t="shared" si="74"/>
        <v>129946.71250000002</v>
      </c>
      <c r="F2208" s="95">
        <v>0</v>
      </c>
      <c r="G2208" s="145">
        <f t="shared" si="75"/>
        <v>129946.71250000002</v>
      </c>
      <c r="H2208" s="143"/>
      <c r="I2208" t="s">
        <v>941</v>
      </c>
    </row>
    <row r="2209" spans="1:9" hidden="1" outlineLevel="1">
      <c r="A2209" s="465" t="s">
        <v>942</v>
      </c>
      <c r="B2209" s="544">
        <v>44219.912000000004</v>
      </c>
      <c r="C2209" s="95">
        <v>0</v>
      </c>
      <c r="D2209" s="95">
        <v>0</v>
      </c>
      <c r="E2209" s="95">
        <f t="shared" si="74"/>
        <v>44219.912000000004</v>
      </c>
      <c r="F2209" s="95">
        <v>0</v>
      </c>
      <c r="G2209" s="145">
        <f t="shared" si="75"/>
        <v>44219.912000000004</v>
      </c>
      <c r="H2209" s="143"/>
      <c r="I2209" t="s">
        <v>943</v>
      </c>
    </row>
    <row r="2210" spans="1:9" hidden="1" outlineLevel="1">
      <c r="A2210" s="465" t="s">
        <v>210</v>
      </c>
      <c r="B2210" s="544">
        <v>767731.42050000012</v>
      </c>
      <c r="C2210" s="95">
        <v>0</v>
      </c>
      <c r="D2210" s="95">
        <v>0</v>
      </c>
      <c r="E2210" s="95">
        <f t="shared" si="74"/>
        <v>767731.42050000012</v>
      </c>
      <c r="F2210" s="95">
        <v>0</v>
      </c>
      <c r="G2210" s="145">
        <f t="shared" si="75"/>
        <v>767731.42050000012</v>
      </c>
      <c r="H2210" s="143"/>
      <c r="I2210" t="s">
        <v>211</v>
      </c>
    </row>
    <row r="2211" spans="1:9" hidden="1" outlineLevel="1">
      <c r="A2211" s="465" t="s">
        <v>944</v>
      </c>
      <c r="B2211" s="544">
        <v>328879.03950000001</v>
      </c>
      <c r="C2211" s="95">
        <v>0</v>
      </c>
      <c r="D2211" s="95">
        <v>0</v>
      </c>
      <c r="E2211" s="95">
        <f t="shared" si="74"/>
        <v>328879.03950000001</v>
      </c>
      <c r="F2211" s="95">
        <v>1070</v>
      </c>
      <c r="G2211" s="145">
        <f t="shared" si="75"/>
        <v>329949.03950000001</v>
      </c>
      <c r="H2211" s="143"/>
      <c r="I2211" t="s">
        <v>945</v>
      </c>
    </row>
    <row r="2212" spans="1:9" hidden="1" outlineLevel="1">
      <c r="A2212" s="465" t="s">
        <v>946</v>
      </c>
      <c r="B2212" s="544">
        <v>87462.133000000002</v>
      </c>
      <c r="C2212" s="95">
        <v>0</v>
      </c>
      <c r="D2212" s="95">
        <v>0</v>
      </c>
      <c r="E2212" s="95">
        <f t="shared" si="74"/>
        <v>87462.133000000002</v>
      </c>
      <c r="F2212" s="95">
        <v>0</v>
      </c>
      <c r="G2212" s="145">
        <f t="shared" si="75"/>
        <v>87462.133000000002</v>
      </c>
      <c r="H2212" s="143"/>
      <c r="I2212" t="s">
        <v>947</v>
      </c>
    </row>
    <row r="2213" spans="1:9" hidden="1" outlineLevel="1">
      <c r="A2213" s="465" t="s">
        <v>948</v>
      </c>
      <c r="B2213" s="544">
        <v>31347.423250000003</v>
      </c>
      <c r="C2213" s="95">
        <v>0</v>
      </c>
      <c r="D2213" s="95">
        <v>0</v>
      </c>
      <c r="E2213" s="95">
        <f t="shared" si="74"/>
        <v>31347.423250000003</v>
      </c>
      <c r="F2213" s="95">
        <v>0</v>
      </c>
      <c r="G2213" s="145">
        <f t="shared" si="75"/>
        <v>31347.423250000003</v>
      </c>
      <c r="H2213" s="143"/>
      <c r="I2213" t="s">
        <v>949</v>
      </c>
    </row>
    <row r="2214" spans="1:9" hidden="1" outlineLevel="1">
      <c r="A2214" s="465" t="s">
        <v>950</v>
      </c>
      <c r="B2214" s="544">
        <v>64375.553000000007</v>
      </c>
      <c r="C2214" s="95">
        <v>0</v>
      </c>
      <c r="D2214" s="95">
        <v>0</v>
      </c>
      <c r="E2214" s="95">
        <f t="shared" si="74"/>
        <v>64375.553000000007</v>
      </c>
      <c r="F2214" s="95">
        <v>0</v>
      </c>
      <c r="G2214" s="145">
        <f t="shared" si="75"/>
        <v>64375.553000000007</v>
      </c>
      <c r="H2214" s="143"/>
      <c r="I2214" t="s">
        <v>951</v>
      </c>
    </row>
    <row r="2215" spans="1:9" hidden="1" outlineLevel="1">
      <c r="A2215" s="465" t="s">
        <v>952</v>
      </c>
      <c r="B2215" s="544">
        <v>175549.81675</v>
      </c>
      <c r="C2215" s="95">
        <v>0</v>
      </c>
      <c r="D2215" s="95">
        <v>0</v>
      </c>
      <c r="E2215" s="95">
        <f t="shared" si="74"/>
        <v>175549.81675</v>
      </c>
      <c r="F2215" s="95">
        <v>0</v>
      </c>
      <c r="G2215" s="145">
        <f t="shared" si="75"/>
        <v>175549.81675</v>
      </c>
      <c r="H2215" s="143"/>
      <c r="I2215" t="s">
        <v>953</v>
      </c>
    </row>
    <row r="2216" spans="1:9" hidden="1" outlineLevel="1">
      <c r="A2216" s="465" t="s">
        <v>954</v>
      </c>
      <c r="B2216" s="544">
        <v>397346.75750000001</v>
      </c>
      <c r="C2216" s="95">
        <v>0</v>
      </c>
      <c r="D2216" s="95">
        <v>0</v>
      </c>
      <c r="E2216" s="95">
        <f t="shared" si="74"/>
        <v>397346.75750000001</v>
      </c>
      <c r="F2216" s="95">
        <v>0</v>
      </c>
      <c r="G2216" s="145">
        <f t="shared" si="75"/>
        <v>397346.75750000001</v>
      </c>
      <c r="H2216" s="143"/>
      <c r="I2216" t="s">
        <v>955</v>
      </c>
    </row>
    <row r="2217" spans="1:9" hidden="1" outlineLevel="1">
      <c r="A2217" s="465" t="s">
        <v>956</v>
      </c>
      <c r="B2217" s="544">
        <v>98383.298750000002</v>
      </c>
      <c r="C2217" s="95">
        <v>0</v>
      </c>
      <c r="D2217" s="95">
        <v>0</v>
      </c>
      <c r="E2217" s="95">
        <f t="shared" si="74"/>
        <v>98383.298750000002</v>
      </c>
      <c r="F2217" s="95">
        <v>0</v>
      </c>
      <c r="G2217" s="145">
        <f t="shared" si="75"/>
        <v>98383.298750000002</v>
      </c>
      <c r="H2217" s="143"/>
      <c r="I2217" t="s">
        <v>957</v>
      </c>
    </row>
    <row r="2218" spans="1:9" hidden="1" outlineLevel="1">
      <c r="A2218" s="465" t="s">
        <v>958</v>
      </c>
      <c r="B2218" s="544">
        <v>279499.37950000004</v>
      </c>
      <c r="C2218" s="95">
        <v>0</v>
      </c>
      <c r="D2218" s="95">
        <v>0</v>
      </c>
      <c r="E2218" s="95">
        <f t="shared" si="74"/>
        <v>279499.37950000004</v>
      </c>
      <c r="F2218" s="95">
        <v>-684</v>
      </c>
      <c r="G2218" s="145">
        <f t="shared" si="75"/>
        <v>278815.37950000004</v>
      </c>
      <c r="H2218" s="143"/>
      <c r="I2218" t="s">
        <v>959</v>
      </c>
    </row>
    <row r="2219" spans="1:9" hidden="1" outlineLevel="1">
      <c r="A2219" s="465" t="s">
        <v>960</v>
      </c>
      <c r="B2219" s="544">
        <v>299497.12100000004</v>
      </c>
      <c r="C2219" s="95">
        <v>0</v>
      </c>
      <c r="D2219" s="95">
        <v>0</v>
      </c>
      <c r="E2219" s="95">
        <f t="shared" si="74"/>
        <v>299497.12100000004</v>
      </c>
      <c r="F2219" s="95">
        <v>0</v>
      </c>
      <c r="G2219" s="145">
        <f t="shared" si="75"/>
        <v>299497.12100000004</v>
      </c>
      <c r="H2219" s="143"/>
      <c r="I2219" t="s">
        <v>961</v>
      </c>
    </row>
    <row r="2220" spans="1:9" hidden="1" outlineLevel="1">
      <c r="A2220" s="465" t="s">
        <v>962</v>
      </c>
      <c r="B2220" s="544">
        <v>372542.22499999998</v>
      </c>
      <c r="C2220" s="95">
        <v>0</v>
      </c>
      <c r="D2220" s="95">
        <v>0</v>
      </c>
      <c r="E2220" s="95">
        <f t="shared" si="74"/>
        <v>372542.22499999998</v>
      </c>
      <c r="F2220" s="95">
        <v>4037</v>
      </c>
      <c r="G2220" s="145">
        <f t="shared" si="75"/>
        <v>376579.22499999998</v>
      </c>
      <c r="H2220" s="143"/>
      <c r="I2220" t="s">
        <v>963</v>
      </c>
    </row>
    <row r="2221" spans="1:9" hidden="1" outlineLevel="1">
      <c r="A2221" s="465" t="s">
        <v>1869</v>
      </c>
      <c r="B2221" s="544">
        <v>13005.256000000001</v>
      </c>
      <c r="C2221" s="95">
        <v>0</v>
      </c>
      <c r="D2221" s="95">
        <v>0</v>
      </c>
      <c r="E2221" s="95">
        <f t="shared" si="74"/>
        <v>13005.256000000001</v>
      </c>
      <c r="F2221" s="95">
        <v>0</v>
      </c>
      <c r="G2221" s="145">
        <f t="shared" si="75"/>
        <v>13005.256000000001</v>
      </c>
      <c r="H2221" s="143"/>
      <c r="I2221" t="s">
        <v>1870</v>
      </c>
    </row>
    <row r="2222" spans="1:9" hidden="1" outlineLevel="1">
      <c r="A2222" s="465" t="s">
        <v>964</v>
      </c>
      <c r="B2222" s="544">
        <v>732743.26675000007</v>
      </c>
      <c r="C2222" s="95">
        <v>-1095</v>
      </c>
      <c r="D2222" s="95">
        <v>0</v>
      </c>
      <c r="E2222" s="95">
        <f t="shared" si="74"/>
        <v>731648.26675000007</v>
      </c>
      <c r="F2222" s="95">
        <v>0</v>
      </c>
      <c r="G2222" s="145">
        <f t="shared" si="75"/>
        <v>731648.26675000007</v>
      </c>
      <c r="H2222" s="143"/>
      <c r="I2222" t="s">
        <v>965</v>
      </c>
    </row>
    <row r="2223" spans="1:9" hidden="1" outlineLevel="1">
      <c r="A2223" s="465" t="s">
        <v>1871</v>
      </c>
      <c r="B2223" s="544">
        <v>0</v>
      </c>
      <c r="C2223" s="95">
        <v>0</v>
      </c>
      <c r="D2223" s="95">
        <v>0</v>
      </c>
      <c r="E2223" s="95">
        <f t="shared" si="74"/>
        <v>0</v>
      </c>
      <c r="F2223" s="95">
        <v>0</v>
      </c>
      <c r="G2223" s="145">
        <f t="shared" si="75"/>
        <v>0</v>
      </c>
      <c r="H2223" s="143"/>
      <c r="I2223" t="s">
        <v>1872</v>
      </c>
    </row>
    <row r="2224" spans="1:9" hidden="1" outlineLevel="1">
      <c r="A2224" s="465" t="s">
        <v>966</v>
      </c>
      <c r="B2224" s="544">
        <v>44223.72625</v>
      </c>
      <c r="C2224" s="95">
        <v>0</v>
      </c>
      <c r="D2224" s="95">
        <v>0</v>
      </c>
      <c r="E2224" s="95">
        <f t="shared" si="74"/>
        <v>44223.72625</v>
      </c>
      <c r="F2224" s="95">
        <v>-167</v>
      </c>
      <c r="G2224" s="145">
        <f t="shared" si="75"/>
        <v>44056.72625</v>
      </c>
      <c r="H2224" s="143"/>
      <c r="I2224" t="s">
        <v>967</v>
      </c>
    </row>
    <row r="2225" spans="1:9" hidden="1" outlineLevel="1">
      <c r="A2225" s="465" t="s">
        <v>968</v>
      </c>
      <c r="B2225" s="544">
        <v>124900.48725000002</v>
      </c>
      <c r="C2225" s="95">
        <v>0</v>
      </c>
      <c r="D2225" s="95">
        <v>0</v>
      </c>
      <c r="E2225" s="95">
        <f t="shared" si="74"/>
        <v>124900.48725000002</v>
      </c>
      <c r="F2225" s="95">
        <v>0</v>
      </c>
      <c r="G2225" s="145">
        <f t="shared" si="75"/>
        <v>124900.48725000002</v>
      </c>
      <c r="H2225" s="143"/>
      <c r="I2225" t="s">
        <v>969</v>
      </c>
    </row>
    <row r="2226" spans="1:9" hidden="1" outlineLevel="1">
      <c r="A2226" s="465" t="s">
        <v>1873</v>
      </c>
      <c r="B2226" s="544">
        <v>17410.511250000003</v>
      </c>
      <c r="C2226" s="95">
        <v>0</v>
      </c>
      <c r="D2226" s="95">
        <v>0</v>
      </c>
      <c r="E2226" s="95">
        <f t="shared" si="74"/>
        <v>17410.511250000003</v>
      </c>
      <c r="F2226" s="95">
        <v>0</v>
      </c>
      <c r="G2226" s="145">
        <f t="shared" si="75"/>
        <v>17410.511250000003</v>
      </c>
      <c r="H2226" s="143"/>
      <c r="I2226" t="s">
        <v>1874</v>
      </c>
    </row>
    <row r="2227" spans="1:9" hidden="1" outlineLevel="1">
      <c r="A2227" s="465" t="s">
        <v>970</v>
      </c>
      <c r="B2227" s="544">
        <v>72264.505500000014</v>
      </c>
      <c r="C2227" s="95">
        <v>0</v>
      </c>
      <c r="D2227" s="95">
        <v>0</v>
      </c>
      <c r="E2227" s="95">
        <f t="shared" si="74"/>
        <v>72264.505500000014</v>
      </c>
      <c r="F2227" s="95">
        <v>0</v>
      </c>
      <c r="G2227" s="145">
        <f t="shared" si="75"/>
        <v>72264.505500000014</v>
      </c>
      <c r="H2227" s="143"/>
      <c r="I2227" t="s">
        <v>971</v>
      </c>
    </row>
    <row r="2228" spans="1:9" hidden="1" outlineLevel="1">
      <c r="A2228" s="465" t="s">
        <v>972</v>
      </c>
      <c r="B2228" s="544">
        <v>1377484.11625</v>
      </c>
      <c r="C2228" s="95">
        <v>0</v>
      </c>
      <c r="D2228" s="95">
        <v>0</v>
      </c>
      <c r="E2228" s="95">
        <f t="shared" si="74"/>
        <v>1377484.11625</v>
      </c>
      <c r="F2228" s="95">
        <v>0</v>
      </c>
      <c r="G2228" s="145">
        <f t="shared" si="75"/>
        <v>1377484.11625</v>
      </c>
      <c r="H2228" s="143"/>
      <c r="I2228" t="s">
        <v>973</v>
      </c>
    </row>
    <row r="2229" spans="1:9" hidden="1" outlineLevel="1">
      <c r="A2229" s="465" t="s">
        <v>974</v>
      </c>
      <c r="B2229" s="544">
        <v>2564167.4932500003</v>
      </c>
      <c r="C2229" s="95">
        <v>-2857</v>
      </c>
      <c r="D2229" s="95">
        <v>0</v>
      </c>
      <c r="E2229" s="95">
        <f t="shared" si="74"/>
        <v>2561310.4932500003</v>
      </c>
      <c r="F2229" s="95">
        <v>0</v>
      </c>
      <c r="G2229" s="145">
        <f t="shared" si="75"/>
        <v>2561310.4932500003</v>
      </c>
      <c r="H2229" s="143"/>
      <c r="I2229" t="s">
        <v>975</v>
      </c>
    </row>
    <row r="2230" spans="1:9" hidden="1" outlineLevel="1">
      <c r="A2230" s="465" t="s">
        <v>976</v>
      </c>
      <c r="B2230" s="544">
        <v>310484.37200000003</v>
      </c>
      <c r="C2230" s="95">
        <v>0</v>
      </c>
      <c r="D2230" s="95">
        <v>0</v>
      </c>
      <c r="E2230" s="95">
        <f t="shared" si="74"/>
        <v>310484.37200000003</v>
      </c>
      <c r="F2230" s="95">
        <v>4815</v>
      </c>
      <c r="G2230" s="145">
        <f t="shared" si="75"/>
        <v>315299.37200000003</v>
      </c>
      <c r="H2230" s="143"/>
      <c r="I2230" t="s">
        <v>977</v>
      </c>
    </row>
    <row r="2231" spans="1:9" hidden="1" outlineLevel="1">
      <c r="A2231" s="465" t="s">
        <v>978</v>
      </c>
      <c r="B2231" s="544">
        <v>406753.95750000002</v>
      </c>
      <c r="C2231" s="95">
        <v>0</v>
      </c>
      <c r="D2231" s="95">
        <v>0</v>
      </c>
      <c r="E2231" s="95">
        <f t="shared" si="74"/>
        <v>406753.95750000002</v>
      </c>
      <c r="F2231" s="95">
        <v>0</v>
      </c>
      <c r="G2231" s="145">
        <f t="shared" si="75"/>
        <v>406753.95750000002</v>
      </c>
      <c r="H2231" s="143"/>
      <c r="I2231" t="s">
        <v>979</v>
      </c>
    </row>
    <row r="2232" spans="1:9" hidden="1" outlineLevel="1">
      <c r="A2232" s="465" t="s">
        <v>980</v>
      </c>
      <c r="B2232" s="544">
        <v>784490.43200000003</v>
      </c>
      <c r="C2232" s="95">
        <v>0</v>
      </c>
      <c r="D2232" s="95">
        <v>0</v>
      </c>
      <c r="E2232" s="95">
        <f t="shared" si="74"/>
        <v>784490.43200000003</v>
      </c>
      <c r="F2232" s="95">
        <v>0</v>
      </c>
      <c r="G2232" s="145">
        <f t="shared" si="75"/>
        <v>784490.43200000003</v>
      </c>
      <c r="H2232" s="143"/>
      <c r="I2232" t="s">
        <v>981</v>
      </c>
    </row>
    <row r="2233" spans="1:9" hidden="1" outlineLevel="1">
      <c r="A2233" s="465" t="s">
        <v>982</v>
      </c>
      <c r="B2233" s="544">
        <v>61539.687000000005</v>
      </c>
      <c r="C2233" s="95">
        <v>0</v>
      </c>
      <c r="D2233" s="95">
        <v>0</v>
      </c>
      <c r="E2233" s="95">
        <f t="shared" si="74"/>
        <v>61539.687000000005</v>
      </c>
      <c r="F2233" s="95">
        <v>-9</v>
      </c>
      <c r="G2233" s="145">
        <f t="shared" si="75"/>
        <v>61530.687000000005</v>
      </c>
      <c r="H2233" s="143"/>
      <c r="I2233" t="s">
        <v>983</v>
      </c>
    </row>
    <row r="2234" spans="1:9" hidden="1" outlineLevel="1">
      <c r="A2234" s="465" t="s">
        <v>984</v>
      </c>
      <c r="B2234" s="544">
        <v>426066.58875</v>
      </c>
      <c r="C2234" s="95">
        <v>0</v>
      </c>
      <c r="D2234" s="95">
        <v>0</v>
      </c>
      <c r="E2234" s="95">
        <f t="shared" si="74"/>
        <v>426066.58875</v>
      </c>
      <c r="F2234" s="95">
        <v>-16522</v>
      </c>
      <c r="G2234" s="145">
        <f t="shared" si="75"/>
        <v>409544.58875</v>
      </c>
      <c r="H2234" s="143"/>
      <c r="I2234" t="s">
        <v>985</v>
      </c>
    </row>
    <row r="2235" spans="1:9" hidden="1" outlineLevel="1">
      <c r="A2235" s="465" t="s">
        <v>986</v>
      </c>
      <c r="B2235" s="544">
        <v>130192.13900000001</v>
      </c>
      <c r="C2235" s="95">
        <v>0</v>
      </c>
      <c r="D2235" s="95">
        <v>0</v>
      </c>
      <c r="E2235" s="95">
        <f t="shared" si="74"/>
        <v>130192.13900000001</v>
      </c>
      <c r="F2235" s="95">
        <v>-25</v>
      </c>
      <c r="G2235" s="145">
        <f t="shared" si="75"/>
        <v>130167.13900000001</v>
      </c>
      <c r="H2235" s="143"/>
      <c r="I2235" t="s">
        <v>987</v>
      </c>
    </row>
    <row r="2236" spans="1:9" hidden="1" outlineLevel="1">
      <c r="A2236" s="465" t="s">
        <v>988</v>
      </c>
      <c r="B2236" s="544">
        <v>467244.40950000001</v>
      </c>
      <c r="C2236" s="95">
        <v>0</v>
      </c>
      <c r="D2236" s="95">
        <v>0</v>
      </c>
      <c r="E2236" s="95">
        <f t="shared" si="74"/>
        <v>467244.40950000001</v>
      </c>
      <c r="F2236" s="95">
        <v>0</v>
      </c>
      <c r="G2236" s="145">
        <f t="shared" si="75"/>
        <v>467244.40950000001</v>
      </c>
      <c r="H2236" s="143"/>
      <c r="I2236" t="s">
        <v>989</v>
      </c>
    </row>
    <row r="2237" spans="1:9" hidden="1" outlineLevel="1">
      <c r="A2237" s="465" t="s">
        <v>990</v>
      </c>
      <c r="B2237" s="544">
        <v>107655.8505</v>
      </c>
      <c r="C2237" s="95">
        <v>0</v>
      </c>
      <c r="D2237" s="95">
        <v>0</v>
      </c>
      <c r="E2237" s="95">
        <f t="shared" si="74"/>
        <v>107655.8505</v>
      </c>
      <c r="F2237" s="95">
        <v>0</v>
      </c>
      <c r="G2237" s="145">
        <f t="shared" si="75"/>
        <v>107655.8505</v>
      </c>
      <c r="H2237" s="143"/>
      <c r="I2237" t="s">
        <v>991</v>
      </c>
    </row>
    <row r="2238" spans="1:9" hidden="1" outlineLevel="1">
      <c r="A2238" s="465" t="s">
        <v>992</v>
      </c>
      <c r="B2238" s="544">
        <v>170478.39050000001</v>
      </c>
      <c r="C2238" s="95">
        <v>0</v>
      </c>
      <c r="D2238" s="95">
        <v>0</v>
      </c>
      <c r="E2238" s="95">
        <f t="shared" si="74"/>
        <v>170478.39050000001</v>
      </c>
      <c r="F2238" s="95">
        <v>0</v>
      </c>
      <c r="G2238" s="145">
        <f t="shared" si="75"/>
        <v>170478.39050000001</v>
      </c>
      <c r="H2238" s="143"/>
      <c r="I2238" t="s">
        <v>993</v>
      </c>
    </row>
    <row r="2239" spans="1:9" hidden="1" outlineLevel="1">
      <c r="A2239" s="465" t="s">
        <v>994</v>
      </c>
      <c r="B2239" s="544">
        <v>103941.48325</v>
      </c>
      <c r="C2239" s="95">
        <v>0</v>
      </c>
      <c r="D2239" s="95">
        <v>0</v>
      </c>
      <c r="E2239" s="95">
        <f t="shared" si="74"/>
        <v>103941.48325</v>
      </c>
      <c r="F2239" s="95">
        <v>0</v>
      </c>
      <c r="G2239" s="145">
        <f t="shared" si="75"/>
        <v>103941.48325</v>
      </c>
      <c r="H2239" s="143"/>
      <c r="I2239" t="s">
        <v>995</v>
      </c>
    </row>
    <row r="2240" spans="1:9" hidden="1" outlineLevel="1">
      <c r="A2240" s="465" t="s">
        <v>996</v>
      </c>
      <c r="B2240" s="544">
        <v>41352.192750000002</v>
      </c>
      <c r="C2240" s="95">
        <v>0</v>
      </c>
      <c r="D2240" s="95">
        <v>0</v>
      </c>
      <c r="E2240" s="95">
        <f t="shared" si="74"/>
        <v>41352.192750000002</v>
      </c>
      <c r="F2240" s="95">
        <v>0</v>
      </c>
      <c r="G2240" s="145">
        <f t="shared" si="75"/>
        <v>41352.192750000002</v>
      </c>
      <c r="H2240" s="143"/>
      <c r="I2240" t="s">
        <v>997</v>
      </c>
    </row>
    <row r="2241" spans="1:9" hidden="1" outlineLevel="1">
      <c r="A2241" s="465" t="s">
        <v>998</v>
      </c>
      <c r="B2241" s="544">
        <v>31867.797500000004</v>
      </c>
      <c r="C2241" s="95">
        <v>0</v>
      </c>
      <c r="D2241" s="95">
        <v>0</v>
      </c>
      <c r="E2241" s="95">
        <f t="shared" si="74"/>
        <v>31867.797500000004</v>
      </c>
      <c r="F2241" s="95">
        <v>-82</v>
      </c>
      <c r="G2241" s="145">
        <f t="shared" si="75"/>
        <v>31785.797500000004</v>
      </c>
      <c r="H2241" s="143"/>
      <c r="I2241" t="s">
        <v>999</v>
      </c>
    </row>
    <row r="2242" spans="1:9" hidden="1" outlineLevel="1">
      <c r="A2242" s="465" t="s">
        <v>1000</v>
      </c>
      <c r="B2242" s="544">
        <v>56428.787250000008</v>
      </c>
      <c r="C2242" s="95">
        <v>0</v>
      </c>
      <c r="D2242" s="95">
        <v>0</v>
      </c>
      <c r="E2242" s="95">
        <f t="shared" si="74"/>
        <v>56428.787250000008</v>
      </c>
      <c r="F2242" s="95">
        <v>0</v>
      </c>
      <c r="G2242" s="145">
        <f t="shared" si="75"/>
        <v>56428.787250000008</v>
      </c>
      <c r="H2242" s="143"/>
      <c r="I2242" t="s">
        <v>1001</v>
      </c>
    </row>
    <row r="2243" spans="1:9" hidden="1" outlineLevel="1">
      <c r="A2243" s="465" t="s">
        <v>1002</v>
      </c>
      <c r="B2243" s="544">
        <v>260805.93275000004</v>
      </c>
      <c r="C2243" s="95">
        <v>0</v>
      </c>
      <c r="D2243" s="95">
        <v>0</v>
      </c>
      <c r="E2243" s="95">
        <f t="shared" si="74"/>
        <v>260805.93275000004</v>
      </c>
      <c r="F2243" s="95">
        <v>788</v>
      </c>
      <c r="G2243" s="145">
        <f t="shared" si="75"/>
        <v>261593.93275000004</v>
      </c>
      <c r="H2243" s="143"/>
      <c r="I2243" t="s">
        <v>1003</v>
      </c>
    </row>
    <row r="2244" spans="1:9" hidden="1" outlineLevel="1">
      <c r="A2244" s="465" t="s">
        <v>1004</v>
      </c>
      <c r="B2244" s="544">
        <v>122924.64525</v>
      </c>
      <c r="C2244" s="95">
        <v>0</v>
      </c>
      <c r="D2244" s="95">
        <v>0</v>
      </c>
      <c r="E2244" s="95">
        <f t="shared" si="74"/>
        <v>122924.64525</v>
      </c>
      <c r="F2244" s="95">
        <v>0</v>
      </c>
      <c r="G2244" s="145">
        <f t="shared" si="75"/>
        <v>122924.64525</v>
      </c>
      <c r="H2244" s="143"/>
      <c r="I2244" t="s">
        <v>1005</v>
      </c>
    </row>
    <row r="2245" spans="1:9" hidden="1" outlineLevel="1">
      <c r="A2245" s="465" t="s">
        <v>1006</v>
      </c>
      <c r="B2245" s="544">
        <v>145213.61525</v>
      </c>
      <c r="C2245" s="95">
        <v>0</v>
      </c>
      <c r="D2245" s="95">
        <v>0</v>
      </c>
      <c r="E2245" s="95">
        <f t="shared" si="74"/>
        <v>145213.61525</v>
      </c>
      <c r="F2245" s="95">
        <v>-27</v>
      </c>
      <c r="G2245" s="145">
        <f t="shared" si="75"/>
        <v>145186.61525</v>
      </c>
      <c r="H2245" s="143"/>
      <c r="I2245" t="s">
        <v>1007</v>
      </c>
    </row>
    <row r="2246" spans="1:9" hidden="1" outlineLevel="1">
      <c r="A2246" s="465" t="s">
        <v>1008</v>
      </c>
      <c r="B2246" s="544">
        <v>38888.063500000004</v>
      </c>
      <c r="C2246" s="95">
        <v>0</v>
      </c>
      <c r="D2246" s="95">
        <v>0</v>
      </c>
      <c r="E2246" s="95">
        <f t="shared" si="74"/>
        <v>38888.063500000004</v>
      </c>
      <c r="F2246" s="95">
        <v>-116</v>
      </c>
      <c r="G2246" s="145">
        <f t="shared" si="75"/>
        <v>38772.063500000004</v>
      </c>
      <c r="H2246" s="143"/>
      <c r="I2246" t="s">
        <v>1009</v>
      </c>
    </row>
    <row r="2247" spans="1:9" hidden="1" outlineLevel="1">
      <c r="A2247" s="465" t="s">
        <v>1010</v>
      </c>
      <c r="B2247" s="544">
        <v>47588.348500000007</v>
      </c>
      <c r="C2247" s="95">
        <v>0</v>
      </c>
      <c r="D2247" s="95">
        <v>0</v>
      </c>
      <c r="E2247" s="95">
        <f t="shared" si="74"/>
        <v>47588.348500000007</v>
      </c>
      <c r="F2247" s="95">
        <v>-169</v>
      </c>
      <c r="G2247" s="145">
        <f t="shared" si="75"/>
        <v>47419.348500000007</v>
      </c>
      <c r="H2247" s="143"/>
      <c r="I2247" t="s">
        <v>1011</v>
      </c>
    </row>
    <row r="2248" spans="1:9" hidden="1" outlineLevel="1">
      <c r="A2248" s="465" t="s">
        <v>1012</v>
      </c>
      <c r="B2248" s="544">
        <v>15897.070750000003</v>
      </c>
      <c r="C2248" s="95">
        <v>0</v>
      </c>
      <c r="D2248" s="95">
        <v>0</v>
      </c>
      <c r="E2248" s="95">
        <f t="shared" si="74"/>
        <v>15897.070750000003</v>
      </c>
      <c r="F2248" s="95">
        <v>0</v>
      </c>
      <c r="G2248" s="145">
        <f t="shared" si="75"/>
        <v>15897.070750000003</v>
      </c>
      <c r="H2248" s="143"/>
      <c r="I2248" t="s">
        <v>1013</v>
      </c>
    </row>
    <row r="2249" spans="1:9" hidden="1" outlineLevel="1">
      <c r="A2249" s="465" t="s">
        <v>1014</v>
      </c>
      <c r="B2249" s="544">
        <v>139766.06050000002</v>
      </c>
      <c r="C2249" s="95">
        <v>0</v>
      </c>
      <c r="D2249" s="95">
        <v>0</v>
      </c>
      <c r="E2249" s="95">
        <f t="shared" si="74"/>
        <v>139766.06050000002</v>
      </c>
      <c r="F2249" s="95">
        <v>-1284</v>
      </c>
      <c r="G2249" s="145">
        <f t="shared" si="75"/>
        <v>138482.06050000002</v>
      </c>
      <c r="H2249" s="143"/>
      <c r="I2249" t="s">
        <v>1015</v>
      </c>
    </row>
    <row r="2250" spans="1:9" hidden="1" outlineLevel="1">
      <c r="A2250" s="465" t="s">
        <v>1016</v>
      </c>
      <c r="B2250" s="544">
        <v>19897.985250000002</v>
      </c>
      <c r="C2250" s="95">
        <v>0</v>
      </c>
      <c r="D2250" s="95">
        <v>0</v>
      </c>
      <c r="E2250" s="95">
        <f t="shared" si="74"/>
        <v>19897.985250000002</v>
      </c>
      <c r="F2250" s="95">
        <v>0</v>
      </c>
      <c r="G2250" s="145">
        <f t="shared" si="75"/>
        <v>19897.985250000002</v>
      </c>
      <c r="H2250" s="143"/>
      <c r="I2250" t="s">
        <v>1017</v>
      </c>
    </row>
    <row r="2251" spans="1:9" hidden="1" outlineLevel="1">
      <c r="A2251" s="465" t="s">
        <v>1018</v>
      </c>
      <c r="B2251" s="544">
        <v>178508.17874999999</v>
      </c>
      <c r="C2251" s="95">
        <v>0</v>
      </c>
      <c r="D2251" s="95">
        <v>0</v>
      </c>
      <c r="E2251" s="95">
        <f t="shared" si="74"/>
        <v>178508.17874999999</v>
      </c>
      <c r="F2251" s="95">
        <v>0</v>
      </c>
      <c r="G2251" s="145">
        <f t="shared" si="75"/>
        <v>178508.17874999999</v>
      </c>
      <c r="H2251" s="143"/>
      <c r="I2251" t="s">
        <v>1019</v>
      </c>
    </row>
    <row r="2252" spans="1:9" hidden="1" outlineLevel="1">
      <c r="A2252" s="465" t="s">
        <v>1020</v>
      </c>
      <c r="B2252" s="544">
        <v>239432.16275000002</v>
      </c>
      <c r="C2252" s="95">
        <v>0</v>
      </c>
      <c r="D2252" s="95">
        <v>0</v>
      </c>
      <c r="E2252" s="95">
        <f t="shared" si="74"/>
        <v>239432.16275000002</v>
      </c>
      <c r="F2252" s="95">
        <v>0</v>
      </c>
      <c r="G2252" s="145">
        <f t="shared" si="75"/>
        <v>239432.16275000002</v>
      </c>
      <c r="H2252" s="143"/>
      <c r="I2252" t="s">
        <v>1021</v>
      </c>
    </row>
    <row r="2253" spans="1:9" hidden="1" outlineLevel="1">
      <c r="A2253" s="465" t="s">
        <v>1022</v>
      </c>
      <c r="B2253" s="544">
        <v>658336.56350000005</v>
      </c>
      <c r="C2253" s="95">
        <v>-13886</v>
      </c>
      <c r="D2253" s="95">
        <v>0</v>
      </c>
      <c r="E2253" s="95">
        <f t="shared" si="74"/>
        <v>644450.56350000005</v>
      </c>
      <c r="F2253" s="95">
        <v>-7970</v>
      </c>
      <c r="G2253" s="145">
        <f t="shared" si="75"/>
        <v>636480.56350000005</v>
      </c>
      <c r="H2253" s="143"/>
      <c r="I2253" t="s">
        <v>1023</v>
      </c>
    </row>
    <row r="2254" spans="1:9" hidden="1" outlineLevel="1">
      <c r="A2254" s="465" t="s">
        <v>1024</v>
      </c>
      <c r="B2254" s="544">
        <v>2150727.51425</v>
      </c>
      <c r="C2254" s="95">
        <v>0</v>
      </c>
      <c r="D2254" s="95">
        <v>0</v>
      </c>
      <c r="E2254" s="95">
        <f t="shared" si="74"/>
        <v>2150727.51425</v>
      </c>
      <c r="F2254" s="95">
        <v>-8221</v>
      </c>
      <c r="G2254" s="145">
        <f t="shared" si="75"/>
        <v>2142506.51425</v>
      </c>
      <c r="H2254" s="143"/>
      <c r="I2254" t="s">
        <v>1025</v>
      </c>
    </row>
    <row r="2255" spans="1:9" hidden="1" outlineLevel="1">
      <c r="A2255" s="465" t="s">
        <v>1026</v>
      </c>
      <c r="B2255" s="544">
        <v>231038.01875000005</v>
      </c>
      <c r="C2255" s="95">
        <v>0</v>
      </c>
      <c r="D2255" s="95">
        <v>0</v>
      </c>
      <c r="E2255" s="95">
        <f t="shared" si="74"/>
        <v>231038.01875000005</v>
      </c>
      <c r="F2255" s="95">
        <v>0</v>
      </c>
      <c r="G2255" s="145">
        <f t="shared" si="75"/>
        <v>231038.01875000005</v>
      </c>
      <c r="H2255" s="143"/>
      <c r="I2255" t="s">
        <v>1027</v>
      </c>
    </row>
    <row r="2256" spans="1:9" hidden="1" outlineLevel="1">
      <c r="A2256" s="465" t="s">
        <v>1028</v>
      </c>
      <c r="B2256" s="544">
        <v>48209.859499999999</v>
      </c>
      <c r="C2256" s="95">
        <v>0</v>
      </c>
      <c r="D2256" s="95">
        <v>0</v>
      </c>
      <c r="E2256" s="95">
        <f t="shared" si="74"/>
        <v>48209.859499999999</v>
      </c>
      <c r="F2256" s="95">
        <v>0</v>
      </c>
      <c r="G2256" s="145">
        <f t="shared" si="75"/>
        <v>48209.859499999999</v>
      </c>
      <c r="H2256" s="143"/>
      <c r="I2256" t="s">
        <v>1029</v>
      </c>
    </row>
    <row r="2257" spans="1:9" hidden="1" outlineLevel="1">
      <c r="A2257" s="465" t="s">
        <v>1030</v>
      </c>
      <c r="B2257" s="544">
        <v>1658984.4314999999</v>
      </c>
      <c r="C2257" s="95">
        <v>0</v>
      </c>
      <c r="D2257" s="95">
        <v>0</v>
      </c>
      <c r="E2257" s="95">
        <f t="shared" si="74"/>
        <v>1658984.4314999999</v>
      </c>
      <c r="F2257" s="95">
        <v>0</v>
      </c>
      <c r="G2257" s="145">
        <f t="shared" si="75"/>
        <v>1658984.4314999999</v>
      </c>
      <c r="H2257" s="143"/>
      <c r="I2257" t="s">
        <v>1031</v>
      </c>
    </row>
    <row r="2258" spans="1:9" hidden="1" outlineLevel="1">
      <c r="A2258" s="465" t="s">
        <v>1032</v>
      </c>
      <c r="B2258" s="544">
        <v>27785.799250000004</v>
      </c>
      <c r="C2258" s="95">
        <v>0</v>
      </c>
      <c r="D2258" s="95">
        <v>0</v>
      </c>
      <c r="E2258" s="95">
        <f t="shared" si="74"/>
        <v>27785.799250000004</v>
      </c>
      <c r="F2258" s="95">
        <v>0</v>
      </c>
      <c r="G2258" s="145">
        <f t="shared" si="75"/>
        <v>27785.799250000004</v>
      </c>
      <c r="H2258" s="143"/>
      <c r="I2258" t="s">
        <v>1033</v>
      </c>
    </row>
    <row r="2259" spans="1:9" hidden="1" outlineLevel="1">
      <c r="A2259" s="465" t="s">
        <v>1034</v>
      </c>
      <c r="B2259" s="544">
        <v>21403.47</v>
      </c>
      <c r="C2259" s="95">
        <v>0</v>
      </c>
      <c r="D2259" s="95">
        <v>0</v>
      </c>
      <c r="E2259" s="95">
        <f t="shared" si="74"/>
        <v>21403.47</v>
      </c>
      <c r="F2259" s="95">
        <v>0</v>
      </c>
      <c r="G2259" s="145">
        <f t="shared" si="75"/>
        <v>21403.47</v>
      </c>
      <c r="H2259" s="143"/>
      <c r="I2259" t="s">
        <v>1035</v>
      </c>
    </row>
    <row r="2260" spans="1:9" hidden="1" outlineLevel="1">
      <c r="A2260" s="465" t="s">
        <v>1036</v>
      </c>
      <c r="B2260" s="544">
        <v>248880.66500000004</v>
      </c>
      <c r="C2260" s="95">
        <v>0</v>
      </c>
      <c r="D2260" s="95">
        <v>0</v>
      </c>
      <c r="E2260" s="95">
        <f t="shared" si="74"/>
        <v>248880.66500000004</v>
      </c>
      <c r="F2260" s="95">
        <v>0</v>
      </c>
      <c r="G2260" s="145">
        <f t="shared" si="75"/>
        <v>248880.66500000004</v>
      </c>
      <c r="H2260" s="143"/>
      <c r="I2260" t="s">
        <v>1037</v>
      </c>
    </row>
    <row r="2261" spans="1:9" hidden="1" outlineLevel="1">
      <c r="A2261" s="465" t="s">
        <v>1038</v>
      </c>
      <c r="B2261" s="544">
        <v>60130.969250000009</v>
      </c>
      <c r="C2261" s="95">
        <v>0</v>
      </c>
      <c r="D2261" s="95">
        <v>0</v>
      </c>
      <c r="E2261" s="95">
        <f t="shared" si="74"/>
        <v>60130.969250000009</v>
      </c>
      <c r="F2261" s="95">
        <v>0</v>
      </c>
      <c r="G2261" s="145">
        <f t="shared" si="75"/>
        <v>60130.969250000009</v>
      </c>
      <c r="H2261" s="143"/>
      <c r="I2261" t="s">
        <v>1039</v>
      </c>
    </row>
    <row r="2262" spans="1:9" hidden="1" outlineLevel="1">
      <c r="A2262" s="465" t="s">
        <v>1040</v>
      </c>
      <c r="B2262" s="544">
        <v>93543.11725000001</v>
      </c>
      <c r="C2262" s="95">
        <v>0</v>
      </c>
      <c r="D2262" s="95">
        <v>0</v>
      </c>
      <c r="E2262" s="95">
        <f t="shared" si="74"/>
        <v>93543.11725000001</v>
      </c>
      <c r="F2262" s="95">
        <v>0</v>
      </c>
      <c r="G2262" s="145">
        <f t="shared" si="75"/>
        <v>93543.11725000001</v>
      </c>
      <c r="H2262" s="143"/>
      <c r="I2262" t="s">
        <v>1041</v>
      </c>
    </row>
    <row r="2263" spans="1:9" hidden="1" outlineLevel="1">
      <c r="A2263" s="465" t="s">
        <v>1042</v>
      </c>
      <c r="B2263" s="544">
        <v>69795.72050000001</v>
      </c>
      <c r="C2263" s="95">
        <v>0</v>
      </c>
      <c r="D2263" s="95">
        <v>0</v>
      </c>
      <c r="E2263" s="95">
        <f t="shared" si="74"/>
        <v>69795.72050000001</v>
      </c>
      <c r="F2263" s="95">
        <v>0</v>
      </c>
      <c r="G2263" s="145">
        <f t="shared" si="75"/>
        <v>69795.72050000001</v>
      </c>
      <c r="H2263" s="143"/>
      <c r="I2263" t="s">
        <v>1043</v>
      </c>
    </row>
    <row r="2264" spans="1:9" hidden="1" outlineLevel="1">
      <c r="A2264" s="465" t="s">
        <v>1044</v>
      </c>
      <c r="B2264" s="544">
        <v>119276.55575000001</v>
      </c>
      <c r="C2264" s="95">
        <v>0</v>
      </c>
      <c r="D2264" s="95">
        <v>0</v>
      </c>
      <c r="E2264" s="95">
        <f t="shared" si="74"/>
        <v>119276.55575000001</v>
      </c>
      <c r="F2264" s="95">
        <v>0</v>
      </c>
      <c r="G2264" s="145">
        <f t="shared" si="75"/>
        <v>119276.55575000001</v>
      </c>
      <c r="H2264" s="143"/>
      <c r="I2264" t="s">
        <v>1045</v>
      </c>
    </row>
    <row r="2265" spans="1:9" hidden="1" outlineLevel="1">
      <c r="A2265" s="465" t="s">
        <v>1046</v>
      </c>
      <c r="B2265" s="544">
        <v>69157.706750000012</v>
      </c>
      <c r="C2265" s="95">
        <v>0</v>
      </c>
      <c r="D2265" s="95">
        <v>0</v>
      </c>
      <c r="E2265" s="95">
        <f t="shared" si="74"/>
        <v>69157.706750000012</v>
      </c>
      <c r="F2265" s="95">
        <v>3423</v>
      </c>
      <c r="G2265" s="145">
        <f t="shared" si="75"/>
        <v>72580.706750000012</v>
      </c>
      <c r="H2265" s="143"/>
      <c r="I2265" t="s">
        <v>1047</v>
      </c>
    </row>
    <row r="2266" spans="1:9" hidden="1" outlineLevel="1">
      <c r="A2266" s="465" t="s">
        <v>1048</v>
      </c>
      <c r="B2266" s="544">
        <v>109591.56450000001</v>
      </c>
      <c r="C2266" s="95">
        <v>0</v>
      </c>
      <c r="D2266" s="95">
        <v>0</v>
      </c>
      <c r="E2266" s="95">
        <f t="shared" si="74"/>
        <v>109591.56450000001</v>
      </c>
      <c r="F2266" s="95">
        <v>0</v>
      </c>
      <c r="G2266" s="145">
        <f t="shared" si="75"/>
        <v>109591.56450000001</v>
      </c>
      <c r="H2266" s="143"/>
      <c r="I2266" t="s">
        <v>1049</v>
      </c>
    </row>
    <row r="2267" spans="1:9" hidden="1" outlineLevel="1">
      <c r="A2267" s="465" t="s">
        <v>1050</v>
      </c>
      <c r="B2267" s="544">
        <v>161459.38875000001</v>
      </c>
      <c r="C2267" s="95">
        <v>0</v>
      </c>
      <c r="D2267" s="95">
        <v>0</v>
      </c>
      <c r="E2267" s="95">
        <f t="shared" si="74"/>
        <v>161459.38875000001</v>
      </c>
      <c r="F2267" s="95">
        <v>0</v>
      </c>
      <c r="G2267" s="145">
        <f t="shared" si="75"/>
        <v>161459.38875000001</v>
      </c>
      <c r="H2267" s="143"/>
      <c r="I2267" t="s">
        <v>1051</v>
      </c>
    </row>
    <row r="2268" spans="1:9" hidden="1" outlineLevel="1">
      <c r="A2268" s="465" t="s">
        <v>1052</v>
      </c>
      <c r="B2268" s="544">
        <v>146609.49325</v>
      </c>
      <c r="C2268" s="95">
        <v>0</v>
      </c>
      <c r="D2268" s="95">
        <v>0</v>
      </c>
      <c r="E2268" s="95">
        <f t="shared" si="74"/>
        <v>146609.49325</v>
      </c>
      <c r="F2268" s="95">
        <v>0</v>
      </c>
      <c r="G2268" s="145">
        <f t="shared" si="75"/>
        <v>146609.49325</v>
      </c>
      <c r="H2268" s="143"/>
      <c r="I2268" t="s">
        <v>1053</v>
      </c>
    </row>
    <row r="2269" spans="1:9" hidden="1" outlineLevel="1">
      <c r="A2269" s="465" t="s">
        <v>1054</v>
      </c>
      <c r="B2269" s="544">
        <v>472617.36500000005</v>
      </c>
      <c r="C2269" s="95">
        <v>0</v>
      </c>
      <c r="D2269" s="95">
        <v>0</v>
      </c>
      <c r="E2269" s="95">
        <f t="shared" si="74"/>
        <v>472617.36500000005</v>
      </c>
      <c r="F2269" s="95">
        <v>-6401</v>
      </c>
      <c r="G2269" s="145">
        <f t="shared" si="75"/>
        <v>466216.36500000005</v>
      </c>
      <c r="H2269" s="143"/>
      <c r="I2269" t="s">
        <v>1055</v>
      </c>
    </row>
    <row r="2270" spans="1:9" hidden="1" outlineLevel="1">
      <c r="A2270" s="465" t="s">
        <v>1056</v>
      </c>
      <c r="B2270" s="544">
        <v>68842.064500000008</v>
      </c>
      <c r="C2270" s="95">
        <v>0</v>
      </c>
      <c r="D2270" s="95">
        <v>0</v>
      </c>
      <c r="E2270" s="95">
        <f t="shared" ref="E2270:E2333" si="76">B2270+C2270+D2270</f>
        <v>68842.064500000008</v>
      </c>
      <c r="F2270" s="95">
        <v>0</v>
      </c>
      <c r="G2270" s="145">
        <f t="shared" ref="G2270:G2333" si="77">E2270+F2270</f>
        <v>68842.064500000008</v>
      </c>
      <c r="H2270" s="143"/>
      <c r="I2270" t="s">
        <v>1057</v>
      </c>
    </row>
    <row r="2271" spans="1:9" hidden="1" outlineLevel="1">
      <c r="A2271" s="465" t="s">
        <v>1058</v>
      </c>
      <c r="B2271" s="544">
        <v>465005.90675000002</v>
      </c>
      <c r="C2271" s="95">
        <v>0</v>
      </c>
      <c r="D2271" s="95">
        <v>0</v>
      </c>
      <c r="E2271" s="95">
        <f t="shared" si="76"/>
        <v>465005.90675000002</v>
      </c>
      <c r="F2271" s="95">
        <v>-1036</v>
      </c>
      <c r="G2271" s="145">
        <f t="shared" si="77"/>
        <v>463969.90675000002</v>
      </c>
      <c r="H2271" s="143"/>
      <c r="I2271" t="s">
        <v>1059</v>
      </c>
    </row>
    <row r="2272" spans="1:9" hidden="1" outlineLevel="1">
      <c r="A2272" s="465" t="s">
        <v>1060</v>
      </c>
      <c r="B2272" s="544">
        <v>322170.97000000003</v>
      </c>
      <c r="C2272" s="95">
        <v>0</v>
      </c>
      <c r="D2272" s="95">
        <v>0</v>
      </c>
      <c r="E2272" s="95">
        <f t="shared" si="76"/>
        <v>322170.97000000003</v>
      </c>
      <c r="F2272" s="95">
        <v>0</v>
      </c>
      <c r="G2272" s="145">
        <f t="shared" si="77"/>
        <v>322170.97000000003</v>
      </c>
      <c r="H2272" s="143"/>
      <c r="I2272" t="s">
        <v>1061</v>
      </c>
    </row>
    <row r="2273" spans="1:9" hidden="1" outlineLevel="1">
      <c r="A2273" s="465" t="s">
        <v>1062</v>
      </c>
      <c r="B2273" s="544">
        <v>205992.97400000002</v>
      </c>
      <c r="C2273" s="95">
        <v>0</v>
      </c>
      <c r="D2273" s="95">
        <v>0</v>
      </c>
      <c r="E2273" s="95">
        <f t="shared" si="76"/>
        <v>205992.97400000002</v>
      </c>
      <c r="F2273" s="95">
        <v>0</v>
      </c>
      <c r="G2273" s="145">
        <f t="shared" si="77"/>
        <v>205992.97400000002</v>
      </c>
      <c r="H2273" s="143"/>
      <c r="I2273" t="s">
        <v>1063</v>
      </c>
    </row>
    <row r="2274" spans="1:9" hidden="1" outlineLevel="1">
      <c r="A2274" s="465" t="s">
        <v>1064</v>
      </c>
      <c r="B2274" s="544">
        <v>394796.49825</v>
      </c>
      <c r="C2274" s="95">
        <v>0</v>
      </c>
      <c r="D2274" s="95">
        <v>0</v>
      </c>
      <c r="E2274" s="95">
        <f t="shared" si="76"/>
        <v>394796.49825</v>
      </c>
      <c r="F2274" s="95">
        <v>4326</v>
      </c>
      <c r="G2274" s="145">
        <f t="shared" si="77"/>
        <v>399122.49825</v>
      </c>
      <c r="H2274" s="143"/>
      <c r="I2274" t="s">
        <v>1065</v>
      </c>
    </row>
    <row r="2275" spans="1:9" hidden="1" outlineLevel="1">
      <c r="A2275" s="465" t="s">
        <v>1066</v>
      </c>
      <c r="B2275" s="544">
        <v>22001.182499999999</v>
      </c>
      <c r="C2275" s="95">
        <v>0</v>
      </c>
      <c r="D2275" s="95">
        <v>0</v>
      </c>
      <c r="E2275" s="95">
        <f t="shared" si="76"/>
        <v>22001.182499999999</v>
      </c>
      <c r="F2275" s="95">
        <v>434</v>
      </c>
      <c r="G2275" s="145">
        <f t="shared" si="77"/>
        <v>22435.182499999999</v>
      </c>
      <c r="H2275" s="143"/>
      <c r="I2275" t="s">
        <v>1067</v>
      </c>
    </row>
    <row r="2276" spans="1:9" hidden="1" outlineLevel="1">
      <c r="A2276" s="465" t="s">
        <v>1068</v>
      </c>
      <c r="B2276" s="544">
        <v>314773.59925000003</v>
      </c>
      <c r="C2276" s="95">
        <v>0</v>
      </c>
      <c r="D2276" s="95">
        <v>0</v>
      </c>
      <c r="E2276" s="95">
        <f t="shared" si="76"/>
        <v>314773.59925000003</v>
      </c>
      <c r="F2276" s="95">
        <v>0</v>
      </c>
      <c r="G2276" s="145">
        <f t="shared" si="77"/>
        <v>314773.59925000003</v>
      </c>
      <c r="H2276" s="143"/>
      <c r="I2276" t="s">
        <v>1069</v>
      </c>
    </row>
    <row r="2277" spans="1:9" hidden="1" outlineLevel="1">
      <c r="A2277" s="465" t="s">
        <v>1070</v>
      </c>
      <c r="B2277" s="544">
        <v>213424.27425000002</v>
      </c>
      <c r="C2277" s="95">
        <v>0</v>
      </c>
      <c r="D2277" s="95">
        <v>0</v>
      </c>
      <c r="E2277" s="95">
        <f t="shared" si="76"/>
        <v>213424.27425000002</v>
      </c>
      <c r="F2277" s="95">
        <v>1434</v>
      </c>
      <c r="G2277" s="145">
        <f t="shared" si="77"/>
        <v>214858.27425000002</v>
      </c>
      <c r="H2277" s="143"/>
      <c r="I2277" t="s">
        <v>1071</v>
      </c>
    </row>
    <row r="2278" spans="1:9" hidden="1" outlineLevel="1">
      <c r="A2278" s="465" t="s">
        <v>1072</v>
      </c>
      <c r="B2278" s="544">
        <v>167711.9235</v>
      </c>
      <c r="C2278" s="95">
        <v>0</v>
      </c>
      <c r="D2278" s="95">
        <v>0</v>
      </c>
      <c r="E2278" s="95">
        <f t="shared" si="76"/>
        <v>167711.9235</v>
      </c>
      <c r="F2278" s="95">
        <v>0</v>
      </c>
      <c r="G2278" s="145">
        <f t="shared" si="77"/>
        <v>167711.9235</v>
      </c>
      <c r="H2278" s="143"/>
      <c r="I2278" t="s">
        <v>1073</v>
      </c>
    </row>
    <row r="2279" spans="1:9" hidden="1" outlineLevel="1">
      <c r="A2279" s="465" t="s">
        <v>1074</v>
      </c>
      <c r="B2279" s="544">
        <v>608197.38650000002</v>
      </c>
      <c r="C2279" s="95">
        <v>0</v>
      </c>
      <c r="D2279" s="95">
        <v>0</v>
      </c>
      <c r="E2279" s="95">
        <f t="shared" si="76"/>
        <v>608197.38650000002</v>
      </c>
      <c r="F2279" s="95">
        <v>530</v>
      </c>
      <c r="G2279" s="145">
        <f t="shared" si="77"/>
        <v>608727.38650000002</v>
      </c>
      <c r="H2279" s="143"/>
      <c r="I2279" t="s">
        <v>1075</v>
      </c>
    </row>
    <row r="2280" spans="1:9" hidden="1" outlineLevel="1">
      <c r="A2280" s="465" t="s">
        <v>1076</v>
      </c>
      <c r="B2280" s="544">
        <v>123444.07625000001</v>
      </c>
      <c r="C2280" s="95">
        <v>0</v>
      </c>
      <c r="D2280" s="95">
        <v>0</v>
      </c>
      <c r="E2280" s="95">
        <f t="shared" si="76"/>
        <v>123444.07625000001</v>
      </c>
      <c r="F2280" s="95">
        <v>0</v>
      </c>
      <c r="G2280" s="145">
        <f t="shared" si="77"/>
        <v>123444.07625000001</v>
      </c>
      <c r="H2280" s="143"/>
      <c r="I2280" t="s">
        <v>1077</v>
      </c>
    </row>
    <row r="2281" spans="1:9" hidden="1" outlineLevel="1">
      <c r="A2281" s="465" t="s">
        <v>1078</v>
      </c>
      <c r="B2281" s="544">
        <v>157789.76125000001</v>
      </c>
      <c r="C2281" s="95">
        <v>0</v>
      </c>
      <c r="D2281" s="95">
        <v>0</v>
      </c>
      <c r="E2281" s="95">
        <f t="shared" si="76"/>
        <v>157789.76125000001</v>
      </c>
      <c r="F2281" s="95">
        <v>0</v>
      </c>
      <c r="G2281" s="145">
        <f t="shared" si="77"/>
        <v>157789.76125000001</v>
      </c>
      <c r="H2281" s="143"/>
      <c r="I2281" t="s">
        <v>1079</v>
      </c>
    </row>
    <row r="2282" spans="1:9" hidden="1" outlineLevel="1">
      <c r="A2282" s="465" t="s">
        <v>1080</v>
      </c>
      <c r="B2282" s="544">
        <v>309423.43849999999</v>
      </c>
      <c r="C2282" s="95">
        <v>0</v>
      </c>
      <c r="D2282" s="95">
        <v>0</v>
      </c>
      <c r="E2282" s="95">
        <f t="shared" si="76"/>
        <v>309423.43849999999</v>
      </c>
      <c r="F2282" s="95">
        <v>0</v>
      </c>
      <c r="G2282" s="145">
        <f t="shared" si="77"/>
        <v>309423.43849999999</v>
      </c>
      <c r="H2282" s="143"/>
      <c r="I2282" t="s">
        <v>1081</v>
      </c>
    </row>
    <row r="2283" spans="1:9" hidden="1" outlineLevel="1">
      <c r="A2283" s="465" t="s">
        <v>1082</v>
      </c>
      <c r="B2283" s="544">
        <v>111521.29175</v>
      </c>
      <c r="C2283" s="95">
        <v>0</v>
      </c>
      <c r="D2283" s="95">
        <v>0</v>
      </c>
      <c r="E2283" s="95">
        <f t="shared" si="76"/>
        <v>111521.29175</v>
      </c>
      <c r="F2283" s="95">
        <v>0</v>
      </c>
      <c r="G2283" s="145">
        <f t="shared" si="77"/>
        <v>111521.29175</v>
      </c>
      <c r="H2283" s="143"/>
      <c r="I2283" t="s">
        <v>1083</v>
      </c>
    </row>
    <row r="2284" spans="1:9" hidden="1" outlineLevel="1">
      <c r="A2284" s="465" t="s">
        <v>1084</v>
      </c>
      <c r="B2284" s="544">
        <v>203742.74800000002</v>
      </c>
      <c r="C2284" s="95">
        <v>0</v>
      </c>
      <c r="D2284" s="95">
        <v>0</v>
      </c>
      <c r="E2284" s="95">
        <f t="shared" si="76"/>
        <v>203742.74800000002</v>
      </c>
      <c r="F2284" s="95">
        <v>523</v>
      </c>
      <c r="G2284" s="145">
        <f t="shared" si="77"/>
        <v>204265.74800000002</v>
      </c>
      <c r="H2284" s="143"/>
      <c r="I2284" t="s">
        <v>1085</v>
      </c>
    </row>
    <row r="2285" spans="1:9" hidden="1" outlineLevel="1">
      <c r="A2285" s="465" t="s">
        <v>1086</v>
      </c>
      <c r="B2285" s="544">
        <v>290064.049</v>
      </c>
      <c r="C2285" s="95">
        <v>0</v>
      </c>
      <c r="D2285" s="95">
        <v>0</v>
      </c>
      <c r="E2285" s="95">
        <f t="shared" si="76"/>
        <v>290064.049</v>
      </c>
      <c r="F2285" s="95">
        <v>1327</v>
      </c>
      <c r="G2285" s="145">
        <f t="shared" si="77"/>
        <v>291391.049</v>
      </c>
      <c r="H2285" s="143"/>
      <c r="I2285" t="s">
        <v>1087</v>
      </c>
    </row>
    <row r="2286" spans="1:9" hidden="1" outlineLevel="1">
      <c r="A2286" s="465" t="s">
        <v>1088</v>
      </c>
      <c r="B2286" s="544">
        <v>285999.85150000005</v>
      </c>
      <c r="C2286" s="95">
        <v>0</v>
      </c>
      <c r="D2286" s="95">
        <v>0</v>
      </c>
      <c r="E2286" s="95">
        <f t="shared" si="76"/>
        <v>285999.85150000005</v>
      </c>
      <c r="F2286" s="95">
        <v>0</v>
      </c>
      <c r="G2286" s="145">
        <f t="shared" si="77"/>
        <v>285999.85150000005</v>
      </c>
      <c r="H2286" s="143"/>
      <c r="I2286" t="s">
        <v>1089</v>
      </c>
    </row>
    <row r="2287" spans="1:9" hidden="1" outlineLevel="1">
      <c r="A2287" s="465" t="s">
        <v>1090</v>
      </c>
      <c r="B2287" s="544">
        <v>177052.02900000001</v>
      </c>
      <c r="C2287" s="95">
        <v>0</v>
      </c>
      <c r="D2287" s="95">
        <v>0</v>
      </c>
      <c r="E2287" s="95">
        <f t="shared" si="76"/>
        <v>177052.02900000001</v>
      </c>
      <c r="F2287" s="95">
        <v>0</v>
      </c>
      <c r="G2287" s="145">
        <f t="shared" si="77"/>
        <v>177052.02900000001</v>
      </c>
      <c r="H2287" s="143"/>
      <c r="I2287" t="s">
        <v>1091</v>
      </c>
    </row>
    <row r="2288" spans="1:9" hidden="1" outlineLevel="1">
      <c r="A2288" s="465" t="s">
        <v>1092</v>
      </c>
      <c r="B2288" s="544">
        <v>252236.99875000003</v>
      </c>
      <c r="C2288" s="95">
        <v>0</v>
      </c>
      <c r="D2288" s="95">
        <v>0</v>
      </c>
      <c r="E2288" s="95">
        <f t="shared" si="76"/>
        <v>252236.99875000003</v>
      </c>
      <c r="F2288" s="95">
        <v>0</v>
      </c>
      <c r="G2288" s="145">
        <f t="shared" si="77"/>
        <v>252236.99875000003</v>
      </c>
      <c r="H2288" s="143"/>
      <c r="I2288" t="s">
        <v>1093</v>
      </c>
    </row>
    <row r="2289" spans="1:9" hidden="1" outlineLevel="1">
      <c r="A2289" s="465" t="s">
        <v>1474</v>
      </c>
      <c r="B2289" s="544">
        <v>319870.79300000001</v>
      </c>
      <c r="C2289" s="95">
        <v>0</v>
      </c>
      <c r="D2289" s="95">
        <v>0</v>
      </c>
      <c r="E2289" s="95">
        <f t="shared" si="76"/>
        <v>319870.79300000001</v>
      </c>
      <c r="F2289" s="95">
        <v>0</v>
      </c>
      <c r="G2289" s="145">
        <f t="shared" si="77"/>
        <v>319870.79300000001</v>
      </c>
      <c r="H2289" s="143"/>
      <c r="I2289" t="s">
        <v>1475</v>
      </c>
    </row>
    <row r="2290" spans="1:9" hidden="1" outlineLevel="1">
      <c r="A2290" s="465" t="s">
        <v>1094</v>
      </c>
      <c r="B2290" s="544">
        <v>174354.41925000001</v>
      </c>
      <c r="C2290" s="95">
        <v>-1778</v>
      </c>
      <c r="D2290" s="95">
        <v>0</v>
      </c>
      <c r="E2290" s="95">
        <f t="shared" si="76"/>
        <v>172576.41925000001</v>
      </c>
      <c r="F2290" s="95">
        <v>0</v>
      </c>
      <c r="G2290" s="145">
        <f t="shared" si="77"/>
        <v>172576.41925000001</v>
      </c>
      <c r="H2290" s="143"/>
      <c r="I2290" t="s">
        <v>1095</v>
      </c>
    </row>
    <row r="2291" spans="1:9" hidden="1" outlineLevel="1">
      <c r="A2291" s="465" t="s">
        <v>1096</v>
      </c>
      <c r="B2291" s="544">
        <v>78651.284250000012</v>
      </c>
      <c r="C2291" s="95">
        <v>0</v>
      </c>
      <c r="D2291" s="95">
        <v>0</v>
      </c>
      <c r="E2291" s="95">
        <f t="shared" si="76"/>
        <v>78651.284250000012</v>
      </c>
      <c r="F2291" s="95">
        <v>-131</v>
      </c>
      <c r="G2291" s="145">
        <f t="shared" si="77"/>
        <v>78520.284250000012</v>
      </c>
      <c r="H2291" s="143"/>
      <c r="I2291" t="s">
        <v>1097</v>
      </c>
    </row>
    <row r="2292" spans="1:9" hidden="1" outlineLevel="1">
      <c r="A2292" s="465" t="s">
        <v>1098</v>
      </c>
      <c r="B2292" s="544">
        <v>65558.765249999997</v>
      </c>
      <c r="C2292" s="95">
        <v>0</v>
      </c>
      <c r="D2292" s="95">
        <v>0</v>
      </c>
      <c r="E2292" s="95">
        <f t="shared" si="76"/>
        <v>65558.765249999997</v>
      </c>
      <c r="F2292" s="95">
        <v>0</v>
      </c>
      <c r="G2292" s="145">
        <f t="shared" si="77"/>
        <v>65558.765249999997</v>
      </c>
      <c r="H2292" s="143"/>
      <c r="I2292" t="s">
        <v>1099</v>
      </c>
    </row>
    <row r="2293" spans="1:9" hidden="1" outlineLevel="1">
      <c r="A2293" s="465" t="s">
        <v>1100</v>
      </c>
      <c r="B2293" s="544">
        <v>2916921.7825000002</v>
      </c>
      <c r="C2293" s="95">
        <v>0</v>
      </c>
      <c r="D2293" s="95">
        <v>0</v>
      </c>
      <c r="E2293" s="95">
        <f t="shared" si="76"/>
        <v>2916921.7825000002</v>
      </c>
      <c r="F2293" s="95">
        <v>0</v>
      </c>
      <c r="G2293" s="145">
        <f t="shared" si="77"/>
        <v>2916921.7825000002</v>
      </c>
      <c r="H2293" s="143"/>
      <c r="I2293" t="s">
        <v>1101</v>
      </c>
    </row>
    <row r="2294" spans="1:9" hidden="1" outlineLevel="1">
      <c r="A2294" s="465" t="s">
        <v>521</v>
      </c>
      <c r="B2294" s="544">
        <v>59632.212750000006</v>
      </c>
      <c r="C2294" s="95">
        <v>0</v>
      </c>
      <c r="D2294" s="95">
        <v>0</v>
      </c>
      <c r="E2294" s="95">
        <f t="shared" si="76"/>
        <v>59632.212750000006</v>
      </c>
      <c r="F2294" s="95">
        <v>0</v>
      </c>
      <c r="G2294" s="145">
        <f t="shared" si="77"/>
        <v>59632.212750000006</v>
      </c>
      <c r="H2294" s="143"/>
      <c r="I2294" t="s">
        <v>522</v>
      </c>
    </row>
    <row r="2295" spans="1:9" hidden="1" outlineLevel="1">
      <c r="A2295" s="465" t="s">
        <v>1102</v>
      </c>
      <c r="B2295" s="544">
        <v>98763.824500000017</v>
      </c>
      <c r="C2295" s="95">
        <v>0</v>
      </c>
      <c r="D2295" s="95">
        <v>0</v>
      </c>
      <c r="E2295" s="95">
        <f t="shared" si="76"/>
        <v>98763.824500000017</v>
      </c>
      <c r="F2295" s="95">
        <v>0</v>
      </c>
      <c r="G2295" s="145">
        <f t="shared" si="77"/>
        <v>98763.824500000017</v>
      </c>
      <c r="H2295" s="143"/>
      <c r="I2295" t="s">
        <v>1103</v>
      </c>
    </row>
    <row r="2296" spans="1:9" hidden="1" outlineLevel="1">
      <c r="A2296" s="465" t="s">
        <v>1104</v>
      </c>
      <c r="B2296" s="544">
        <v>89891.595750000008</v>
      </c>
      <c r="C2296" s="95">
        <v>0</v>
      </c>
      <c r="D2296" s="95">
        <v>0</v>
      </c>
      <c r="E2296" s="95">
        <f t="shared" si="76"/>
        <v>89891.595750000008</v>
      </c>
      <c r="F2296" s="95">
        <v>0</v>
      </c>
      <c r="G2296" s="145">
        <f t="shared" si="77"/>
        <v>89891.595750000008</v>
      </c>
      <c r="H2296" s="143"/>
      <c r="I2296" t="s">
        <v>1105</v>
      </c>
    </row>
    <row r="2297" spans="1:9" hidden="1" outlineLevel="1">
      <c r="A2297" s="465" t="s">
        <v>1106</v>
      </c>
      <c r="B2297" s="544">
        <v>215543.12450000003</v>
      </c>
      <c r="C2297" s="95">
        <v>0</v>
      </c>
      <c r="D2297" s="95">
        <v>0</v>
      </c>
      <c r="E2297" s="95">
        <f t="shared" si="76"/>
        <v>215543.12450000003</v>
      </c>
      <c r="F2297" s="95">
        <v>-4299</v>
      </c>
      <c r="G2297" s="145">
        <f t="shared" si="77"/>
        <v>211244.12450000003</v>
      </c>
      <c r="H2297" s="143"/>
      <c r="I2297" t="s">
        <v>1107</v>
      </c>
    </row>
    <row r="2298" spans="1:9" hidden="1" outlineLevel="1">
      <c r="A2298" s="465" t="s">
        <v>1108</v>
      </c>
      <c r="B2298" s="544">
        <v>112938.31725000002</v>
      </c>
      <c r="C2298" s="95">
        <v>0</v>
      </c>
      <c r="D2298" s="95">
        <v>0</v>
      </c>
      <c r="E2298" s="95">
        <f t="shared" si="76"/>
        <v>112938.31725000002</v>
      </c>
      <c r="F2298" s="95">
        <v>0</v>
      </c>
      <c r="G2298" s="145">
        <f t="shared" si="77"/>
        <v>112938.31725000002</v>
      </c>
      <c r="H2298" s="143"/>
      <c r="I2298" t="s">
        <v>1109</v>
      </c>
    </row>
    <row r="2299" spans="1:9" hidden="1" outlineLevel="1">
      <c r="A2299" s="465" t="s">
        <v>1110</v>
      </c>
      <c r="B2299" s="544">
        <v>328605.17525000003</v>
      </c>
      <c r="C2299" s="95">
        <v>0</v>
      </c>
      <c r="D2299" s="95">
        <v>0</v>
      </c>
      <c r="E2299" s="95">
        <f t="shared" si="76"/>
        <v>328605.17525000003</v>
      </c>
      <c r="F2299" s="95">
        <v>0</v>
      </c>
      <c r="G2299" s="145">
        <f t="shared" si="77"/>
        <v>328605.17525000003</v>
      </c>
      <c r="H2299" s="143"/>
      <c r="I2299" t="s">
        <v>1111</v>
      </c>
    </row>
    <row r="2300" spans="1:9" hidden="1" outlineLevel="1">
      <c r="A2300" s="465" t="s">
        <v>1112</v>
      </c>
      <c r="B2300" s="544">
        <v>209470.24725000001</v>
      </c>
      <c r="C2300" s="95">
        <v>0</v>
      </c>
      <c r="D2300" s="95">
        <v>0</v>
      </c>
      <c r="E2300" s="95">
        <f t="shared" si="76"/>
        <v>209470.24725000001</v>
      </c>
      <c r="F2300" s="95">
        <v>0</v>
      </c>
      <c r="G2300" s="145">
        <f t="shared" si="77"/>
        <v>209470.24725000001</v>
      </c>
      <c r="H2300" s="143"/>
      <c r="I2300" t="s">
        <v>1113</v>
      </c>
    </row>
    <row r="2301" spans="1:9" hidden="1" outlineLevel="1">
      <c r="A2301" s="465" t="s">
        <v>1114</v>
      </c>
      <c r="B2301" s="544">
        <v>163903.78125000003</v>
      </c>
      <c r="C2301" s="95">
        <v>0</v>
      </c>
      <c r="D2301" s="95">
        <v>0</v>
      </c>
      <c r="E2301" s="95">
        <f t="shared" si="76"/>
        <v>163903.78125000003</v>
      </c>
      <c r="F2301" s="95">
        <v>-336</v>
      </c>
      <c r="G2301" s="145">
        <f t="shared" si="77"/>
        <v>163567.78125000003</v>
      </c>
      <c r="H2301" s="143"/>
      <c r="I2301" t="s">
        <v>1115</v>
      </c>
    </row>
    <row r="2302" spans="1:9" hidden="1" outlineLevel="1">
      <c r="A2302" s="465" t="s">
        <v>1116</v>
      </c>
      <c r="B2302" s="544">
        <v>385864.13250000001</v>
      </c>
      <c r="C2302" s="95">
        <v>0</v>
      </c>
      <c r="D2302" s="95">
        <v>0</v>
      </c>
      <c r="E2302" s="95">
        <f t="shared" si="76"/>
        <v>385864.13250000001</v>
      </c>
      <c r="F2302" s="95">
        <v>0</v>
      </c>
      <c r="G2302" s="145">
        <f t="shared" si="77"/>
        <v>385864.13250000001</v>
      </c>
      <c r="H2302" s="143"/>
      <c r="I2302" t="s">
        <v>1117</v>
      </c>
    </row>
    <row r="2303" spans="1:9" hidden="1" outlineLevel="1">
      <c r="A2303" s="465" t="s">
        <v>1118</v>
      </c>
      <c r="B2303" s="544">
        <v>43665.888749999998</v>
      </c>
      <c r="C2303" s="95">
        <v>0</v>
      </c>
      <c r="D2303" s="95">
        <v>0</v>
      </c>
      <c r="E2303" s="95">
        <f t="shared" si="76"/>
        <v>43665.888749999998</v>
      </c>
      <c r="F2303" s="95">
        <v>0</v>
      </c>
      <c r="G2303" s="145">
        <f t="shared" si="77"/>
        <v>43665.888749999998</v>
      </c>
      <c r="H2303" s="143"/>
      <c r="I2303" t="s">
        <v>1119</v>
      </c>
    </row>
    <row r="2304" spans="1:9" hidden="1" outlineLevel="1">
      <c r="A2304" s="465" t="s">
        <v>1120</v>
      </c>
      <c r="B2304" s="544">
        <v>7005950.7834999999</v>
      </c>
      <c r="C2304" s="95">
        <v>-25644</v>
      </c>
      <c r="D2304" s="95">
        <v>0</v>
      </c>
      <c r="E2304" s="95">
        <f t="shared" si="76"/>
        <v>6980306.7834999999</v>
      </c>
      <c r="F2304" s="95">
        <v>0</v>
      </c>
      <c r="G2304" s="145">
        <f t="shared" si="77"/>
        <v>6980306.7834999999</v>
      </c>
      <c r="H2304" s="143"/>
      <c r="I2304" t="s">
        <v>1121</v>
      </c>
    </row>
    <row r="2305" spans="1:9" hidden="1" outlineLevel="1">
      <c r="A2305" s="465" t="s">
        <v>1122</v>
      </c>
      <c r="B2305" s="544">
        <v>697733.55300000007</v>
      </c>
      <c r="C2305" s="95">
        <v>0</v>
      </c>
      <c r="D2305" s="95">
        <v>0</v>
      </c>
      <c r="E2305" s="95">
        <f t="shared" si="76"/>
        <v>697733.55300000007</v>
      </c>
      <c r="F2305" s="95">
        <v>0</v>
      </c>
      <c r="G2305" s="145">
        <f t="shared" si="77"/>
        <v>697733.55300000007</v>
      </c>
      <c r="H2305" s="143"/>
      <c r="I2305" t="s">
        <v>1123</v>
      </c>
    </row>
    <row r="2306" spans="1:9" hidden="1" outlineLevel="1">
      <c r="A2306" s="465" t="s">
        <v>1875</v>
      </c>
      <c r="B2306" s="544">
        <v>6469.3997500000005</v>
      </c>
      <c r="C2306" s="95">
        <v>0</v>
      </c>
      <c r="D2306" s="95">
        <v>0</v>
      </c>
      <c r="E2306" s="95">
        <f t="shared" si="76"/>
        <v>6469.3997500000005</v>
      </c>
      <c r="F2306" s="95">
        <v>-546</v>
      </c>
      <c r="G2306" s="145">
        <f t="shared" si="77"/>
        <v>5923.3997500000005</v>
      </c>
      <c r="H2306" s="143"/>
      <c r="I2306" t="s">
        <v>1876</v>
      </c>
    </row>
    <row r="2307" spans="1:9" hidden="1" outlineLevel="1">
      <c r="A2307" s="465" t="s">
        <v>1124</v>
      </c>
      <c r="B2307" s="544">
        <v>93455.57925000001</v>
      </c>
      <c r="C2307" s="95">
        <v>0</v>
      </c>
      <c r="D2307" s="95">
        <v>0</v>
      </c>
      <c r="E2307" s="95">
        <f t="shared" si="76"/>
        <v>93455.57925000001</v>
      </c>
      <c r="F2307" s="95">
        <v>1156</v>
      </c>
      <c r="G2307" s="145">
        <f t="shared" si="77"/>
        <v>94611.57925000001</v>
      </c>
      <c r="H2307" s="143"/>
      <c r="I2307" t="s">
        <v>1125</v>
      </c>
    </row>
    <row r="2308" spans="1:9" hidden="1" outlineLevel="1">
      <c r="A2308" s="465" t="s">
        <v>1126</v>
      </c>
      <c r="B2308" s="544">
        <v>315334.37100000004</v>
      </c>
      <c r="C2308" s="95">
        <v>0</v>
      </c>
      <c r="D2308" s="95">
        <v>0</v>
      </c>
      <c r="E2308" s="95">
        <f t="shared" si="76"/>
        <v>315334.37100000004</v>
      </c>
      <c r="F2308" s="95">
        <v>0</v>
      </c>
      <c r="G2308" s="145">
        <f t="shared" si="77"/>
        <v>315334.37100000004</v>
      </c>
      <c r="H2308" s="143"/>
      <c r="I2308" t="s">
        <v>1127</v>
      </c>
    </row>
    <row r="2309" spans="1:9" hidden="1" outlineLevel="1">
      <c r="A2309" s="465" t="s">
        <v>1128</v>
      </c>
      <c r="B2309" s="544">
        <v>72814.1535</v>
      </c>
      <c r="C2309" s="95">
        <v>0</v>
      </c>
      <c r="D2309" s="95">
        <v>0</v>
      </c>
      <c r="E2309" s="95">
        <f t="shared" si="76"/>
        <v>72814.1535</v>
      </c>
      <c r="F2309" s="95">
        <v>0</v>
      </c>
      <c r="G2309" s="145">
        <f t="shared" si="77"/>
        <v>72814.1535</v>
      </c>
      <c r="H2309" s="143"/>
      <c r="I2309" t="s">
        <v>1129</v>
      </c>
    </row>
    <row r="2310" spans="1:9" hidden="1" outlineLevel="1">
      <c r="A2310" s="465" t="s">
        <v>1130</v>
      </c>
      <c r="B2310" s="544">
        <v>346680.69425000006</v>
      </c>
      <c r="C2310" s="95">
        <v>0</v>
      </c>
      <c r="D2310" s="95">
        <v>0</v>
      </c>
      <c r="E2310" s="95">
        <f t="shared" si="76"/>
        <v>346680.69425000006</v>
      </c>
      <c r="F2310" s="95">
        <v>12226</v>
      </c>
      <c r="G2310" s="145">
        <f t="shared" si="77"/>
        <v>358906.69425000006</v>
      </c>
      <c r="H2310" s="143"/>
      <c r="I2310" t="s">
        <v>1131</v>
      </c>
    </row>
    <row r="2311" spans="1:9" hidden="1" outlineLevel="1">
      <c r="A2311" s="465" t="s">
        <v>1132</v>
      </c>
      <c r="B2311" s="544">
        <v>50970.587250000004</v>
      </c>
      <c r="C2311" s="95">
        <v>0</v>
      </c>
      <c r="D2311" s="95">
        <v>0</v>
      </c>
      <c r="E2311" s="95">
        <f t="shared" si="76"/>
        <v>50970.587250000004</v>
      </c>
      <c r="F2311" s="95">
        <v>0</v>
      </c>
      <c r="G2311" s="145">
        <f t="shared" si="77"/>
        <v>50970.587250000004</v>
      </c>
      <c r="H2311" s="143"/>
      <c r="I2311" t="s">
        <v>1133</v>
      </c>
    </row>
    <row r="2312" spans="1:9" hidden="1" outlineLevel="1">
      <c r="A2312" s="465" t="s">
        <v>1134</v>
      </c>
      <c r="B2312" s="544">
        <v>217546.64249999999</v>
      </c>
      <c r="C2312" s="95">
        <v>0</v>
      </c>
      <c r="D2312" s="95">
        <v>0</v>
      </c>
      <c r="E2312" s="95">
        <f t="shared" si="76"/>
        <v>217546.64249999999</v>
      </c>
      <c r="F2312" s="95">
        <v>184</v>
      </c>
      <c r="G2312" s="145">
        <f t="shared" si="77"/>
        <v>217730.64249999999</v>
      </c>
      <c r="H2312" s="143"/>
      <c r="I2312" t="s">
        <v>1135</v>
      </c>
    </row>
    <row r="2313" spans="1:9" hidden="1" outlineLevel="1">
      <c r="A2313" s="465" t="s">
        <v>1136</v>
      </c>
      <c r="B2313" s="544">
        <v>44937.474999999999</v>
      </c>
      <c r="C2313" s="95">
        <v>0</v>
      </c>
      <c r="D2313" s="95">
        <v>0</v>
      </c>
      <c r="E2313" s="95">
        <f t="shared" si="76"/>
        <v>44937.474999999999</v>
      </c>
      <c r="F2313" s="95">
        <v>0</v>
      </c>
      <c r="G2313" s="145">
        <f t="shared" si="77"/>
        <v>44937.474999999999</v>
      </c>
      <c r="H2313" s="143"/>
      <c r="I2313" t="s">
        <v>1137</v>
      </c>
    </row>
    <row r="2314" spans="1:9" hidden="1" outlineLevel="1">
      <c r="A2314" s="465" t="s">
        <v>1138</v>
      </c>
      <c r="B2314" s="544">
        <v>28852.991750000001</v>
      </c>
      <c r="C2314" s="95">
        <v>0</v>
      </c>
      <c r="D2314" s="95">
        <v>0</v>
      </c>
      <c r="E2314" s="95">
        <f t="shared" si="76"/>
        <v>28852.991750000001</v>
      </c>
      <c r="F2314" s="95">
        <v>-16</v>
      </c>
      <c r="G2314" s="145">
        <f t="shared" si="77"/>
        <v>28836.991750000001</v>
      </c>
      <c r="H2314" s="143"/>
      <c r="I2314" t="s">
        <v>1139</v>
      </c>
    </row>
    <row r="2315" spans="1:9" hidden="1" outlineLevel="1">
      <c r="A2315" s="465" t="s">
        <v>1140</v>
      </c>
      <c r="B2315" s="544">
        <v>479106.43550000002</v>
      </c>
      <c r="C2315" s="95">
        <v>0</v>
      </c>
      <c r="D2315" s="95">
        <v>0</v>
      </c>
      <c r="E2315" s="95">
        <f t="shared" si="76"/>
        <v>479106.43550000002</v>
      </c>
      <c r="F2315" s="95">
        <v>-41641</v>
      </c>
      <c r="G2315" s="145">
        <f t="shared" si="77"/>
        <v>437465.43550000002</v>
      </c>
      <c r="H2315" s="143"/>
      <c r="I2315" t="s">
        <v>1141</v>
      </c>
    </row>
    <row r="2316" spans="1:9" hidden="1" outlineLevel="1">
      <c r="A2316" s="465" t="s">
        <v>1142</v>
      </c>
      <c r="B2316" s="544">
        <v>85616.800500000012</v>
      </c>
      <c r="C2316" s="95">
        <v>0</v>
      </c>
      <c r="D2316" s="95">
        <v>0</v>
      </c>
      <c r="E2316" s="95">
        <f t="shared" si="76"/>
        <v>85616.800500000012</v>
      </c>
      <c r="F2316" s="95">
        <v>0</v>
      </c>
      <c r="G2316" s="145">
        <f t="shared" si="77"/>
        <v>85616.800500000012</v>
      </c>
      <c r="H2316" s="143"/>
      <c r="I2316" t="s">
        <v>1143</v>
      </c>
    </row>
    <row r="2317" spans="1:9" hidden="1" outlineLevel="1">
      <c r="A2317" s="465" t="s">
        <v>1144</v>
      </c>
      <c r="B2317" s="544">
        <v>101859.01275000001</v>
      </c>
      <c r="C2317" s="95">
        <v>0</v>
      </c>
      <c r="D2317" s="95">
        <v>0</v>
      </c>
      <c r="E2317" s="95">
        <f t="shared" si="76"/>
        <v>101859.01275000001</v>
      </c>
      <c r="F2317" s="95">
        <v>0</v>
      </c>
      <c r="G2317" s="145">
        <f t="shared" si="77"/>
        <v>101859.01275000001</v>
      </c>
      <c r="H2317" s="143"/>
      <c r="I2317" t="s">
        <v>1145</v>
      </c>
    </row>
    <row r="2318" spans="1:9" hidden="1" outlineLevel="1">
      <c r="A2318" s="465" t="s">
        <v>1146</v>
      </c>
      <c r="B2318" s="544">
        <v>47567.338500000005</v>
      </c>
      <c r="C2318" s="95">
        <v>0</v>
      </c>
      <c r="D2318" s="95">
        <v>0</v>
      </c>
      <c r="E2318" s="95">
        <f t="shared" si="76"/>
        <v>47567.338500000005</v>
      </c>
      <c r="F2318" s="95">
        <v>1446</v>
      </c>
      <c r="G2318" s="145">
        <f t="shared" si="77"/>
        <v>49013.338500000005</v>
      </c>
      <c r="H2318" s="143"/>
      <c r="I2318" t="s">
        <v>1147</v>
      </c>
    </row>
    <row r="2319" spans="1:9" hidden="1" outlineLevel="1">
      <c r="A2319" s="465" t="s">
        <v>1148</v>
      </c>
      <c r="B2319" s="544">
        <v>16653.262999999999</v>
      </c>
      <c r="C2319" s="95">
        <v>0</v>
      </c>
      <c r="D2319" s="95">
        <v>0</v>
      </c>
      <c r="E2319" s="95">
        <f t="shared" si="76"/>
        <v>16653.262999999999</v>
      </c>
      <c r="F2319" s="95">
        <v>0</v>
      </c>
      <c r="G2319" s="145">
        <f t="shared" si="77"/>
        <v>16653.262999999999</v>
      </c>
      <c r="H2319" s="143"/>
      <c r="I2319" t="s">
        <v>1149</v>
      </c>
    </row>
    <row r="2320" spans="1:9" hidden="1" outlineLevel="1">
      <c r="A2320" s="465" t="s">
        <v>1150</v>
      </c>
      <c r="B2320" s="544">
        <v>93167.78350000002</v>
      </c>
      <c r="C2320" s="95">
        <v>0</v>
      </c>
      <c r="D2320" s="95">
        <v>0</v>
      </c>
      <c r="E2320" s="95">
        <f t="shared" si="76"/>
        <v>93167.78350000002</v>
      </c>
      <c r="F2320" s="95">
        <v>-722</v>
      </c>
      <c r="G2320" s="145">
        <f t="shared" si="77"/>
        <v>92445.78350000002</v>
      </c>
      <c r="H2320" s="143"/>
      <c r="I2320" t="s">
        <v>1151</v>
      </c>
    </row>
    <row r="2321" spans="1:9" hidden="1" outlineLevel="1">
      <c r="A2321" s="465" t="s">
        <v>1152</v>
      </c>
      <c r="B2321" s="544">
        <v>46912.269250000005</v>
      </c>
      <c r="C2321" s="95">
        <v>0</v>
      </c>
      <c r="D2321" s="95">
        <v>0</v>
      </c>
      <c r="E2321" s="95">
        <f t="shared" si="76"/>
        <v>46912.269250000005</v>
      </c>
      <c r="F2321" s="95">
        <v>0</v>
      </c>
      <c r="G2321" s="145">
        <f t="shared" si="77"/>
        <v>46912.269250000005</v>
      </c>
      <c r="H2321" s="143"/>
      <c r="I2321" t="s">
        <v>1153</v>
      </c>
    </row>
    <row r="2322" spans="1:9" hidden="1" outlineLevel="1">
      <c r="A2322" s="465" t="s">
        <v>1154</v>
      </c>
      <c r="B2322" s="544">
        <v>23127.775000000001</v>
      </c>
      <c r="C2322" s="95">
        <v>0</v>
      </c>
      <c r="D2322" s="95">
        <v>0</v>
      </c>
      <c r="E2322" s="95">
        <f t="shared" si="76"/>
        <v>23127.775000000001</v>
      </c>
      <c r="F2322" s="95">
        <v>-36</v>
      </c>
      <c r="G2322" s="145">
        <f t="shared" si="77"/>
        <v>23091.775000000001</v>
      </c>
      <c r="H2322" s="143"/>
      <c r="I2322" t="s">
        <v>1155</v>
      </c>
    </row>
    <row r="2323" spans="1:9" hidden="1" outlineLevel="1">
      <c r="A2323" s="465" t="s">
        <v>1156</v>
      </c>
      <c r="B2323" s="544">
        <v>78210.748000000007</v>
      </c>
      <c r="C2323" s="95">
        <v>0</v>
      </c>
      <c r="D2323" s="95">
        <v>0</v>
      </c>
      <c r="E2323" s="95">
        <f t="shared" si="76"/>
        <v>78210.748000000007</v>
      </c>
      <c r="F2323" s="95">
        <v>0</v>
      </c>
      <c r="G2323" s="145">
        <f t="shared" si="77"/>
        <v>78210.748000000007</v>
      </c>
      <c r="H2323" s="143"/>
      <c r="I2323" t="s">
        <v>1157</v>
      </c>
    </row>
    <row r="2324" spans="1:9" hidden="1" outlineLevel="1">
      <c r="A2324" s="465" t="s">
        <v>1158</v>
      </c>
      <c r="B2324" s="544">
        <v>56498.741750000008</v>
      </c>
      <c r="C2324" s="95">
        <v>0</v>
      </c>
      <c r="D2324" s="95">
        <v>0</v>
      </c>
      <c r="E2324" s="95">
        <f t="shared" si="76"/>
        <v>56498.741750000008</v>
      </c>
      <c r="F2324" s="95">
        <v>0</v>
      </c>
      <c r="G2324" s="145">
        <f t="shared" si="77"/>
        <v>56498.741750000008</v>
      </c>
      <c r="H2324" s="143"/>
      <c r="I2324" t="s">
        <v>1159</v>
      </c>
    </row>
    <row r="2325" spans="1:9" hidden="1" outlineLevel="1">
      <c r="A2325" s="465" t="s">
        <v>1160</v>
      </c>
      <c r="B2325" s="544">
        <v>1039621.517</v>
      </c>
      <c r="C2325" s="95">
        <v>0</v>
      </c>
      <c r="D2325" s="95">
        <v>0</v>
      </c>
      <c r="E2325" s="95">
        <f t="shared" si="76"/>
        <v>1039621.517</v>
      </c>
      <c r="F2325" s="95">
        <v>-1359</v>
      </c>
      <c r="G2325" s="145">
        <f t="shared" si="77"/>
        <v>1038262.517</v>
      </c>
      <c r="H2325" s="143"/>
      <c r="I2325" t="s">
        <v>1161</v>
      </c>
    </row>
    <row r="2326" spans="1:9" hidden="1" outlineLevel="1">
      <c r="A2326" s="465" t="s">
        <v>1162</v>
      </c>
      <c r="B2326" s="544">
        <v>225019.82250000001</v>
      </c>
      <c r="C2326" s="95">
        <v>0</v>
      </c>
      <c r="D2326" s="95">
        <v>0</v>
      </c>
      <c r="E2326" s="95">
        <f t="shared" si="76"/>
        <v>225019.82250000001</v>
      </c>
      <c r="F2326" s="95">
        <v>0</v>
      </c>
      <c r="G2326" s="145">
        <f t="shared" si="77"/>
        <v>225019.82250000001</v>
      </c>
      <c r="H2326" s="143"/>
      <c r="I2326" t="s">
        <v>1163</v>
      </c>
    </row>
    <row r="2327" spans="1:9" hidden="1" outlineLevel="1">
      <c r="A2327" s="465" t="s">
        <v>1164</v>
      </c>
      <c r="B2327" s="544">
        <v>357142.44775000005</v>
      </c>
      <c r="C2327" s="95">
        <v>0</v>
      </c>
      <c r="D2327" s="95">
        <v>0</v>
      </c>
      <c r="E2327" s="95">
        <f t="shared" si="76"/>
        <v>357142.44775000005</v>
      </c>
      <c r="F2327" s="95">
        <v>362</v>
      </c>
      <c r="G2327" s="145">
        <f t="shared" si="77"/>
        <v>357504.44775000005</v>
      </c>
      <c r="H2327" s="143"/>
      <c r="I2327" t="s">
        <v>1165</v>
      </c>
    </row>
    <row r="2328" spans="1:9" hidden="1" outlineLevel="1">
      <c r="A2328" s="465" t="s">
        <v>1166</v>
      </c>
      <c r="B2328" s="544">
        <v>8765.0887500000008</v>
      </c>
      <c r="C2328" s="95">
        <v>0</v>
      </c>
      <c r="D2328" s="95">
        <v>0</v>
      </c>
      <c r="E2328" s="95">
        <f t="shared" si="76"/>
        <v>8765.0887500000008</v>
      </c>
      <c r="F2328" s="95">
        <v>0</v>
      </c>
      <c r="G2328" s="145">
        <f t="shared" si="77"/>
        <v>8765.0887500000008</v>
      </c>
      <c r="H2328" s="143"/>
      <c r="I2328" t="s">
        <v>1167</v>
      </c>
    </row>
    <row r="2329" spans="1:9" hidden="1" outlineLevel="1">
      <c r="A2329" s="465" t="s">
        <v>1168</v>
      </c>
      <c r="B2329" s="544">
        <v>78752.412750000003</v>
      </c>
      <c r="C2329" s="95">
        <v>0</v>
      </c>
      <c r="D2329" s="95">
        <v>0</v>
      </c>
      <c r="E2329" s="95">
        <f t="shared" si="76"/>
        <v>78752.412750000003</v>
      </c>
      <c r="F2329" s="95">
        <v>0</v>
      </c>
      <c r="G2329" s="145">
        <f t="shared" si="77"/>
        <v>78752.412750000003</v>
      </c>
      <c r="H2329" s="143"/>
      <c r="I2329" t="s">
        <v>1169</v>
      </c>
    </row>
    <row r="2330" spans="1:9" hidden="1" outlineLevel="1">
      <c r="A2330" s="465" t="s">
        <v>1170</v>
      </c>
      <c r="B2330" s="544">
        <v>155140.139</v>
      </c>
      <c r="C2330" s="95">
        <v>0</v>
      </c>
      <c r="D2330" s="95">
        <v>0</v>
      </c>
      <c r="E2330" s="95">
        <f t="shared" si="76"/>
        <v>155140.139</v>
      </c>
      <c r="F2330" s="95">
        <v>-230</v>
      </c>
      <c r="G2330" s="145">
        <f t="shared" si="77"/>
        <v>154910.139</v>
      </c>
      <c r="H2330" s="143"/>
      <c r="I2330" t="s">
        <v>1171</v>
      </c>
    </row>
    <row r="2331" spans="1:9" hidden="1" outlineLevel="1">
      <c r="A2331" s="465" t="s">
        <v>1172</v>
      </c>
      <c r="B2331" s="544">
        <v>103779.00775</v>
      </c>
      <c r="C2331" s="95">
        <v>0</v>
      </c>
      <c r="D2331" s="95">
        <v>0</v>
      </c>
      <c r="E2331" s="95">
        <f t="shared" si="76"/>
        <v>103779.00775</v>
      </c>
      <c r="F2331" s="95">
        <v>-25</v>
      </c>
      <c r="G2331" s="145">
        <f t="shared" si="77"/>
        <v>103754.00775</v>
      </c>
      <c r="H2331" s="143"/>
      <c r="I2331" t="s">
        <v>1173</v>
      </c>
    </row>
    <row r="2332" spans="1:9" hidden="1" outlineLevel="1">
      <c r="A2332" s="465" t="s">
        <v>1174</v>
      </c>
      <c r="B2332" s="544">
        <v>914132.85150000011</v>
      </c>
      <c r="C2332" s="95">
        <v>0</v>
      </c>
      <c r="D2332" s="95">
        <v>0</v>
      </c>
      <c r="E2332" s="95">
        <f t="shared" si="76"/>
        <v>914132.85150000011</v>
      </c>
      <c r="F2332" s="95">
        <v>-1069</v>
      </c>
      <c r="G2332" s="145">
        <f t="shared" si="77"/>
        <v>913063.85150000011</v>
      </c>
      <c r="H2332" s="143"/>
      <c r="I2332" t="s">
        <v>1175</v>
      </c>
    </row>
    <row r="2333" spans="1:9" hidden="1" outlineLevel="1">
      <c r="A2333" s="465" t="s">
        <v>1176</v>
      </c>
      <c r="B2333" s="544">
        <v>994165.26825000008</v>
      </c>
      <c r="C2333" s="95">
        <v>0</v>
      </c>
      <c r="D2333" s="95">
        <v>0</v>
      </c>
      <c r="E2333" s="95">
        <f t="shared" si="76"/>
        <v>994165.26825000008</v>
      </c>
      <c r="F2333" s="95">
        <v>4132</v>
      </c>
      <c r="G2333" s="145">
        <f t="shared" si="77"/>
        <v>998297.26825000008</v>
      </c>
      <c r="H2333" s="143"/>
      <c r="I2333" t="s">
        <v>1177</v>
      </c>
    </row>
    <row r="2334" spans="1:9" hidden="1" outlineLevel="1">
      <c r="A2334" s="465" t="s">
        <v>1178</v>
      </c>
      <c r="B2334" s="544">
        <v>49050.116500000004</v>
      </c>
      <c r="C2334" s="95">
        <v>0</v>
      </c>
      <c r="D2334" s="95">
        <v>0</v>
      </c>
      <c r="E2334" s="95">
        <f t="shared" ref="E2334:E2397" si="78">B2334+C2334+D2334</f>
        <v>49050.116500000004</v>
      </c>
      <c r="F2334" s="95">
        <v>-1299</v>
      </c>
      <c r="G2334" s="145">
        <f t="shared" ref="G2334:G2397" si="79">E2334+F2334</f>
        <v>47751.116500000004</v>
      </c>
      <c r="H2334" s="143"/>
      <c r="I2334" t="s">
        <v>1179</v>
      </c>
    </row>
    <row r="2335" spans="1:9" hidden="1" outlineLevel="1">
      <c r="A2335" s="465" t="s">
        <v>1877</v>
      </c>
      <c r="B2335" s="544">
        <v>0</v>
      </c>
      <c r="C2335" s="95">
        <v>0</v>
      </c>
      <c r="D2335" s="95">
        <v>0</v>
      </c>
      <c r="E2335" s="95">
        <f t="shared" si="78"/>
        <v>0</v>
      </c>
      <c r="F2335" s="95">
        <v>0</v>
      </c>
      <c r="G2335" s="145">
        <f t="shared" si="79"/>
        <v>0</v>
      </c>
      <c r="H2335" s="143"/>
      <c r="I2335" t="s">
        <v>1878</v>
      </c>
    </row>
    <row r="2336" spans="1:9" hidden="1" outlineLevel="1">
      <c r="A2336" s="465" t="s">
        <v>1180</v>
      </c>
      <c r="B2336" s="544">
        <v>45690.818250000004</v>
      </c>
      <c r="C2336" s="95">
        <v>0</v>
      </c>
      <c r="D2336" s="95">
        <v>0</v>
      </c>
      <c r="E2336" s="95">
        <f t="shared" si="78"/>
        <v>45690.818250000004</v>
      </c>
      <c r="F2336" s="95">
        <v>0</v>
      </c>
      <c r="G2336" s="145">
        <f t="shared" si="79"/>
        <v>45690.818250000004</v>
      </c>
      <c r="H2336" s="143"/>
      <c r="I2336" t="s">
        <v>1181</v>
      </c>
    </row>
    <row r="2337" spans="1:9" hidden="1" outlineLevel="1">
      <c r="A2337" s="465" t="s">
        <v>1182</v>
      </c>
      <c r="B2337" s="544">
        <v>58039.734499999999</v>
      </c>
      <c r="C2337" s="95">
        <v>0</v>
      </c>
      <c r="D2337" s="95">
        <v>0</v>
      </c>
      <c r="E2337" s="95">
        <f t="shared" si="78"/>
        <v>58039.734499999999</v>
      </c>
      <c r="F2337" s="95">
        <v>191</v>
      </c>
      <c r="G2337" s="145">
        <f t="shared" si="79"/>
        <v>58230.734499999999</v>
      </c>
      <c r="H2337" s="143"/>
      <c r="I2337" t="s">
        <v>1183</v>
      </c>
    </row>
    <row r="2338" spans="1:9" hidden="1" outlineLevel="1">
      <c r="A2338" s="465" t="s">
        <v>1184</v>
      </c>
      <c r="B2338" s="544">
        <v>396231.05775000004</v>
      </c>
      <c r="C2338" s="95">
        <v>0</v>
      </c>
      <c r="D2338" s="95">
        <v>0</v>
      </c>
      <c r="E2338" s="95">
        <f t="shared" si="78"/>
        <v>396231.05775000004</v>
      </c>
      <c r="F2338" s="95">
        <v>0</v>
      </c>
      <c r="G2338" s="145">
        <f t="shared" si="79"/>
        <v>396231.05775000004</v>
      </c>
      <c r="H2338" s="143"/>
      <c r="I2338" t="s">
        <v>1185</v>
      </c>
    </row>
    <row r="2339" spans="1:9" hidden="1" outlineLevel="1">
      <c r="A2339" s="465" t="s">
        <v>1186</v>
      </c>
      <c r="B2339" s="544">
        <v>240798.39575000003</v>
      </c>
      <c r="C2339" s="95">
        <v>0</v>
      </c>
      <c r="D2339" s="95">
        <v>0</v>
      </c>
      <c r="E2339" s="95">
        <f t="shared" si="78"/>
        <v>240798.39575000003</v>
      </c>
      <c r="F2339" s="95">
        <v>336</v>
      </c>
      <c r="G2339" s="145">
        <f t="shared" si="79"/>
        <v>241134.39575000003</v>
      </c>
      <c r="H2339" s="143"/>
      <c r="I2339" t="s">
        <v>1187</v>
      </c>
    </row>
    <row r="2340" spans="1:9" hidden="1" outlineLevel="1">
      <c r="A2340" s="465" t="s">
        <v>1188</v>
      </c>
      <c r="B2340" s="544">
        <v>67392.688000000009</v>
      </c>
      <c r="C2340" s="95">
        <v>0</v>
      </c>
      <c r="D2340" s="95">
        <v>0</v>
      </c>
      <c r="E2340" s="95">
        <f t="shared" si="78"/>
        <v>67392.688000000009</v>
      </c>
      <c r="F2340" s="95">
        <v>0</v>
      </c>
      <c r="G2340" s="145">
        <f t="shared" si="79"/>
        <v>67392.688000000009</v>
      </c>
      <c r="H2340" s="143"/>
      <c r="I2340" t="s">
        <v>1189</v>
      </c>
    </row>
    <row r="2341" spans="1:9" hidden="1" outlineLevel="1">
      <c r="A2341" s="465" t="s">
        <v>1190</v>
      </c>
      <c r="B2341" s="544">
        <v>241754.58450000003</v>
      </c>
      <c r="C2341" s="95">
        <v>0</v>
      </c>
      <c r="D2341" s="95">
        <v>0</v>
      </c>
      <c r="E2341" s="95">
        <f t="shared" si="78"/>
        <v>241754.58450000003</v>
      </c>
      <c r="F2341" s="95">
        <v>-3454</v>
      </c>
      <c r="G2341" s="145">
        <f t="shared" si="79"/>
        <v>238300.58450000003</v>
      </c>
      <c r="H2341" s="143"/>
      <c r="I2341" t="s">
        <v>1191</v>
      </c>
    </row>
    <row r="2342" spans="1:9" hidden="1" outlineLevel="1">
      <c r="A2342" s="465" t="s">
        <v>1192</v>
      </c>
      <c r="B2342" s="544">
        <v>326513.26400000002</v>
      </c>
      <c r="C2342" s="95">
        <v>0</v>
      </c>
      <c r="D2342" s="95">
        <v>0</v>
      </c>
      <c r="E2342" s="95">
        <f t="shared" si="78"/>
        <v>326513.26400000002</v>
      </c>
      <c r="F2342" s="95">
        <v>0</v>
      </c>
      <c r="G2342" s="145">
        <f t="shared" si="79"/>
        <v>326513.26400000002</v>
      </c>
      <c r="H2342" s="143"/>
      <c r="I2342" t="s">
        <v>1193</v>
      </c>
    </row>
    <row r="2343" spans="1:9" hidden="1" outlineLevel="1">
      <c r="A2343" s="465" t="s">
        <v>1194</v>
      </c>
      <c r="B2343" s="544">
        <v>119303.06300000001</v>
      </c>
      <c r="C2343" s="95">
        <v>0</v>
      </c>
      <c r="D2343" s="95">
        <v>0</v>
      </c>
      <c r="E2343" s="95">
        <f t="shared" si="78"/>
        <v>119303.06300000001</v>
      </c>
      <c r="F2343" s="95">
        <v>-633</v>
      </c>
      <c r="G2343" s="145">
        <f t="shared" si="79"/>
        <v>118670.06300000001</v>
      </c>
      <c r="H2343" s="143"/>
      <c r="I2343" t="s">
        <v>1195</v>
      </c>
    </row>
    <row r="2344" spans="1:9" hidden="1" outlineLevel="1">
      <c r="A2344" s="465" t="s">
        <v>1196</v>
      </c>
      <c r="B2344" s="544">
        <v>266542.33650000003</v>
      </c>
      <c r="C2344" s="95">
        <v>0</v>
      </c>
      <c r="D2344" s="95">
        <v>0</v>
      </c>
      <c r="E2344" s="95">
        <f t="shared" si="78"/>
        <v>266542.33650000003</v>
      </c>
      <c r="F2344" s="95">
        <v>-1835</v>
      </c>
      <c r="G2344" s="145">
        <f t="shared" si="79"/>
        <v>264707.33650000003</v>
      </c>
      <c r="H2344" s="143"/>
      <c r="I2344" t="s">
        <v>1197</v>
      </c>
    </row>
    <row r="2345" spans="1:9" hidden="1" outlineLevel="1">
      <c r="A2345" s="465" t="s">
        <v>1198</v>
      </c>
      <c r="B2345" s="544">
        <v>5606690.3720000004</v>
      </c>
      <c r="C2345" s="95">
        <v>0</v>
      </c>
      <c r="D2345" s="95">
        <v>0</v>
      </c>
      <c r="E2345" s="95">
        <f t="shared" si="78"/>
        <v>5606690.3720000004</v>
      </c>
      <c r="F2345" s="95">
        <v>0</v>
      </c>
      <c r="G2345" s="145">
        <f t="shared" si="79"/>
        <v>5606690.3720000004</v>
      </c>
      <c r="H2345" s="143"/>
      <c r="I2345" t="s">
        <v>1199</v>
      </c>
    </row>
    <row r="2346" spans="1:9" hidden="1" outlineLevel="1">
      <c r="A2346" s="465" t="s">
        <v>1200</v>
      </c>
      <c r="B2346" s="544">
        <v>657462.87199999997</v>
      </c>
      <c r="C2346" s="95">
        <v>0</v>
      </c>
      <c r="D2346" s="95">
        <v>0</v>
      </c>
      <c r="E2346" s="95">
        <f t="shared" si="78"/>
        <v>657462.87199999997</v>
      </c>
      <c r="F2346" s="95">
        <v>104</v>
      </c>
      <c r="G2346" s="145">
        <f t="shared" si="79"/>
        <v>657566.87199999997</v>
      </c>
      <c r="H2346" s="143"/>
      <c r="I2346" t="s">
        <v>1201</v>
      </c>
    </row>
    <row r="2347" spans="1:9" hidden="1" outlineLevel="1">
      <c r="A2347" s="465" t="s">
        <v>1202</v>
      </c>
      <c r="B2347" s="544">
        <v>53384.144</v>
      </c>
      <c r="C2347" s="95">
        <v>0</v>
      </c>
      <c r="D2347" s="95">
        <v>0</v>
      </c>
      <c r="E2347" s="95">
        <f t="shared" si="78"/>
        <v>53384.144</v>
      </c>
      <c r="F2347" s="95">
        <v>0</v>
      </c>
      <c r="G2347" s="145">
        <f t="shared" si="79"/>
        <v>53384.144</v>
      </c>
      <c r="H2347" s="143"/>
      <c r="I2347" t="s">
        <v>1203</v>
      </c>
    </row>
    <row r="2348" spans="1:9" hidden="1" outlineLevel="1">
      <c r="A2348" s="465" t="s">
        <v>1204</v>
      </c>
      <c r="B2348" s="544">
        <v>16832863.816250004</v>
      </c>
      <c r="C2348" s="95">
        <v>-14679</v>
      </c>
      <c r="D2348" s="95">
        <v>0</v>
      </c>
      <c r="E2348" s="95">
        <f t="shared" si="78"/>
        <v>16818184.816250004</v>
      </c>
      <c r="F2348" s="95">
        <v>72369</v>
      </c>
      <c r="G2348" s="145">
        <f t="shared" si="79"/>
        <v>16890553.816250004</v>
      </c>
      <c r="H2348" s="143"/>
      <c r="I2348" t="s">
        <v>1205</v>
      </c>
    </row>
    <row r="2349" spans="1:9" hidden="1" outlineLevel="1">
      <c r="A2349" s="465" t="s">
        <v>1206</v>
      </c>
      <c r="B2349" s="544">
        <v>230013.86925000002</v>
      </c>
      <c r="C2349" s="95">
        <v>0</v>
      </c>
      <c r="D2349" s="95">
        <v>0</v>
      </c>
      <c r="E2349" s="95">
        <f t="shared" si="78"/>
        <v>230013.86925000002</v>
      </c>
      <c r="F2349" s="95">
        <v>0</v>
      </c>
      <c r="G2349" s="145">
        <f t="shared" si="79"/>
        <v>230013.86925000002</v>
      </c>
      <c r="H2349" s="143"/>
      <c r="I2349" t="s">
        <v>1207</v>
      </c>
    </row>
    <row r="2350" spans="1:9" hidden="1" outlineLevel="1">
      <c r="A2350" s="465" t="s">
        <v>1208</v>
      </c>
      <c r="B2350" s="544">
        <v>146538.21325</v>
      </c>
      <c r="C2350" s="95">
        <v>0</v>
      </c>
      <c r="D2350" s="95">
        <v>0</v>
      </c>
      <c r="E2350" s="95">
        <f t="shared" si="78"/>
        <v>146538.21325</v>
      </c>
      <c r="F2350" s="95">
        <v>0</v>
      </c>
      <c r="G2350" s="145">
        <f t="shared" si="79"/>
        <v>146538.21325</v>
      </c>
      <c r="H2350" s="143"/>
      <c r="I2350" t="s">
        <v>1209</v>
      </c>
    </row>
    <row r="2351" spans="1:9" hidden="1" outlineLevel="1">
      <c r="A2351" s="465" t="s">
        <v>1210</v>
      </c>
      <c r="B2351" s="544">
        <v>2770898.108</v>
      </c>
      <c r="C2351" s="95">
        <v>0</v>
      </c>
      <c r="D2351" s="95">
        <v>0</v>
      </c>
      <c r="E2351" s="95">
        <f t="shared" si="78"/>
        <v>2770898.108</v>
      </c>
      <c r="F2351" s="95">
        <v>0</v>
      </c>
      <c r="G2351" s="145">
        <f t="shared" si="79"/>
        <v>2770898.108</v>
      </c>
      <c r="H2351" s="143"/>
      <c r="I2351" t="s">
        <v>1211</v>
      </c>
    </row>
    <row r="2352" spans="1:9" hidden="1" outlineLevel="1">
      <c r="A2352" s="465" t="s">
        <v>1212</v>
      </c>
      <c r="B2352" s="544">
        <v>177443.09275000001</v>
      </c>
      <c r="C2352" s="95">
        <v>0</v>
      </c>
      <c r="D2352" s="95">
        <v>0</v>
      </c>
      <c r="E2352" s="95">
        <f t="shared" si="78"/>
        <v>177443.09275000001</v>
      </c>
      <c r="F2352" s="95">
        <v>0</v>
      </c>
      <c r="G2352" s="145">
        <f t="shared" si="79"/>
        <v>177443.09275000001</v>
      </c>
      <c r="H2352" s="143"/>
      <c r="I2352" t="s">
        <v>1213</v>
      </c>
    </row>
    <row r="2353" spans="1:9" hidden="1" outlineLevel="1">
      <c r="A2353" s="465" t="s">
        <v>1214</v>
      </c>
      <c r="B2353" s="544">
        <v>72053.586750000002</v>
      </c>
      <c r="C2353" s="95">
        <v>0</v>
      </c>
      <c r="D2353" s="95">
        <v>0</v>
      </c>
      <c r="E2353" s="95">
        <f t="shared" si="78"/>
        <v>72053.586750000002</v>
      </c>
      <c r="F2353" s="95">
        <v>0</v>
      </c>
      <c r="G2353" s="145">
        <f t="shared" si="79"/>
        <v>72053.586750000002</v>
      </c>
      <c r="H2353" s="143"/>
      <c r="I2353" t="s">
        <v>1215</v>
      </c>
    </row>
    <row r="2354" spans="1:9" hidden="1" outlineLevel="1">
      <c r="A2354" s="465" t="s">
        <v>1216</v>
      </c>
      <c r="B2354" s="544">
        <v>100763.93800000001</v>
      </c>
      <c r="C2354" s="95">
        <v>0</v>
      </c>
      <c r="D2354" s="95">
        <v>0</v>
      </c>
      <c r="E2354" s="95">
        <f t="shared" si="78"/>
        <v>100763.93800000001</v>
      </c>
      <c r="F2354" s="95">
        <v>0</v>
      </c>
      <c r="G2354" s="145">
        <f t="shared" si="79"/>
        <v>100763.93800000001</v>
      </c>
      <c r="H2354" s="143"/>
      <c r="I2354" t="s">
        <v>1217</v>
      </c>
    </row>
    <row r="2355" spans="1:9" hidden="1" outlineLevel="1">
      <c r="A2355" s="465" t="s">
        <v>1218</v>
      </c>
      <c r="B2355" s="544">
        <v>164581.20525000003</v>
      </c>
      <c r="C2355" s="95">
        <v>0</v>
      </c>
      <c r="D2355" s="95">
        <v>0</v>
      </c>
      <c r="E2355" s="95">
        <f t="shared" si="78"/>
        <v>164581.20525000003</v>
      </c>
      <c r="F2355" s="95">
        <v>0</v>
      </c>
      <c r="G2355" s="145">
        <f t="shared" si="79"/>
        <v>164581.20525000003</v>
      </c>
      <c r="H2355" s="143"/>
      <c r="I2355" t="s">
        <v>1219</v>
      </c>
    </row>
    <row r="2356" spans="1:9" hidden="1" outlineLevel="1">
      <c r="A2356" s="465" t="s">
        <v>1220</v>
      </c>
      <c r="B2356" s="544">
        <v>170017.42450000002</v>
      </c>
      <c r="C2356" s="95">
        <v>0</v>
      </c>
      <c r="D2356" s="95">
        <v>0</v>
      </c>
      <c r="E2356" s="95">
        <f t="shared" si="78"/>
        <v>170017.42450000002</v>
      </c>
      <c r="F2356" s="95">
        <v>0</v>
      </c>
      <c r="G2356" s="145">
        <f t="shared" si="79"/>
        <v>170017.42450000002</v>
      </c>
      <c r="H2356" s="143"/>
      <c r="I2356" t="s">
        <v>1221</v>
      </c>
    </row>
    <row r="2357" spans="1:9" hidden="1" outlineLevel="1">
      <c r="A2357" s="465" t="s">
        <v>1476</v>
      </c>
      <c r="B2357" s="544">
        <v>651946.23175000004</v>
      </c>
      <c r="C2357" s="95">
        <v>0</v>
      </c>
      <c r="D2357" s="95">
        <v>0</v>
      </c>
      <c r="E2357" s="95">
        <f t="shared" si="78"/>
        <v>651946.23175000004</v>
      </c>
      <c r="F2357" s="95">
        <v>-92</v>
      </c>
      <c r="G2357" s="145">
        <f t="shared" si="79"/>
        <v>651854.23175000004</v>
      </c>
      <c r="H2357" s="143"/>
      <c r="I2357" t="s">
        <v>1477</v>
      </c>
    </row>
    <row r="2358" spans="1:9" hidden="1" outlineLevel="1">
      <c r="A2358" s="465" t="s">
        <v>1222</v>
      </c>
      <c r="B2358" s="544">
        <v>157711.84825000001</v>
      </c>
      <c r="C2358" s="95">
        <v>0</v>
      </c>
      <c r="D2358" s="95">
        <v>0</v>
      </c>
      <c r="E2358" s="95">
        <f t="shared" si="78"/>
        <v>157711.84825000001</v>
      </c>
      <c r="F2358" s="95">
        <v>0</v>
      </c>
      <c r="G2358" s="145">
        <f t="shared" si="79"/>
        <v>157711.84825000001</v>
      </c>
      <c r="H2358" s="143"/>
      <c r="I2358" t="s">
        <v>1223</v>
      </c>
    </row>
    <row r="2359" spans="1:9" hidden="1" outlineLevel="1">
      <c r="A2359" s="465" t="s">
        <v>1224</v>
      </c>
      <c r="B2359" s="544">
        <v>148819.46750000003</v>
      </c>
      <c r="C2359" s="95">
        <v>0</v>
      </c>
      <c r="D2359" s="95">
        <v>0</v>
      </c>
      <c r="E2359" s="95">
        <f t="shared" si="78"/>
        <v>148819.46750000003</v>
      </c>
      <c r="F2359" s="95">
        <v>0</v>
      </c>
      <c r="G2359" s="145">
        <f t="shared" si="79"/>
        <v>148819.46750000003</v>
      </c>
      <c r="H2359" s="143"/>
      <c r="I2359" t="s">
        <v>1225</v>
      </c>
    </row>
    <row r="2360" spans="1:9" hidden="1" outlineLevel="1">
      <c r="A2360" s="465" t="s">
        <v>1226</v>
      </c>
      <c r="B2360" s="544">
        <v>161666.26850000001</v>
      </c>
      <c r="C2360" s="95">
        <v>0</v>
      </c>
      <c r="D2360" s="95">
        <v>0</v>
      </c>
      <c r="E2360" s="95">
        <f t="shared" si="78"/>
        <v>161666.26850000001</v>
      </c>
      <c r="F2360" s="95">
        <v>0</v>
      </c>
      <c r="G2360" s="145">
        <f t="shared" si="79"/>
        <v>161666.26850000001</v>
      </c>
      <c r="H2360" s="143"/>
      <c r="I2360" t="s">
        <v>1227</v>
      </c>
    </row>
    <row r="2361" spans="1:9" hidden="1" outlineLevel="1">
      <c r="A2361" s="465" t="s">
        <v>1228</v>
      </c>
      <c r="B2361" s="544">
        <v>395536.24825</v>
      </c>
      <c r="C2361" s="95">
        <v>0</v>
      </c>
      <c r="D2361" s="95">
        <v>0</v>
      </c>
      <c r="E2361" s="95">
        <f t="shared" si="78"/>
        <v>395536.24825</v>
      </c>
      <c r="F2361" s="95">
        <v>-296</v>
      </c>
      <c r="G2361" s="145">
        <f t="shared" si="79"/>
        <v>395240.24825</v>
      </c>
      <c r="H2361" s="143"/>
      <c r="I2361" t="s">
        <v>1229</v>
      </c>
    </row>
    <row r="2362" spans="1:9" hidden="1" outlineLevel="1">
      <c r="A2362" s="465" t="s">
        <v>1230</v>
      </c>
      <c r="B2362" s="544">
        <v>143476.99575</v>
      </c>
      <c r="C2362" s="95">
        <v>0</v>
      </c>
      <c r="D2362" s="95">
        <v>0</v>
      </c>
      <c r="E2362" s="95">
        <f t="shared" si="78"/>
        <v>143476.99575</v>
      </c>
      <c r="F2362" s="95">
        <v>-6</v>
      </c>
      <c r="G2362" s="145">
        <f t="shared" si="79"/>
        <v>143470.99575</v>
      </c>
      <c r="H2362" s="143"/>
      <c r="I2362" t="s">
        <v>1231</v>
      </c>
    </row>
    <row r="2363" spans="1:9" hidden="1" outlineLevel="1">
      <c r="A2363" s="465" t="s">
        <v>1232</v>
      </c>
      <c r="B2363" s="544">
        <v>55808.970250000006</v>
      </c>
      <c r="C2363" s="95">
        <v>0</v>
      </c>
      <c r="D2363" s="95">
        <v>0</v>
      </c>
      <c r="E2363" s="95">
        <f t="shared" si="78"/>
        <v>55808.970250000006</v>
      </c>
      <c r="F2363" s="95">
        <v>0</v>
      </c>
      <c r="G2363" s="145">
        <f t="shared" si="79"/>
        <v>55808.970250000006</v>
      </c>
      <c r="H2363" s="143"/>
      <c r="I2363" t="s">
        <v>1233</v>
      </c>
    </row>
    <row r="2364" spans="1:9" hidden="1" outlineLevel="1">
      <c r="A2364" s="465" t="s">
        <v>1234</v>
      </c>
      <c r="B2364" s="544">
        <v>65165.806750000011</v>
      </c>
      <c r="C2364" s="95">
        <v>0</v>
      </c>
      <c r="D2364" s="95">
        <v>0</v>
      </c>
      <c r="E2364" s="95">
        <f t="shared" si="78"/>
        <v>65165.806750000011</v>
      </c>
      <c r="F2364" s="95">
        <v>0</v>
      </c>
      <c r="G2364" s="145">
        <f t="shared" si="79"/>
        <v>65165.806750000011</v>
      </c>
      <c r="H2364" s="143"/>
      <c r="I2364" t="s">
        <v>1235</v>
      </c>
    </row>
    <row r="2365" spans="1:9" hidden="1" outlineLevel="1">
      <c r="A2365" s="465" t="s">
        <v>1236</v>
      </c>
      <c r="B2365" s="544">
        <v>153573.81600000002</v>
      </c>
      <c r="C2365" s="95">
        <v>0</v>
      </c>
      <c r="D2365" s="95">
        <v>0</v>
      </c>
      <c r="E2365" s="95">
        <f t="shared" si="78"/>
        <v>153573.81600000002</v>
      </c>
      <c r="F2365" s="95">
        <v>0</v>
      </c>
      <c r="G2365" s="145">
        <f t="shared" si="79"/>
        <v>153573.81600000002</v>
      </c>
      <c r="H2365" s="143"/>
      <c r="I2365" t="s">
        <v>1237</v>
      </c>
    </row>
    <row r="2366" spans="1:9" hidden="1" outlineLevel="1">
      <c r="A2366" s="465" t="s">
        <v>1238</v>
      </c>
      <c r="B2366" s="544">
        <v>2349880.2497500004</v>
      </c>
      <c r="C2366" s="95">
        <v>0</v>
      </c>
      <c r="D2366" s="95">
        <v>0</v>
      </c>
      <c r="E2366" s="95">
        <f t="shared" si="78"/>
        <v>2349880.2497500004</v>
      </c>
      <c r="F2366" s="95">
        <v>0</v>
      </c>
      <c r="G2366" s="145">
        <f t="shared" si="79"/>
        <v>2349880.2497500004</v>
      </c>
      <c r="H2366" s="143"/>
      <c r="I2366" t="s">
        <v>1239</v>
      </c>
    </row>
    <row r="2367" spans="1:9" hidden="1" outlineLevel="1">
      <c r="A2367" s="465" t="s">
        <v>1879</v>
      </c>
      <c r="B2367" s="544">
        <v>16716.210500000001</v>
      </c>
      <c r="C2367" s="95">
        <v>0</v>
      </c>
      <c r="D2367" s="95">
        <v>0</v>
      </c>
      <c r="E2367" s="95">
        <f t="shared" si="78"/>
        <v>16716.210500000001</v>
      </c>
      <c r="F2367" s="95">
        <v>0</v>
      </c>
      <c r="G2367" s="145">
        <f t="shared" si="79"/>
        <v>16716.210500000001</v>
      </c>
      <c r="H2367" s="143"/>
      <c r="I2367" t="s">
        <v>1880</v>
      </c>
    </row>
    <row r="2368" spans="1:9" hidden="1" outlineLevel="1">
      <c r="A2368" s="465" t="s">
        <v>1240</v>
      </c>
      <c r="B2368" s="544">
        <v>52707.176500000001</v>
      </c>
      <c r="C2368" s="95">
        <v>0</v>
      </c>
      <c r="D2368" s="95">
        <v>0</v>
      </c>
      <c r="E2368" s="95">
        <f t="shared" si="78"/>
        <v>52707.176500000001</v>
      </c>
      <c r="F2368" s="95">
        <v>685</v>
      </c>
      <c r="G2368" s="145">
        <f t="shared" si="79"/>
        <v>53392.176500000001</v>
      </c>
      <c r="H2368" s="143"/>
      <c r="I2368" t="s">
        <v>1241</v>
      </c>
    </row>
    <row r="2369" spans="1:9" hidden="1" outlineLevel="1">
      <c r="A2369" s="465" t="s">
        <v>1242</v>
      </c>
      <c r="B2369" s="544">
        <v>488682.33975000004</v>
      </c>
      <c r="C2369" s="95">
        <v>0</v>
      </c>
      <c r="D2369" s="95">
        <v>0</v>
      </c>
      <c r="E2369" s="95">
        <f t="shared" si="78"/>
        <v>488682.33975000004</v>
      </c>
      <c r="F2369" s="95">
        <v>7779</v>
      </c>
      <c r="G2369" s="145">
        <f t="shared" si="79"/>
        <v>496461.33975000004</v>
      </c>
      <c r="H2369" s="143"/>
      <c r="I2369" t="s">
        <v>1243</v>
      </c>
    </row>
    <row r="2370" spans="1:9" hidden="1" outlineLevel="1">
      <c r="A2370" s="465" t="s">
        <v>1244</v>
      </c>
      <c r="B2370" s="544">
        <v>44755.10325</v>
      </c>
      <c r="C2370" s="95">
        <v>0</v>
      </c>
      <c r="D2370" s="95">
        <v>0</v>
      </c>
      <c r="E2370" s="95">
        <f t="shared" si="78"/>
        <v>44755.10325</v>
      </c>
      <c r="F2370" s="95">
        <v>0</v>
      </c>
      <c r="G2370" s="145">
        <f t="shared" si="79"/>
        <v>44755.10325</v>
      </c>
      <c r="H2370" s="143"/>
      <c r="I2370" t="s">
        <v>1245</v>
      </c>
    </row>
    <row r="2371" spans="1:9" hidden="1" outlineLevel="1">
      <c r="A2371" s="465" t="s">
        <v>1246</v>
      </c>
      <c r="B2371" s="544">
        <v>318402.38375000004</v>
      </c>
      <c r="C2371" s="95">
        <v>0</v>
      </c>
      <c r="D2371" s="95">
        <v>0</v>
      </c>
      <c r="E2371" s="95">
        <f t="shared" si="78"/>
        <v>318402.38375000004</v>
      </c>
      <c r="F2371" s="95">
        <v>3267</v>
      </c>
      <c r="G2371" s="145">
        <f t="shared" si="79"/>
        <v>321669.38375000004</v>
      </c>
      <c r="H2371" s="143"/>
      <c r="I2371" t="s">
        <v>1247</v>
      </c>
    </row>
    <row r="2372" spans="1:9" hidden="1" outlineLevel="1">
      <c r="A2372" s="465" t="s">
        <v>1248</v>
      </c>
      <c r="B2372" s="544">
        <v>40380.381250000006</v>
      </c>
      <c r="C2372" s="95">
        <v>0</v>
      </c>
      <c r="D2372" s="95">
        <v>0</v>
      </c>
      <c r="E2372" s="95">
        <f t="shared" si="78"/>
        <v>40380.381250000006</v>
      </c>
      <c r="F2372" s="95">
        <v>0</v>
      </c>
      <c r="G2372" s="145">
        <f t="shared" si="79"/>
        <v>40380.381250000006</v>
      </c>
      <c r="H2372" s="143"/>
      <c r="I2372" t="s">
        <v>1249</v>
      </c>
    </row>
    <row r="2373" spans="1:9" hidden="1" outlineLevel="1">
      <c r="A2373" s="465" t="s">
        <v>1250</v>
      </c>
      <c r="B2373" s="544">
        <v>943027.20050000015</v>
      </c>
      <c r="C2373" s="95">
        <v>0</v>
      </c>
      <c r="D2373" s="95">
        <v>0</v>
      </c>
      <c r="E2373" s="95">
        <f t="shared" si="78"/>
        <v>943027.20050000015</v>
      </c>
      <c r="F2373" s="95">
        <v>0</v>
      </c>
      <c r="G2373" s="145">
        <f t="shared" si="79"/>
        <v>943027.20050000015</v>
      </c>
      <c r="H2373" s="143"/>
      <c r="I2373" t="s">
        <v>1251</v>
      </c>
    </row>
    <row r="2374" spans="1:9" hidden="1" outlineLevel="1">
      <c r="A2374" s="465" t="s">
        <v>1252</v>
      </c>
      <c r="B2374" s="544">
        <v>125421.84050000001</v>
      </c>
      <c r="C2374" s="95">
        <v>0</v>
      </c>
      <c r="D2374" s="95">
        <v>0</v>
      </c>
      <c r="E2374" s="95">
        <f t="shared" si="78"/>
        <v>125421.84050000001</v>
      </c>
      <c r="F2374" s="95">
        <v>0</v>
      </c>
      <c r="G2374" s="145">
        <f t="shared" si="79"/>
        <v>125421.84050000001</v>
      </c>
      <c r="H2374" s="143"/>
      <c r="I2374" t="s">
        <v>1253</v>
      </c>
    </row>
    <row r="2375" spans="1:9" hidden="1" outlineLevel="1">
      <c r="A2375" s="465" t="s">
        <v>1254</v>
      </c>
      <c r="B2375" s="544">
        <v>273056.94349999999</v>
      </c>
      <c r="C2375" s="95">
        <v>0</v>
      </c>
      <c r="D2375" s="95">
        <v>0</v>
      </c>
      <c r="E2375" s="95">
        <f t="shared" si="78"/>
        <v>273056.94349999999</v>
      </c>
      <c r="F2375" s="95">
        <v>-368</v>
      </c>
      <c r="G2375" s="145">
        <f t="shared" si="79"/>
        <v>272688.94349999999</v>
      </c>
      <c r="H2375" s="143"/>
      <c r="I2375" t="s">
        <v>1255</v>
      </c>
    </row>
    <row r="2376" spans="1:9" hidden="1" outlineLevel="1">
      <c r="A2376" s="465" t="s">
        <v>1256</v>
      </c>
      <c r="B2376" s="544">
        <v>39747.501750000003</v>
      </c>
      <c r="C2376" s="95">
        <v>0</v>
      </c>
      <c r="D2376" s="95">
        <v>0</v>
      </c>
      <c r="E2376" s="95">
        <f t="shared" si="78"/>
        <v>39747.501750000003</v>
      </c>
      <c r="F2376" s="95">
        <v>-169</v>
      </c>
      <c r="G2376" s="145">
        <f t="shared" si="79"/>
        <v>39578.501750000003</v>
      </c>
      <c r="H2376" s="143"/>
      <c r="I2376" t="s">
        <v>1257</v>
      </c>
    </row>
    <row r="2377" spans="1:9" hidden="1" outlineLevel="1">
      <c r="A2377" s="465" t="s">
        <v>1258</v>
      </c>
      <c r="B2377" s="544">
        <v>50523.308000000005</v>
      </c>
      <c r="C2377" s="95">
        <v>0</v>
      </c>
      <c r="D2377" s="95">
        <v>0</v>
      </c>
      <c r="E2377" s="95">
        <f t="shared" si="78"/>
        <v>50523.308000000005</v>
      </c>
      <c r="F2377" s="95">
        <v>122</v>
      </c>
      <c r="G2377" s="145">
        <f t="shared" si="79"/>
        <v>50645.308000000005</v>
      </c>
      <c r="H2377" s="143"/>
      <c r="I2377" t="s">
        <v>1259</v>
      </c>
    </row>
    <row r="2378" spans="1:9" hidden="1" outlineLevel="1">
      <c r="A2378" s="465" t="s">
        <v>1260</v>
      </c>
      <c r="B2378" s="544">
        <v>3033370.2625000002</v>
      </c>
      <c r="C2378" s="95">
        <v>0</v>
      </c>
      <c r="D2378" s="95">
        <v>0</v>
      </c>
      <c r="E2378" s="95">
        <f t="shared" si="78"/>
        <v>3033370.2625000002</v>
      </c>
      <c r="F2378" s="95">
        <v>29483</v>
      </c>
      <c r="G2378" s="145">
        <f t="shared" si="79"/>
        <v>3062853.2625000002</v>
      </c>
      <c r="H2378" s="143"/>
      <c r="I2378" t="s">
        <v>1261</v>
      </c>
    </row>
    <row r="2379" spans="1:9" hidden="1" outlineLevel="1">
      <c r="A2379" s="465" t="s">
        <v>1262</v>
      </c>
      <c r="B2379" s="544">
        <v>451935.25025000004</v>
      </c>
      <c r="C2379" s="95">
        <v>0</v>
      </c>
      <c r="D2379" s="95">
        <v>0</v>
      </c>
      <c r="E2379" s="95">
        <f t="shared" si="78"/>
        <v>451935.25025000004</v>
      </c>
      <c r="F2379" s="95">
        <v>0</v>
      </c>
      <c r="G2379" s="145">
        <f t="shared" si="79"/>
        <v>451935.25025000004</v>
      </c>
      <c r="H2379" s="143"/>
      <c r="I2379" t="s">
        <v>1263</v>
      </c>
    </row>
    <row r="2380" spans="1:9" hidden="1" outlineLevel="1">
      <c r="A2380" s="465" t="s">
        <v>1881</v>
      </c>
      <c r="B2380" s="544">
        <v>4748.6862500000007</v>
      </c>
      <c r="C2380" s="95">
        <v>0</v>
      </c>
      <c r="D2380" s="95">
        <v>0</v>
      </c>
      <c r="E2380" s="95">
        <f t="shared" si="78"/>
        <v>4748.6862500000007</v>
      </c>
      <c r="F2380" s="95">
        <v>0</v>
      </c>
      <c r="G2380" s="145">
        <f t="shared" si="79"/>
        <v>4748.6862500000007</v>
      </c>
      <c r="H2380" s="143"/>
      <c r="I2380" t="s">
        <v>1882</v>
      </c>
    </row>
    <row r="2381" spans="1:9" hidden="1" outlineLevel="1">
      <c r="A2381" s="465" t="s">
        <v>1883</v>
      </c>
      <c r="B2381" s="544">
        <v>60026.056750000011</v>
      </c>
      <c r="C2381" s="95">
        <v>0</v>
      </c>
      <c r="D2381" s="95">
        <v>0</v>
      </c>
      <c r="E2381" s="95">
        <f t="shared" si="78"/>
        <v>60026.056750000011</v>
      </c>
      <c r="F2381" s="95">
        <v>0</v>
      </c>
      <c r="G2381" s="145">
        <f t="shared" si="79"/>
        <v>60026.056750000011</v>
      </c>
      <c r="H2381" s="143"/>
      <c r="I2381" t="s">
        <v>1884</v>
      </c>
    </row>
    <row r="2382" spans="1:9" hidden="1" outlineLevel="1">
      <c r="A2382" s="465" t="s">
        <v>1264</v>
      </c>
      <c r="B2382" s="544">
        <v>57692.393000000011</v>
      </c>
      <c r="C2382" s="95">
        <v>0</v>
      </c>
      <c r="D2382" s="95">
        <v>0</v>
      </c>
      <c r="E2382" s="95">
        <f t="shared" si="78"/>
        <v>57692.393000000011</v>
      </c>
      <c r="F2382" s="95">
        <v>0</v>
      </c>
      <c r="G2382" s="145">
        <f t="shared" si="79"/>
        <v>57692.393000000011</v>
      </c>
      <c r="H2382" s="143"/>
      <c r="I2382" t="s">
        <v>1265</v>
      </c>
    </row>
    <row r="2383" spans="1:9" hidden="1" outlineLevel="1">
      <c r="A2383" s="465" t="s">
        <v>1482</v>
      </c>
      <c r="B2383" s="544">
        <v>238628.89875000005</v>
      </c>
      <c r="C2383" s="95">
        <v>0</v>
      </c>
      <c r="D2383" s="95">
        <v>0</v>
      </c>
      <c r="E2383" s="95">
        <f t="shared" si="78"/>
        <v>238628.89875000005</v>
      </c>
      <c r="F2383" s="95">
        <v>0</v>
      </c>
      <c r="G2383" s="145">
        <f t="shared" si="79"/>
        <v>238628.89875000005</v>
      </c>
      <c r="H2383" s="143"/>
      <c r="I2383" t="s">
        <v>1483</v>
      </c>
    </row>
    <row r="2384" spans="1:9" hidden="1" outlineLevel="1">
      <c r="A2384" s="465" t="s">
        <v>1266</v>
      </c>
      <c r="B2384" s="544">
        <v>119824.9415</v>
      </c>
      <c r="C2384" s="95">
        <v>0</v>
      </c>
      <c r="D2384" s="95">
        <v>0</v>
      </c>
      <c r="E2384" s="95">
        <f t="shared" si="78"/>
        <v>119824.9415</v>
      </c>
      <c r="F2384" s="95">
        <v>0</v>
      </c>
      <c r="G2384" s="145">
        <f t="shared" si="79"/>
        <v>119824.9415</v>
      </c>
      <c r="H2384" s="143"/>
      <c r="I2384" t="s">
        <v>1267</v>
      </c>
    </row>
    <row r="2385" spans="1:9" hidden="1" outlineLevel="1">
      <c r="A2385" s="465" t="s">
        <v>1268</v>
      </c>
      <c r="B2385" s="544">
        <v>2140578.34925</v>
      </c>
      <c r="C2385" s="95">
        <v>0</v>
      </c>
      <c r="D2385" s="95">
        <v>0</v>
      </c>
      <c r="E2385" s="95">
        <f t="shared" si="78"/>
        <v>2140578.34925</v>
      </c>
      <c r="F2385" s="95">
        <v>0</v>
      </c>
      <c r="G2385" s="145">
        <f t="shared" si="79"/>
        <v>2140578.34925</v>
      </c>
      <c r="H2385" s="143"/>
      <c r="I2385" t="s">
        <v>1269</v>
      </c>
    </row>
    <row r="2386" spans="1:9" hidden="1" outlineLevel="1">
      <c r="A2386" s="465" t="s">
        <v>1270</v>
      </c>
      <c r="B2386" s="544">
        <v>182976.02675000002</v>
      </c>
      <c r="C2386" s="95">
        <v>0</v>
      </c>
      <c r="D2386" s="95">
        <v>0</v>
      </c>
      <c r="E2386" s="95">
        <f t="shared" si="78"/>
        <v>182976.02675000002</v>
      </c>
      <c r="F2386" s="95">
        <v>0</v>
      </c>
      <c r="G2386" s="145">
        <f t="shared" si="79"/>
        <v>182976.02675000002</v>
      </c>
      <c r="H2386" s="143"/>
      <c r="I2386" t="s">
        <v>1271</v>
      </c>
    </row>
    <row r="2387" spans="1:9" hidden="1" outlineLevel="1">
      <c r="A2387" s="465" t="s">
        <v>1272</v>
      </c>
      <c r="B2387" s="544">
        <v>95432.713749999995</v>
      </c>
      <c r="C2387" s="95">
        <v>0</v>
      </c>
      <c r="D2387" s="95">
        <v>0</v>
      </c>
      <c r="E2387" s="95">
        <f t="shared" si="78"/>
        <v>95432.713749999995</v>
      </c>
      <c r="F2387" s="95">
        <v>-795</v>
      </c>
      <c r="G2387" s="145">
        <f t="shared" si="79"/>
        <v>94637.713749999995</v>
      </c>
      <c r="H2387" s="143"/>
      <c r="I2387" t="s">
        <v>1273</v>
      </c>
    </row>
    <row r="2388" spans="1:9" hidden="1" outlineLevel="1">
      <c r="A2388" s="465" t="s">
        <v>1274</v>
      </c>
      <c r="B2388" s="544">
        <v>386431.30350000004</v>
      </c>
      <c r="C2388" s="95">
        <v>0</v>
      </c>
      <c r="D2388" s="95">
        <v>0</v>
      </c>
      <c r="E2388" s="95">
        <f t="shared" si="78"/>
        <v>386431.30350000004</v>
      </c>
      <c r="F2388" s="95">
        <v>-5106</v>
      </c>
      <c r="G2388" s="145">
        <f t="shared" si="79"/>
        <v>381325.30350000004</v>
      </c>
      <c r="H2388" s="143"/>
      <c r="I2388" t="s">
        <v>1275</v>
      </c>
    </row>
    <row r="2389" spans="1:9" hidden="1" outlineLevel="1">
      <c r="A2389" s="465" t="s">
        <v>1276</v>
      </c>
      <c r="B2389" s="544">
        <v>189969.098</v>
      </c>
      <c r="C2389" s="95">
        <v>0</v>
      </c>
      <c r="D2389" s="95">
        <v>0</v>
      </c>
      <c r="E2389" s="95">
        <f t="shared" si="78"/>
        <v>189969.098</v>
      </c>
      <c r="F2389" s="95">
        <v>-3893</v>
      </c>
      <c r="G2389" s="145">
        <f t="shared" si="79"/>
        <v>186076.098</v>
      </c>
      <c r="H2389" s="143"/>
      <c r="I2389" t="s">
        <v>1277</v>
      </c>
    </row>
    <row r="2390" spans="1:9" hidden="1" outlineLevel="1">
      <c r="A2390" s="465" t="s">
        <v>1278</v>
      </c>
      <c r="B2390" s="544">
        <v>92374.188500000018</v>
      </c>
      <c r="C2390" s="95">
        <v>0</v>
      </c>
      <c r="D2390" s="95">
        <v>0</v>
      </c>
      <c r="E2390" s="95">
        <f t="shared" si="78"/>
        <v>92374.188500000018</v>
      </c>
      <c r="F2390" s="95">
        <v>0</v>
      </c>
      <c r="G2390" s="145">
        <f t="shared" si="79"/>
        <v>92374.188500000018</v>
      </c>
      <c r="H2390" s="143"/>
      <c r="I2390" t="s">
        <v>1279</v>
      </c>
    </row>
    <row r="2391" spans="1:9" hidden="1" outlineLevel="1">
      <c r="A2391" s="465" t="s">
        <v>1885</v>
      </c>
      <c r="B2391" s="544">
        <v>31168.04075</v>
      </c>
      <c r="C2391" s="95">
        <v>0</v>
      </c>
      <c r="D2391" s="95">
        <v>0</v>
      </c>
      <c r="E2391" s="95">
        <f t="shared" si="78"/>
        <v>31168.04075</v>
      </c>
      <c r="F2391" s="95">
        <v>0</v>
      </c>
      <c r="G2391" s="145">
        <f t="shared" si="79"/>
        <v>31168.04075</v>
      </c>
      <c r="H2391" s="143"/>
      <c r="I2391" t="s">
        <v>1886</v>
      </c>
    </row>
    <row r="2392" spans="1:9" hidden="1" outlineLevel="1">
      <c r="A2392" s="465" t="s">
        <v>1280</v>
      </c>
      <c r="B2392" s="544">
        <v>130068.12225000001</v>
      </c>
      <c r="C2392" s="95">
        <v>0</v>
      </c>
      <c r="D2392" s="95">
        <v>0</v>
      </c>
      <c r="E2392" s="95">
        <f t="shared" si="78"/>
        <v>130068.12225000001</v>
      </c>
      <c r="F2392" s="95">
        <v>-190</v>
      </c>
      <c r="G2392" s="145">
        <f t="shared" si="79"/>
        <v>129878.12225000001</v>
      </c>
      <c r="H2392" s="143"/>
      <c r="I2392" t="s">
        <v>1281</v>
      </c>
    </row>
    <row r="2393" spans="1:9" hidden="1" outlineLevel="1">
      <c r="A2393" s="465" t="s">
        <v>1282</v>
      </c>
      <c r="B2393" s="544">
        <v>11983852.485500002</v>
      </c>
      <c r="C2393" s="95">
        <v>0</v>
      </c>
      <c r="D2393" s="95">
        <v>0</v>
      </c>
      <c r="E2393" s="95">
        <f t="shared" si="78"/>
        <v>11983852.485500002</v>
      </c>
      <c r="F2393" s="95">
        <v>-336549</v>
      </c>
      <c r="G2393" s="145">
        <f t="shared" si="79"/>
        <v>11647303.485500002</v>
      </c>
      <c r="H2393" s="143"/>
      <c r="I2393" t="s">
        <v>1283</v>
      </c>
    </row>
    <row r="2394" spans="1:9" hidden="1" outlineLevel="1">
      <c r="A2394" s="465" t="s">
        <v>1284</v>
      </c>
      <c r="B2394" s="544">
        <v>99906.050750000009</v>
      </c>
      <c r="C2394" s="95">
        <v>0</v>
      </c>
      <c r="D2394" s="95">
        <v>0</v>
      </c>
      <c r="E2394" s="95">
        <f t="shared" si="78"/>
        <v>99906.050750000009</v>
      </c>
      <c r="F2394" s="95">
        <v>54</v>
      </c>
      <c r="G2394" s="145">
        <f t="shared" si="79"/>
        <v>99960.050750000009</v>
      </c>
      <c r="H2394" s="143"/>
      <c r="I2394" t="s">
        <v>1285</v>
      </c>
    </row>
    <row r="2395" spans="1:9" hidden="1" outlineLevel="1">
      <c r="A2395" s="465" t="s">
        <v>1286</v>
      </c>
      <c r="B2395" s="544">
        <v>538911.40049999999</v>
      </c>
      <c r="C2395" s="95">
        <v>0</v>
      </c>
      <c r="D2395" s="95">
        <v>0</v>
      </c>
      <c r="E2395" s="95">
        <f t="shared" si="78"/>
        <v>538911.40049999999</v>
      </c>
      <c r="F2395" s="95">
        <v>-862</v>
      </c>
      <c r="G2395" s="145">
        <f t="shared" si="79"/>
        <v>538049.40049999999</v>
      </c>
      <c r="H2395" s="143"/>
      <c r="I2395" t="s">
        <v>1287</v>
      </c>
    </row>
    <row r="2396" spans="1:9" hidden="1" outlineLevel="1">
      <c r="A2396" s="465" t="s">
        <v>1887</v>
      </c>
      <c r="B2396" s="544">
        <v>18109.107500000002</v>
      </c>
      <c r="C2396" s="95">
        <v>0</v>
      </c>
      <c r="D2396" s="95">
        <v>0</v>
      </c>
      <c r="E2396" s="95">
        <f t="shared" si="78"/>
        <v>18109.107500000002</v>
      </c>
      <c r="F2396" s="95">
        <v>0</v>
      </c>
      <c r="G2396" s="145">
        <f t="shared" si="79"/>
        <v>18109.107500000002</v>
      </c>
      <c r="H2396" s="143"/>
      <c r="I2396" t="s">
        <v>1888</v>
      </c>
    </row>
    <row r="2397" spans="1:9" hidden="1" outlineLevel="1">
      <c r="A2397" s="465" t="s">
        <v>1288</v>
      </c>
      <c r="B2397" s="544">
        <v>2972630.3297625002</v>
      </c>
      <c r="C2397" s="95">
        <v>0</v>
      </c>
      <c r="D2397" s="95">
        <v>0</v>
      </c>
      <c r="E2397" s="95">
        <f t="shared" si="78"/>
        <v>2972630.3297625002</v>
      </c>
      <c r="F2397" s="95">
        <v>-7029</v>
      </c>
      <c r="G2397" s="145">
        <f t="shared" si="79"/>
        <v>2965601.3297625002</v>
      </c>
      <c r="H2397" s="143"/>
      <c r="I2397" t="s">
        <v>1289</v>
      </c>
    </row>
    <row r="2398" spans="1:9" hidden="1" outlineLevel="1">
      <c r="A2398" s="465" t="s">
        <v>1889</v>
      </c>
      <c r="B2398" s="544">
        <v>16879.41475</v>
      </c>
      <c r="C2398" s="95">
        <v>0</v>
      </c>
      <c r="D2398" s="95">
        <v>0</v>
      </c>
      <c r="E2398" s="95">
        <f t="shared" ref="E2398:E2461" si="80">B2398+C2398+D2398</f>
        <v>16879.41475</v>
      </c>
      <c r="F2398" s="95">
        <v>0</v>
      </c>
      <c r="G2398" s="145">
        <f t="shared" ref="G2398:G2461" si="81">E2398+F2398</f>
        <v>16879.41475</v>
      </c>
      <c r="H2398" s="143"/>
      <c r="I2398" t="s">
        <v>1890</v>
      </c>
    </row>
    <row r="2399" spans="1:9" hidden="1" outlineLevel="1">
      <c r="A2399" s="465" t="s">
        <v>1290</v>
      </c>
      <c r="B2399" s="544">
        <v>160921.42825</v>
      </c>
      <c r="C2399" s="95">
        <v>0</v>
      </c>
      <c r="D2399" s="95">
        <v>0</v>
      </c>
      <c r="E2399" s="95">
        <f t="shared" si="80"/>
        <v>160921.42825</v>
      </c>
      <c r="F2399" s="95">
        <v>-201</v>
      </c>
      <c r="G2399" s="145">
        <f t="shared" si="81"/>
        <v>160720.42825</v>
      </c>
      <c r="H2399" s="143"/>
      <c r="I2399" t="s">
        <v>1291</v>
      </c>
    </row>
    <row r="2400" spans="1:9" hidden="1" outlineLevel="1">
      <c r="A2400" s="465" t="s">
        <v>1292</v>
      </c>
      <c r="B2400" s="544">
        <v>16868.148000000001</v>
      </c>
      <c r="C2400" s="95">
        <v>0</v>
      </c>
      <c r="D2400" s="95">
        <v>0</v>
      </c>
      <c r="E2400" s="95">
        <f t="shared" si="80"/>
        <v>16868.148000000001</v>
      </c>
      <c r="F2400" s="95">
        <v>-906</v>
      </c>
      <c r="G2400" s="145">
        <f t="shared" si="81"/>
        <v>15962.148000000001</v>
      </c>
      <c r="H2400" s="143"/>
      <c r="I2400" t="s">
        <v>1293</v>
      </c>
    </row>
    <row r="2401" spans="1:9" hidden="1" outlineLevel="1">
      <c r="A2401" s="465" t="s">
        <v>1294</v>
      </c>
      <c r="B2401" s="544">
        <v>50043.471500000007</v>
      </c>
      <c r="C2401" s="95">
        <v>0</v>
      </c>
      <c r="D2401" s="95">
        <v>0</v>
      </c>
      <c r="E2401" s="95">
        <f t="shared" si="80"/>
        <v>50043.471500000007</v>
      </c>
      <c r="F2401" s="95">
        <v>-147</v>
      </c>
      <c r="G2401" s="145">
        <f t="shared" si="81"/>
        <v>49896.471500000007</v>
      </c>
      <c r="H2401" s="143"/>
      <c r="I2401" t="s">
        <v>1295</v>
      </c>
    </row>
    <row r="2402" spans="1:9" hidden="1" outlineLevel="1">
      <c r="A2402" s="465" t="s">
        <v>1296</v>
      </c>
      <c r="B2402" s="544">
        <v>21279.150750000001</v>
      </c>
      <c r="C2402" s="95">
        <v>0</v>
      </c>
      <c r="D2402" s="95">
        <v>0</v>
      </c>
      <c r="E2402" s="95">
        <f t="shared" si="80"/>
        <v>21279.150750000001</v>
      </c>
      <c r="F2402" s="95">
        <v>14</v>
      </c>
      <c r="G2402" s="145">
        <f t="shared" si="81"/>
        <v>21293.150750000001</v>
      </c>
      <c r="H2402" s="143"/>
      <c r="I2402" t="s">
        <v>1297</v>
      </c>
    </row>
    <row r="2403" spans="1:9" hidden="1" outlineLevel="1">
      <c r="A2403" s="465" t="s">
        <v>1298</v>
      </c>
      <c r="B2403" s="544">
        <v>27394.323000000004</v>
      </c>
      <c r="C2403" s="95">
        <v>0</v>
      </c>
      <c r="D2403" s="95">
        <v>0</v>
      </c>
      <c r="E2403" s="95">
        <f t="shared" si="80"/>
        <v>27394.323000000004</v>
      </c>
      <c r="F2403" s="95">
        <v>0</v>
      </c>
      <c r="G2403" s="145">
        <f t="shared" si="81"/>
        <v>27394.323000000004</v>
      </c>
      <c r="H2403" s="143"/>
      <c r="I2403" t="s">
        <v>1299</v>
      </c>
    </row>
    <row r="2404" spans="1:9" hidden="1" outlineLevel="1">
      <c r="A2404" s="465" t="s">
        <v>1300</v>
      </c>
      <c r="B2404" s="544">
        <v>212006.641</v>
      </c>
      <c r="C2404" s="95">
        <v>0</v>
      </c>
      <c r="D2404" s="95">
        <v>0</v>
      </c>
      <c r="E2404" s="95">
        <f t="shared" si="80"/>
        <v>212006.641</v>
      </c>
      <c r="F2404" s="95">
        <v>0</v>
      </c>
      <c r="G2404" s="145">
        <f t="shared" si="81"/>
        <v>212006.641</v>
      </c>
      <c r="H2404" s="143"/>
      <c r="I2404" t="s">
        <v>1301</v>
      </c>
    </row>
    <row r="2405" spans="1:9" hidden="1" outlineLevel="1">
      <c r="A2405" s="465" t="s">
        <v>1891</v>
      </c>
      <c r="B2405" s="544">
        <v>44773.8995</v>
      </c>
      <c r="C2405" s="95">
        <v>0</v>
      </c>
      <c r="D2405" s="95">
        <v>0</v>
      </c>
      <c r="E2405" s="95">
        <f t="shared" si="80"/>
        <v>44773.8995</v>
      </c>
      <c r="F2405" s="95">
        <v>-126</v>
      </c>
      <c r="G2405" s="145">
        <f t="shared" si="81"/>
        <v>44647.8995</v>
      </c>
      <c r="H2405" s="143"/>
      <c r="I2405" t="s">
        <v>1892</v>
      </c>
    </row>
    <row r="2406" spans="1:9" hidden="1" outlineLevel="1">
      <c r="A2406" s="465" t="s">
        <v>1302</v>
      </c>
      <c r="B2406" s="544">
        <v>71711.55750000001</v>
      </c>
      <c r="C2406" s="95">
        <v>0</v>
      </c>
      <c r="D2406" s="95">
        <v>0</v>
      </c>
      <c r="E2406" s="95">
        <f t="shared" si="80"/>
        <v>71711.55750000001</v>
      </c>
      <c r="F2406" s="95">
        <v>-3383</v>
      </c>
      <c r="G2406" s="145">
        <f t="shared" si="81"/>
        <v>68328.55750000001</v>
      </c>
      <c r="H2406" s="143"/>
      <c r="I2406" t="s">
        <v>1303</v>
      </c>
    </row>
    <row r="2407" spans="1:9" hidden="1" outlineLevel="1">
      <c r="A2407" s="465" t="s">
        <v>1484</v>
      </c>
      <c r="B2407" s="544">
        <v>98461.737000000008</v>
      </c>
      <c r="C2407" s="95">
        <v>0</v>
      </c>
      <c r="D2407" s="95">
        <v>0</v>
      </c>
      <c r="E2407" s="95">
        <f t="shared" si="80"/>
        <v>98461.737000000008</v>
      </c>
      <c r="F2407" s="95">
        <v>0</v>
      </c>
      <c r="G2407" s="145">
        <f t="shared" si="81"/>
        <v>98461.737000000008</v>
      </c>
      <c r="H2407" s="143"/>
      <c r="I2407" t="s">
        <v>1485</v>
      </c>
    </row>
    <row r="2408" spans="1:9" hidden="1" outlineLevel="1">
      <c r="A2408" s="465" t="s">
        <v>1304</v>
      </c>
      <c r="B2408" s="544">
        <v>210989.17950000003</v>
      </c>
      <c r="C2408" s="95">
        <v>0</v>
      </c>
      <c r="D2408" s="95">
        <v>0</v>
      </c>
      <c r="E2408" s="95">
        <f t="shared" si="80"/>
        <v>210989.17950000003</v>
      </c>
      <c r="F2408" s="95">
        <v>477</v>
      </c>
      <c r="G2408" s="145">
        <f t="shared" si="81"/>
        <v>211466.17950000003</v>
      </c>
      <c r="H2408" s="143"/>
      <c r="I2408" t="s">
        <v>1305</v>
      </c>
    </row>
    <row r="2409" spans="1:9" hidden="1" outlineLevel="1">
      <c r="A2409" s="465" t="s">
        <v>1306</v>
      </c>
      <c r="B2409" s="544">
        <v>123984.55575000001</v>
      </c>
      <c r="C2409" s="95">
        <v>0</v>
      </c>
      <c r="D2409" s="95">
        <v>0</v>
      </c>
      <c r="E2409" s="95">
        <f t="shared" si="80"/>
        <v>123984.55575000001</v>
      </c>
      <c r="F2409" s="95">
        <v>0</v>
      </c>
      <c r="G2409" s="145">
        <f t="shared" si="81"/>
        <v>123984.55575000001</v>
      </c>
      <c r="H2409" s="143"/>
      <c r="I2409" t="s">
        <v>1307</v>
      </c>
    </row>
    <row r="2410" spans="1:9" hidden="1" outlineLevel="1">
      <c r="A2410" s="465" t="s">
        <v>1308</v>
      </c>
      <c r="B2410" s="544">
        <v>198877.18400000001</v>
      </c>
      <c r="C2410" s="95">
        <v>0</v>
      </c>
      <c r="D2410" s="95">
        <v>0</v>
      </c>
      <c r="E2410" s="95">
        <f t="shared" si="80"/>
        <v>198877.18400000001</v>
      </c>
      <c r="F2410" s="95">
        <v>0</v>
      </c>
      <c r="G2410" s="145">
        <f t="shared" si="81"/>
        <v>198877.18400000001</v>
      </c>
      <c r="H2410" s="143"/>
      <c r="I2410" t="s">
        <v>1309</v>
      </c>
    </row>
    <row r="2411" spans="1:9" hidden="1" outlineLevel="1">
      <c r="A2411" s="465" t="s">
        <v>1893</v>
      </c>
      <c r="B2411" s="544">
        <v>24811.646750000004</v>
      </c>
      <c r="C2411" s="95">
        <v>0</v>
      </c>
      <c r="D2411" s="95">
        <v>0</v>
      </c>
      <c r="E2411" s="95">
        <f t="shared" si="80"/>
        <v>24811.646750000004</v>
      </c>
      <c r="F2411" s="95">
        <v>0</v>
      </c>
      <c r="G2411" s="145">
        <f t="shared" si="81"/>
        <v>24811.646750000004</v>
      </c>
      <c r="H2411" s="143"/>
      <c r="I2411" t="s">
        <v>1894</v>
      </c>
    </row>
    <row r="2412" spans="1:9" hidden="1" outlineLevel="1">
      <c r="A2412" s="465" t="s">
        <v>1310</v>
      </c>
      <c r="B2412" s="544">
        <v>152992.62549999999</v>
      </c>
      <c r="C2412" s="95">
        <v>0</v>
      </c>
      <c r="D2412" s="95">
        <v>0</v>
      </c>
      <c r="E2412" s="95">
        <f t="shared" si="80"/>
        <v>152992.62549999999</v>
      </c>
      <c r="F2412" s="95">
        <v>0</v>
      </c>
      <c r="G2412" s="145">
        <f t="shared" si="81"/>
        <v>152992.62549999999</v>
      </c>
      <c r="H2412" s="143"/>
      <c r="I2412" t="s">
        <v>1311</v>
      </c>
    </row>
    <row r="2413" spans="1:9" hidden="1" outlineLevel="1">
      <c r="A2413" s="465" t="s">
        <v>1312</v>
      </c>
      <c r="B2413" s="544">
        <v>408815.89374999999</v>
      </c>
      <c r="C2413" s="95">
        <v>0</v>
      </c>
      <c r="D2413" s="95">
        <v>0</v>
      </c>
      <c r="E2413" s="95">
        <f t="shared" si="80"/>
        <v>408815.89374999999</v>
      </c>
      <c r="F2413" s="95">
        <v>12027</v>
      </c>
      <c r="G2413" s="145">
        <f t="shared" si="81"/>
        <v>420842.89374999999</v>
      </c>
      <c r="H2413" s="143"/>
      <c r="I2413" t="s">
        <v>1313</v>
      </c>
    </row>
    <row r="2414" spans="1:9" hidden="1" outlineLevel="1">
      <c r="A2414" s="465" t="s">
        <v>1314</v>
      </c>
      <c r="B2414" s="544">
        <v>140526.21825000001</v>
      </c>
      <c r="C2414" s="95">
        <v>0</v>
      </c>
      <c r="D2414" s="95">
        <v>0</v>
      </c>
      <c r="E2414" s="95">
        <f t="shared" si="80"/>
        <v>140526.21825000001</v>
      </c>
      <c r="F2414" s="95">
        <v>0</v>
      </c>
      <c r="G2414" s="145">
        <f t="shared" si="81"/>
        <v>140526.21825000001</v>
      </c>
      <c r="H2414" s="143"/>
      <c r="I2414" t="s">
        <v>1315</v>
      </c>
    </row>
    <row r="2415" spans="1:9" hidden="1" outlineLevel="1">
      <c r="A2415" s="465" t="s">
        <v>1316</v>
      </c>
      <c r="B2415" s="544">
        <v>772436.01600000006</v>
      </c>
      <c r="C2415" s="95">
        <v>0</v>
      </c>
      <c r="D2415" s="95">
        <v>0</v>
      </c>
      <c r="E2415" s="95">
        <f t="shared" si="80"/>
        <v>772436.01600000006</v>
      </c>
      <c r="F2415" s="95">
        <v>0</v>
      </c>
      <c r="G2415" s="145">
        <f t="shared" si="81"/>
        <v>772436.01600000006</v>
      </c>
      <c r="H2415" s="143"/>
      <c r="I2415" t="s">
        <v>1317</v>
      </c>
    </row>
    <row r="2416" spans="1:9" hidden="1" outlineLevel="1">
      <c r="A2416" s="465" t="s">
        <v>1318</v>
      </c>
      <c r="B2416" s="544">
        <v>475287.60675000004</v>
      </c>
      <c r="C2416" s="95">
        <v>0</v>
      </c>
      <c r="D2416" s="95">
        <v>0</v>
      </c>
      <c r="E2416" s="95">
        <f t="shared" si="80"/>
        <v>475287.60675000004</v>
      </c>
      <c r="F2416" s="95">
        <v>0</v>
      </c>
      <c r="G2416" s="145">
        <f t="shared" si="81"/>
        <v>475287.60675000004</v>
      </c>
      <c r="H2416" s="143"/>
      <c r="I2416" t="s">
        <v>1319</v>
      </c>
    </row>
    <row r="2417" spans="1:9" hidden="1" outlineLevel="1">
      <c r="A2417" s="465" t="s">
        <v>1320</v>
      </c>
      <c r="B2417" s="544">
        <v>902955.88900000008</v>
      </c>
      <c r="C2417" s="95">
        <v>0</v>
      </c>
      <c r="D2417" s="95">
        <v>0</v>
      </c>
      <c r="E2417" s="95">
        <f t="shared" si="80"/>
        <v>902955.88900000008</v>
      </c>
      <c r="F2417" s="95">
        <v>0</v>
      </c>
      <c r="G2417" s="145">
        <f t="shared" si="81"/>
        <v>902955.88900000008</v>
      </c>
      <c r="H2417" s="143"/>
      <c r="I2417" t="s">
        <v>1321</v>
      </c>
    </row>
    <row r="2418" spans="1:9" hidden="1" outlineLevel="1">
      <c r="A2418" s="465" t="s">
        <v>1322</v>
      </c>
      <c r="B2418" s="544">
        <v>35043.415000000008</v>
      </c>
      <c r="C2418" s="95">
        <v>0</v>
      </c>
      <c r="D2418" s="95">
        <v>0</v>
      </c>
      <c r="E2418" s="95">
        <f t="shared" si="80"/>
        <v>35043.415000000008</v>
      </c>
      <c r="F2418" s="95">
        <v>0</v>
      </c>
      <c r="G2418" s="145">
        <f t="shared" si="81"/>
        <v>35043.415000000008</v>
      </c>
      <c r="H2418" s="143"/>
      <c r="I2418" t="s">
        <v>1323</v>
      </c>
    </row>
    <row r="2419" spans="1:9" hidden="1" outlineLevel="1">
      <c r="A2419" s="465" t="s">
        <v>1324</v>
      </c>
      <c r="B2419" s="544">
        <v>38924.710000000006</v>
      </c>
      <c r="C2419" s="95">
        <v>0</v>
      </c>
      <c r="D2419" s="95">
        <v>0</v>
      </c>
      <c r="E2419" s="95">
        <f t="shared" si="80"/>
        <v>38924.710000000006</v>
      </c>
      <c r="F2419" s="95">
        <v>0</v>
      </c>
      <c r="G2419" s="145">
        <f t="shared" si="81"/>
        <v>38924.710000000006</v>
      </c>
      <c r="H2419" s="143"/>
      <c r="I2419" t="s">
        <v>1325</v>
      </c>
    </row>
    <row r="2420" spans="1:9" hidden="1" outlineLevel="1">
      <c r="A2420" s="465" t="s">
        <v>1326</v>
      </c>
      <c r="B2420" s="544">
        <v>163770.5135</v>
      </c>
      <c r="C2420" s="95">
        <v>-10096</v>
      </c>
      <c r="D2420" s="95">
        <v>0</v>
      </c>
      <c r="E2420" s="95">
        <f t="shared" si="80"/>
        <v>153674.5135</v>
      </c>
      <c r="F2420" s="95">
        <v>-248</v>
      </c>
      <c r="G2420" s="145">
        <f t="shared" si="81"/>
        <v>153426.5135</v>
      </c>
      <c r="H2420" s="143"/>
      <c r="I2420" t="s">
        <v>1327</v>
      </c>
    </row>
    <row r="2421" spans="1:9" hidden="1" outlineLevel="1">
      <c r="A2421" s="465" t="s">
        <v>1328</v>
      </c>
      <c r="B2421" s="544">
        <v>890283.19</v>
      </c>
      <c r="C2421" s="95">
        <v>0</v>
      </c>
      <c r="D2421" s="95">
        <v>0</v>
      </c>
      <c r="E2421" s="95">
        <f t="shared" si="80"/>
        <v>890283.19</v>
      </c>
      <c r="F2421" s="95">
        <v>-7806</v>
      </c>
      <c r="G2421" s="145">
        <f t="shared" si="81"/>
        <v>882477.19</v>
      </c>
      <c r="H2421" s="143"/>
      <c r="I2421" t="s">
        <v>1329</v>
      </c>
    </row>
    <row r="2422" spans="1:9" hidden="1" outlineLevel="1">
      <c r="A2422" s="465" t="s">
        <v>1330</v>
      </c>
      <c r="B2422" s="544">
        <v>2225937.3317499999</v>
      </c>
      <c r="C2422" s="95">
        <v>0</v>
      </c>
      <c r="D2422" s="95">
        <v>0</v>
      </c>
      <c r="E2422" s="95">
        <f t="shared" si="80"/>
        <v>2225937.3317499999</v>
      </c>
      <c r="F2422" s="95">
        <v>0</v>
      </c>
      <c r="G2422" s="145">
        <f t="shared" si="81"/>
        <v>2225937.3317499999</v>
      </c>
      <c r="H2422" s="143"/>
      <c r="I2422" t="s">
        <v>1331</v>
      </c>
    </row>
    <row r="2423" spans="1:9" hidden="1" outlineLevel="1">
      <c r="A2423" s="465" t="s">
        <v>1332</v>
      </c>
      <c r="B2423" s="544">
        <v>1594907.875</v>
      </c>
      <c r="C2423" s="95">
        <v>0</v>
      </c>
      <c r="D2423" s="95">
        <v>0</v>
      </c>
      <c r="E2423" s="95">
        <f t="shared" si="80"/>
        <v>1594907.875</v>
      </c>
      <c r="F2423" s="95">
        <v>0</v>
      </c>
      <c r="G2423" s="145">
        <f t="shared" si="81"/>
        <v>1594907.875</v>
      </c>
      <c r="H2423" s="143"/>
      <c r="I2423" t="s">
        <v>1333</v>
      </c>
    </row>
    <row r="2424" spans="1:9" hidden="1" outlineLevel="1">
      <c r="A2424" s="465" t="s">
        <v>499</v>
      </c>
      <c r="B2424" s="544">
        <v>90477.125750000007</v>
      </c>
      <c r="C2424" s="95">
        <v>0</v>
      </c>
      <c r="D2424" s="95">
        <v>0</v>
      </c>
      <c r="E2424" s="95">
        <f t="shared" si="80"/>
        <v>90477.125750000007</v>
      </c>
      <c r="F2424" s="95">
        <v>-219</v>
      </c>
      <c r="G2424" s="145">
        <f t="shared" si="81"/>
        <v>90258.125750000007</v>
      </c>
      <c r="H2424" s="143"/>
      <c r="I2424" t="s">
        <v>500</v>
      </c>
    </row>
    <row r="2425" spans="1:9" hidden="1" outlineLevel="1">
      <c r="A2425" s="465" t="s">
        <v>1334</v>
      </c>
      <c r="B2425" s="544">
        <v>985988.30825</v>
      </c>
      <c r="C2425" s="95">
        <v>0</v>
      </c>
      <c r="D2425" s="95">
        <v>0</v>
      </c>
      <c r="E2425" s="95">
        <f t="shared" si="80"/>
        <v>985988.30825</v>
      </c>
      <c r="F2425" s="95">
        <v>-7820</v>
      </c>
      <c r="G2425" s="145">
        <f t="shared" si="81"/>
        <v>978168.30825</v>
      </c>
      <c r="H2425" s="143"/>
      <c r="I2425" t="s">
        <v>1335</v>
      </c>
    </row>
    <row r="2426" spans="1:9" hidden="1" outlineLevel="1">
      <c r="A2426" s="465" t="s">
        <v>1336</v>
      </c>
      <c r="B2426" s="544">
        <v>180646.18275000004</v>
      </c>
      <c r="C2426" s="95">
        <v>0</v>
      </c>
      <c r="D2426" s="95">
        <v>0</v>
      </c>
      <c r="E2426" s="95">
        <f t="shared" si="80"/>
        <v>180646.18275000004</v>
      </c>
      <c r="F2426" s="95">
        <v>0</v>
      </c>
      <c r="G2426" s="145">
        <f t="shared" si="81"/>
        <v>180646.18275000004</v>
      </c>
      <c r="H2426" s="143"/>
      <c r="I2426" t="s">
        <v>1337</v>
      </c>
    </row>
    <row r="2427" spans="1:9" hidden="1" outlineLevel="1">
      <c r="A2427" s="465" t="s">
        <v>1895</v>
      </c>
      <c r="B2427" s="544">
        <v>31158.635750000001</v>
      </c>
      <c r="C2427" s="95">
        <v>0</v>
      </c>
      <c r="D2427" s="95">
        <v>0</v>
      </c>
      <c r="E2427" s="95">
        <f t="shared" si="80"/>
        <v>31158.635750000001</v>
      </c>
      <c r="F2427" s="95">
        <v>0</v>
      </c>
      <c r="G2427" s="145">
        <f t="shared" si="81"/>
        <v>31158.635750000001</v>
      </c>
      <c r="H2427" s="143"/>
      <c r="I2427" t="s">
        <v>1896</v>
      </c>
    </row>
    <row r="2428" spans="1:9" hidden="1" outlineLevel="1">
      <c r="A2428" s="465" t="s">
        <v>748</v>
      </c>
      <c r="B2428" s="544">
        <v>197437.54525000002</v>
      </c>
      <c r="C2428" s="95">
        <v>0</v>
      </c>
      <c r="D2428" s="95">
        <v>0</v>
      </c>
      <c r="E2428" s="95">
        <f t="shared" si="80"/>
        <v>197437.54525000002</v>
      </c>
      <c r="F2428" s="95">
        <v>512</v>
      </c>
      <c r="G2428" s="145">
        <f t="shared" si="81"/>
        <v>197949.54525000002</v>
      </c>
      <c r="H2428" s="143"/>
      <c r="I2428" t="s">
        <v>1338</v>
      </c>
    </row>
    <row r="2429" spans="1:9" hidden="1" outlineLevel="1">
      <c r="A2429" s="465" t="s">
        <v>1339</v>
      </c>
      <c r="B2429" s="544">
        <v>104157.35550000001</v>
      </c>
      <c r="C2429" s="95">
        <v>0</v>
      </c>
      <c r="D2429" s="95">
        <v>0</v>
      </c>
      <c r="E2429" s="95">
        <f t="shared" si="80"/>
        <v>104157.35550000001</v>
      </c>
      <c r="F2429" s="95">
        <v>-916</v>
      </c>
      <c r="G2429" s="145">
        <f t="shared" si="81"/>
        <v>103241.35550000001</v>
      </c>
      <c r="H2429" s="143"/>
      <c r="I2429" t="s">
        <v>1340</v>
      </c>
    </row>
    <row r="2430" spans="1:9" hidden="1" outlineLevel="1">
      <c r="A2430" s="465" t="s">
        <v>1341</v>
      </c>
      <c r="B2430" s="544">
        <v>429514.55525000003</v>
      </c>
      <c r="C2430" s="95">
        <v>0</v>
      </c>
      <c r="D2430" s="95">
        <v>0</v>
      </c>
      <c r="E2430" s="95">
        <f t="shared" si="80"/>
        <v>429514.55525000003</v>
      </c>
      <c r="F2430" s="95">
        <v>0</v>
      </c>
      <c r="G2430" s="145">
        <f t="shared" si="81"/>
        <v>429514.55525000003</v>
      </c>
      <c r="H2430" s="143"/>
      <c r="I2430" t="s">
        <v>1342</v>
      </c>
    </row>
    <row r="2431" spans="1:9" hidden="1" outlineLevel="1">
      <c r="A2431" s="465" t="s">
        <v>1343</v>
      </c>
      <c r="B2431" s="544">
        <v>164711.05475000001</v>
      </c>
      <c r="C2431" s="95">
        <v>0</v>
      </c>
      <c r="D2431" s="95">
        <v>0</v>
      </c>
      <c r="E2431" s="95">
        <f t="shared" si="80"/>
        <v>164711.05475000001</v>
      </c>
      <c r="F2431" s="95">
        <v>0</v>
      </c>
      <c r="G2431" s="145">
        <f t="shared" si="81"/>
        <v>164711.05475000001</v>
      </c>
      <c r="H2431" s="143"/>
      <c r="I2431" t="s">
        <v>1344</v>
      </c>
    </row>
    <row r="2432" spans="1:9" hidden="1" outlineLevel="1">
      <c r="A2432" s="465" t="s">
        <v>1345</v>
      </c>
      <c r="B2432" s="544">
        <v>24495.935750000001</v>
      </c>
      <c r="C2432" s="95">
        <v>0</v>
      </c>
      <c r="D2432" s="95">
        <v>0</v>
      </c>
      <c r="E2432" s="95">
        <f t="shared" si="80"/>
        <v>24495.935750000001</v>
      </c>
      <c r="F2432" s="95">
        <v>0</v>
      </c>
      <c r="G2432" s="145">
        <f t="shared" si="81"/>
        <v>24495.935750000001</v>
      </c>
      <c r="H2432" s="143"/>
      <c r="I2432" t="s">
        <v>1346</v>
      </c>
    </row>
    <row r="2433" spans="1:9" hidden="1" outlineLevel="1">
      <c r="A2433" s="465" t="s">
        <v>1347</v>
      </c>
      <c r="B2433" s="544">
        <v>172329.94900000002</v>
      </c>
      <c r="C2433" s="95">
        <v>0</v>
      </c>
      <c r="D2433" s="95">
        <v>0</v>
      </c>
      <c r="E2433" s="95">
        <f t="shared" si="80"/>
        <v>172329.94900000002</v>
      </c>
      <c r="F2433" s="95">
        <v>0</v>
      </c>
      <c r="G2433" s="145">
        <f t="shared" si="81"/>
        <v>172329.94900000002</v>
      </c>
      <c r="H2433" s="143"/>
      <c r="I2433" t="s">
        <v>1348</v>
      </c>
    </row>
    <row r="2434" spans="1:9" hidden="1" outlineLevel="1">
      <c r="A2434" s="465" t="s">
        <v>1897</v>
      </c>
      <c r="B2434" s="544">
        <v>15443.584750000002</v>
      </c>
      <c r="C2434" s="95">
        <v>0</v>
      </c>
      <c r="D2434" s="95">
        <v>0</v>
      </c>
      <c r="E2434" s="95">
        <f t="shared" si="80"/>
        <v>15443.584750000002</v>
      </c>
      <c r="F2434" s="95">
        <v>127</v>
      </c>
      <c r="G2434" s="145">
        <f t="shared" si="81"/>
        <v>15570.584750000002</v>
      </c>
      <c r="H2434" s="143"/>
      <c r="I2434" t="s">
        <v>1898</v>
      </c>
    </row>
    <row r="2435" spans="1:9" hidden="1" outlineLevel="1">
      <c r="A2435" s="465" t="s">
        <v>1349</v>
      </c>
      <c r="B2435" s="544">
        <v>4321.3940000000002</v>
      </c>
      <c r="C2435" s="95">
        <v>0</v>
      </c>
      <c r="D2435" s="95">
        <v>0</v>
      </c>
      <c r="E2435" s="95">
        <f t="shared" si="80"/>
        <v>4321.3940000000002</v>
      </c>
      <c r="F2435" s="95">
        <v>57</v>
      </c>
      <c r="G2435" s="145">
        <f t="shared" si="81"/>
        <v>4378.3940000000002</v>
      </c>
      <c r="H2435" s="143"/>
      <c r="I2435" t="s">
        <v>1350</v>
      </c>
    </row>
    <row r="2436" spans="1:9" hidden="1" outlineLevel="1">
      <c r="A2436" s="465" t="s">
        <v>1899</v>
      </c>
      <c r="B2436" s="544">
        <v>12621.11125</v>
      </c>
      <c r="C2436" s="95">
        <v>0</v>
      </c>
      <c r="D2436" s="95">
        <v>0</v>
      </c>
      <c r="E2436" s="95">
        <f t="shared" si="80"/>
        <v>12621.11125</v>
      </c>
      <c r="F2436" s="95">
        <v>0</v>
      </c>
      <c r="G2436" s="145">
        <f t="shared" si="81"/>
        <v>12621.11125</v>
      </c>
      <c r="H2436" s="143"/>
      <c r="I2436" t="s">
        <v>1900</v>
      </c>
    </row>
    <row r="2437" spans="1:9" hidden="1" outlineLevel="1">
      <c r="A2437" s="465" t="s">
        <v>1351</v>
      </c>
      <c r="B2437" s="544">
        <v>936999.20600000012</v>
      </c>
      <c r="C2437" s="95">
        <v>0</v>
      </c>
      <c r="D2437" s="95">
        <v>0</v>
      </c>
      <c r="E2437" s="95">
        <f t="shared" si="80"/>
        <v>936999.20600000012</v>
      </c>
      <c r="F2437" s="95">
        <v>0</v>
      </c>
      <c r="G2437" s="145">
        <f t="shared" si="81"/>
        <v>936999.20600000012</v>
      </c>
      <c r="H2437" s="143"/>
      <c r="I2437" t="s">
        <v>1352</v>
      </c>
    </row>
    <row r="2438" spans="1:9" hidden="1" outlineLevel="1">
      <c r="A2438" s="465" t="s">
        <v>1901</v>
      </c>
      <c r="B2438" s="544">
        <v>0</v>
      </c>
      <c r="C2438" s="95">
        <v>0</v>
      </c>
      <c r="D2438" s="95">
        <v>0</v>
      </c>
      <c r="E2438" s="95">
        <f t="shared" si="80"/>
        <v>0</v>
      </c>
      <c r="F2438" s="95">
        <v>0</v>
      </c>
      <c r="G2438" s="145">
        <f t="shared" si="81"/>
        <v>0</v>
      </c>
      <c r="H2438" s="143"/>
      <c r="I2438" t="s">
        <v>1902</v>
      </c>
    </row>
    <row r="2439" spans="1:9" hidden="1" outlineLevel="1">
      <c r="A2439" s="465" t="s">
        <v>1353</v>
      </c>
      <c r="B2439" s="544">
        <v>118353.80975000001</v>
      </c>
      <c r="C2439" s="95">
        <v>0</v>
      </c>
      <c r="D2439" s="95">
        <v>0</v>
      </c>
      <c r="E2439" s="95">
        <f t="shared" si="80"/>
        <v>118353.80975000001</v>
      </c>
      <c r="F2439" s="95">
        <v>0</v>
      </c>
      <c r="G2439" s="145">
        <f t="shared" si="81"/>
        <v>118353.80975000001</v>
      </c>
      <c r="H2439" s="143"/>
      <c r="I2439" t="s">
        <v>1354</v>
      </c>
    </row>
    <row r="2440" spans="1:9" hidden="1" outlineLevel="1">
      <c r="A2440" s="465" t="s">
        <v>1355</v>
      </c>
      <c r="B2440" s="544">
        <v>78160.269</v>
      </c>
      <c r="C2440" s="95">
        <v>0</v>
      </c>
      <c r="D2440" s="95">
        <v>0</v>
      </c>
      <c r="E2440" s="95">
        <f t="shared" si="80"/>
        <v>78160.269</v>
      </c>
      <c r="F2440" s="95">
        <v>73</v>
      </c>
      <c r="G2440" s="145">
        <f t="shared" si="81"/>
        <v>78233.269</v>
      </c>
      <c r="H2440" s="143"/>
      <c r="I2440" t="s">
        <v>1356</v>
      </c>
    </row>
    <row r="2441" spans="1:9" hidden="1" outlineLevel="1">
      <c r="A2441" s="465" t="s">
        <v>1357</v>
      </c>
      <c r="B2441" s="544">
        <v>268799.36050000001</v>
      </c>
      <c r="C2441" s="95">
        <v>0</v>
      </c>
      <c r="D2441" s="95">
        <v>0</v>
      </c>
      <c r="E2441" s="95">
        <f t="shared" si="80"/>
        <v>268799.36050000001</v>
      </c>
      <c r="F2441" s="95">
        <v>-325</v>
      </c>
      <c r="G2441" s="145">
        <f t="shared" si="81"/>
        <v>268474.36050000001</v>
      </c>
      <c r="H2441" s="143"/>
      <c r="I2441" t="s">
        <v>1358</v>
      </c>
    </row>
    <row r="2442" spans="1:9" hidden="1" outlineLevel="1">
      <c r="A2442" s="465" t="s">
        <v>1359</v>
      </c>
      <c r="B2442" s="544">
        <v>29010.841750000003</v>
      </c>
      <c r="C2442" s="95">
        <v>0</v>
      </c>
      <c r="D2442" s="95">
        <v>0</v>
      </c>
      <c r="E2442" s="95">
        <f t="shared" si="80"/>
        <v>29010.841750000003</v>
      </c>
      <c r="F2442" s="95">
        <v>0</v>
      </c>
      <c r="G2442" s="145">
        <f t="shared" si="81"/>
        <v>29010.841750000003</v>
      </c>
      <c r="H2442" s="143"/>
      <c r="I2442" t="s">
        <v>1360</v>
      </c>
    </row>
    <row r="2443" spans="1:9" hidden="1" outlineLevel="1">
      <c r="A2443" s="465" t="s">
        <v>1903</v>
      </c>
      <c r="B2443" s="544">
        <v>16875.281500000001</v>
      </c>
      <c r="C2443" s="95">
        <v>0</v>
      </c>
      <c r="D2443" s="95">
        <v>0</v>
      </c>
      <c r="E2443" s="95">
        <f t="shared" si="80"/>
        <v>16875.281500000001</v>
      </c>
      <c r="F2443" s="95">
        <v>0</v>
      </c>
      <c r="G2443" s="145">
        <f t="shared" si="81"/>
        <v>16875.281500000001</v>
      </c>
      <c r="H2443" s="143"/>
      <c r="I2443" t="s">
        <v>1904</v>
      </c>
    </row>
    <row r="2444" spans="1:9" hidden="1" outlineLevel="1">
      <c r="A2444" s="465" t="s">
        <v>1361</v>
      </c>
      <c r="B2444" s="544">
        <v>300564.83049999998</v>
      </c>
      <c r="C2444" s="95">
        <v>0</v>
      </c>
      <c r="D2444" s="95">
        <v>0</v>
      </c>
      <c r="E2444" s="95">
        <f t="shared" si="80"/>
        <v>300564.83049999998</v>
      </c>
      <c r="F2444" s="95">
        <v>0</v>
      </c>
      <c r="G2444" s="145">
        <f t="shared" si="81"/>
        <v>300564.83049999998</v>
      </c>
      <c r="H2444" s="143"/>
      <c r="I2444" t="s">
        <v>1362</v>
      </c>
    </row>
    <row r="2445" spans="1:9" hidden="1" outlineLevel="1">
      <c r="A2445" s="465" t="s">
        <v>1363</v>
      </c>
      <c r="B2445" s="544">
        <v>360651.37349999999</v>
      </c>
      <c r="C2445" s="95">
        <v>0</v>
      </c>
      <c r="D2445" s="95">
        <v>0</v>
      </c>
      <c r="E2445" s="95">
        <f t="shared" si="80"/>
        <v>360651.37349999999</v>
      </c>
      <c r="F2445" s="95">
        <v>-30</v>
      </c>
      <c r="G2445" s="145">
        <f t="shared" si="81"/>
        <v>360621.37349999999</v>
      </c>
      <c r="H2445" s="143"/>
      <c r="I2445" t="s">
        <v>1364</v>
      </c>
    </row>
    <row r="2446" spans="1:9" hidden="1" outlineLevel="1">
      <c r="A2446" s="465" t="s">
        <v>1365</v>
      </c>
      <c r="B2446" s="544">
        <v>137836.88600000003</v>
      </c>
      <c r="C2446" s="95">
        <v>0</v>
      </c>
      <c r="D2446" s="95">
        <v>0</v>
      </c>
      <c r="E2446" s="95">
        <f t="shared" si="80"/>
        <v>137836.88600000003</v>
      </c>
      <c r="F2446" s="95">
        <v>0</v>
      </c>
      <c r="G2446" s="145">
        <f t="shared" si="81"/>
        <v>137836.88600000003</v>
      </c>
      <c r="H2446" s="143"/>
      <c r="I2446" t="s">
        <v>1366</v>
      </c>
    </row>
    <row r="2447" spans="1:9" hidden="1" outlineLevel="1">
      <c r="A2447" s="465" t="s">
        <v>1367</v>
      </c>
      <c r="B2447" s="544">
        <v>22117.26</v>
      </c>
      <c r="C2447" s="95">
        <v>0</v>
      </c>
      <c r="D2447" s="95">
        <v>0</v>
      </c>
      <c r="E2447" s="95">
        <f t="shared" si="80"/>
        <v>22117.26</v>
      </c>
      <c r="F2447" s="95">
        <v>0</v>
      </c>
      <c r="G2447" s="145">
        <f t="shared" si="81"/>
        <v>22117.26</v>
      </c>
      <c r="H2447" s="143"/>
      <c r="I2447" t="s">
        <v>1368</v>
      </c>
    </row>
    <row r="2448" spans="1:9" hidden="1" outlineLevel="1">
      <c r="A2448" s="465" t="s">
        <v>1369</v>
      </c>
      <c r="B2448" s="544">
        <v>27513.106500000005</v>
      </c>
      <c r="C2448" s="95">
        <v>0</v>
      </c>
      <c r="D2448" s="95">
        <v>0</v>
      </c>
      <c r="E2448" s="95">
        <f t="shared" si="80"/>
        <v>27513.106500000005</v>
      </c>
      <c r="F2448" s="95">
        <v>0</v>
      </c>
      <c r="G2448" s="145">
        <f t="shared" si="81"/>
        <v>27513.106500000005</v>
      </c>
      <c r="H2448" s="143"/>
      <c r="I2448" t="s">
        <v>1370</v>
      </c>
    </row>
    <row r="2449" spans="1:9" hidden="1" outlineLevel="1">
      <c r="A2449" s="465" t="s">
        <v>409</v>
      </c>
      <c r="B2449" s="544">
        <v>146118.742</v>
      </c>
      <c r="C2449" s="95">
        <v>0</v>
      </c>
      <c r="D2449" s="95">
        <v>0</v>
      </c>
      <c r="E2449" s="95">
        <f t="shared" si="80"/>
        <v>146118.742</v>
      </c>
      <c r="F2449" s="95">
        <v>0</v>
      </c>
      <c r="G2449" s="145">
        <f t="shared" si="81"/>
        <v>146118.742</v>
      </c>
      <c r="H2449" s="143"/>
      <c r="I2449" t="s">
        <v>410</v>
      </c>
    </row>
    <row r="2450" spans="1:9" hidden="1" outlineLevel="1">
      <c r="A2450" s="465" t="s">
        <v>1371</v>
      </c>
      <c r="B2450" s="544">
        <v>90005.302750000003</v>
      </c>
      <c r="C2450" s="95">
        <v>0</v>
      </c>
      <c r="D2450" s="95">
        <v>0</v>
      </c>
      <c r="E2450" s="95">
        <f t="shared" si="80"/>
        <v>90005.302750000003</v>
      </c>
      <c r="F2450" s="95">
        <v>0</v>
      </c>
      <c r="G2450" s="145">
        <f t="shared" si="81"/>
        <v>90005.302750000003</v>
      </c>
      <c r="H2450" s="143"/>
      <c r="I2450" t="s">
        <v>1372</v>
      </c>
    </row>
    <row r="2451" spans="1:9" hidden="1" outlineLevel="1">
      <c r="A2451" s="465" t="s">
        <v>1478</v>
      </c>
      <c r="B2451" s="544">
        <v>277562.68925</v>
      </c>
      <c r="C2451" s="95">
        <v>0</v>
      </c>
      <c r="D2451" s="95">
        <v>0</v>
      </c>
      <c r="E2451" s="95">
        <f t="shared" si="80"/>
        <v>277562.68925</v>
      </c>
      <c r="F2451" s="95">
        <v>614</v>
      </c>
      <c r="G2451" s="145">
        <f t="shared" si="81"/>
        <v>278176.68925</v>
      </c>
      <c r="H2451" s="143"/>
      <c r="I2451" t="s">
        <v>1479</v>
      </c>
    </row>
    <row r="2452" spans="1:9" hidden="1" outlineLevel="1">
      <c r="A2452" s="465" t="s">
        <v>1373</v>
      </c>
      <c r="B2452" s="544">
        <v>8651.6705000000002</v>
      </c>
      <c r="C2452" s="95">
        <v>0</v>
      </c>
      <c r="D2452" s="95">
        <v>0</v>
      </c>
      <c r="E2452" s="95">
        <f t="shared" si="80"/>
        <v>8651.6705000000002</v>
      </c>
      <c r="F2452" s="95">
        <v>0</v>
      </c>
      <c r="G2452" s="145">
        <f t="shared" si="81"/>
        <v>8651.6705000000002</v>
      </c>
      <c r="H2452" s="143"/>
      <c r="I2452" t="s">
        <v>1374</v>
      </c>
    </row>
    <row r="2453" spans="1:9" hidden="1" outlineLevel="1">
      <c r="A2453" s="465" t="s">
        <v>1905</v>
      </c>
      <c r="B2453" s="544">
        <v>7967.1982500000004</v>
      </c>
      <c r="C2453" s="95">
        <v>0</v>
      </c>
      <c r="D2453" s="95">
        <v>0</v>
      </c>
      <c r="E2453" s="95">
        <f t="shared" si="80"/>
        <v>7967.1982500000004</v>
      </c>
      <c r="F2453" s="95">
        <v>0</v>
      </c>
      <c r="G2453" s="145">
        <f t="shared" si="81"/>
        <v>7967.1982500000004</v>
      </c>
      <c r="H2453" s="143"/>
      <c r="I2453" t="s">
        <v>1906</v>
      </c>
    </row>
    <row r="2454" spans="1:9" hidden="1" outlineLevel="1">
      <c r="A2454" s="465" t="s">
        <v>1375</v>
      </c>
      <c r="B2454" s="544">
        <v>1025735.8705000001</v>
      </c>
      <c r="C2454" s="95">
        <v>-1133</v>
      </c>
      <c r="D2454" s="95">
        <v>0</v>
      </c>
      <c r="E2454" s="95">
        <f t="shared" si="80"/>
        <v>1024602.8705000001</v>
      </c>
      <c r="F2454" s="95">
        <v>17549</v>
      </c>
      <c r="G2454" s="145">
        <f t="shared" si="81"/>
        <v>1042151.8705000001</v>
      </c>
      <c r="H2454" s="143"/>
      <c r="I2454" t="s">
        <v>1376</v>
      </c>
    </row>
    <row r="2455" spans="1:9" hidden="1" outlineLevel="1">
      <c r="A2455" s="465" t="s">
        <v>86</v>
      </c>
      <c r="B2455" s="544">
        <v>520410.80300000007</v>
      </c>
      <c r="C2455" s="95">
        <v>0</v>
      </c>
      <c r="D2455" s="95">
        <v>0</v>
      </c>
      <c r="E2455" s="95">
        <f t="shared" si="80"/>
        <v>520410.80300000007</v>
      </c>
      <c r="F2455" s="95">
        <v>5323</v>
      </c>
      <c r="G2455" s="145">
        <f t="shared" si="81"/>
        <v>525733.80300000007</v>
      </c>
      <c r="H2455" s="143"/>
      <c r="I2455" t="s">
        <v>87</v>
      </c>
    </row>
    <row r="2456" spans="1:9" hidden="1" outlineLevel="1">
      <c r="A2456" s="465" t="s">
        <v>1377</v>
      </c>
      <c r="B2456" s="544">
        <v>18577.916500000003</v>
      </c>
      <c r="C2456" s="95">
        <v>0</v>
      </c>
      <c r="D2456" s="95">
        <v>0</v>
      </c>
      <c r="E2456" s="95">
        <f t="shared" si="80"/>
        <v>18577.916500000003</v>
      </c>
      <c r="F2456" s="95">
        <v>0</v>
      </c>
      <c r="G2456" s="145">
        <f t="shared" si="81"/>
        <v>18577.916500000003</v>
      </c>
      <c r="H2456" s="143"/>
      <c r="I2456" t="s">
        <v>1378</v>
      </c>
    </row>
    <row r="2457" spans="1:9" hidden="1" outlineLevel="1">
      <c r="A2457" s="465" t="s">
        <v>1907</v>
      </c>
      <c r="B2457" s="544">
        <v>13486.64625</v>
      </c>
      <c r="C2457" s="95">
        <v>0</v>
      </c>
      <c r="D2457" s="95">
        <v>0</v>
      </c>
      <c r="E2457" s="95">
        <f t="shared" si="80"/>
        <v>13486.64625</v>
      </c>
      <c r="F2457" s="95">
        <v>-86</v>
      </c>
      <c r="G2457" s="145">
        <f t="shared" si="81"/>
        <v>13400.64625</v>
      </c>
      <c r="H2457" s="143"/>
      <c r="I2457" t="s">
        <v>1908</v>
      </c>
    </row>
    <row r="2458" spans="1:9" hidden="1" outlineLevel="1">
      <c r="A2458" s="465" t="s">
        <v>1379</v>
      </c>
      <c r="B2458" s="544">
        <v>26635.017750000003</v>
      </c>
      <c r="C2458" s="95">
        <v>0</v>
      </c>
      <c r="D2458" s="95">
        <v>0</v>
      </c>
      <c r="E2458" s="95">
        <f t="shared" si="80"/>
        <v>26635.017750000003</v>
      </c>
      <c r="F2458" s="95">
        <v>0</v>
      </c>
      <c r="G2458" s="145">
        <f t="shared" si="81"/>
        <v>26635.017750000003</v>
      </c>
      <c r="H2458" s="143"/>
      <c r="I2458" t="s">
        <v>1380</v>
      </c>
    </row>
    <row r="2459" spans="1:9" hidden="1" outlineLevel="1">
      <c r="A2459" s="465" t="s">
        <v>1381</v>
      </c>
      <c r="B2459" s="544">
        <v>24498.377750000003</v>
      </c>
      <c r="C2459" s="95">
        <v>0</v>
      </c>
      <c r="D2459" s="95">
        <v>0</v>
      </c>
      <c r="E2459" s="95">
        <f t="shared" si="80"/>
        <v>24498.377750000003</v>
      </c>
      <c r="F2459" s="95">
        <v>-31</v>
      </c>
      <c r="G2459" s="145">
        <f t="shared" si="81"/>
        <v>24467.377750000003</v>
      </c>
      <c r="H2459" s="143"/>
      <c r="I2459" t="s">
        <v>1382</v>
      </c>
    </row>
    <row r="2460" spans="1:9" hidden="1" outlineLevel="1">
      <c r="A2460" s="465" t="s">
        <v>1383</v>
      </c>
      <c r="B2460" s="544">
        <v>78093.444000000003</v>
      </c>
      <c r="C2460" s="95">
        <v>0</v>
      </c>
      <c r="D2460" s="95">
        <v>0</v>
      </c>
      <c r="E2460" s="95">
        <f t="shared" si="80"/>
        <v>78093.444000000003</v>
      </c>
      <c r="F2460" s="95">
        <v>11504</v>
      </c>
      <c r="G2460" s="145">
        <f t="shared" si="81"/>
        <v>89597.444000000003</v>
      </c>
      <c r="H2460" s="143"/>
      <c r="I2460" t="s">
        <v>1384</v>
      </c>
    </row>
    <row r="2461" spans="1:9" hidden="1" outlineLevel="1">
      <c r="A2461" s="465" t="s">
        <v>1909</v>
      </c>
      <c r="B2461" s="544">
        <v>38683.708250000003</v>
      </c>
      <c r="C2461" s="95">
        <v>0</v>
      </c>
      <c r="D2461" s="95">
        <v>0</v>
      </c>
      <c r="E2461" s="95">
        <f t="shared" si="80"/>
        <v>38683.708250000003</v>
      </c>
      <c r="F2461" s="95">
        <v>0</v>
      </c>
      <c r="G2461" s="145">
        <f t="shared" si="81"/>
        <v>38683.708250000003</v>
      </c>
      <c r="H2461" s="143"/>
      <c r="I2461" t="s">
        <v>1910</v>
      </c>
    </row>
    <row r="2462" spans="1:9" hidden="1" outlineLevel="1">
      <c r="A2462" s="465" t="s">
        <v>1385</v>
      </c>
      <c r="B2462" s="544">
        <v>131569.6085</v>
      </c>
      <c r="C2462" s="95">
        <v>0</v>
      </c>
      <c r="D2462" s="95">
        <v>0</v>
      </c>
      <c r="E2462" s="95">
        <f t="shared" ref="E2462:E2525" si="82">B2462+C2462+D2462</f>
        <v>131569.6085</v>
      </c>
      <c r="F2462" s="95">
        <v>0</v>
      </c>
      <c r="G2462" s="145">
        <f t="shared" ref="G2462:G2525" si="83">E2462+F2462</f>
        <v>131569.6085</v>
      </c>
      <c r="H2462" s="143"/>
      <c r="I2462" t="s">
        <v>1386</v>
      </c>
    </row>
    <row r="2463" spans="1:9" hidden="1" outlineLevel="1">
      <c r="A2463" s="465" t="s">
        <v>1387</v>
      </c>
      <c r="B2463" s="544">
        <v>349030.31075</v>
      </c>
      <c r="C2463" s="95">
        <v>0</v>
      </c>
      <c r="D2463" s="95">
        <v>0</v>
      </c>
      <c r="E2463" s="95">
        <f t="shared" si="82"/>
        <v>349030.31075</v>
      </c>
      <c r="F2463" s="95">
        <v>-1727</v>
      </c>
      <c r="G2463" s="145">
        <f t="shared" si="83"/>
        <v>347303.31075</v>
      </c>
      <c r="H2463" s="143"/>
      <c r="I2463" t="s">
        <v>1388</v>
      </c>
    </row>
    <row r="2464" spans="1:9" hidden="1" outlineLevel="1">
      <c r="A2464" s="465" t="s">
        <v>1911</v>
      </c>
      <c r="B2464" s="544">
        <v>9808.7907500000001</v>
      </c>
      <c r="C2464" s="95">
        <v>0</v>
      </c>
      <c r="D2464" s="95">
        <v>0</v>
      </c>
      <c r="E2464" s="95">
        <f t="shared" si="82"/>
        <v>9808.7907500000001</v>
      </c>
      <c r="F2464" s="95">
        <v>0</v>
      </c>
      <c r="G2464" s="145">
        <f t="shared" si="83"/>
        <v>9808.7907500000001</v>
      </c>
      <c r="H2464" s="143"/>
      <c r="I2464" t="s">
        <v>1912</v>
      </c>
    </row>
    <row r="2465" spans="1:9" hidden="1" outlineLevel="1">
      <c r="A2465" s="465" t="s">
        <v>1913</v>
      </c>
      <c r="B2465" s="544">
        <v>20728.785000000003</v>
      </c>
      <c r="C2465" s="95">
        <v>0</v>
      </c>
      <c r="D2465" s="95">
        <v>0</v>
      </c>
      <c r="E2465" s="95">
        <f t="shared" si="82"/>
        <v>20728.785000000003</v>
      </c>
      <c r="F2465" s="95">
        <v>0</v>
      </c>
      <c r="G2465" s="145">
        <f t="shared" si="83"/>
        <v>20728.785000000003</v>
      </c>
      <c r="H2465" s="143"/>
      <c r="I2465" t="s">
        <v>1914</v>
      </c>
    </row>
    <row r="2466" spans="1:9" hidden="1" outlineLevel="1">
      <c r="A2466" s="465" t="s">
        <v>1389</v>
      </c>
      <c r="B2466" s="544">
        <v>266653.0955</v>
      </c>
      <c r="C2466" s="95">
        <v>0</v>
      </c>
      <c r="D2466" s="95">
        <v>0</v>
      </c>
      <c r="E2466" s="95">
        <f t="shared" si="82"/>
        <v>266653.0955</v>
      </c>
      <c r="F2466" s="95">
        <v>0</v>
      </c>
      <c r="G2466" s="145">
        <f t="shared" si="83"/>
        <v>266653.0955</v>
      </c>
      <c r="H2466" s="143"/>
      <c r="I2466" t="s">
        <v>1390</v>
      </c>
    </row>
    <row r="2467" spans="1:9" hidden="1" outlineLevel="1">
      <c r="A2467" s="465" t="s">
        <v>1915</v>
      </c>
      <c r="B2467" s="544">
        <v>7589.2162500000013</v>
      </c>
      <c r="C2467" s="95">
        <v>0</v>
      </c>
      <c r="D2467" s="95">
        <v>0</v>
      </c>
      <c r="E2467" s="95">
        <f t="shared" si="82"/>
        <v>7589.2162500000013</v>
      </c>
      <c r="F2467" s="95">
        <v>-346</v>
      </c>
      <c r="G2467" s="145">
        <f t="shared" si="83"/>
        <v>7243.2162500000013</v>
      </c>
      <c r="H2467" s="143"/>
      <c r="I2467" t="s">
        <v>1916</v>
      </c>
    </row>
    <row r="2468" spans="1:9" hidden="1" outlineLevel="1">
      <c r="A2468" s="465" t="s">
        <v>1391</v>
      </c>
      <c r="B2468" s="544">
        <v>705800.24624999997</v>
      </c>
      <c r="C2468" s="95">
        <v>0</v>
      </c>
      <c r="D2468" s="95">
        <v>0</v>
      </c>
      <c r="E2468" s="95">
        <f t="shared" si="82"/>
        <v>705800.24624999997</v>
      </c>
      <c r="F2468" s="95">
        <v>33888</v>
      </c>
      <c r="G2468" s="145">
        <f t="shared" si="83"/>
        <v>739688.24624999997</v>
      </c>
      <c r="H2468" s="143"/>
      <c r="I2468" t="s">
        <v>1392</v>
      </c>
    </row>
    <row r="2469" spans="1:9" hidden="1" outlineLevel="1">
      <c r="A2469" s="465" t="s">
        <v>194</v>
      </c>
      <c r="B2469" s="544">
        <v>2466836.4764999999</v>
      </c>
      <c r="C2469" s="95">
        <v>0</v>
      </c>
      <c r="D2469" s="95">
        <v>0</v>
      </c>
      <c r="E2469" s="95">
        <f t="shared" si="82"/>
        <v>2466836.4764999999</v>
      </c>
      <c r="F2469" s="95">
        <v>0</v>
      </c>
      <c r="G2469" s="145">
        <f t="shared" si="83"/>
        <v>2466836.4764999999</v>
      </c>
      <c r="H2469" s="143"/>
      <c r="I2469" t="s">
        <v>195</v>
      </c>
    </row>
    <row r="2470" spans="1:9" hidden="1" outlineLevel="1">
      <c r="A2470" s="465" t="s">
        <v>1917</v>
      </c>
      <c r="B2470" s="544">
        <v>10116.730250000001</v>
      </c>
      <c r="C2470" s="95">
        <v>0</v>
      </c>
      <c r="D2470" s="95">
        <v>0</v>
      </c>
      <c r="E2470" s="95">
        <f t="shared" si="82"/>
        <v>10116.730250000001</v>
      </c>
      <c r="F2470" s="95">
        <v>0</v>
      </c>
      <c r="G2470" s="145">
        <f t="shared" si="83"/>
        <v>10116.730250000001</v>
      </c>
      <c r="H2470" s="143"/>
      <c r="I2470" t="s">
        <v>1918</v>
      </c>
    </row>
    <row r="2471" spans="1:9" hidden="1" outlineLevel="1">
      <c r="A2471" s="465" t="s">
        <v>1393</v>
      </c>
      <c r="B2471" s="544">
        <v>79042.969500000007</v>
      </c>
      <c r="C2471" s="95">
        <v>0</v>
      </c>
      <c r="D2471" s="95">
        <v>0</v>
      </c>
      <c r="E2471" s="95">
        <f t="shared" si="82"/>
        <v>79042.969500000007</v>
      </c>
      <c r="F2471" s="95">
        <v>0</v>
      </c>
      <c r="G2471" s="145">
        <f t="shared" si="83"/>
        <v>79042.969500000007</v>
      </c>
      <c r="H2471" s="143"/>
      <c r="I2471" t="s">
        <v>1394</v>
      </c>
    </row>
    <row r="2472" spans="1:9" hidden="1" outlineLevel="1">
      <c r="A2472" s="465" t="s">
        <v>1395</v>
      </c>
      <c r="B2472" s="544">
        <v>2063580.3402500001</v>
      </c>
      <c r="C2472" s="95">
        <v>0</v>
      </c>
      <c r="D2472" s="95">
        <v>0</v>
      </c>
      <c r="E2472" s="95">
        <f t="shared" si="82"/>
        <v>2063580.3402500001</v>
      </c>
      <c r="F2472" s="95">
        <v>55219</v>
      </c>
      <c r="G2472" s="145">
        <f t="shared" si="83"/>
        <v>2118799.3402500004</v>
      </c>
      <c r="H2472" s="143"/>
      <c r="I2472" t="s">
        <v>1396</v>
      </c>
    </row>
    <row r="2473" spans="1:9" hidden="1" outlineLevel="1">
      <c r="A2473" s="465" t="s">
        <v>1919</v>
      </c>
      <c r="B2473" s="544">
        <v>7971.7742500000004</v>
      </c>
      <c r="C2473" s="95">
        <v>0</v>
      </c>
      <c r="D2473" s="95">
        <v>0</v>
      </c>
      <c r="E2473" s="95">
        <f t="shared" si="82"/>
        <v>7971.7742500000004</v>
      </c>
      <c r="F2473" s="95">
        <v>0</v>
      </c>
      <c r="G2473" s="145">
        <f t="shared" si="83"/>
        <v>7971.7742500000004</v>
      </c>
      <c r="H2473" s="143"/>
      <c r="I2473" t="s">
        <v>1920</v>
      </c>
    </row>
    <row r="2474" spans="1:9" hidden="1" outlineLevel="1">
      <c r="A2474" s="465" t="s">
        <v>1397</v>
      </c>
      <c r="B2474" s="544">
        <v>475626.26925000007</v>
      </c>
      <c r="C2474" s="95">
        <v>0</v>
      </c>
      <c r="D2474" s="95">
        <v>0</v>
      </c>
      <c r="E2474" s="95">
        <f t="shared" si="82"/>
        <v>475626.26925000007</v>
      </c>
      <c r="F2474" s="95">
        <v>0</v>
      </c>
      <c r="G2474" s="145">
        <f t="shared" si="83"/>
        <v>475626.26925000007</v>
      </c>
      <c r="H2474" s="143"/>
      <c r="I2474" t="s">
        <v>1398</v>
      </c>
    </row>
    <row r="2475" spans="1:9" hidden="1" outlineLevel="1">
      <c r="A2475" s="465" t="s">
        <v>1921</v>
      </c>
      <c r="B2475" s="544">
        <v>193828.56625</v>
      </c>
      <c r="C2475" s="95">
        <v>0</v>
      </c>
      <c r="D2475" s="95">
        <v>0</v>
      </c>
      <c r="E2475" s="95">
        <f t="shared" si="82"/>
        <v>193828.56625</v>
      </c>
      <c r="F2475" s="95">
        <v>-6612</v>
      </c>
      <c r="G2475" s="145">
        <f t="shared" si="83"/>
        <v>187216.56625</v>
      </c>
      <c r="H2475" s="143"/>
      <c r="I2475" t="s">
        <v>1922</v>
      </c>
    </row>
    <row r="2476" spans="1:9" hidden="1" outlineLevel="1">
      <c r="A2476" s="465" t="s">
        <v>1923</v>
      </c>
      <c r="B2476" s="544">
        <v>6220.1755000000003</v>
      </c>
      <c r="C2476" s="95">
        <v>0</v>
      </c>
      <c r="D2476" s="95">
        <v>0</v>
      </c>
      <c r="E2476" s="95">
        <f t="shared" si="82"/>
        <v>6220.1755000000003</v>
      </c>
      <c r="F2476" s="95">
        <v>0</v>
      </c>
      <c r="G2476" s="145">
        <f t="shared" si="83"/>
        <v>6220.1755000000003</v>
      </c>
      <c r="H2476" s="143"/>
      <c r="I2476" t="s">
        <v>1924</v>
      </c>
    </row>
    <row r="2477" spans="1:9" hidden="1" outlineLevel="1">
      <c r="A2477" s="465" t="s">
        <v>1399</v>
      </c>
      <c r="B2477" s="544">
        <v>3432336.6880000001</v>
      </c>
      <c r="C2477" s="95">
        <v>0</v>
      </c>
      <c r="D2477" s="95">
        <v>0</v>
      </c>
      <c r="E2477" s="95">
        <f t="shared" si="82"/>
        <v>3432336.6880000001</v>
      </c>
      <c r="F2477" s="95">
        <v>0</v>
      </c>
      <c r="G2477" s="145">
        <f t="shared" si="83"/>
        <v>3432336.6880000001</v>
      </c>
      <c r="H2477" s="143"/>
      <c r="I2477" t="s">
        <v>1400</v>
      </c>
    </row>
    <row r="2478" spans="1:9" hidden="1" outlineLevel="1">
      <c r="A2478" s="465" t="s">
        <v>1401</v>
      </c>
      <c r="B2478" s="544">
        <v>20895475.375500001</v>
      </c>
      <c r="C2478" s="95">
        <v>-8694</v>
      </c>
      <c r="D2478" s="95">
        <v>0</v>
      </c>
      <c r="E2478" s="95">
        <f t="shared" si="82"/>
        <v>20886781.375500001</v>
      </c>
      <c r="F2478" s="95">
        <v>176212</v>
      </c>
      <c r="G2478" s="145">
        <f t="shared" si="83"/>
        <v>21062993.375500001</v>
      </c>
      <c r="H2478" s="143"/>
      <c r="I2478" t="s">
        <v>1402</v>
      </c>
    </row>
    <row r="2479" spans="1:9" hidden="1" outlineLevel="1">
      <c r="A2479" s="465" t="s">
        <v>1403</v>
      </c>
      <c r="B2479" s="544">
        <v>66457.979500000001</v>
      </c>
      <c r="C2479" s="95">
        <v>0</v>
      </c>
      <c r="D2479" s="95">
        <v>0</v>
      </c>
      <c r="E2479" s="95">
        <f t="shared" si="82"/>
        <v>66457.979500000001</v>
      </c>
      <c r="F2479" s="95">
        <v>0</v>
      </c>
      <c r="G2479" s="145">
        <f t="shared" si="83"/>
        <v>66457.979500000001</v>
      </c>
      <c r="H2479" s="143"/>
      <c r="I2479" t="s">
        <v>1404</v>
      </c>
    </row>
    <row r="2480" spans="1:9" hidden="1" outlineLevel="1">
      <c r="A2480" s="465" t="s">
        <v>1405</v>
      </c>
      <c r="B2480" s="544">
        <v>45327768.535500005</v>
      </c>
      <c r="C2480" s="95">
        <v>-533367</v>
      </c>
      <c r="D2480" s="95">
        <v>0</v>
      </c>
      <c r="E2480" s="95">
        <f t="shared" si="82"/>
        <v>44794401.535500005</v>
      </c>
      <c r="F2480" s="95">
        <v>-94048</v>
      </c>
      <c r="G2480" s="145">
        <f t="shared" si="83"/>
        <v>44700353.535500005</v>
      </c>
      <c r="H2480" s="143"/>
      <c r="I2480" t="s">
        <v>1406</v>
      </c>
    </row>
    <row r="2481" spans="1:9" hidden="1" outlineLevel="1">
      <c r="A2481" s="465" t="s">
        <v>1407</v>
      </c>
      <c r="B2481" s="544">
        <v>10017943.430000002</v>
      </c>
      <c r="C2481" s="95">
        <v>-2045</v>
      </c>
      <c r="D2481" s="95">
        <v>0</v>
      </c>
      <c r="E2481" s="95">
        <f t="shared" si="82"/>
        <v>10015898.430000002</v>
      </c>
      <c r="F2481" s="95">
        <v>-63287</v>
      </c>
      <c r="G2481" s="145">
        <f t="shared" si="83"/>
        <v>9952611.4300000016</v>
      </c>
      <c r="H2481" s="143"/>
      <c r="I2481" t="s">
        <v>1408</v>
      </c>
    </row>
    <row r="2482" spans="1:9" hidden="1" outlineLevel="1">
      <c r="A2482" s="465" t="s">
        <v>1409</v>
      </c>
      <c r="B2482" s="544">
        <v>1695856.4975000001</v>
      </c>
      <c r="C2482" s="95">
        <v>0</v>
      </c>
      <c r="D2482" s="95">
        <v>0</v>
      </c>
      <c r="E2482" s="95">
        <f t="shared" si="82"/>
        <v>1695856.4975000001</v>
      </c>
      <c r="F2482" s="95">
        <v>23773</v>
      </c>
      <c r="G2482" s="145">
        <f t="shared" si="83"/>
        <v>1719629.4975000001</v>
      </c>
      <c r="H2482" s="143"/>
      <c r="I2482" t="s">
        <v>1410</v>
      </c>
    </row>
    <row r="2483" spans="1:9" hidden="1" outlineLevel="1">
      <c r="A2483" s="465" t="s">
        <v>1925</v>
      </c>
      <c r="B2483" s="544">
        <v>563489.55575000006</v>
      </c>
      <c r="C2483" s="95">
        <v>0</v>
      </c>
      <c r="D2483" s="95">
        <v>0</v>
      </c>
      <c r="E2483" s="95">
        <f t="shared" si="82"/>
        <v>563489.55575000006</v>
      </c>
      <c r="F2483" s="95">
        <v>0</v>
      </c>
      <c r="G2483" s="145">
        <f t="shared" si="83"/>
        <v>563489.55575000006</v>
      </c>
      <c r="H2483" s="143"/>
      <c r="I2483" t="s">
        <v>1926</v>
      </c>
    </row>
    <row r="2484" spans="1:9" hidden="1" outlineLevel="1">
      <c r="A2484" s="465" t="s">
        <v>509</v>
      </c>
      <c r="B2484" s="544">
        <v>10372494.456500001</v>
      </c>
      <c r="C2484" s="95">
        <v>-10717</v>
      </c>
      <c r="D2484" s="95">
        <v>0</v>
      </c>
      <c r="E2484" s="95">
        <f t="shared" si="82"/>
        <v>10361777.456500001</v>
      </c>
      <c r="F2484" s="95">
        <v>-107076</v>
      </c>
      <c r="G2484" s="145">
        <f t="shared" si="83"/>
        <v>10254701.456500001</v>
      </c>
      <c r="H2484" s="143"/>
      <c r="I2484" t="s">
        <v>510</v>
      </c>
    </row>
    <row r="2485" spans="1:9" hidden="1" outlineLevel="1">
      <c r="A2485" s="465" t="s">
        <v>1411</v>
      </c>
      <c r="B2485" s="544">
        <v>192653.12549999999</v>
      </c>
      <c r="C2485" s="95">
        <v>0</v>
      </c>
      <c r="D2485" s="95">
        <v>0</v>
      </c>
      <c r="E2485" s="95">
        <f t="shared" si="82"/>
        <v>192653.12549999999</v>
      </c>
      <c r="F2485" s="95">
        <v>0</v>
      </c>
      <c r="G2485" s="145">
        <f t="shared" si="83"/>
        <v>192653.12549999999</v>
      </c>
      <c r="H2485" s="143"/>
      <c r="I2485" t="s">
        <v>1412</v>
      </c>
    </row>
    <row r="2486" spans="1:9" hidden="1" outlineLevel="1">
      <c r="A2486" s="465" t="s">
        <v>1413</v>
      </c>
      <c r="B2486" s="544">
        <v>11322239.655750001</v>
      </c>
      <c r="C2486" s="95">
        <v>-49674</v>
      </c>
      <c r="D2486" s="95">
        <v>0</v>
      </c>
      <c r="E2486" s="95">
        <f t="shared" si="82"/>
        <v>11272565.655750001</v>
      </c>
      <c r="F2486" s="95">
        <v>0</v>
      </c>
      <c r="G2486" s="145">
        <f t="shared" si="83"/>
        <v>11272565.655750001</v>
      </c>
      <c r="H2486" s="143"/>
      <c r="I2486" t="s">
        <v>1414</v>
      </c>
    </row>
    <row r="2487" spans="1:9" hidden="1" outlineLevel="1">
      <c r="A2487" s="465" t="s">
        <v>388</v>
      </c>
      <c r="B2487" s="544">
        <v>13158470.605500001</v>
      </c>
      <c r="C2487" s="95">
        <v>-416572</v>
      </c>
      <c r="D2487" s="95">
        <v>0</v>
      </c>
      <c r="E2487" s="95">
        <f t="shared" si="82"/>
        <v>12741898.605500001</v>
      </c>
      <c r="F2487" s="95">
        <v>-53518</v>
      </c>
      <c r="G2487" s="145">
        <f t="shared" si="83"/>
        <v>12688380.605500001</v>
      </c>
      <c r="H2487" s="143"/>
      <c r="I2487" t="s">
        <v>389</v>
      </c>
    </row>
    <row r="2488" spans="1:9" hidden="1" outlineLevel="1">
      <c r="A2488" s="465" t="s">
        <v>724</v>
      </c>
      <c r="B2488" s="544">
        <v>10303486.82</v>
      </c>
      <c r="C2488" s="95">
        <v>-37081</v>
      </c>
      <c r="D2488" s="95">
        <v>0</v>
      </c>
      <c r="E2488" s="95">
        <f t="shared" si="82"/>
        <v>10266405.82</v>
      </c>
      <c r="F2488" s="95">
        <v>-7157</v>
      </c>
      <c r="G2488" s="145">
        <f t="shared" si="83"/>
        <v>10259248.82</v>
      </c>
      <c r="H2488" s="143"/>
      <c r="I2488" t="s">
        <v>725</v>
      </c>
    </row>
    <row r="2489" spans="1:9" hidden="1" outlineLevel="1">
      <c r="A2489" s="465" t="s">
        <v>1927</v>
      </c>
      <c r="B2489" s="544">
        <v>31481.384000000005</v>
      </c>
      <c r="C2489" s="95">
        <v>0</v>
      </c>
      <c r="D2489" s="95">
        <v>0</v>
      </c>
      <c r="E2489" s="95">
        <f t="shared" si="82"/>
        <v>31481.384000000005</v>
      </c>
      <c r="F2489" s="95">
        <v>0</v>
      </c>
      <c r="G2489" s="145">
        <f t="shared" si="83"/>
        <v>31481.384000000005</v>
      </c>
      <c r="H2489" s="143"/>
      <c r="I2489" t="s">
        <v>1928</v>
      </c>
    </row>
    <row r="2490" spans="1:9" hidden="1" outlineLevel="1">
      <c r="A2490" s="465" t="s">
        <v>1415</v>
      </c>
      <c r="B2490" s="544">
        <v>10198.122000000001</v>
      </c>
      <c r="C2490" s="95">
        <v>0</v>
      </c>
      <c r="D2490" s="95">
        <v>0</v>
      </c>
      <c r="E2490" s="95">
        <f t="shared" si="82"/>
        <v>10198.122000000001</v>
      </c>
      <c r="F2490" s="95">
        <v>0</v>
      </c>
      <c r="G2490" s="145">
        <f t="shared" si="83"/>
        <v>10198.122000000001</v>
      </c>
      <c r="H2490" s="143"/>
      <c r="I2490" t="s">
        <v>1416</v>
      </c>
    </row>
    <row r="2491" spans="1:9" hidden="1" outlineLevel="1">
      <c r="A2491" s="465" t="s">
        <v>1929</v>
      </c>
      <c r="B2491" s="544">
        <v>18330.892250000001</v>
      </c>
      <c r="C2491" s="95">
        <v>0</v>
      </c>
      <c r="D2491" s="95">
        <v>0</v>
      </c>
      <c r="E2491" s="95">
        <f t="shared" si="82"/>
        <v>18330.892250000001</v>
      </c>
      <c r="F2491" s="95">
        <v>0</v>
      </c>
      <c r="G2491" s="145">
        <f t="shared" si="83"/>
        <v>18330.892250000001</v>
      </c>
      <c r="H2491" s="143"/>
      <c r="I2491" t="s">
        <v>1930</v>
      </c>
    </row>
    <row r="2492" spans="1:9" hidden="1" outlineLevel="1">
      <c r="A2492" s="465" t="s">
        <v>1931</v>
      </c>
      <c r="B2492" s="544">
        <v>1096.5295000000001</v>
      </c>
      <c r="C2492" s="95">
        <v>0</v>
      </c>
      <c r="D2492" s="95">
        <v>0</v>
      </c>
      <c r="E2492" s="95">
        <f t="shared" si="82"/>
        <v>1096.5295000000001</v>
      </c>
      <c r="F2492" s="95">
        <v>0</v>
      </c>
      <c r="G2492" s="145">
        <f t="shared" si="83"/>
        <v>1096.5295000000001</v>
      </c>
      <c r="H2492" s="143"/>
      <c r="I2492" t="s">
        <v>1932</v>
      </c>
    </row>
    <row r="2493" spans="1:9" hidden="1" outlineLevel="1">
      <c r="A2493" s="465" t="s">
        <v>1417</v>
      </c>
      <c r="B2493" s="544">
        <v>325161.99925000005</v>
      </c>
      <c r="C2493" s="95">
        <v>0</v>
      </c>
      <c r="D2493" s="95">
        <v>0</v>
      </c>
      <c r="E2493" s="95">
        <f t="shared" si="82"/>
        <v>325161.99925000005</v>
      </c>
      <c r="F2493" s="95">
        <v>-8265</v>
      </c>
      <c r="G2493" s="145">
        <f t="shared" si="83"/>
        <v>316896.99925000005</v>
      </c>
      <c r="H2493" s="143"/>
      <c r="I2493" t="s">
        <v>1418</v>
      </c>
    </row>
    <row r="2494" spans="1:9" hidden="1" outlineLevel="1">
      <c r="A2494" s="465" t="s">
        <v>1419</v>
      </c>
      <c r="B2494" s="544">
        <v>245898.63650000002</v>
      </c>
      <c r="C2494" s="95">
        <v>0</v>
      </c>
      <c r="D2494" s="95">
        <v>0</v>
      </c>
      <c r="E2494" s="95">
        <f t="shared" si="82"/>
        <v>245898.63650000002</v>
      </c>
      <c r="F2494" s="95">
        <v>-1331</v>
      </c>
      <c r="G2494" s="145">
        <f t="shared" si="83"/>
        <v>244567.63650000002</v>
      </c>
      <c r="H2494" s="143"/>
      <c r="I2494" t="s">
        <v>1420</v>
      </c>
    </row>
    <row r="2495" spans="1:9" hidden="1" outlineLevel="1">
      <c r="A2495" s="465" t="s">
        <v>1421</v>
      </c>
      <c r="B2495" s="544">
        <v>200000.25925</v>
      </c>
      <c r="C2495" s="95">
        <v>0</v>
      </c>
      <c r="D2495" s="95">
        <v>0</v>
      </c>
      <c r="E2495" s="95">
        <f t="shared" si="82"/>
        <v>200000.25925</v>
      </c>
      <c r="F2495" s="95">
        <v>0</v>
      </c>
      <c r="G2495" s="145">
        <f t="shared" si="83"/>
        <v>200000.25925</v>
      </c>
      <c r="H2495" s="143"/>
      <c r="I2495" t="s">
        <v>1422</v>
      </c>
    </row>
    <row r="2496" spans="1:9" hidden="1" outlineLevel="1">
      <c r="A2496" s="465" t="s">
        <v>1933</v>
      </c>
      <c r="B2496" s="544">
        <v>165</v>
      </c>
      <c r="C2496" s="95">
        <v>0</v>
      </c>
      <c r="D2496" s="95">
        <v>0</v>
      </c>
      <c r="E2496" s="95">
        <f t="shared" si="82"/>
        <v>165</v>
      </c>
      <c r="F2496" s="95">
        <v>0</v>
      </c>
      <c r="G2496" s="145">
        <f t="shared" si="83"/>
        <v>165</v>
      </c>
      <c r="H2496" s="143"/>
      <c r="I2496" t="s">
        <v>1934</v>
      </c>
    </row>
    <row r="2497" spans="1:9" hidden="1" outlineLevel="1">
      <c r="A2497" s="465" t="s">
        <v>1423</v>
      </c>
      <c r="B2497" s="544">
        <v>251856.10175</v>
      </c>
      <c r="C2497" s="95">
        <v>0</v>
      </c>
      <c r="D2497" s="95">
        <v>0</v>
      </c>
      <c r="E2497" s="95">
        <f t="shared" si="82"/>
        <v>251856.10175</v>
      </c>
      <c r="F2497" s="95">
        <v>0</v>
      </c>
      <c r="G2497" s="145">
        <f t="shared" si="83"/>
        <v>251856.10175</v>
      </c>
      <c r="H2497" s="143"/>
      <c r="I2497" t="s">
        <v>1424</v>
      </c>
    </row>
    <row r="2498" spans="1:9" hidden="1" outlineLevel="1">
      <c r="A2498" s="465" t="s">
        <v>1425</v>
      </c>
      <c r="B2498" s="544">
        <v>870126.93350000004</v>
      </c>
      <c r="C2498" s="95">
        <v>0</v>
      </c>
      <c r="D2498" s="95">
        <v>0</v>
      </c>
      <c r="E2498" s="95">
        <f t="shared" si="82"/>
        <v>870126.93350000004</v>
      </c>
      <c r="F2498" s="95">
        <v>1414</v>
      </c>
      <c r="G2498" s="145">
        <f t="shared" si="83"/>
        <v>871540.93350000004</v>
      </c>
      <c r="H2498" s="143"/>
      <c r="I2498" t="s">
        <v>1426</v>
      </c>
    </row>
    <row r="2499" spans="1:9" hidden="1" outlineLevel="1">
      <c r="A2499" s="465" t="s">
        <v>429</v>
      </c>
      <c r="B2499" s="544">
        <v>57287.994500000001</v>
      </c>
      <c r="C2499" s="95">
        <v>0</v>
      </c>
      <c r="D2499" s="95">
        <v>0</v>
      </c>
      <c r="E2499" s="95">
        <f t="shared" si="82"/>
        <v>57287.994500000001</v>
      </c>
      <c r="F2499" s="95">
        <v>598</v>
      </c>
      <c r="G2499" s="145">
        <f t="shared" si="83"/>
        <v>57885.994500000001</v>
      </c>
      <c r="H2499" s="143"/>
      <c r="I2499" t="s">
        <v>430</v>
      </c>
    </row>
    <row r="2500" spans="1:9" hidden="1" outlineLevel="1">
      <c r="A2500" s="465" t="s">
        <v>360</v>
      </c>
      <c r="B2500" s="544">
        <v>35243.672750000005</v>
      </c>
      <c r="C2500" s="95">
        <v>0</v>
      </c>
      <c r="D2500" s="95">
        <v>0</v>
      </c>
      <c r="E2500" s="95">
        <f t="shared" si="82"/>
        <v>35243.672750000005</v>
      </c>
      <c r="F2500" s="95">
        <v>0</v>
      </c>
      <c r="G2500" s="145">
        <f t="shared" si="83"/>
        <v>35243.672750000005</v>
      </c>
      <c r="H2500" s="143"/>
      <c r="I2500" t="s">
        <v>361</v>
      </c>
    </row>
    <row r="2501" spans="1:9" hidden="1" outlineLevel="1">
      <c r="A2501" s="465" t="s">
        <v>1427</v>
      </c>
      <c r="B2501" s="544">
        <v>769364.26600000006</v>
      </c>
      <c r="C2501" s="95">
        <v>0</v>
      </c>
      <c r="D2501" s="95">
        <v>0</v>
      </c>
      <c r="E2501" s="95">
        <f t="shared" si="82"/>
        <v>769364.26600000006</v>
      </c>
      <c r="F2501" s="95">
        <v>0</v>
      </c>
      <c r="G2501" s="145">
        <f t="shared" si="83"/>
        <v>769364.26600000006</v>
      </c>
      <c r="H2501" s="143"/>
      <c r="I2501" t="s">
        <v>1428</v>
      </c>
    </row>
    <row r="2502" spans="1:9" hidden="1" outlineLevel="1">
      <c r="A2502" s="465" t="s">
        <v>1429</v>
      </c>
      <c r="B2502" s="544">
        <v>80920.078250000006</v>
      </c>
      <c r="C2502" s="95">
        <v>0</v>
      </c>
      <c r="D2502" s="95">
        <v>0</v>
      </c>
      <c r="E2502" s="95">
        <f t="shared" si="82"/>
        <v>80920.078250000006</v>
      </c>
      <c r="F2502" s="95">
        <v>-217</v>
      </c>
      <c r="G2502" s="145">
        <f t="shared" si="83"/>
        <v>80703.078250000006</v>
      </c>
      <c r="H2502" s="143"/>
      <c r="I2502" t="s">
        <v>1430</v>
      </c>
    </row>
    <row r="2503" spans="1:9" hidden="1" outlineLevel="1">
      <c r="A2503" s="465" t="s">
        <v>1935</v>
      </c>
      <c r="B2503" s="544">
        <v>15475.792750000001</v>
      </c>
      <c r="C2503" s="95">
        <v>0</v>
      </c>
      <c r="D2503" s="95">
        <v>0</v>
      </c>
      <c r="E2503" s="95">
        <f t="shared" si="82"/>
        <v>15475.792750000001</v>
      </c>
      <c r="F2503" s="95">
        <v>0</v>
      </c>
      <c r="G2503" s="145">
        <f t="shared" si="83"/>
        <v>15475.792750000001</v>
      </c>
      <c r="H2503" s="143"/>
      <c r="I2503" t="s">
        <v>1936</v>
      </c>
    </row>
    <row r="2504" spans="1:9" hidden="1" outlineLevel="1">
      <c r="A2504" s="465" t="s">
        <v>1431</v>
      </c>
      <c r="B2504" s="544">
        <v>248001.79925000001</v>
      </c>
      <c r="C2504" s="95">
        <v>0</v>
      </c>
      <c r="D2504" s="95">
        <v>0</v>
      </c>
      <c r="E2504" s="95">
        <f t="shared" si="82"/>
        <v>248001.79925000001</v>
      </c>
      <c r="F2504" s="95">
        <v>-978</v>
      </c>
      <c r="G2504" s="145">
        <f t="shared" si="83"/>
        <v>247023.79925000001</v>
      </c>
      <c r="H2504" s="143"/>
      <c r="I2504" t="s">
        <v>1432</v>
      </c>
    </row>
    <row r="2505" spans="1:9" hidden="1" outlineLevel="1">
      <c r="A2505" s="465" t="s">
        <v>1433</v>
      </c>
      <c r="B2505" s="544">
        <v>250816.39000000004</v>
      </c>
      <c r="C2505" s="95">
        <v>0</v>
      </c>
      <c r="D2505" s="95">
        <v>0</v>
      </c>
      <c r="E2505" s="95">
        <f t="shared" si="82"/>
        <v>250816.39000000004</v>
      </c>
      <c r="F2505" s="95">
        <v>0</v>
      </c>
      <c r="G2505" s="145">
        <f t="shared" si="83"/>
        <v>250816.39000000004</v>
      </c>
      <c r="H2505" s="143"/>
      <c r="I2505" t="s">
        <v>1434</v>
      </c>
    </row>
    <row r="2506" spans="1:9" hidden="1" outlineLevel="1">
      <c r="A2506" s="465" t="s">
        <v>577</v>
      </c>
      <c r="B2506" s="544">
        <v>2440100.0690000001</v>
      </c>
      <c r="C2506" s="95">
        <v>0</v>
      </c>
      <c r="D2506" s="95">
        <v>0</v>
      </c>
      <c r="E2506" s="95">
        <f t="shared" si="82"/>
        <v>2440100.0690000001</v>
      </c>
      <c r="F2506" s="95">
        <v>3077</v>
      </c>
      <c r="G2506" s="145">
        <f t="shared" si="83"/>
        <v>2443177.0690000001</v>
      </c>
      <c r="H2506" s="143"/>
      <c r="I2506" t="s">
        <v>578</v>
      </c>
    </row>
    <row r="2507" spans="1:9" hidden="1" outlineLevel="1">
      <c r="A2507" s="465" t="s">
        <v>680</v>
      </c>
      <c r="B2507" s="544">
        <v>771776.84375</v>
      </c>
      <c r="C2507" s="95">
        <v>0</v>
      </c>
      <c r="D2507" s="95">
        <v>0</v>
      </c>
      <c r="E2507" s="95">
        <f t="shared" si="82"/>
        <v>771776.84375</v>
      </c>
      <c r="F2507" s="95">
        <v>0</v>
      </c>
      <c r="G2507" s="145">
        <f t="shared" si="83"/>
        <v>771776.84375</v>
      </c>
      <c r="H2507" s="143"/>
      <c r="I2507" t="s">
        <v>681</v>
      </c>
    </row>
    <row r="2508" spans="1:9" hidden="1" outlineLevel="1">
      <c r="A2508" s="465" t="s">
        <v>1435</v>
      </c>
      <c r="B2508" s="544">
        <v>177700.48450000002</v>
      </c>
      <c r="C2508" s="95">
        <v>0</v>
      </c>
      <c r="D2508" s="95">
        <v>0</v>
      </c>
      <c r="E2508" s="95">
        <f t="shared" si="82"/>
        <v>177700.48450000002</v>
      </c>
      <c r="F2508" s="95">
        <v>-652</v>
      </c>
      <c r="G2508" s="145">
        <f t="shared" si="83"/>
        <v>177048.48450000002</v>
      </c>
      <c r="H2508" s="143"/>
      <c r="I2508" t="s">
        <v>1436</v>
      </c>
    </row>
    <row r="2509" spans="1:9" hidden="1" outlineLevel="1">
      <c r="A2509" s="465" t="s">
        <v>1937</v>
      </c>
      <c r="B2509" s="544">
        <v>20333.456000000002</v>
      </c>
      <c r="C2509" s="95">
        <v>0</v>
      </c>
      <c r="D2509" s="95">
        <v>0</v>
      </c>
      <c r="E2509" s="95">
        <f t="shared" si="82"/>
        <v>20333.456000000002</v>
      </c>
      <c r="F2509" s="95">
        <v>0</v>
      </c>
      <c r="G2509" s="145">
        <f t="shared" si="83"/>
        <v>20333.456000000002</v>
      </c>
      <c r="H2509" s="143"/>
      <c r="I2509" t="s">
        <v>1938</v>
      </c>
    </row>
    <row r="2510" spans="1:9" hidden="1" outlineLevel="1">
      <c r="A2510" s="465" t="s">
        <v>664</v>
      </c>
      <c r="B2510" s="544">
        <v>185801.94875000001</v>
      </c>
      <c r="C2510" s="95">
        <v>0</v>
      </c>
      <c r="D2510" s="95">
        <v>0</v>
      </c>
      <c r="E2510" s="95">
        <f t="shared" si="82"/>
        <v>185801.94875000001</v>
      </c>
      <c r="F2510" s="95">
        <v>628</v>
      </c>
      <c r="G2510" s="145">
        <f t="shared" si="83"/>
        <v>186429.94875000001</v>
      </c>
      <c r="H2510" s="143"/>
      <c r="I2510" t="s">
        <v>665</v>
      </c>
    </row>
    <row r="2511" spans="1:9" hidden="1" outlineLevel="1">
      <c r="A2511" s="465" t="s">
        <v>1939</v>
      </c>
      <c r="B2511" s="544">
        <v>14346.175250000002</v>
      </c>
      <c r="C2511" s="95">
        <v>0</v>
      </c>
      <c r="D2511" s="95">
        <v>0</v>
      </c>
      <c r="E2511" s="95">
        <f t="shared" si="82"/>
        <v>14346.175250000002</v>
      </c>
      <c r="F2511" s="95">
        <v>0</v>
      </c>
      <c r="G2511" s="145">
        <f t="shared" si="83"/>
        <v>14346.175250000002</v>
      </c>
      <c r="H2511" s="143"/>
      <c r="I2511" t="s">
        <v>1940</v>
      </c>
    </row>
    <row r="2512" spans="1:9" hidden="1" outlineLevel="1">
      <c r="A2512" s="465" t="s">
        <v>469</v>
      </c>
      <c r="B2512" s="544">
        <v>566489.60225</v>
      </c>
      <c r="C2512" s="95">
        <v>0</v>
      </c>
      <c r="D2512" s="95">
        <v>0</v>
      </c>
      <c r="E2512" s="95">
        <f t="shared" si="82"/>
        <v>566489.60225</v>
      </c>
      <c r="F2512" s="95">
        <v>-16949</v>
      </c>
      <c r="G2512" s="145">
        <f t="shared" si="83"/>
        <v>549540.60225</v>
      </c>
      <c r="H2512" s="143"/>
      <c r="I2512" t="s">
        <v>1437</v>
      </c>
    </row>
    <row r="2513" spans="1:9" hidden="1" outlineLevel="1">
      <c r="A2513" s="465" t="s">
        <v>1438</v>
      </c>
      <c r="B2513" s="544">
        <v>384145.81975000002</v>
      </c>
      <c r="C2513" s="95">
        <v>0</v>
      </c>
      <c r="D2513" s="95">
        <v>0</v>
      </c>
      <c r="E2513" s="95">
        <f t="shared" si="82"/>
        <v>384145.81975000002</v>
      </c>
      <c r="F2513" s="95">
        <v>-476</v>
      </c>
      <c r="G2513" s="145">
        <f t="shared" si="83"/>
        <v>383669.81975000002</v>
      </c>
      <c r="H2513" s="143"/>
      <c r="I2513" t="s">
        <v>1439</v>
      </c>
    </row>
    <row r="2514" spans="1:9" hidden="1" outlineLevel="1">
      <c r="A2514" s="465" t="s">
        <v>1440</v>
      </c>
      <c r="B2514" s="544">
        <v>32467.044500000004</v>
      </c>
      <c r="C2514" s="95">
        <v>0</v>
      </c>
      <c r="D2514" s="95">
        <v>0</v>
      </c>
      <c r="E2514" s="95">
        <f t="shared" si="82"/>
        <v>32467.044500000004</v>
      </c>
      <c r="F2514" s="95">
        <v>0</v>
      </c>
      <c r="G2514" s="145">
        <f t="shared" si="83"/>
        <v>32467.044500000004</v>
      </c>
      <c r="H2514" s="143"/>
      <c r="I2514" t="s">
        <v>1441</v>
      </c>
    </row>
    <row r="2515" spans="1:9" hidden="1" outlineLevel="1">
      <c r="A2515" s="465" t="s">
        <v>1442</v>
      </c>
      <c r="B2515" s="544">
        <v>303002.26</v>
      </c>
      <c r="C2515" s="95">
        <v>0</v>
      </c>
      <c r="D2515" s="95">
        <v>0</v>
      </c>
      <c r="E2515" s="95">
        <f t="shared" si="82"/>
        <v>303002.26</v>
      </c>
      <c r="F2515" s="95">
        <v>0</v>
      </c>
      <c r="G2515" s="145">
        <f t="shared" si="83"/>
        <v>303002.26</v>
      </c>
      <c r="H2515" s="143"/>
      <c r="I2515" t="s">
        <v>1443</v>
      </c>
    </row>
    <row r="2516" spans="1:9" hidden="1" outlineLevel="1">
      <c r="A2516" s="465" t="s">
        <v>1444</v>
      </c>
      <c r="B2516" s="544">
        <v>395700.98700000002</v>
      </c>
      <c r="C2516" s="95">
        <v>0</v>
      </c>
      <c r="D2516" s="95">
        <v>0</v>
      </c>
      <c r="E2516" s="95">
        <f t="shared" si="82"/>
        <v>395700.98700000002</v>
      </c>
      <c r="F2516" s="95">
        <v>-4160</v>
      </c>
      <c r="G2516" s="145">
        <f t="shared" si="83"/>
        <v>391540.98700000002</v>
      </c>
      <c r="H2516" s="143"/>
      <c r="I2516" t="s">
        <v>1445</v>
      </c>
    </row>
    <row r="2517" spans="1:9" hidden="1" outlineLevel="1">
      <c r="A2517" s="465" t="s">
        <v>1446</v>
      </c>
      <c r="B2517" s="544">
        <v>464719.14500000008</v>
      </c>
      <c r="C2517" s="95">
        <v>0</v>
      </c>
      <c r="D2517" s="95">
        <v>0</v>
      </c>
      <c r="E2517" s="95">
        <f t="shared" si="82"/>
        <v>464719.14500000008</v>
      </c>
      <c r="F2517" s="95">
        <v>-2062</v>
      </c>
      <c r="G2517" s="145">
        <f t="shared" si="83"/>
        <v>462657.14500000008</v>
      </c>
      <c r="H2517" s="143"/>
      <c r="I2517" t="s">
        <v>1447</v>
      </c>
    </row>
    <row r="2518" spans="1:9" hidden="1" outlineLevel="1">
      <c r="A2518" s="465" t="s">
        <v>1448</v>
      </c>
      <c r="B2518" s="544">
        <v>48225.413500000002</v>
      </c>
      <c r="C2518" s="95">
        <v>0</v>
      </c>
      <c r="D2518" s="95">
        <v>0</v>
      </c>
      <c r="E2518" s="95">
        <f t="shared" si="82"/>
        <v>48225.413500000002</v>
      </c>
      <c r="F2518" s="95">
        <v>0</v>
      </c>
      <c r="G2518" s="145">
        <f t="shared" si="83"/>
        <v>48225.413500000002</v>
      </c>
      <c r="H2518" s="143"/>
      <c r="I2518" t="s">
        <v>1449</v>
      </c>
    </row>
    <row r="2519" spans="1:9" hidden="1" outlineLevel="1">
      <c r="A2519" s="465" t="s">
        <v>1450</v>
      </c>
      <c r="B2519" s="544">
        <v>112109.18675000001</v>
      </c>
      <c r="C2519" s="95">
        <v>0</v>
      </c>
      <c r="D2519" s="95">
        <v>0</v>
      </c>
      <c r="E2519" s="95">
        <f t="shared" si="82"/>
        <v>112109.18675000001</v>
      </c>
      <c r="F2519" s="95">
        <v>0</v>
      </c>
      <c r="G2519" s="145">
        <f t="shared" si="83"/>
        <v>112109.18675000001</v>
      </c>
      <c r="H2519" s="143"/>
      <c r="I2519" t="s">
        <v>1451</v>
      </c>
    </row>
    <row r="2520" spans="1:9" hidden="1" outlineLevel="1">
      <c r="A2520" s="465" t="s">
        <v>1941</v>
      </c>
      <c r="B2520" s="544">
        <v>45431.185250000002</v>
      </c>
      <c r="C2520" s="95">
        <v>0</v>
      </c>
      <c r="D2520" s="95">
        <v>0</v>
      </c>
      <c r="E2520" s="95">
        <f t="shared" si="82"/>
        <v>45431.185250000002</v>
      </c>
      <c r="F2520" s="95">
        <v>0</v>
      </c>
      <c r="G2520" s="145">
        <f t="shared" si="83"/>
        <v>45431.185250000002</v>
      </c>
      <c r="H2520" s="143"/>
      <c r="I2520" t="s">
        <v>1942</v>
      </c>
    </row>
    <row r="2521" spans="1:9" hidden="1" outlineLevel="1">
      <c r="A2521" s="465" t="s">
        <v>1452</v>
      </c>
      <c r="B2521" s="544">
        <v>306419.00575000001</v>
      </c>
      <c r="C2521" s="95">
        <v>0</v>
      </c>
      <c r="D2521" s="95">
        <v>0</v>
      </c>
      <c r="E2521" s="95">
        <f t="shared" si="82"/>
        <v>306419.00575000001</v>
      </c>
      <c r="F2521" s="95">
        <v>0</v>
      </c>
      <c r="G2521" s="145">
        <f t="shared" si="83"/>
        <v>306419.00575000001</v>
      </c>
      <c r="H2521" s="143"/>
      <c r="I2521" t="s">
        <v>1453</v>
      </c>
    </row>
    <row r="2522" spans="1:9" hidden="1" outlineLevel="1">
      <c r="A2522" s="465" t="s">
        <v>1943</v>
      </c>
      <c r="B2522" s="544">
        <v>243763.22025000001</v>
      </c>
      <c r="C2522" s="95">
        <v>0</v>
      </c>
      <c r="D2522" s="95">
        <v>0</v>
      </c>
      <c r="E2522" s="95">
        <f t="shared" si="82"/>
        <v>243763.22025000001</v>
      </c>
      <c r="F2522" s="95">
        <v>0</v>
      </c>
      <c r="G2522" s="145">
        <f t="shared" si="83"/>
        <v>243763.22025000001</v>
      </c>
      <c r="H2522" s="143"/>
      <c r="I2522" t="s">
        <v>1944</v>
      </c>
    </row>
    <row r="2523" spans="1:9" hidden="1" outlineLevel="1">
      <c r="A2523" s="465" t="s">
        <v>1454</v>
      </c>
      <c r="B2523" s="544">
        <v>15568.630000000003</v>
      </c>
      <c r="C2523" s="95">
        <v>0</v>
      </c>
      <c r="D2523" s="95">
        <v>0</v>
      </c>
      <c r="E2523" s="95">
        <f t="shared" si="82"/>
        <v>15568.630000000003</v>
      </c>
      <c r="F2523" s="95">
        <v>0</v>
      </c>
      <c r="G2523" s="145">
        <f t="shared" si="83"/>
        <v>15568.630000000003</v>
      </c>
      <c r="H2523" s="143"/>
      <c r="I2523" t="s">
        <v>1455</v>
      </c>
    </row>
    <row r="2524" spans="1:9" hidden="1" outlineLevel="1">
      <c r="A2524" s="465" t="s">
        <v>1480</v>
      </c>
      <c r="B2524" s="544">
        <v>410797.9535</v>
      </c>
      <c r="C2524" s="95">
        <v>0</v>
      </c>
      <c r="D2524" s="95">
        <v>0</v>
      </c>
      <c r="E2524" s="95">
        <f t="shared" si="82"/>
        <v>410797.9535</v>
      </c>
      <c r="F2524" s="95">
        <v>-2931</v>
      </c>
      <c r="G2524" s="145">
        <f t="shared" si="83"/>
        <v>407866.9535</v>
      </c>
      <c r="H2524" s="143"/>
      <c r="I2524" t="s">
        <v>1481</v>
      </c>
    </row>
    <row r="2525" spans="1:9" hidden="1" outlineLevel="1">
      <c r="A2525" s="465" t="s">
        <v>1456</v>
      </c>
      <c r="B2525" s="544">
        <v>801438.08250000002</v>
      </c>
      <c r="C2525" s="95">
        <v>0</v>
      </c>
      <c r="D2525" s="95">
        <v>0</v>
      </c>
      <c r="E2525" s="95">
        <f t="shared" si="82"/>
        <v>801438.08250000002</v>
      </c>
      <c r="F2525" s="95">
        <v>-11319</v>
      </c>
      <c r="G2525" s="145">
        <f t="shared" si="83"/>
        <v>790119.08250000002</v>
      </c>
      <c r="H2525" s="143"/>
      <c r="I2525" t="s">
        <v>1457</v>
      </c>
    </row>
    <row r="2526" spans="1:9" hidden="1" outlineLevel="1">
      <c r="A2526" s="465" t="s">
        <v>1458</v>
      </c>
      <c r="B2526" s="544">
        <v>190285.55700000003</v>
      </c>
      <c r="C2526" s="95">
        <v>0</v>
      </c>
      <c r="D2526" s="95">
        <v>0</v>
      </c>
      <c r="E2526" s="95">
        <f t="shared" ref="E2526:E2542" si="84">B2526+C2526+D2526</f>
        <v>190285.55700000003</v>
      </c>
      <c r="F2526" s="95">
        <v>-1071</v>
      </c>
      <c r="G2526" s="145">
        <f t="shared" ref="G2526:G2542" si="85">E2526+F2526</f>
        <v>189214.55700000003</v>
      </c>
      <c r="H2526" s="143"/>
      <c r="I2526" t="s">
        <v>1459</v>
      </c>
    </row>
    <row r="2527" spans="1:9" hidden="1" outlineLevel="1">
      <c r="A2527" s="465" t="s">
        <v>172</v>
      </c>
      <c r="B2527" s="544">
        <v>0</v>
      </c>
      <c r="C2527" s="95">
        <v>0</v>
      </c>
      <c r="D2527" s="95">
        <v>0</v>
      </c>
      <c r="E2527" s="95">
        <f t="shared" si="84"/>
        <v>0</v>
      </c>
      <c r="F2527" s="95">
        <v>48</v>
      </c>
      <c r="G2527" s="145">
        <f t="shared" si="85"/>
        <v>48</v>
      </c>
      <c r="H2527" s="143"/>
      <c r="I2527" t="s">
        <v>173</v>
      </c>
    </row>
    <row r="2528" spans="1:9" hidden="1" outlineLevel="1">
      <c r="A2528" s="465" t="s">
        <v>1945</v>
      </c>
      <c r="B2528" s="544">
        <v>153296.68475000001</v>
      </c>
      <c r="C2528" s="95">
        <v>0</v>
      </c>
      <c r="D2528" s="95">
        <v>0</v>
      </c>
      <c r="E2528" s="95">
        <f t="shared" si="84"/>
        <v>153296.68475000001</v>
      </c>
      <c r="F2528" s="95">
        <v>-3223</v>
      </c>
      <c r="G2528" s="145">
        <f t="shared" si="85"/>
        <v>150073.68475000001</v>
      </c>
      <c r="H2528" s="143"/>
      <c r="I2528" t="s">
        <v>1946</v>
      </c>
    </row>
    <row r="2529" spans="1:10" hidden="1" outlineLevel="1">
      <c r="A2529" s="465" t="s">
        <v>356</v>
      </c>
      <c r="B2529" s="544">
        <v>95337.693000000014</v>
      </c>
      <c r="C2529" s="95">
        <v>0</v>
      </c>
      <c r="D2529" s="95">
        <v>0</v>
      </c>
      <c r="E2529" s="95">
        <f t="shared" si="84"/>
        <v>95337.693000000014</v>
      </c>
      <c r="F2529" s="95">
        <v>33732</v>
      </c>
      <c r="G2529" s="145">
        <f t="shared" si="85"/>
        <v>129069.69300000001</v>
      </c>
      <c r="H2529" s="143"/>
      <c r="I2529" t="s">
        <v>357</v>
      </c>
    </row>
    <row r="2530" spans="1:10" hidden="1" outlineLevel="1">
      <c r="A2530" s="465" t="s">
        <v>1460</v>
      </c>
      <c r="B2530" s="544">
        <v>62896.457250000007</v>
      </c>
      <c r="C2530" s="95">
        <v>0</v>
      </c>
      <c r="D2530" s="95">
        <v>0</v>
      </c>
      <c r="E2530" s="95">
        <f t="shared" si="84"/>
        <v>62896.457250000007</v>
      </c>
      <c r="F2530" s="95">
        <v>1053</v>
      </c>
      <c r="G2530" s="145">
        <f t="shared" si="85"/>
        <v>63949.457250000007</v>
      </c>
      <c r="H2530" s="143"/>
      <c r="I2530" t="s">
        <v>1461</v>
      </c>
    </row>
    <row r="2531" spans="1:10" hidden="1" outlineLevel="1">
      <c r="A2531" s="465" t="s">
        <v>1462</v>
      </c>
      <c r="B2531" s="544">
        <v>800354.25525000005</v>
      </c>
      <c r="C2531" s="95">
        <v>0</v>
      </c>
      <c r="D2531" s="95">
        <v>0</v>
      </c>
      <c r="E2531" s="95">
        <f t="shared" si="84"/>
        <v>800354.25525000005</v>
      </c>
      <c r="F2531" s="95">
        <v>-5247</v>
      </c>
      <c r="G2531" s="145">
        <f t="shared" si="85"/>
        <v>795107.25525000005</v>
      </c>
      <c r="H2531" s="143"/>
      <c r="I2531" t="s">
        <v>1463</v>
      </c>
    </row>
    <row r="2532" spans="1:10" hidden="1" outlineLevel="1">
      <c r="A2532" s="465" t="s">
        <v>1464</v>
      </c>
      <c r="B2532" s="544">
        <v>187211.98100000003</v>
      </c>
      <c r="C2532" s="95">
        <v>0</v>
      </c>
      <c r="D2532" s="95">
        <v>0</v>
      </c>
      <c r="E2532" s="95">
        <f t="shared" si="84"/>
        <v>187211.98100000003</v>
      </c>
      <c r="F2532" s="95">
        <v>-16056</v>
      </c>
      <c r="G2532" s="145">
        <f t="shared" si="85"/>
        <v>171155.98100000003</v>
      </c>
      <c r="H2532" s="143"/>
      <c r="I2532" t="s">
        <v>1465</v>
      </c>
    </row>
    <row r="2533" spans="1:10" hidden="1" outlineLevel="1">
      <c r="A2533" s="465" t="s">
        <v>1466</v>
      </c>
      <c r="B2533" s="544">
        <v>187158.52925000002</v>
      </c>
      <c r="C2533" s="95">
        <v>0</v>
      </c>
      <c r="D2533" s="95">
        <v>0</v>
      </c>
      <c r="E2533" s="95">
        <f t="shared" si="84"/>
        <v>187158.52925000002</v>
      </c>
      <c r="F2533" s="95">
        <v>-5548</v>
      </c>
      <c r="G2533" s="145">
        <f t="shared" si="85"/>
        <v>181610.52925000002</v>
      </c>
      <c r="H2533" s="143"/>
      <c r="I2533" t="s">
        <v>1467</v>
      </c>
    </row>
    <row r="2534" spans="1:10" hidden="1" outlineLevel="1">
      <c r="A2534" s="465" t="s">
        <v>1468</v>
      </c>
      <c r="B2534" s="544">
        <v>200495.74325000003</v>
      </c>
      <c r="C2534" s="95">
        <v>0</v>
      </c>
      <c r="D2534" s="95">
        <v>0</v>
      </c>
      <c r="E2534" s="95">
        <f t="shared" si="84"/>
        <v>200495.74325000003</v>
      </c>
      <c r="F2534" s="95">
        <v>-3653</v>
      </c>
      <c r="G2534" s="145">
        <f t="shared" si="85"/>
        <v>196842.74325000003</v>
      </c>
      <c r="H2534" s="143"/>
      <c r="I2534" t="s">
        <v>1469</v>
      </c>
    </row>
    <row r="2535" spans="1:10" hidden="1" outlineLevel="1">
      <c r="A2535" s="465" t="s">
        <v>1470</v>
      </c>
      <c r="B2535" s="544">
        <v>68132.856</v>
      </c>
      <c r="C2535" s="95">
        <v>0</v>
      </c>
      <c r="D2535" s="95">
        <v>0</v>
      </c>
      <c r="E2535" s="95">
        <f t="shared" si="84"/>
        <v>68132.856</v>
      </c>
      <c r="F2535" s="95">
        <v>0</v>
      </c>
      <c r="G2535" s="145">
        <f t="shared" si="85"/>
        <v>68132.856</v>
      </c>
      <c r="H2535" s="143"/>
      <c r="I2535" t="s">
        <v>1471</v>
      </c>
    </row>
    <row r="2536" spans="1:10" hidden="1" outlineLevel="1">
      <c r="A2536" s="465" t="s">
        <v>1472</v>
      </c>
      <c r="B2536" s="544">
        <v>154761.33750000002</v>
      </c>
      <c r="C2536" s="95">
        <v>0</v>
      </c>
      <c r="D2536" s="95">
        <v>0</v>
      </c>
      <c r="E2536" s="95">
        <f t="shared" si="84"/>
        <v>154761.33750000002</v>
      </c>
      <c r="F2536" s="95">
        <v>352</v>
      </c>
      <c r="G2536" s="145">
        <f t="shared" si="85"/>
        <v>155113.33750000002</v>
      </c>
      <c r="H2536" s="143"/>
      <c r="I2536" t="s">
        <v>1473</v>
      </c>
    </row>
    <row r="2537" spans="1:10" hidden="1" outlineLevel="1">
      <c r="A2537" s="465" t="s">
        <v>398</v>
      </c>
      <c r="B2537" s="544">
        <v>55069.217499999999</v>
      </c>
      <c r="C2537" s="95">
        <v>0</v>
      </c>
      <c r="D2537" s="95">
        <v>0</v>
      </c>
      <c r="E2537" s="95">
        <f t="shared" si="84"/>
        <v>55069.217499999999</v>
      </c>
      <c r="F2537" s="95">
        <v>399</v>
      </c>
      <c r="G2537" s="145">
        <f t="shared" si="85"/>
        <v>55468.217499999999</v>
      </c>
      <c r="H2537" s="143"/>
      <c r="I2537" t="s">
        <v>399</v>
      </c>
    </row>
    <row r="2538" spans="1:10" hidden="1" outlineLevel="1">
      <c r="A2538" s="465" t="s">
        <v>1947</v>
      </c>
      <c r="B2538" s="544">
        <v>24070.010250000003</v>
      </c>
      <c r="C2538" s="95">
        <v>-18777</v>
      </c>
      <c r="D2538" s="95">
        <v>0</v>
      </c>
      <c r="E2538" s="95">
        <f t="shared" si="84"/>
        <v>5293.010250000003</v>
      </c>
      <c r="F2538" s="95">
        <v>0</v>
      </c>
      <c r="G2538" s="145">
        <f t="shared" si="85"/>
        <v>5293.010250000003</v>
      </c>
      <c r="H2538" s="143"/>
      <c r="I2538" t="s">
        <v>1948</v>
      </c>
    </row>
    <row r="2539" spans="1:10" hidden="1" outlineLevel="1">
      <c r="A2539" s="465" t="s">
        <v>1949</v>
      </c>
      <c r="B2539" s="544">
        <v>83745.706000000006</v>
      </c>
      <c r="C2539" s="95">
        <v>0</v>
      </c>
      <c r="D2539" s="95">
        <v>0</v>
      </c>
      <c r="E2539" s="95">
        <f t="shared" si="84"/>
        <v>83745.706000000006</v>
      </c>
      <c r="F2539" s="95">
        <v>0</v>
      </c>
      <c r="G2539" s="145">
        <f t="shared" si="85"/>
        <v>83745.706000000006</v>
      </c>
      <c r="H2539" s="143"/>
      <c r="I2539" t="s">
        <v>1950</v>
      </c>
    </row>
    <row r="2540" spans="1:10" hidden="1" outlineLevel="1">
      <c r="A2540" s="465" t="s">
        <v>1951</v>
      </c>
      <c r="B2540" s="544">
        <v>9658.8855000000003</v>
      </c>
      <c r="C2540" s="95">
        <v>0</v>
      </c>
      <c r="D2540" s="95">
        <v>0</v>
      </c>
      <c r="E2540" s="95">
        <f t="shared" si="84"/>
        <v>9658.8855000000003</v>
      </c>
      <c r="F2540" s="95">
        <v>-94</v>
      </c>
      <c r="G2540" s="145">
        <f t="shared" si="85"/>
        <v>9564.8855000000003</v>
      </c>
      <c r="H2540" s="143"/>
      <c r="I2540" t="s">
        <v>1952</v>
      </c>
    </row>
    <row r="2541" spans="1:10" hidden="1" outlineLevel="1">
      <c r="A2541" s="465"/>
      <c r="B2541" s="544">
        <v>0</v>
      </c>
      <c r="C2541" s="95">
        <v>0</v>
      </c>
      <c r="D2541" s="95">
        <v>0</v>
      </c>
      <c r="E2541" s="95">
        <f t="shared" si="84"/>
        <v>0</v>
      </c>
      <c r="F2541" s="95">
        <v>0</v>
      </c>
      <c r="G2541" s="145">
        <f t="shared" si="85"/>
        <v>0</v>
      </c>
      <c r="H2541" s="143"/>
    </row>
    <row r="2542" spans="1:10" ht="13.5" collapsed="1" thickBot="1">
      <c r="A2542" s="466" t="str">
        <f>A743</f>
        <v>Regelzone TransnetBW (gesamt)</v>
      </c>
      <c r="B2542" s="548">
        <f>SUM(B2543:B2680)</f>
        <v>126272272.19</v>
      </c>
      <c r="C2542" s="153">
        <f>SUM(C2543:C2680)</f>
        <v>-2491493.31</v>
      </c>
      <c r="D2542" s="153">
        <f>SUM(D2543:D2680)</f>
        <v>9174.7999999999993</v>
      </c>
      <c r="E2542" s="153">
        <f t="shared" si="84"/>
        <v>123789953.67999999</v>
      </c>
      <c r="F2542" s="1098">
        <f>SUM(F2543:F2680)</f>
        <v>44794.940000000031</v>
      </c>
      <c r="G2542" s="549">
        <f t="shared" si="85"/>
        <v>123834748.61999999</v>
      </c>
      <c r="H2542" s="143"/>
      <c r="I2542" s="1088"/>
      <c r="J2542" s="5"/>
    </row>
    <row r="2543" spans="1:10" hidden="1" outlineLevel="1">
      <c r="A2543" s="467" t="s">
        <v>1487</v>
      </c>
      <c r="B2543" s="544">
        <v>612446.06999999995</v>
      </c>
      <c r="C2543" s="95">
        <v>0</v>
      </c>
      <c r="D2543" s="95">
        <v>0</v>
      </c>
      <c r="E2543" s="95">
        <v>612446.06999999995</v>
      </c>
      <c r="F2543" s="95">
        <v>0</v>
      </c>
      <c r="G2543" s="145">
        <f>E2543+F2543</f>
        <v>612446.06999999995</v>
      </c>
      <c r="H2543" s="143"/>
      <c r="I2543" s="8" t="s">
        <v>1488</v>
      </c>
    </row>
    <row r="2544" spans="1:10" hidden="1" outlineLevel="1">
      <c r="A2544" s="467" t="s">
        <v>1489</v>
      </c>
      <c r="B2544" s="544">
        <v>1243572.3799999999</v>
      </c>
      <c r="C2544" s="95">
        <v>0</v>
      </c>
      <c r="D2544" s="95">
        <v>0</v>
      </c>
      <c r="E2544" s="95">
        <v>1243572.3799999999</v>
      </c>
      <c r="F2544" s="95">
        <v>-11605.98</v>
      </c>
      <c r="G2544" s="145">
        <f>E2544+F2544</f>
        <v>1231966.3999999999</v>
      </c>
      <c r="H2544" s="143"/>
      <c r="I2544" s="8" t="s">
        <v>1490</v>
      </c>
    </row>
    <row r="2545" spans="1:9" hidden="1" outlineLevel="1">
      <c r="A2545" s="467" t="s">
        <v>1491</v>
      </c>
      <c r="B2545" s="544">
        <v>3386476.68</v>
      </c>
      <c r="C2545" s="95">
        <v>0</v>
      </c>
      <c r="D2545" s="95">
        <v>0</v>
      </c>
      <c r="E2545" s="95">
        <v>3386476.68</v>
      </c>
      <c r="F2545" s="95">
        <v>0</v>
      </c>
      <c r="G2545" s="145">
        <f t="shared" ref="G2545:G2608" si="86">E2545+F2545</f>
        <v>3386476.68</v>
      </c>
      <c r="H2545" s="143"/>
      <c r="I2545" s="8" t="s">
        <v>1492</v>
      </c>
    </row>
    <row r="2546" spans="1:9" hidden="1" outlineLevel="1">
      <c r="A2546" s="467" t="s">
        <v>1953</v>
      </c>
      <c r="B2546" s="544">
        <v>30804.05</v>
      </c>
      <c r="C2546" s="95">
        <v>0</v>
      </c>
      <c r="D2546" s="95">
        <v>0</v>
      </c>
      <c r="E2546" s="95">
        <v>30804.05</v>
      </c>
      <c r="F2546" s="95">
        <v>0</v>
      </c>
      <c r="G2546" s="145">
        <f t="shared" si="86"/>
        <v>30804.05</v>
      </c>
      <c r="H2546" s="143"/>
      <c r="I2546" s="8" t="s">
        <v>1954</v>
      </c>
    </row>
    <row r="2547" spans="1:9" hidden="1" outlineLevel="1">
      <c r="A2547" s="467" t="s">
        <v>655</v>
      </c>
      <c r="B2547" s="544">
        <v>775080.6</v>
      </c>
      <c r="C2547" s="95">
        <v>0</v>
      </c>
      <c r="D2547" s="95">
        <v>0</v>
      </c>
      <c r="E2547" s="95">
        <v>775080.6</v>
      </c>
      <c r="F2547" s="95">
        <v>300.05</v>
      </c>
      <c r="G2547" s="145">
        <f t="shared" si="86"/>
        <v>775380.65</v>
      </c>
      <c r="H2547" s="143"/>
      <c r="I2547" s="8" t="s">
        <v>578</v>
      </c>
    </row>
    <row r="2548" spans="1:9" hidden="1" outlineLevel="1">
      <c r="A2548" s="467" t="s">
        <v>1493</v>
      </c>
      <c r="B2548" s="544">
        <v>358230.83</v>
      </c>
      <c r="C2548" s="95">
        <v>0</v>
      </c>
      <c r="D2548" s="95">
        <v>0</v>
      </c>
      <c r="E2548" s="95">
        <v>358230.83</v>
      </c>
      <c r="F2548" s="95">
        <v>-10437.32</v>
      </c>
      <c r="G2548" s="145">
        <f t="shared" si="86"/>
        <v>347793.51</v>
      </c>
      <c r="H2548" s="143"/>
      <c r="I2548" s="8" t="s">
        <v>1494</v>
      </c>
    </row>
    <row r="2549" spans="1:9" hidden="1" outlineLevel="1">
      <c r="A2549" s="467" t="s">
        <v>429</v>
      </c>
      <c r="B2549" s="544">
        <v>14948.3</v>
      </c>
      <c r="C2549" s="95">
        <v>0</v>
      </c>
      <c r="D2549" s="95">
        <v>0</v>
      </c>
      <c r="E2549" s="95">
        <v>14948.3</v>
      </c>
      <c r="F2549" s="95">
        <v>0</v>
      </c>
      <c r="G2549" s="145">
        <f t="shared" si="86"/>
        <v>14948.3</v>
      </c>
      <c r="H2549" s="143"/>
      <c r="I2549" s="8" t="s">
        <v>430</v>
      </c>
    </row>
    <row r="2550" spans="1:9" hidden="1" outlineLevel="1">
      <c r="A2550" s="467" t="s">
        <v>172</v>
      </c>
      <c r="B2550" s="544">
        <v>5303.41</v>
      </c>
      <c r="C2550" s="95">
        <v>0</v>
      </c>
      <c r="D2550" s="95">
        <v>0</v>
      </c>
      <c r="E2550" s="95">
        <v>5303.41</v>
      </c>
      <c r="F2550" s="95">
        <v>303.88</v>
      </c>
      <c r="G2550" s="145">
        <f t="shared" si="86"/>
        <v>5607.29</v>
      </c>
      <c r="H2550" s="143"/>
      <c r="I2550" s="8" t="s">
        <v>173</v>
      </c>
    </row>
    <row r="2551" spans="1:9" hidden="1" outlineLevel="1">
      <c r="A2551" s="467" t="s">
        <v>1495</v>
      </c>
      <c r="B2551" s="544">
        <v>423445.38</v>
      </c>
      <c r="C2551" s="95">
        <v>0</v>
      </c>
      <c r="D2551" s="95">
        <v>0</v>
      </c>
      <c r="E2551" s="95">
        <v>423445.38</v>
      </c>
      <c r="F2551" s="95">
        <v>-56046.619999999995</v>
      </c>
      <c r="G2551" s="145">
        <f t="shared" si="86"/>
        <v>367398.76</v>
      </c>
      <c r="H2551" s="143"/>
      <c r="I2551" s="8" t="s">
        <v>1496</v>
      </c>
    </row>
    <row r="2552" spans="1:9" hidden="1" outlineLevel="1">
      <c r="A2552" s="467" t="s">
        <v>1497</v>
      </c>
      <c r="B2552" s="544">
        <v>221925.62</v>
      </c>
      <c r="C2552" s="95">
        <v>0</v>
      </c>
      <c r="D2552" s="95">
        <v>0</v>
      </c>
      <c r="E2552" s="95">
        <v>221925.62</v>
      </c>
      <c r="F2552" s="95">
        <v>-378.49</v>
      </c>
      <c r="G2552" s="145">
        <f t="shared" si="86"/>
        <v>221547.13</v>
      </c>
      <c r="H2552" s="143"/>
      <c r="I2552" s="8" t="s">
        <v>1498</v>
      </c>
    </row>
    <row r="2553" spans="1:9" hidden="1" outlineLevel="1">
      <c r="A2553" s="467" t="s">
        <v>1499</v>
      </c>
      <c r="B2553" s="544">
        <v>47328.480000000003</v>
      </c>
      <c r="C2553" s="95">
        <v>0</v>
      </c>
      <c r="D2553" s="95">
        <v>0</v>
      </c>
      <c r="E2553" s="95">
        <v>47328.480000000003</v>
      </c>
      <c r="F2553" s="95">
        <v>-4.74</v>
      </c>
      <c r="G2553" s="145">
        <f t="shared" si="86"/>
        <v>47323.740000000005</v>
      </c>
      <c r="H2553" s="143"/>
      <c r="I2553" s="8" t="s">
        <v>1500</v>
      </c>
    </row>
    <row r="2554" spans="1:9" hidden="1" outlineLevel="1">
      <c r="A2554" s="467" t="s">
        <v>1501</v>
      </c>
      <c r="B2554" s="544">
        <v>99537.23</v>
      </c>
      <c r="C2554" s="95">
        <v>0</v>
      </c>
      <c r="D2554" s="95">
        <v>0</v>
      </c>
      <c r="E2554" s="95">
        <v>99537.23</v>
      </c>
      <c r="F2554" s="95">
        <v>0</v>
      </c>
      <c r="G2554" s="145">
        <f t="shared" si="86"/>
        <v>99537.23</v>
      </c>
      <c r="H2554" s="143"/>
      <c r="I2554" s="8" t="s">
        <v>1502</v>
      </c>
    </row>
    <row r="2555" spans="1:9" hidden="1" outlineLevel="1">
      <c r="A2555" s="467" t="s">
        <v>1503</v>
      </c>
      <c r="B2555" s="544">
        <v>418909.71</v>
      </c>
      <c r="C2555" s="95">
        <v>0</v>
      </c>
      <c r="D2555" s="95">
        <v>0</v>
      </c>
      <c r="E2555" s="95">
        <v>418909.71</v>
      </c>
      <c r="F2555" s="95">
        <v>-450.93999999999994</v>
      </c>
      <c r="G2555" s="145">
        <f t="shared" si="86"/>
        <v>418458.77</v>
      </c>
      <c r="H2555" s="143"/>
      <c r="I2555" s="8" t="s">
        <v>1504</v>
      </c>
    </row>
    <row r="2556" spans="1:9" hidden="1" outlineLevel="1">
      <c r="A2556" s="467" t="s">
        <v>1505</v>
      </c>
      <c r="B2556" s="544">
        <v>111257.19</v>
      </c>
      <c r="C2556" s="95">
        <v>0</v>
      </c>
      <c r="D2556" s="95">
        <v>0</v>
      </c>
      <c r="E2556" s="95">
        <v>111257.19</v>
      </c>
      <c r="F2556" s="95">
        <v>12109.98</v>
      </c>
      <c r="G2556" s="145">
        <f t="shared" si="86"/>
        <v>123367.17</v>
      </c>
      <c r="H2556" s="143"/>
      <c r="I2556" s="8" t="s">
        <v>1506</v>
      </c>
    </row>
    <row r="2557" spans="1:9" hidden="1" outlineLevel="1">
      <c r="A2557" s="467" t="s">
        <v>1955</v>
      </c>
      <c r="B2557" s="544">
        <v>26268.06</v>
      </c>
      <c r="C2557" s="95">
        <v>0</v>
      </c>
      <c r="D2557" s="95">
        <v>0</v>
      </c>
      <c r="E2557" s="95">
        <v>26268.06</v>
      </c>
      <c r="F2557" s="95">
        <v>0</v>
      </c>
      <c r="G2557" s="145">
        <f t="shared" si="86"/>
        <v>26268.06</v>
      </c>
      <c r="H2557" s="143"/>
      <c r="I2557" s="8" t="s">
        <v>1956</v>
      </c>
    </row>
    <row r="2558" spans="1:9" hidden="1" outlineLevel="1">
      <c r="A2558" s="467" t="s">
        <v>1507</v>
      </c>
      <c r="B2558" s="544">
        <v>112724.95</v>
      </c>
      <c r="C2558" s="95">
        <v>0</v>
      </c>
      <c r="D2558" s="95">
        <v>0</v>
      </c>
      <c r="E2558" s="95">
        <v>112724.95</v>
      </c>
      <c r="F2558" s="95">
        <v>0</v>
      </c>
      <c r="G2558" s="145">
        <f t="shared" si="86"/>
        <v>112724.95</v>
      </c>
      <c r="H2558" s="143"/>
      <c r="I2558" s="8" t="s">
        <v>1508</v>
      </c>
    </row>
    <row r="2559" spans="1:9" hidden="1" outlineLevel="1">
      <c r="A2559" s="467" t="s">
        <v>1509</v>
      </c>
      <c r="B2559" s="544">
        <v>97289</v>
      </c>
      <c r="C2559" s="95">
        <v>0</v>
      </c>
      <c r="D2559" s="95">
        <v>0</v>
      </c>
      <c r="E2559" s="95">
        <v>97289</v>
      </c>
      <c r="F2559" s="95">
        <v>0</v>
      </c>
      <c r="G2559" s="145">
        <f t="shared" si="86"/>
        <v>97289</v>
      </c>
      <c r="H2559" s="143"/>
      <c r="I2559" s="8" t="s">
        <v>1510</v>
      </c>
    </row>
    <row r="2560" spans="1:9" hidden="1" outlineLevel="1">
      <c r="A2560" s="467" t="s">
        <v>1511</v>
      </c>
      <c r="B2560" s="544">
        <v>222658.51</v>
      </c>
      <c r="C2560" s="95">
        <v>0</v>
      </c>
      <c r="D2560" s="95">
        <v>0</v>
      </c>
      <c r="E2560" s="95">
        <v>222658.51</v>
      </c>
      <c r="F2560" s="95">
        <v>2661.71</v>
      </c>
      <c r="G2560" s="145">
        <f t="shared" si="86"/>
        <v>225320.22</v>
      </c>
      <c r="H2560" s="143"/>
      <c r="I2560" s="8" t="s">
        <v>1512</v>
      </c>
    </row>
    <row r="2561" spans="1:9" hidden="1" outlineLevel="1">
      <c r="A2561" s="467" t="s">
        <v>1513</v>
      </c>
      <c r="B2561" s="544">
        <v>685105.71</v>
      </c>
      <c r="C2561" s="95">
        <v>0</v>
      </c>
      <c r="D2561" s="95">
        <v>0</v>
      </c>
      <c r="E2561" s="95">
        <v>685105.71</v>
      </c>
      <c r="F2561" s="95">
        <v>-7315.17</v>
      </c>
      <c r="G2561" s="145">
        <f t="shared" si="86"/>
        <v>677790.53999999992</v>
      </c>
      <c r="H2561" s="143"/>
      <c r="I2561" s="8" t="s">
        <v>1514</v>
      </c>
    </row>
    <row r="2562" spans="1:9" hidden="1" outlineLevel="1">
      <c r="A2562" s="467" t="s">
        <v>1515</v>
      </c>
      <c r="B2562" s="544">
        <v>67729.34</v>
      </c>
      <c r="C2562" s="95">
        <v>0</v>
      </c>
      <c r="D2562" s="95">
        <v>0</v>
      </c>
      <c r="E2562" s="95">
        <v>67729.34</v>
      </c>
      <c r="F2562" s="95">
        <v>0</v>
      </c>
      <c r="G2562" s="145">
        <f t="shared" si="86"/>
        <v>67729.34</v>
      </c>
      <c r="H2562" s="143"/>
      <c r="I2562" s="8" t="s">
        <v>1516</v>
      </c>
    </row>
    <row r="2563" spans="1:9" hidden="1" outlineLevel="1">
      <c r="A2563" s="467" t="s">
        <v>1517</v>
      </c>
      <c r="B2563" s="544">
        <v>611511.02</v>
      </c>
      <c r="C2563" s="95">
        <v>0</v>
      </c>
      <c r="D2563" s="95">
        <v>0</v>
      </c>
      <c r="E2563" s="95">
        <v>611511.02</v>
      </c>
      <c r="F2563" s="95">
        <v>2757.4300000000003</v>
      </c>
      <c r="G2563" s="145">
        <f t="shared" si="86"/>
        <v>614268.45000000007</v>
      </c>
      <c r="H2563" s="143"/>
      <c r="I2563" s="8" t="s">
        <v>1518</v>
      </c>
    </row>
    <row r="2564" spans="1:9" hidden="1" outlineLevel="1">
      <c r="A2564" s="467" t="s">
        <v>1519</v>
      </c>
      <c r="B2564" s="544">
        <v>171618.82</v>
      </c>
      <c r="C2564" s="95">
        <v>0</v>
      </c>
      <c r="D2564" s="95">
        <v>0</v>
      </c>
      <c r="E2564" s="95">
        <v>171618.82</v>
      </c>
      <c r="F2564" s="95">
        <v>-942.53</v>
      </c>
      <c r="G2564" s="145">
        <f t="shared" si="86"/>
        <v>170676.29</v>
      </c>
      <c r="H2564" s="143"/>
      <c r="I2564" s="8" t="s">
        <v>1520</v>
      </c>
    </row>
    <row r="2565" spans="1:9" hidden="1" outlineLevel="1">
      <c r="A2565" s="467" t="s">
        <v>1521</v>
      </c>
      <c r="B2565" s="544">
        <v>330985.75</v>
      </c>
      <c r="C2565" s="95">
        <v>0</v>
      </c>
      <c r="D2565" s="95">
        <v>0</v>
      </c>
      <c r="E2565" s="95">
        <v>330985.75</v>
      </c>
      <c r="F2565" s="95">
        <v>-3001.83</v>
      </c>
      <c r="G2565" s="145">
        <f t="shared" si="86"/>
        <v>327983.92</v>
      </c>
      <c r="H2565" s="143"/>
      <c r="I2565" s="8" t="s">
        <v>1522</v>
      </c>
    </row>
    <row r="2566" spans="1:9" hidden="1" outlineLevel="1">
      <c r="A2566" s="467" t="s">
        <v>1523</v>
      </c>
      <c r="B2566" s="544">
        <v>348408.91</v>
      </c>
      <c r="C2566" s="95">
        <v>0</v>
      </c>
      <c r="D2566" s="95">
        <v>0</v>
      </c>
      <c r="E2566" s="95">
        <v>348408.91</v>
      </c>
      <c r="F2566" s="95">
        <v>2696.98</v>
      </c>
      <c r="G2566" s="145">
        <f t="shared" si="86"/>
        <v>351105.88999999996</v>
      </c>
      <c r="H2566" s="143"/>
      <c r="I2566" s="8" t="s">
        <v>1524</v>
      </c>
    </row>
    <row r="2567" spans="1:9" hidden="1" outlineLevel="1">
      <c r="A2567" s="467" t="s">
        <v>1525</v>
      </c>
      <c r="B2567" s="544">
        <v>111602.63</v>
      </c>
      <c r="C2567" s="95">
        <v>0</v>
      </c>
      <c r="D2567" s="95">
        <v>0</v>
      </c>
      <c r="E2567" s="95">
        <v>111602.63</v>
      </c>
      <c r="F2567" s="95">
        <v>0</v>
      </c>
      <c r="G2567" s="145">
        <f t="shared" si="86"/>
        <v>111602.63</v>
      </c>
      <c r="H2567" s="143"/>
      <c r="I2567" s="8" t="s">
        <v>1526</v>
      </c>
    </row>
    <row r="2568" spans="1:9" hidden="1" outlineLevel="1">
      <c r="A2568" s="467" t="s">
        <v>1527</v>
      </c>
      <c r="B2568" s="544">
        <v>147590.99</v>
      </c>
      <c r="C2568" s="95">
        <v>0</v>
      </c>
      <c r="D2568" s="95">
        <v>0</v>
      </c>
      <c r="E2568" s="95">
        <v>147590.99</v>
      </c>
      <c r="F2568" s="95">
        <v>0</v>
      </c>
      <c r="G2568" s="145">
        <f t="shared" si="86"/>
        <v>147590.99</v>
      </c>
      <c r="H2568" s="143"/>
      <c r="I2568" s="8" t="s">
        <v>1528</v>
      </c>
    </row>
    <row r="2569" spans="1:9" hidden="1" outlineLevel="1">
      <c r="A2569" s="467" t="s">
        <v>1529</v>
      </c>
      <c r="B2569" s="544">
        <v>540260.66</v>
      </c>
      <c r="C2569" s="95">
        <v>0</v>
      </c>
      <c r="D2569" s="95">
        <v>0</v>
      </c>
      <c r="E2569" s="95">
        <v>540260.66</v>
      </c>
      <c r="F2569" s="95">
        <v>16252.740000000002</v>
      </c>
      <c r="G2569" s="145">
        <f t="shared" si="86"/>
        <v>556513.4</v>
      </c>
      <c r="H2569" s="143"/>
      <c r="I2569" s="8" t="s">
        <v>1530</v>
      </c>
    </row>
    <row r="2570" spans="1:9" hidden="1" outlineLevel="1">
      <c r="A2570" s="467" t="s">
        <v>1531</v>
      </c>
      <c r="B2570" s="544">
        <v>48144.27</v>
      </c>
      <c r="C2570" s="95">
        <v>0</v>
      </c>
      <c r="D2570" s="95">
        <v>0</v>
      </c>
      <c r="E2570" s="95">
        <v>48144.27</v>
      </c>
      <c r="F2570" s="95">
        <v>0</v>
      </c>
      <c r="G2570" s="145">
        <f t="shared" si="86"/>
        <v>48144.27</v>
      </c>
      <c r="H2570" s="143"/>
      <c r="I2570" s="8" t="s">
        <v>1532</v>
      </c>
    </row>
    <row r="2571" spans="1:9" hidden="1" outlineLevel="1">
      <c r="A2571" s="467" t="s">
        <v>1533</v>
      </c>
      <c r="B2571" s="544">
        <v>2541738.5099999998</v>
      </c>
      <c r="C2571" s="95">
        <v>0</v>
      </c>
      <c r="D2571" s="95">
        <v>0</v>
      </c>
      <c r="E2571" s="95">
        <v>2541738.5099999998</v>
      </c>
      <c r="F2571" s="95">
        <v>925.87</v>
      </c>
      <c r="G2571" s="145">
        <f t="shared" si="86"/>
        <v>2542664.38</v>
      </c>
      <c r="H2571" s="143"/>
      <c r="I2571" s="8" t="s">
        <v>1534</v>
      </c>
    </row>
    <row r="2572" spans="1:9" hidden="1" outlineLevel="1">
      <c r="A2572" s="467" t="s">
        <v>1957</v>
      </c>
      <c r="B2572" s="544">
        <v>142053.71</v>
      </c>
      <c r="C2572" s="95">
        <v>0</v>
      </c>
      <c r="D2572" s="95">
        <v>0</v>
      </c>
      <c r="E2572" s="95">
        <v>142053.71</v>
      </c>
      <c r="F2572" s="95">
        <v>0</v>
      </c>
      <c r="G2572" s="145">
        <f t="shared" si="86"/>
        <v>142053.71</v>
      </c>
      <c r="H2572" s="143"/>
      <c r="I2572" s="8" t="s">
        <v>1958</v>
      </c>
    </row>
    <row r="2573" spans="1:9" hidden="1" outlineLevel="1">
      <c r="A2573" s="467" t="s">
        <v>1959</v>
      </c>
      <c r="B2573" s="544">
        <v>134580.13</v>
      </c>
      <c r="C2573" s="95">
        <v>0</v>
      </c>
      <c r="D2573" s="95">
        <v>0</v>
      </c>
      <c r="E2573" s="95">
        <v>134580.13</v>
      </c>
      <c r="F2573" s="95">
        <v>0</v>
      </c>
      <c r="G2573" s="145">
        <f t="shared" si="86"/>
        <v>134580.13</v>
      </c>
      <c r="H2573" s="143"/>
      <c r="I2573" s="8" t="s">
        <v>1960</v>
      </c>
    </row>
    <row r="2574" spans="1:9" hidden="1" outlineLevel="1">
      <c r="A2574" s="467" t="s">
        <v>1961</v>
      </c>
      <c r="B2574" s="544">
        <v>64587.64</v>
      </c>
      <c r="C2574" s="95">
        <v>0</v>
      </c>
      <c r="D2574" s="95">
        <v>0</v>
      </c>
      <c r="E2574" s="95">
        <v>64587.64</v>
      </c>
      <c r="F2574" s="95">
        <v>-11.08</v>
      </c>
      <c r="G2574" s="145">
        <f t="shared" si="86"/>
        <v>64576.56</v>
      </c>
      <c r="H2574" s="143"/>
      <c r="I2574" s="8" t="s">
        <v>1962</v>
      </c>
    </row>
    <row r="2575" spans="1:9" hidden="1" outlineLevel="1">
      <c r="A2575" s="467" t="s">
        <v>1535</v>
      </c>
      <c r="B2575" s="544">
        <v>29752.45</v>
      </c>
      <c r="C2575" s="95">
        <v>0</v>
      </c>
      <c r="D2575" s="95">
        <v>0</v>
      </c>
      <c r="E2575" s="95">
        <v>29752.45</v>
      </c>
      <c r="F2575" s="95">
        <v>0</v>
      </c>
      <c r="G2575" s="145">
        <f t="shared" si="86"/>
        <v>29752.45</v>
      </c>
      <c r="H2575" s="143"/>
      <c r="I2575" s="8" t="s">
        <v>1536</v>
      </c>
    </row>
    <row r="2576" spans="1:9" hidden="1" outlineLevel="1">
      <c r="A2576" s="467" t="s">
        <v>1537</v>
      </c>
      <c r="B2576" s="544">
        <v>120527.91</v>
      </c>
      <c r="C2576" s="95">
        <v>0</v>
      </c>
      <c r="D2576" s="95">
        <v>0</v>
      </c>
      <c r="E2576" s="95">
        <v>120527.91</v>
      </c>
      <c r="F2576" s="95">
        <v>-144.02999999999997</v>
      </c>
      <c r="G2576" s="145">
        <f t="shared" si="86"/>
        <v>120383.88</v>
      </c>
      <c r="H2576" s="143"/>
      <c r="I2576" s="8" t="s">
        <v>1538</v>
      </c>
    </row>
    <row r="2577" spans="1:9" hidden="1" outlineLevel="1">
      <c r="A2577" s="467" t="s">
        <v>1539</v>
      </c>
      <c r="B2577" s="544">
        <v>73149.08</v>
      </c>
      <c r="C2577" s="95">
        <v>0</v>
      </c>
      <c r="D2577" s="95">
        <v>0</v>
      </c>
      <c r="E2577" s="95">
        <v>73149.08</v>
      </c>
      <c r="F2577" s="95">
        <v>0</v>
      </c>
      <c r="G2577" s="145">
        <f t="shared" si="86"/>
        <v>73149.08</v>
      </c>
      <c r="H2577" s="143"/>
      <c r="I2577" s="8" t="s">
        <v>1540</v>
      </c>
    </row>
    <row r="2578" spans="1:9" hidden="1" outlineLevel="1">
      <c r="A2578" s="467" t="s">
        <v>1541</v>
      </c>
      <c r="B2578" s="544">
        <v>140020.07999999999</v>
      </c>
      <c r="C2578" s="95">
        <v>0</v>
      </c>
      <c r="D2578" s="95">
        <v>0</v>
      </c>
      <c r="E2578" s="95">
        <v>140020.07999999999</v>
      </c>
      <c r="F2578" s="95">
        <v>0</v>
      </c>
      <c r="G2578" s="145">
        <f t="shared" si="86"/>
        <v>140020.07999999999</v>
      </c>
      <c r="H2578" s="143"/>
      <c r="I2578" s="8" t="s">
        <v>1542</v>
      </c>
    </row>
    <row r="2579" spans="1:9" hidden="1" outlineLevel="1">
      <c r="A2579" s="467" t="s">
        <v>1543</v>
      </c>
      <c r="B2579" s="544">
        <v>62242.97</v>
      </c>
      <c r="C2579" s="95">
        <v>0</v>
      </c>
      <c r="D2579" s="95">
        <v>0</v>
      </c>
      <c r="E2579" s="95">
        <v>62242.97</v>
      </c>
      <c r="F2579" s="95">
        <v>0</v>
      </c>
      <c r="G2579" s="145">
        <f t="shared" si="86"/>
        <v>62242.97</v>
      </c>
      <c r="H2579" s="143"/>
      <c r="I2579" s="8" t="s">
        <v>1544</v>
      </c>
    </row>
    <row r="2580" spans="1:9" hidden="1" outlineLevel="1">
      <c r="A2580" s="467" t="s">
        <v>1545</v>
      </c>
      <c r="B2580" s="544">
        <v>52417.51</v>
      </c>
      <c r="C2580" s="95">
        <v>0</v>
      </c>
      <c r="D2580" s="95">
        <v>0</v>
      </c>
      <c r="E2580" s="95">
        <v>52417.51</v>
      </c>
      <c r="F2580" s="95">
        <v>0</v>
      </c>
      <c r="G2580" s="145">
        <f t="shared" si="86"/>
        <v>52417.51</v>
      </c>
      <c r="H2580" s="143"/>
      <c r="I2580" s="8" t="s">
        <v>1546</v>
      </c>
    </row>
    <row r="2581" spans="1:9" hidden="1" outlineLevel="1">
      <c r="A2581" s="467" t="s">
        <v>86</v>
      </c>
      <c r="B2581" s="544">
        <v>113717.13</v>
      </c>
      <c r="C2581" s="95">
        <v>0</v>
      </c>
      <c r="D2581" s="95">
        <v>0</v>
      </c>
      <c r="E2581" s="95">
        <v>113717.13</v>
      </c>
      <c r="F2581" s="95">
        <v>1540.3700000000001</v>
      </c>
      <c r="G2581" s="145">
        <f t="shared" si="86"/>
        <v>115257.5</v>
      </c>
      <c r="H2581" s="143"/>
      <c r="I2581" s="8" t="s">
        <v>87</v>
      </c>
    </row>
    <row r="2582" spans="1:9" hidden="1" outlineLevel="1">
      <c r="A2582" s="467" t="s">
        <v>398</v>
      </c>
      <c r="B2582" s="544">
        <v>19893.71</v>
      </c>
      <c r="C2582" s="95">
        <v>0</v>
      </c>
      <c r="D2582" s="95">
        <v>0</v>
      </c>
      <c r="E2582" s="95">
        <v>19893.71</v>
      </c>
      <c r="F2582" s="95">
        <v>17.32</v>
      </c>
      <c r="G2582" s="145">
        <f t="shared" si="86"/>
        <v>19911.03</v>
      </c>
      <c r="H2582" s="143"/>
      <c r="I2582" s="8" t="s">
        <v>399</v>
      </c>
    </row>
    <row r="2583" spans="1:9" hidden="1" outlineLevel="1">
      <c r="A2583" s="467" t="s">
        <v>1547</v>
      </c>
      <c r="B2583" s="544">
        <v>13272.6</v>
      </c>
      <c r="C2583" s="95">
        <v>0</v>
      </c>
      <c r="D2583" s="95">
        <v>0</v>
      </c>
      <c r="E2583" s="95">
        <v>13272.6</v>
      </c>
      <c r="F2583" s="95">
        <v>5.0699999999999994</v>
      </c>
      <c r="G2583" s="145">
        <f t="shared" si="86"/>
        <v>13277.67</v>
      </c>
      <c r="H2583" s="143"/>
      <c r="I2583" s="8" t="s">
        <v>1548</v>
      </c>
    </row>
    <row r="2584" spans="1:9" hidden="1" outlineLevel="1">
      <c r="A2584" s="467" t="s">
        <v>1549</v>
      </c>
      <c r="B2584" s="544">
        <v>69384.73</v>
      </c>
      <c r="C2584" s="95">
        <v>0</v>
      </c>
      <c r="D2584" s="95">
        <v>0</v>
      </c>
      <c r="E2584" s="95">
        <v>69384.73</v>
      </c>
      <c r="F2584" s="95">
        <v>0</v>
      </c>
      <c r="G2584" s="145">
        <f t="shared" si="86"/>
        <v>69384.73</v>
      </c>
      <c r="H2584" s="143"/>
      <c r="I2584" s="8" t="s">
        <v>1550</v>
      </c>
    </row>
    <row r="2585" spans="1:9" hidden="1" outlineLevel="1">
      <c r="A2585" s="467" t="s">
        <v>1963</v>
      </c>
      <c r="B2585" s="544">
        <v>4678</v>
      </c>
      <c r="C2585" s="95">
        <v>0</v>
      </c>
      <c r="D2585" s="95">
        <v>0</v>
      </c>
      <c r="E2585" s="95">
        <v>4678</v>
      </c>
      <c r="F2585" s="95">
        <v>0</v>
      </c>
      <c r="G2585" s="145">
        <f t="shared" si="86"/>
        <v>4678</v>
      </c>
      <c r="H2585" s="143"/>
      <c r="I2585" s="8" t="s">
        <v>1964</v>
      </c>
    </row>
    <row r="2586" spans="1:9" hidden="1" outlineLevel="1">
      <c r="A2586" s="467" t="s">
        <v>1551</v>
      </c>
      <c r="B2586" s="544">
        <v>478094.94</v>
      </c>
      <c r="C2586" s="95">
        <v>0</v>
      </c>
      <c r="D2586" s="95">
        <v>0</v>
      </c>
      <c r="E2586" s="95">
        <v>478094.94</v>
      </c>
      <c r="F2586" s="95">
        <v>0</v>
      </c>
      <c r="G2586" s="145">
        <f t="shared" si="86"/>
        <v>478094.94</v>
      </c>
      <c r="H2586" s="143"/>
      <c r="I2586" s="8" t="s">
        <v>1552</v>
      </c>
    </row>
    <row r="2587" spans="1:9" hidden="1" outlineLevel="1">
      <c r="A2587" s="467" t="s">
        <v>1965</v>
      </c>
      <c r="B2587" s="544">
        <v>3784.08</v>
      </c>
      <c r="C2587" s="95">
        <v>0</v>
      </c>
      <c r="D2587" s="95">
        <v>0</v>
      </c>
      <c r="E2587" s="95">
        <v>3784.08</v>
      </c>
      <c r="F2587" s="95">
        <v>0</v>
      </c>
      <c r="G2587" s="145">
        <f t="shared" si="86"/>
        <v>3784.08</v>
      </c>
      <c r="H2587" s="143"/>
      <c r="I2587" s="8" t="s">
        <v>1966</v>
      </c>
    </row>
    <row r="2588" spans="1:9" hidden="1" outlineLevel="1">
      <c r="A2588" s="467" t="s">
        <v>1967</v>
      </c>
      <c r="B2588" s="544">
        <v>5864.58</v>
      </c>
      <c r="C2588" s="95">
        <v>0</v>
      </c>
      <c r="D2588" s="95">
        <v>0</v>
      </c>
      <c r="E2588" s="95">
        <v>5864.58</v>
      </c>
      <c r="F2588" s="95">
        <v>0</v>
      </c>
      <c r="G2588" s="145">
        <f t="shared" si="86"/>
        <v>5864.58</v>
      </c>
      <c r="H2588" s="143"/>
      <c r="I2588" s="8" t="s">
        <v>1968</v>
      </c>
    </row>
    <row r="2589" spans="1:9" hidden="1" outlineLevel="1">
      <c r="A2589" s="467" t="s">
        <v>1553</v>
      </c>
      <c r="B2589" s="544">
        <v>298946.39</v>
      </c>
      <c r="C2589" s="95">
        <v>0</v>
      </c>
      <c r="D2589" s="95">
        <v>0</v>
      </c>
      <c r="E2589" s="95">
        <v>298946.39</v>
      </c>
      <c r="F2589" s="95">
        <v>0</v>
      </c>
      <c r="G2589" s="145">
        <f t="shared" si="86"/>
        <v>298946.39</v>
      </c>
      <c r="H2589" s="143"/>
      <c r="I2589" s="8" t="s">
        <v>1554</v>
      </c>
    </row>
    <row r="2590" spans="1:9" hidden="1" outlineLevel="1">
      <c r="A2590" s="467" t="s">
        <v>1555</v>
      </c>
      <c r="B2590" s="544">
        <v>15180.62</v>
      </c>
      <c r="C2590" s="95">
        <v>0</v>
      </c>
      <c r="D2590" s="95">
        <v>0</v>
      </c>
      <c r="E2590" s="95">
        <v>15180.62</v>
      </c>
      <c r="F2590" s="95">
        <v>0</v>
      </c>
      <c r="G2590" s="145">
        <f t="shared" si="86"/>
        <v>15180.62</v>
      </c>
      <c r="H2590" s="143"/>
      <c r="I2590" s="8" t="s">
        <v>1556</v>
      </c>
    </row>
    <row r="2591" spans="1:9" hidden="1" outlineLevel="1">
      <c r="A2591" s="467" t="s">
        <v>1557</v>
      </c>
      <c r="B2591" s="544">
        <v>3503.07</v>
      </c>
      <c r="C2591" s="95">
        <v>0</v>
      </c>
      <c r="D2591" s="95">
        <v>0</v>
      </c>
      <c r="E2591" s="95">
        <v>3503.07</v>
      </c>
      <c r="F2591" s="95">
        <v>0</v>
      </c>
      <c r="G2591" s="145">
        <f t="shared" si="86"/>
        <v>3503.07</v>
      </c>
      <c r="H2591" s="143"/>
      <c r="I2591" s="8" t="s">
        <v>1558</v>
      </c>
    </row>
    <row r="2592" spans="1:9" hidden="1" outlineLevel="1">
      <c r="A2592" s="467" t="s">
        <v>585</v>
      </c>
      <c r="B2592" s="544">
        <v>1128.71</v>
      </c>
      <c r="C2592" s="95">
        <v>0</v>
      </c>
      <c r="D2592" s="95">
        <v>0</v>
      </c>
      <c r="E2592" s="95">
        <v>1128.71</v>
      </c>
      <c r="F2592" s="95">
        <v>0</v>
      </c>
      <c r="G2592" s="145">
        <f t="shared" si="86"/>
        <v>1128.71</v>
      </c>
      <c r="H2592" s="143"/>
      <c r="I2592" s="8" t="s">
        <v>1969</v>
      </c>
    </row>
    <row r="2593" spans="1:9" hidden="1" outlineLevel="1">
      <c r="A2593" s="467" t="s">
        <v>1559</v>
      </c>
      <c r="B2593" s="544">
        <v>4260058.59</v>
      </c>
      <c r="C2593" s="95">
        <v>0</v>
      </c>
      <c r="D2593" s="95">
        <v>0</v>
      </c>
      <c r="E2593" s="95">
        <v>4260058.59</v>
      </c>
      <c r="F2593" s="95">
        <v>7267.45</v>
      </c>
      <c r="G2593" s="145">
        <f t="shared" si="86"/>
        <v>4267326.04</v>
      </c>
      <c r="H2593" s="143"/>
      <c r="I2593" s="8" t="s">
        <v>1560</v>
      </c>
    </row>
    <row r="2594" spans="1:9" hidden="1" outlineLevel="1">
      <c r="A2594" s="467" t="s">
        <v>1561</v>
      </c>
      <c r="B2594" s="544">
        <v>4615776.7699999996</v>
      </c>
      <c r="C2594" s="95">
        <v>-174543.14</v>
      </c>
      <c r="D2594" s="95">
        <v>0</v>
      </c>
      <c r="E2594" s="95">
        <v>4441233.63</v>
      </c>
      <c r="F2594" s="95">
        <v>-205695.22999999998</v>
      </c>
      <c r="G2594" s="145">
        <f t="shared" si="86"/>
        <v>4235538.4000000004</v>
      </c>
      <c r="H2594" s="143"/>
      <c r="I2594" s="8" t="s">
        <v>1562</v>
      </c>
    </row>
    <row r="2595" spans="1:9" hidden="1" outlineLevel="1">
      <c r="A2595" s="467" t="s">
        <v>1413</v>
      </c>
      <c r="B2595" s="544">
        <v>484156.25</v>
      </c>
      <c r="C2595" s="95">
        <v>0</v>
      </c>
      <c r="D2595" s="95">
        <v>0</v>
      </c>
      <c r="E2595" s="95">
        <v>484156.25</v>
      </c>
      <c r="F2595" s="95">
        <v>0</v>
      </c>
      <c r="G2595" s="145">
        <f t="shared" si="86"/>
        <v>484156.25</v>
      </c>
      <c r="H2595" s="143"/>
      <c r="I2595" s="8" t="s">
        <v>1414</v>
      </c>
    </row>
    <row r="2596" spans="1:9" hidden="1" outlineLevel="1">
      <c r="A2596" s="467" t="s">
        <v>1563</v>
      </c>
      <c r="B2596" s="544">
        <v>82854.2</v>
      </c>
      <c r="C2596" s="95">
        <v>0</v>
      </c>
      <c r="D2596" s="95">
        <v>0</v>
      </c>
      <c r="E2596" s="95">
        <v>82854.2</v>
      </c>
      <c r="F2596" s="95">
        <v>0</v>
      </c>
      <c r="G2596" s="145">
        <f t="shared" si="86"/>
        <v>82854.2</v>
      </c>
      <c r="H2596" s="143"/>
      <c r="I2596" s="8" t="s">
        <v>1564</v>
      </c>
    </row>
    <row r="2597" spans="1:9" hidden="1" outlineLevel="1">
      <c r="A2597" s="467" t="s">
        <v>613</v>
      </c>
      <c r="B2597" s="544">
        <v>44030090.210000001</v>
      </c>
      <c r="C2597" s="95">
        <v>-566649.96</v>
      </c>
      <c r="D2597" s="95">
        <v>0</v>
      </c>
      <c r="E2597" s="95">
        <v>43463440.25</v>
      </c>
      <c r="F2597" s="95">
        <v>185100.63</v>
      </c>
      <c r="G2597" s="145">
        <f t="shared" si="86"/>
        <v>43648540.880000003</v>
      </c>
      <c r="H2597" s="143"/>
      <c r="I2597" s="8" t="s">
        <v>614</v>
      </c>
    </row>
    <row r="2598" spans="1:9" hidden="1" outlineLevel="1">
      <c r="A2598" s="467" t="s">
        <v>1565</v>
      </c>
      <c r="B2598" s="544">
        <v>235170.2</v>
      </c>
      <c r="C2598" s="95">
        <v>0</v>
      </c>
      <c r="D2598" s="95">
        <v>0</v>
      </c>
      <c r="E2598" s="95">
        <v>235170.2</v>
      </c>
      <c r="F2598" s="95">
        <v>0</v>
      </c>
      <c r="G2598" s="145">
        <f t="shared" si="86"/>
        <v>235170.2</v>
      </c>
      <c r="H2598" s="143"/>
      <c r="I2598" s="8" t="s">
        <v>1566</v>
      </c>
    </row>
    <row r="2599" spans="1:9" hidden="1" outlineLevel="1">
      <c r="A2599" s="467" t="s">
        <v>1567</v>
      </c>
      <c r="B2599" s="544">
        <v>305623.74</v>
      </c>
      <c r="C2599" s="95">
        <v>0</v>
      </c>
      <c r="D2599" s="95">
        <v>0</v>
      </c>
      <c r="E2599" s="95">
        <v>305623.74</v>
      </c>
      <c r="F2599" s="95">
        <v>3780.34</v>
      </c>
      <c r="G2599" s="145">
        <f t="shared" si="86"/>
        <v>309404.08</v>
      </c>
      <c r="H2599" s="143"/>
      <c r="I2599" s="8" t="s">
        <v>1568</v>
      </c>
    </row>
    <row r="2600" spans="1:9" hidden="1" outlineLevel="1">
      <c r="A2600" s="467" t="s">
        <v>1569</v>
      </c>
      <c r="B2600" s="544">
        <v>5147952.8499999996</v>
      </c>
      <c r="C2600" s="95">
        <v>0</v>
      </c>
      <c r="D2600" s="95">
        <v>0</v>
      </c>
      <c r="E2600" s="95">
        <v>5147952.8499999996</v>
      </c>
      <c r="F2600" s="95">
        <v>5873.34</v>
      </c>
      <c r="G2600" s="145">
        <f t="shared" si="86"/>
        <v>5153826.1899999995</v>
      </c>
      <c r="H2600" s="143"/>
      <c r="I2600" s="8" t="s">
        <v>1570</v>
      </c>
    </row>
    <row r="2601" spans="1:9" hidden="1" outlineLevel="1">
      <c r="A2601" s="467" t="s">
        <v>1571</v>
      </c>
      <c r="B2601" s="544">
        <v>1695266.51</v>
      </c>
      <c r="C2601" s="95">
        <v>0</v>
      </c>
      <c r="D2601" s="95">
        <v>0</v>
      </c>
      <c r="E2601" s="95">
        <v>1695266.51</v>
      </c>
      <c r="F2601" s="95">
        <v>0</v>
      </c>
      <c r="G2601" s="145">
        <f t="shared" si="86"/>
        <v>1695266.51</v>
      </c>
      <c r="H2601" s="143"/>
      <c r="I2601" s="8" t="s">
        <v>1572</v>
      </c>
    </row>
    <row r="2602" spans="1:9" hidden="1" outlineLevel="1">
      <c r="A2602" s="467" t="s">
        <v>1573</v>
      </c>
      <c r="B2602" s="544">
        <v>40492.339999999997</v>
      </c>
      <c r="C2602" s="95">
        <v>0</v>
      </c>
      <c r="D2602" s="95">
        <v>0</v>
      </c>
      <c r="E2602" s="95">
        <v>40492.339999999997</v>
      </c>
      <c r="F2602" s="95">
        <v>0</v>
      </c>
      <c r="G2602" s="145">
        <f t="shared" si="86"/>
        <v>40492.339999999997</v>
      </c>
      <c r="H2602" s="143"/>
      <c r="I2602" s="8" t="s">
        <v>1574</v>
      </c>
    </row>
    <row r="2603" spans="1:9" hidden="1" outlineLevel="1">
      <c r="A2603" s="467" t="s">
        <v>1970</v>
      </c>
      <c r="B2603" s="544">
        <v>283330.61</v>
      </c>
      <c r="C2603" s="95">
        <v>0</v>
      </c>
      <c r="D2603" s="95">
        <v>0</v>
      </c>
      <c r="E2603" s="95">
        <v>283330.61</v>
      </c>
      <c r="F2603" s="95">
        <v>0</v>
      </c>
      <c r="G2603" s="145">
        <f t="shared" si="86"/>
        <v>283330.61</v>
      </c>
      <c r="H2603" s="143"/>
      <c r="I2603" s="8" t="s">
        <v>1971</v>
      </c>
    </row>
    <row r="2604" spans="1:9" hidden="1" outlineLevel="1">
      <c r="A2604" s="467" t="s">
        <v>1575</v>
      </c>
      <c r="B2604" s="544">
        <v>201359.11</v>
      </c>
      <c r="C2604" s="95">
        <v>0</v>
      </c>
      <c r="D2604" s="95">
        <v>0</v>
      </c>
      <c r="E2604" s="95">
        <v>201359.11</v>
      </c>
      <c r="F2604" s="95">
        <v>0</v>
      </c>
      <c r="G2604" s="145">
        <f t="shared" si="86"/>
        <v>201359.11</v>
      </c>
      <c r="H2604" s="143"/>
      <c r="I2604" s="8" t="s">
        <v>1576</v>
      </c>
    </row>
    <row r="2605" spans="1:9" hidden="1" outlineLevel="1">
      <c r="A2605" s="467" t="s">
        <v>1577</v>
      </c>
      <c r="B2605" s="544">
        <v>587877.82999999996</v>
      </c>
      <c r="C2605" s="95">
        <v>0</v>
      </c>
      <c r="D2605" s="95">
        <v>0</v>
      </c>
      <c r="E2605" s="95">
        <v>587877.82999999996</v>
      </c>
      <c r="F2605" s="95">
        <v>-776.92999999999938</v>
      </c>
      <c r="G2605" s="145">
        <f t="shared" si="86"/>
        <v>587100.89999999991</v>
      </c>
      <c r="H2605" s="143"/>
      <c r="I2605" s="8" t="s">
        <v>1578</v>
      </c>
    </row>
    <row r="2606" spans="1:9" hidden="1" outlineLevel="1">
      <c r="A2606" s="467" t="s">
        <v>1579</v>
      </c>
      <c r="B2606" s="544">
        <v>402848.14</v>
      </c>
      <c r="C2606" s="95">
        <v>0</v>
      </c>
      <c r="D2606" s="95">
        <v>0</v>
      </c>
      <c r="E2606" s="95">
        <v>402848.14</v>
      </c>
      <c r="F2606" s="95">
        <v>-2562.7600000000002</v>
      </c>
      <c r="G2606" s="145">
        <f t="shared" si="86"/>
        <v>400285.38</v>
      </c>
      <c r="H2606" s="143"/>
      <c r="I2606" s="8" t="s">
        <v>1580</v>
      </c>
    </row>
    <row r="2607" spans="1:9" hidden="1" outlineLevel="1">
      <c r="A2607" s="467" t="s">
        <v>1581</v>
      </c>
      <c r="B2607" s="544">
        <v>1157953.26</v>
      </c>
      <c r="C2607" s="95">
        <v>0</v>
      </c>
      <c r="D2607" s="95">
        <v>0</v>
      </c>
      <c r="E2607" s="95">
        <v>1157953.26</v>
      </c>
      <c r="F2607" s="95">
        <v>-4320.0700000000006</v>
      </c>
      <c r="G2607" s="145">
        <f t="shared" si="86"/>
        <v>1153633.19</v>
      </c>
      <c r="H2607" s="143"/>
      <c r="I2607" s="8" t="s">
        <v>1582</v>
      </c>
    </row>
    <row r="2608" spans="1:9" hidden="1" outlineLevel="1">
      <c r="A2608" s="467" t="s">
        <v>1583</v>
      </c>
      <c r="B2608" s="544">
        <v>251910.66</v>
      </c>
      <c r="C2608" s="95">
        <v>0</v>
      </c>
      <c r="D2608" s="95">
        <v>0</v>
      </c>
      <c r="E2608" s="95">
        <v>251910.66</v>
      </c>
      <c r="F2608" s="95">
        <v>0</v>
      </c>
      <c r="G2608" s="145">
        <f t="shared" si="86"/>
        <v>251910.66</v>
      </c>
      <c r="H2608" s="143"/>
      <c r="I2608" s="8" t="s">
        <v>1584</v>
      </c>
    </row>
    <row r="2609" spans="1:9" hidden="1" outlineLevel="1">
      <c r="A2609" s="467" t="s">
        <v>1585</v>
      </c>
      <c r="B2609" s="544">
        <v>498093.18</v>
      </c>
      <c r="C2609" s="95">
        <v>0</v>
      </c>
      <c r="D2609" s="95">
        <v>0</v>
      </c>
      <c r="E2609" s="95">
        <v>498093.18</v>
      </c>
      <c r="F2609" s="95">
        <v>109278.53</v>
      </c>
      <c r="G2609" s="145">
        <f t="shared" ref="G2609:G2672" si="87">E2609+F2609</f>
        <v>607371.71</v>
      </c>
      <c r="H2609" s="143"/>
      <c r="I2609" s="8" t="s">
        <v>1586</v>
      </c>
    </row>
    <row r="2610" spans="1:9" hidden="1" outlineLevel="1">
      <c r="A2610" s="467" t="s">
        <v>1587</v>
      </c>
      <c r="B2610" s="544">
        <v>113864.44</v>
      </c>
      <c r="C2610" s="95">
        <v>0</v>
      </c>
      <c r="D2610" s="95">
        <v>0</v>
      </c>
      <c r="E2610" s="95">
        <v>113864.44</v>
      </c>
      <c r="F2610" s="95">
        <v>-48.5</v>
      </c>
      <c r="G2610" s="145">
        <f t="shared" si="87"/>
        <v>113815.94</v>
      </c>
      <c r="H2610" s="143"/>
      <c r="I2610" s="8" t="s">
        <v>1588</v>
      </c>
    </row>
    <row r="2611" spans="1:9" hidden="1" outlineLevel="1">
      <c r="A2611" s="467" t="s">
        <v>1589</v>
      </c>
      <c r="B2611" s="544">
        <v>54317.23</v>
      </c>
      <c r="C2611" s="95">
        <v>0</v>
      </c>
      <c r="D2611" s="95">
        <v>0</v>
      </c>
      <c r="E2611" s="95">
        <v>54317.23</v>
      </c>
      <c r="F2611" s="95">
        <v>0</v>
      </c>
      <c r="G2611" s="145">
        <f t="shared" si="87"/>
        <v>54317.23</v>
      </c>
      <c r="H2611" s="143"/>
      <c r="I2611" s="8" t="s">
        <v>1590</v>
      </c>
    </row>
    <row r="2612" spans="1:9" hidden="1" outlineLevel="1">
      <c r="A2612" s="467" t="s">
        <v>1591</v>
      </c>
      <c r="B2612" s="544">
        <v>203325.75</v>
      </c>
      <c r="C2612" s="95">
        <v>0</v>
      </c>
      <c r="D2612" s="95">
        <v>0</v>
      </c>
      <c r="E2612" s="95">
        <v>203325.75</v>
      </c>
      <c r="F2612" s="95">
        <v>0</v>
      </c>
      <c r="G2612" s="145">
        <f t="shared" si="87"/>
        <v>203325.75</v>
      </c>
      <c r="H2612" s="143"/>
      <c r="I2612" s="8" t="s">
        <v>1592</v>
      </c>
    </row>
    <row r="2613" spans="1:9" hidden="1" outlineLevel="1">
      <c r="A2613" s="467" t="s">
        <v>1593</v>
      </c>
      <c r="B2613" s="544">
        <v>160640.29999999999</v>
      </c>
      <c r="C2613" s="95">
        <v>0</v>
      </c>
      <c r="D2613" s="95">
        <v>0</v>
      </c>
      <c r="E2613" s="95">
        <v>160640.29999999999</v>
      </c>
      <c r="F2613" s="95">
        <v>-449.51</v>
      </c>
      <c r="G2613" s="145">
        <f t="shared" si="87"/>
        <v>160190.78999999998</v>
      </c>
      <c r="H2613" s="143"/>
      <c r="I2613" s="8" t="s">
        <v>1594</v>
      </c>
    </row>
    <row r="2614" spans="1:9" hidden="1" outlineLevel="1">
      <c r="A2614" s="467" t="s">
        <v>1595</v>
      </c>
      <c r="B2614" s="544">
        <v>101885.39</v>
      </c>
      <c r="C2614" s="95">
        <v>0</v>
      </c>
      <c r="D2614" s="95">
        <v>0</v>
      </c>
      <c r="E2614" s="95">
        <v>101885.39</v>
      </c>
      <c r="F2614" s="95">
        <v>0</v>
      </c>
      <c r="G2614" s="145">
        <f t="shared" si="87"/>
        <v>101885.39</v>
      </c>
      <c r="H2614" s="143"/>
      <c r="I2614" s="8" t="s">
        <v>1596</v>
      </c>
    </row>
    <row r="2615" spans="1:9" hidden="1" outlineLevel="1">
      <c r="A2615" s="467" t="s">
        <v>1597</v>
      </c>
      <c r="B2615" s="544">
        <v>600748.67000000004</v>
      </c>
      <c r="C2615" s="95">
        <v>0</v>
      </c>
      <c r="D2615" s="95">
        <v>0</v>
      </c>
      <c r="E2615" s="95">
        <v>600748.67000000004</v>
      </c>
      <c r="F2615" s="95">
        <v>0</v>
      </c>
      <c r="G2615" s="145">
        <f t="shared" si="87"/>
        <v>600748.67000000004</v>
      </c>
      <c r="H2615" s="143"/>
      <c r="I2615" s="8" t="s">
        <v>1598</v>
      </c>
    </row>
    <row r="2616" spans="1:9" hidden="1" outlineLevel="1">
      <c r="A2616" s="467" t="s">
        <v>1599</v>
      </c>
      <c r="B2616" s="544">
        <v>358336.21</v>
      </c>
      <c r="C2616" s="95">
        <v>0</v>
      </c>
      <c r="D2616" s="95">
        <v>0</v>
      </c>
      <c r="E2616" s="95">
        <v>358336.21</v>
      </c>
      <c r="F2616" s="95">
        <v>0</v>
      </c>
      <c r="G2616" s="145">
        <f t="shared" si="87"/>
        <v>358336.21</v>
      </c>
      <c r="H2616" s="143"/>
      <c r="I2616" s="8" t="s">
        <v>1600</v>
      </c>
    </row>
    <row r="2617" spans="1:9" hidden="1" outlineLevel="1">
      <c r="A2617" s="467" t="s">
        <v>1601</v>
      </c>
      <c r="B2617" s="544">
        <v>539207.28</v>
      </c>
      <c r="C2617" s="95">
        <v>0</v>
      </c>
      <c r="D2617" s="95">
        <v>0</v>
      </c>
      <c r="E2617" s="95">
        <v>539207.28</v>
      </c>
      <c r="F2617" s="95">
        <v>50569.090000000004</v>
      </c>
      <c r="G2617" s="145">
        <f t="shared" si="87"/>
        <v>589776.37</v>
      </c>
      <c r="H2617" s="143"/>
      <c r="I2617" s="8" t="s">
        <v>1602</v>
      </c>
    </row>
    <row r="2618" spans="1:9" hidden="1" outlineLevel="1">
      <c r="A2618" s="467" t="s">
        <v>1603</v>
      </c>
      <c r="B2618" s="544">
        <v>373943.59</v>
      </c>
      <c r="C2618" s="95">
        <v>0</v>
      </c>
      <c r="D2618" s="95">
        <v>0</v>
      </c>
      <c r="E2618" s="95">
        <v>373943.59</v>
      </c>
      <c r="F2618" s="95">
        <v>0</v>
      </c>
      <c r="G2618" s="145">
        <f t="shared" si="87"/>
        <v>373943.59</v>
      </c>
      <c r="H2618" s="143"/>
      <c r="I2618" s="8" t="s">
        <v>1604</v>
      </c>
    </row>
    <row r="2619" spans="1:9" hidden="1" outlineLevel="1">
      <c r="A2619" s="467" t="s">
        <v>1605</v>
      </c>
      <c r="B2619" s="544">
        <v>147544.54999999999</v>
      </c>
      <c r="C2619" s="95">
        <v>0</v>
      </c>
      <c r="D2619" s="95">
        <v>0</v>
      </c>
      <c r="E2619" s="95">
        <v>147544.54999999999</v>
      </c>
      <c r="F2619" s="95">
        <v>66.37</v>
      </c>
      <c r="G2619" s="145">
        <f t="shared" si="87"/>
        <v>147610.91999999998</v>
      </c>
      <c r="H2619" s="143"/>
      <c r="I2619" s="8" t="s">
        <v>1606</v>
      </c>
    </row>
    <row r="2620" spans="1:9" hidden="1" outlineLevel="1">
      <c r="A2620" s="467" t="s">
        <v>1607</v>
      </c>
      <c r="B2620" s="544">
        <v>558506.80000000005</v>
      </c>
      <c r="C2620" s="95">
        <v>0</v>
      </c>
      <c r="D2620" s="95">
        <v>0</v>
      </c>
      <c r="E2620" s="95">
        <v>558506.80000000005</v>
      </c>
      <c r="F2620" s="95">
        <v>0</v>
      </c>
      <c r="G2620" s="145">
        <f t="shared" si="87"/>
        <v>558506.80000000005</v>
      </c>
      <c r="H2620" s="143"/>
      <c r="I2620" s="8" t="s">
        <v>1608</v>
      </c>
    </row>
    <row r="2621" spans="1:9" hidden="1" outlineLevel="1">
      <c r="A2621" s="467" t="s">
        <v>1609</v>
      </c>
      <c r="B2621" s="544">
        <v>594861.96</v>
      </c>
      <c r="C2621" s="95">
        <v>0</v>
      </c>
      <c r="D2621" s="95">
        <v>0</v>
      </c>
      <c r="E2621" s="95">
        <v>594861.96</v>
      </c>
      <c r="F2621" s="95">
        <v>-5125.9799999999996</v>
      </c>
      <c r="G2621" s="145">
        <f t="shared" si="87"/>
        <v>589735.98</v>
      </c>
      <c r="H2621" s="143"/>
      <c r="I2621" s="8" t="s">
        <v>1610</v>
      </c>
    </row>
    <row r="2622" spans="1:9" hidden="1" outlineLevel="1">
      <c r="A2622" s="467" t="s">
        <v>1611</v>
      </c>
      <c r="B2622" s="544">
        <v>385086.07</v>
      </c>
      <c r="C2622" s="95">
        <v>0</v>
      </c>
      <c r="D2622" s="95">
        <v>0</v>
      </c>
      <c r="E2622" s="95">
        <v>385086.07</v>
      </c>
      <c r="F2622" s="95">
        <v>-1569.87</v>
      </c>
      <c r="G2622" s="145">
        <f t="shared" si="87"/>
        <v>383516.2</v>
      </c>
      <c r="H2622" s="143"/>
      <c r="I2622" s="8" t="s">
        <v>1612</v>
      </c>
    </row>
    <row r="2623" spans="1:9" hidden="1" outlineLevel="1">
      <c r="A2623" s="467" t="s">
        <v>1613</v>
      </c>
      <c r="B2623" s="544">
        <v>153364.39000000001</v>
      </c>
      <c r="C2623" s="95">
        <v>0</v>
      </c>
      <c r="D2623" s="95">
        <v>0</v>
      </c>
      <c r="E2623" s="95">
        <v>153364.39000000001</v>
      </c>
      <c r="F2623" s="95">
        <v>-729.28</v>
      </c>
      <c r="G2623" s="145">
        <f t="shared" si="87"/>
        <v>152635.11000000002</v>
      </c>
      <c r="H2623" s="143"/>
      <c r="I2623" s="8" t="s">
        <v>1614</v>
      </c>
    </row>
    <row r="2624" spans="1:9" hidden="1" outlineLevel="1">
      <c r="A2624" s="467" t="s">
        <v>1615</v>
      </c>
      <c r="B2624" s="544">
        <v>304207.59000000003</v>
      </c>
      <c r="C2624" s="95">
        <v>0</v>
      </c>
      <c r="D2624" s="95">
        <v>0</v>
      </c>
      <c r="E2624" s="95">
        <v>304207.59000000003</v>
      </c>
      <c r="F2624" s="95">
        <v>0</v>
      </c>
      <c r="G2624" s="145">
        <f t="shared" si="87"/>
        <v>304207.59000000003</v>
      </c>
      <c r="H2624" s="143"/>
      <c r="I2624" s="8" t="s">
        <v>1616</v>
      </c>
    </row>
    <row r="2625" spans="1:9" hidden="1" outlineLevel="1">
      <c r="A2625" s="467" t="s">
        <v>1617</v>
      </c>
      <c r="B2625" s="544">
        <v>92531.37</v>
      </c>
      <c r="C2625" s="95">
        <v>0</v>
      </c>
      <c r="D2625" s="95">
        <v>0</v>
      </c>
      <c r="E2625" s="95">
        <v>92531.37</v>
      </c>
      <c r="F2625" s="95">
        <v>0</v>
      </c>
      <c r="G2625" s="145">
        <f t="shared" si="87"/>
        <v>92531.37</v>
      </c>
      <c r="H2625" s="143"/>
      <c r="I2625" s="8" t="s">
        <v>1618</v>
      </c>
    </row>
    <row r="2626" spans="1:9" hidden="1" outlineLevel="1">
      <c r="A2626" s="467" t="s">
        <v>1619</v>
      </c>
      <c r="B2626" s="544">
        <v>446354.84</v>
      </c>
      <c r="C2626" s="95">
        <v>0</v>
      </c>
      <c r="D2626" s="95">
        <v>0</v>
      </c>
      <c r="E2626" s="95">
        <v>446354.84</v>
      </c>
      <c r="F2626" s="95">
        <v>0</v>
      </c>
      <c r="G2626" s="145">
        <f t="shared" si="87"/>
        <v>446354.84</v>
      </c>
      <c r="H2626" s="143"/>
      <c r="I2626" s="8" t="s">
        <v>1620</v>
      </c>
    </row>
    <row r="2627" spans="1:9" hidden="1" outlineLevel="1">
      <c r="A2627" s="467" t="s">
        <v>1621</v>
      </c>
      <c r="B2627" s="544">
        <v>348783.44</v>
      </c>
      <c r="C2627" s="95">
        <v>0</v>
      </c>
      <c r="D2627" s="95">
        <v>0</v>
      </c>
      <c r="E2627" s="95">
        <v>348783.44</v>
      </c>
      <c r="F2627" s="95">
        <v>-276.35000000000002</v>
      </c>
      <c r="G2627" s="145">
        <f t="shared" si="87"/>
        <v>348507.09</v>
      </c>
      <c r="H2627" s="143"/>
      <c r="I2627" s="8" t="s">
        <v>1622</v>
      </c>
    </row>
    <row r="2628" spans="1:9" hidden="1" outlineLevel="1">
      <c r="A2628" s="467" t="s">
        <v>1623</v>
      </c>
      <c r="B2628" s="544">
        <v>263792.51</v>
      </c>
      <c r="C2628" s="95">
        <v>0</v>
      </c>
      <c r="D2628" s="95">
        <v>0</v>
      </c>
      <c r="E2628" s="95">
        <v>263792.51</v>
      </c>
      <c r="F2628" s="95">
        <v>-1866.77</v>
      </c>
      <c r="G2628" s="145">
        <f t="shared" si="87"/>
        <v>261925.74000000002</v>
      </c>
      <c r="H2628" s="143"/>
      <c r="I2628" s="8" t="s">
        <v>1624</v>
      </c>
    </row>
    <row r="2629" spans="1:9" hidden="1" outlineLevel="1">
      <c r="A2629" s="467" t="s">
        <v>1625</v>
      </c>
      <c r="B2629" s="544">
        <v>65095.89</v>
      </c>
      <c r="C2629" s="95">
        <v>0</v>
      </c>
      <c r="D2629" s="95">
        <v>0</v>
      </c>
      <c r="E2629" s="95">
        <v>65095.89</v>
      </c>
      <c r="F2629" s="95">
        <v>-296.42</v>
      </c>
      <c r="G2629" s="145">
        <f t="shared" si="87"/>
        <v>64799.47</v>
      </c>
      <c r="H2629" s="143"/>
      <c r="I2629" s="8" t="s">
        <v>1626</v>
      </c>
    </row>
    <row r="2630" spans="1:9" hidden="1" outlineLevel="1">
      <c r="A2630" s="467" t="s">
        <v>1627</v>
      </c>
      <c r="B2630" s="544">
        <v>101193.64</v>
      </c>
      <c r="C2630" s="95">
        <v>0</v>
      </c>
      <c r="D2630" s="95">
        <v>0</v>
      </c>
      <c r="E2630" s="95">
        <v>101193.64</v>
      </c>
      <c r="F2630" s="95">
        <v>0</v>
      </c>
      <c r="G2630" s="145">
        <f t="shared" si="87"/>
        <v>101193.64</v>
      </c>
      <c r="H2630" s="143"/>
      <c r="I2630" s="8" t="s">
        <v>1628</v>
      </c>
    </row>
    <row r="2631" spans="1:9" hidden="1" outlineLevel="1">
      <c r="A2631" s="467" t="s">
        <v>1629</v>
      </c>
      <c r="B2631" s="544">
        <v>2121215.83</v>
      </c>
      <c r="C2631" s="95">
        <v>0</v>
      </c>
      <c r="D2631" s="95">
        <v>0</v>
      </c>
      <c r="E2631" s="95">
        <v>2121215.83</v>
      </c>
      <c r="F2631" s="95">
        <v>-16896.569999999996</v>
      </c>
      <c r="G2631" s="145">
        <f t="shared" si="87"/>
        <v>2104319.2600000002</v>
      </c>
      <c r="H2631" s="143"/>
      <c r="I2631" s="8" t="s">
        <v>1630</v>
      </c>
    </row>
    <row r="2632" spans="1:9" hidden="1" outlineLevel="1">
      <c r="A2632" s="467" t="s">
        <v>1631</v>
      </c>
      <c r="B2632" s="544">
        <v>218875.84</v>
      </c>
      <c r="C2632" s="95">
        <v>0</v>
      </c>
      <c r="D2632" s="95">
        <v>0</v>
      </c>
      <c r="E2632" s="95">
        <v>218875.84</v>
      </c>
      <c r="F2632" s="95">
        <v>917.1400000000001</v>
      </c>
      <c r="G2632" s="145">
        <f t="shared" si="87"/>
        <v>219792.98</v>
      </c>
      <c r="H2632" s="143"/>
      <c r="I2632" s="8" t="s">
        <v>1632</v>
      </c>
    </row>
    <row r="2633" spans="1:9" hidden="1" outlineLevel="1">
      <c r="A2633" s="467" t="s">
        <v>1633</v>
      </c>
      <c r="B2633" s="544">
        <v>3489868.4</v>
      </c>
      <c r="C2633" s="95">
        <v>0</v>
      </c>
      <c r="D2633" s="95">
        <v>0</v>
      </c>
      <c r="E2633" s="95">
        <v>3489868.4</v>
      </c>
      <c r="F2633" s="95">
        <v>-30696.899999999998</v>
      </c>
      <c r="G2633" s="145">
        <f t="shared" si="87"/>
        <v>3459171.5</v>
      </c>
      <c r="H2633" s="143"/>
      <c r="I2633" s="8" t="s">
        <v>1634</v>
      </c>
    </row>
    <row r="2634" spans="1:9" hidden="1" outlineLevel="1">
      <c r="A2634" s="467" t="s">
        <v>1635</v>
      </c>
      <c r="B2634" s="544">
        <v>702179.24</v>
      </c>
      <c r="C2634" s="95">
        <v>0</v>
      </c>
      <c r="D2634" s="95">
        <v>0</v>
      </c>
      <c r="E2634" s="95">
        <v>702179.24</v>
      </c>
      <c r="F2634" s="95">
        <v>264.25</v>
      </c>
      <c r="G2634" s="145">
        <f t="shared" si="87"/>
        <v>702443.49</v>
      </c>
      <c r="H2634" s="143"/>
      <c r="I2634" s="8" t="s">
        <v>1636</v>
      </c>
    </row>
    <row r="2635" spans="1:9" hidden="1" outlineLevel="1">
      <c r="A2635" s="467" t="s">
        <v>1637</v>
      </c>
      <c r="B2635" s="544">
        <v>383536.76</v>
      </c>
      <c r="C2635" s="95">
        <v>0</v>
      </c>
      <c r="D2635" s="95">
        <v>0</v>
      </c>
      <c r="E2635" s="95">
        <v>383536.76</v>
      </c>
      <c r="F2635" s="95">
        <v>1184.5700000000002</v>
      </c>
      <c r="G2635" s="145">
        <f t="shared" si="87"/>
        <v>384721.33</v>
      </c>
      <c r="H2635" s="143"/>
      <c r="I2635" s="8" t="s">
        <v>1638</v>
      </c>
    </row>
    <row r="2636" spans="1:9" hidden="1" outlineLevel="1">
      <c r="A2636" s="467" t="s">
        <v>767</v>
      </c>
      <c r="B2636" s="544">
        <v>1052340</v>
      </c>
      <c r="C2636" s="95">
        <v>0</v>
      </c>
      <c r="D2636" s="95">
        <v>0</v>
      </c>
      <c r="E2636" s="95">
        <v>1052340</v>
      </c>
      <c r="F2636" s="95">
        <v>0</v>
      </c>
      <c r="G2636" s="145">
        <f t="shared" si="87"/>
        <v>1052340</v>
      </c>
      <c r="H2636" s="143"/>
      <c r="I2636" s="8" t="s">
        <v>768</v>
      </c>
    </row>
    <row r="2637" spans="1:9" hidden="1" outlineLevel="1">
      <c r="A2637" s="467" t="s">
        <v>1639</v>
      </c>
      <c r="B2637" s="544">
        <v>105757.15</v>
      </c>
      <c r="C2637" s="95">
        <v>0</v>
      </c>
      <c r="D2637" s="95">
        <v>0</v>
      </c>
      <c r="E2637" s="95">
        <v>105757.15</v>
      </c>
      <c r="F2637" s="95">
        <v>0</v>
      </c>
      <c r="G2637" s="145">
        <f t="shared" si="87"/>
        <v>105757.15</v>
      </c>
      <c r="H2637" s="143"/>
      <c r="I2637" s="8" t="s">
        <v>1640</v>
      </c>
    </row>
    <row r="2638" spans="1:9" hidden="1" outlineLevel="1">
      <c r="A2638" s="467" t="s">
        <v>1641</v>
      </c>
      <c r="B2638" s="544">
        <v>233083.57</v>
      </c>
      <c r="C2638" s="95">
        <v>0</v>
      </c>
      <c r="D2638" s="95">
        <v>0</v>
      </c>
      <c r="E2638" s="95">
        <v>233083.57</v>
      </c>
      <c r="F2638" s="95">
        <v>0</v>
      </c>
      <c r="G2638" s="145">
        <f t="shared" si="87"/>
        <v>233083.57</v>
      </c>
      <c r="H2638" s="143"/>
      <c r="I2638" s="8" t="s">
        <v>1642</v>
      </c>
    </row>
    <row r="2639" spans="1:9" hidden="1" outlineLevel="1">
      <c r="A2639" s="467" t="s">
        <v>1643</v>
      </c>
      <c r="B2639" s="544">
        <v>315353.52</v>
      </c>
      <c r="C2639" s="95">
        <v>0</v>
      </c>
      <c r="D2639" s="95">
        <v>0</v>
      </c>
      <c r="E2639" s="95">
        <v>315353.52</v>
      </c>
      <c r="F2639" s="95">
        <v>0</v>
      </c>
      <c r="G2639" s="145">
        <f t="shared" si="87"/>
        <v>315353.52</v>
      </c>
      <c r="H2639" s="143"/>
      <c r="I2639" s="8" t="s">
        <v>1644</v>
      </c>
    </row>
    <row r="2640" spans="1:9" hidden="1" outlineLevel="1">
      <c r="A2640" s="467" t="s">
        <v>1645</v>
      </c>
      <c r="B2640" s="544">
        <v>145548.79</v>
      </c>
      <c r="C2640" s="95">
        <v>0</v>
      </c>
      <c r="D2640" s="95">
        <v>0</v>
      </c>
      <c r="E2640" s="95">
        <v>145548.79</v>
      </c>
      <c r="F2640" s="95">
        <v>-1108.21</v>
      </c>
      <c r="G2640" s="145">
        <f t="shared" si="87"/>
        <v>144440.58000000002</v>
      </c>
      <c r="H2640" s="143"/>
      <c r="I2640" s="8" t="s">
        <v>1646</v>
      </c>
    </row>
    <row r="2641" spans="1:9" hidden="1" outlineLevel="1">
      <c r="A2641" s="467" t="s">
        <v>1647</v>
      </c>
      <c r="B2641" s="544">
        <v>224584.57</v>
      </c>
      <c r="C2641" s="95">
        <v>0</v>
      </c>
      <c r="D2641" s="95">
        <v>0</v>
      </c>
      <c r="E2641" s="95">
        <v>224584.57</v>
      </c>
      <c r="F2641" s="95">
        <v>-1139.22</v>
      </c>
      <c r="G2641" s="145">
        <f t="shared" si="87"/>
        <v>223445.35</v>
      </c>
      <c r="H2641" s="143"/>
      <c r="I2641" s="8" t="s">
        <v>1648</v>
      </c>
    </row>
    <row r="2642" spans="1:9" hidden="1" outlineLevel="1">
      <c r="A2642" s="467" t="s">
        <v>1649</v>
      </c>
      <c r="B2642" s="544">
        <v>71308.7</v>
      </c>
      <c r="C2642" s="95">
        <v>0</v>
      </c>
      <c r="D2642" s="95">
        <v>0</v>
      </c>
      <c r="E2642" s="95">
        <v>71308.7</v>
      </c>
      <c r="F2642" s="95">
        <v>-144.04000000000002</v>
      </c>
      <c r="G2642" s="145">
        <f t="shared" si="87"/>
        <v>71164.66</v>
      </c>
      <c r="H2642" s="143"/>
      <c r="I2642" s="8" t="s">
        <v>1650</v>
      </c>
    </row>
    <row r="2643" spans="1:9" hidden="1" outlineLevel="1">
      <c r="A2643" s="467" t="s">
        <v>1651</v>
      </c>
      <c r="B2643" s="544">
        <v>353624.28</v>
      </c>
      <c r="C2643" s="95">
        <v>0</v>
      </c>
      <c r="D2643" s="95">
        <v>0</v>
      </c>
      <c r="E2643" s="95">
        <v>353624.28</v>
      </c>
      <c r="F2643" s="95">
        <v>8316.2799999999988</v>
      </c>
      <c r="G2643" s="145">
        <f t="shared" si="87"/>
        <v>361940.56000000006</v>
      </c>
      <c r="H2643" s="143"/>
      <c r="I2643" s="8" t="s">
        <v>1652</v>
      </c>
    </row>
    <row r="2644" spans="1:9" hidden="1" outlineLevel="1">
      <c r="A2644" s="467" t="s">
        <v>1653</v>
      </c>
      <c r="B2644" s="544">
        <v>149463.22</v>
      </c>
      <c r="C2644" s="95">
        <v>0</v>
      </c>
      <c r="D2644" s="95">
        <v>0</v>
      </c>
      <c r="E2644" s="95">
        <v>149463.22</v>
      </c>
      <c r="F2644" s="95">
        <v>0</v>
      </c>
      <c r="G2644" s="145">
        <f t="shared" si="87"/>
        <v>149463.22</v>
      </c>
      <c r="H2644" s="143"/>
      <c r="I2644" s="8" t="s">
        <v>1654</v>
      </c>
    </row>
    <row r="2645" spans="1:9" hidden="1" outlineLevel="1">
      <c r="A2645" s="467" t="s">
        <v>1655</v>
      </c>
      <c r="B2645" s="544">
        <v>294227.74</v>
      </c>
      <c r="C2645" s="95">
        <v>0</v>
      </c>
      <c r="D2645" s="95">
        <v>0</v>
      </c>
      <c r="E2645" s="95">
        <v>294227.74</v>
      </c>
      <c r="F2645" s="95">
        <v>10694.46</v>
      </c>
      <c r="G2645" s="145">
        <f t="shared" si="87"/>
        <v>304922.2</v>
      </c>
      <c r="H2645" s="143"/>
      <c r="I2645" s="8" t="s">
        <v>1656</v>
      </c>
    </row>
    <row r="2646" spans="1:9" hidden="1" outlineLevel="1">
      <c r="A2646" s="467" t="s">
        <v>1657</v>
      </c>
      <c r="B2646" s="544">
        <v>424265.94</v>
      </c>
      <c r="C2646" s="95">
        <v>0</v>
      </c>
      <c r="D2646" s="95">
        <v>0</v>
      </c>
      <c r="E2646" s="95">
        <v>424265.94</v>
      </c>
      <c r="F2646" s="95">
        <v>1065.25</v>
      </c>
      <c r="G2646" s="145">
        <f t="shared" si="87"/>
        <v>425331.19</v>
      </c>
      <c r="H2646" s="143"/>
      <c r="I2646" s="8" t="s">
        <v>1658</v>
      </c>
    </row>
    <row r="2647" spans="1:9" hidden="1" outlineLevel="1">
      <c r="A2647" s="467" t="s">
        <v>1659</v>
      </c>
      <c r="B2647" s="544">
        <v>254914.75</v>
      </c>
      <c r="C2647" s="95">
        <v>0</v>
      </c>
      <c r="D2647" s="95">
        <v>0</v>
      </c>
      <c r="E2647" s="95">
        <v>254914.75</v>
      </c>
      <c r="F2647" s="95">
        <v>-14397.56</v>
      </c>
      <c r="G2647" s="145">
        <f t="shared" si="87"/>
        <v>240517.19</v>
      </c>
      <c r="H2647" s="143"/>
      <c r="I2647" s="8" t="s">
        <v>1660</v>
      </c>
    </row>
    <row r="2648" spans="1:9" hidden="1" outlineLevel="1">
      <c r="A2648" s="467" t="s">
        <v>1661</v>
      </c>
      <c r="B2648" s="544">
        <v>403607.48</v>
      </c>
      <c r="C2648" s="95">
        <v>0</v>
      </c>
      <c r="D2648" s="95">
        <v>0</v>
      </c>
      <c r="E2648" s="95">
        <v>403607.48</v>
      </c>
      <c r="F2648" s="95">
        <v>0</v>
      </c>
      <c r="G2648" s="145">
        <f t="shared" si="87"/>
        <v>403607.48</v>
      </c>
      <c r="H2648" s="143"/>
      <c r="I2648" s="8" t="s">
        <v>1662</v>
      </c>
    </row>
    <row r="2649" spans="1:9" hidden="1" outlineLevel="1">
      <c r="A2649" s="467" t="s">
        <v>1663</v>
      </c>
      <c r="B2649" s="544">
        <v>846869.63</v>
      </c>
      <c r="C2649" s="95">
        <v>0</v>
      </c>
      <c r="D2649" s="95">
        <v>0</v>
      </c>
      <c r="E2649" s="95">
        <v>846869.63</v>
      </c>
      <c r="F2649" s="95">
        <v>0</v>
      </c>
      <c r="G2649" s="145">
        <f t="shared" si="87"/>
        <v>846869.63</v>
      </c>
      <c r="H2649" s="143"/>
      <c r="I2649" s="8" t="s">
        <v>1664</v>
      </c>
    </row>
    <row r="2650" spans="1:9" hidden="1" outlineLevel="1">
      <c r="A2650" s="467" t="s">
        <v>789</v>
      </c>
      <c r="B2650" s="544">
        <v>669895.92000000004</v>
      </c>
      <c r="C2650" s="95">
        <v>0</v>
      </c>
      <c r="D2650" s="95">
        <v>9174.7999999999993</v>
      </c>
      <c r="E2650" s="95">
        <v>679070.71999999997</v>
      </c>
      <c r="F2650" s="95">
        <v>-3042.71</v>
      </c>
      <c r="G2650" s="145">
        <f t="shared" si="87"/>
        <v>676028.01</v>
      </c>
      <c r="H2650" s="143"/>
      <c r="I2650" s="8" t="s">
        <v>790</v>
      </c>
    </row>
    <row r="2651" spans="1:9" hidden="1" outlineLevel="1">
      <c r="A2651" s="467" t="s">
        <v>1665</v>
      </c>
      <c r="B2651" s="544">
        <v>199387.45</v>
      </c>
      <c r="C2651" s="95">
        <v>0</v>
      </c>
      <c r="D2651" s="95">
        <v>0</v>
      </c>
      <c r="E2651" s="95">
        <v>199387.45</v>
      </c>
      <c r="F2651" s="95">
        <v>0</v>
      </c>
      <c r="G2651" s="145">
        <f t="shared" si="87"/>
        <v>199387.45</v>
      </c>
      <c r="H2651" s="143"/>
      <c r="I2651" s="8" t="s">
        <v>1666</v>
      </c>
    </row>
    <row r="2652" spans="1:9" hidden="1" outlineLevel="1">
      <c r="A2652" s="467" t="s">
        <v>1667</v>
      </c>
      <c r="B2652" s="544">
        <v>582251.51</v>
      </c>
      <c r="C2652" s="95">
        <v>0</v>
      </c>
      <c r="D2652" s="95">
        <v>0</v>
      </c>
      <c r="E2652" s="95">
        <v>582251.51</v>
      </c>
      <c r="F2652" s="95">
        <v>0</v>
      </c>
      <c r="G2652" s="145">
        <f t="shared" si="87"/>
        <v>582251.51</v>
      </c>
      <c r="H2652" s="143"/>
      <c r="I2652" s="8" t="s">
        <v>1668</v>
      </c>
    </row>
    <row r="2653" spans="1:9" hidden="1" outlineLevel="1">
      <c r="A2653" s="467" t="s">
        <v>1669</v>
      </c>
      <c r="B2653" s="544">
        <v>178842.05</v>
      </c>
      <c r="C2653" s="95">
        <v>0</v>
      </c>
      <c r="D2653" s="95">
        <v>0</v>
      </c>
      <c r="E2653" s="95">
        <v>178842.05</v>
      </c>
      <c r="F2653" s="95">
        <v>0</v>
      </c>
      <c r="G2653" s="145">
        <f t="shared" si="87"/>
        <v>178842.05</v>
      </c>
      <c r="H2653" s="143"/>
      <c r="I2653" s="8" t="s">
        <v>1670</v>
      </c>
    </row>
    <row r="2654" spans="1:9" hidden="1" outlineLevel="1">
      <c r="A2654" s="467" t="s">
        <v>1671</v>
      </c>
      <c r="B2654" s="544">
        <v>1193082.28</v>
      </c>
      <c r="C2654" s="95">
        <v>-132.97</v>
      </c>
      <c r="D2654" s="95">
        <v>0</v>
      </c>
      <c r="E2654" s="95">
        <v>1192949.31</v>
      </c>
      <c r="F2654" s="95">
        <v>0</v>
      </c>
      <c r="G2654" s="145">
        <f t="shared" si="87"/>
        <v>1192949.31</v>
      </c>
      <c r="H2654" s="143"/>
      <c r="I2654" s="8" t="s">
        <v>1672</v>
      </c>
    </row>
    <row r="2655" spans="1:9" hidden="1" outlineLevel="1">
      <c r="A2655" s="467" t="s">
        <v>1673</v>
      </c>
      <c r="B2655" s="544">
        <v>578261.13</v>
      </c>
      <c r="C2655" s="95">
        <v>0</v>
      </c>
      <c r="D2655" s="95">
        <v>0</v>
      </c>
      <c r="E2655" s="95">
        <v>578261.13</v>
      </c>
      <c r="F2655" s="95">
        <v>-4893.34</v>
      </c>
      <c r="G2655" s="145">
        <f t="shared" si="87"/>
        <v>573367.79</v>
      </c>
      <c r="H2655" s="143"/>
      <c r="I2655" s="8" t="s">
        <v>1674</v>
      </c>
    </row>
    <row r="2656" spans="1:9" hidden="1" outlineLevel="1">
      <c r="A2656" s="467" t="s">
        <v>543</v>
      </c>
      <c r="B2656" s="544">
        <v>2291532.61</v>
      </c>
      <c r="C2656" s="95">
        <v>0</v>
      </c>
      <c r="D2656" s="95">
        <v>0</v>
      </c>
      <c r="E2656" s="95">
        <v>2291532.61</v>
      </c>
      <c r="F2656" s="95">
        <v>0</v>
      </c>
      <c r="G2656" s="145">
        <f t="shared" si="87"/>
        <v>2291532.61</v>
      </c>
      <c r="H2656" s="143"/>
      <c r="I2656" s="8" t="s">
        <v>544</v>
      </c>
    </row>
    <row r="2657" spans="1:9" hidden="1" outlineLevel="1">
      <c r="A2657" s="467" t="s">
        <v>1675</v>
      </c>
      <c r="B2657" s="544">
        <v>262999.59000000003</v>
      </c>
      <c r="C2657" s="95">
        <v>0</v>
      </c>
      <c r="D2657" s="95">
        <v>0</v>
      </c>
      <c r="E2657" s="95">
        <v>262999.59000000003</v>
      </c>
      <c r="F2657" s="95">
        <v>0</v>
      </c>
      <c r="G2657" s="145">
        <f t="shared" si="87"/>
        <v>262999.59000000003</v>
      </c>
      <c r="H2657" s="143"/>
      <c r="I2657" s="8" t="s">
        <v>1676</v>
      </c>
    </row>
    <row r="2658" spans="1:9" hidden="1" outlineLevel="1">
      <c r="A2658" s="467" t="s">
        <v>1677</v>
      </c>
      <c r="B2658" s="544">
        <v>990856.37</v>
      </c>
      <c r="C2658" s="95">
        <v>0</v>
      </c>
      <c r="D2658" s="95">
        <v>0</v>
      </c>
      <c r="E2658" s="95">
        <v>990856.37</v>
      </c>
      <c r="F2658" s="95">
        <v>-1947.89</v>
      </c>
      <c r="G2658" s="145">
        <f t="shared" si="87"/>
        <v>988908.48</v>
      </c>
      <c r="H2658" s="143"/>
      <c r="I2658" s="8" t="s">
        <v>1678</v>
      </c>
    </row>
    <row r="2659" spans="1:9" hidden="1" outlineLevel="1">
      <c r="A2659" s="467" t="s">
        <v>1679</v>
      </c>
      <c r="B2659" s="544">
        <v>236182.83</v>
      </c>
      <c r="C2659" s="95">
        <v>0</v>
      </c>
      <c r="D2659" s="95">
        <v>0</v>
      </c>
      <c r="E2659" s="95">
        <v>236182.83</v>
      </c>
      <c r="F2659" s="95">
        <v>0</v>
      </c>
      <c r="G2659" s="145">
        <f t="shared" si="87"/>
        <v>236182.83</v>
      </c>
      <c r="H2659" s="143"/>
      <c r="I2659" s="8" t="s">
        <v>1680</v>
      </c>
    </row>
    <row r="2660" spans="1:9" hidden="1" outlineLevel="1">
      <c r="A2660" s="467" t="s">
        <v>1681</v>
      </c>
      <c r="B2660" s="544">
        <v>232082.85</v>
      </c>
      <c r="C2660" s="95">
        <v>0</v>
      </c>
      <c r="D2660" s="95">
        <v>0</v>
      </c>
      <c r="E2660" s="95">
        <v>232082.85</v>
      </c>
      <c r="F2660" s="95">
        <v>0</v>
      </c>
      <c r="G2660" s="145">
        <f t="shared" si="87"/>
        <v>232082.85</v>
      </c>
      <c r="H2660" s="143"/>
      <c r="I2660" s="8" t="s">
        <v>1682</v>
      </c>
    </row>
    <row r="2661" spans="1:9" hidden="1" outlineLevel="1">
      <c r="A2661" s="467" t="s">
        <v>1683</v>
      </c>
      <c r="B2661" s="544">
        <v>163297.44</v>
      </c>
      <c r="C2661" s="95">
        <v>0</v>
      </c>
      <c r="D2661" s="95">
        <v>0</v>
      </c>
      <c r="E2661" s="95">
        <v>163297.44</v>
      </c>
      <c r="F2661" s="95">
        <v>1106.6400000000001</v>
      </c>
      <c r="G2661" s="145">
        <f t="shared" si="87"/>
        <v>164404.08000000002</v>
      </c>
      <c r="H2661" s="143"/>
      <c r="I2661" s="8" t="s">
        <v>1684</v>
      </c>
    </row>
    <row r="2662" spans="1:9" hidden="1" outlineLevel="1">
      <c r="A2662" s="467" t="s">
        <v>1685</v>
      </c>
      <c r="B2662" s="544">
        <v>159785.07</v>
      </c>
      <c r="C2662" s="95">
        <v>0</v>
      </c>
      <c r="D2662" s="95">
        <v>0</v>
      </c>
      <c r="E2662" s="95">
        <v>159785.07</v>
      </c>
      <c r="F2662" s="95">
        <v>0</v>
      </c>
      <c r="G2662" s="145">
        <f t="shared" si="87"/>
        <v>159785.07</v>
      </c>
      <c r="H2662" s="143"/>
      <c r="I2662" s="8" t="s">
        <v>1686</v>
      </c>
    </row>
    <row r="2663" spans="1:9" hidden="1" outlineLevel="1">
      <c r="A2663" s="467" t="s">
        <v>1687</v>
      </c>
      <c r="B2663" s="544">
        <v>497233.72</v>
      </c>
      <c r="C2663" s="95">
        <v>0</v>
      </c>
      <c r="D2663" s="95">
        <v>0</v>
      </c>
      <c r="E2663" s="95">
        <v>497233.72</v>
      </c>
      <c r="F2663" s="95">
        <v>3655</v>
      </c>
      <c r="G2663" s="145">
        <f t="shared" si="87"/>
        <v>500888.72</v>
      </c>
      <c r="H2663" s="143"/>
      <c r="I2663" s="8" t="s">
        <v>1688</v>
      </c>
    </row>
    <row r="2664" spans="1:9" hidden="1" outlineLevel="1">
      <c r="A2664" s="467" t="s">
        <v>1132</v>
      </c>
      <c r="B2664" s="544">
        <v>372727.18</v>
      </c>
      <c r="C2664" s="95">
        <v>0</v>
      </c>
      <c r="D2664" s="95">
        <v>0</v>
      </c>
      <c r="E2664" s="95">
        <v>372727.18</v>
      </c>
      <c r="F2664" s="95">
        <v>0</v>
      </c>
      <c r="G2664" s="145">
        <f t="shared" si="87"/>
        <v>372727.18</v>
      </c>
      <c r="H2664" s="143"/>
      <c r="I2664" s="8" t="s">
        <v>1133</v>
      </c>
    </row>
    <row r="2665" spans="1:9" hidden="1" outlineLevel="1">
      <c r="A2665" s="467" t="s">
        <v>1689</v>
      </c>
      <c r="B2665" s="544">
        <v>263899.95</v>
      </c>
      <c r="C2665" s="95">
        <v>0</v>
      </c>
      <c r="D2665" s="95">
        <v>0</v>
      </c>
      <c r="E2665" s="95">
        <v>263899.95</v>
      </c>
      <c r="F2665" s="95">
        <v>231.68999999999994</v>
      </c>
      <c r="G2665" s="145">
        <f t="shared" si="87"/>
        <v>264131.64</v>
      </c>
      <c r="H2665" s="143"/>
      <c r="I2665" s="8" t="s">
        <v>1690</v>
      </c>
    </row>
    <row r="2666" spans="1:9" hidden="1" outlineLevel="1">
      <c r="A2666" s="467" t="s">
        <v>1691</v>
      </c>
      <c r="B2666" s="544">
        <v>275927.32</v>
      </c>
      <c r="C2666" s="95">
        <v>0</v>
      </c>
      <c r="D2666" s="95">
        <v>0</v>
      </c>
      <c r="E2666" s="95">
        <v>275927.32</v>
      </c>
      <c r="F2666" s="95">
        <v>1898.53</v>
      </c>
      <c r="G2666" s="145">
        <f t="shared" si="87"/>
        <v>277825.85000000003</v>
      </c>
      <c r="H2666" s="143"/>
      <c r="I2666" s="8" t="s">
        <v>1692</v>
      </c>
    </row>
    <row r="2667" spans="1:9" hidden="1" outlineLevel="1">
      <c r="A2667" s="467" t="s">
        <v>1693</v>
      </c>
      <c r="B2667" s="544">
        <v>100684.47</v>
      </c>
      <c r="C2667" s="95">
        <v>0</v>
      </c>
      <c r="D2667" s="95">
        <v>0</v>
      </c>
      <c r="E2667" s="95">
        <v>100684.47</v>
      </c>
      <c r="F2667" s="95">
        <v>0</v>
      </c>
      <c r="G2667" s="145">
        <f t="shared" si="87"/>
        <v>100684.47</v>
      </c>
      <c r="H2667" s="143"/>
      <c r="I2667" s="8" t="s">
        <v>1694</v>
      </c>
    </row>
    <row r="2668" spans="1:9" hidden="1" outlineLevel="1">
      <c r="A2668" s="467" t="s">
        <v>1695</v>
      </c>
      <c r="B2668" s="544">
        <v>7767210.3399999999</v>
      </c>
      <c r="C2668" s="95">
        <v>0</v>
      </c>
      <c r="D2668" s="95">
        <v>0</v>
      </c>
      <c r="E2668" s="95">
        <v>7767210.3399999999</v>
      </c>
      <c r="F2668" s="95">
        <v>71595.38</v>
      </c>
      <c r="G2668" s="145">
        <f t="shared" si="87"/>
        <v>7838805.7199999997</v>
      </c>
      <c r="H2668" s="143"/>
      <c r="I2668" s="8" t="s">
        <v>1696</v>
      </c>
    </row>
    <row r="2669" spans="1:9" hidden="1" outlineLevel="1">
      <c r="A2669" s="467" t="s">
        <v>1697</v>
      </c>
      <c r="B2669" s="544">
        <v>392832.43</v>
      </c>
      <c r="C2669" s="95">
        <v>0</v>
      </c>
      <c r="D2669" s="95">
        <v>0</v>
      </c>
      <c r="E2669" s="95">
        <v>392832.43</v>
      </c>
      <c r="F2669" s="95">
        <v>0</v>
      </c>
      <c r="G2669" s="145">
        <f t="shared" si="87"/>
        <v>392832.43</v>
      </c>
      <c r="H2669" s="143"/>
      <c r="I2669" s="8" t="s">
        <v>1698</v>
      </c>
    </row>
    <row r="2670" spans="1:9" hidden="1" outlineLevel="1">
      <c r="A2670" s="467" t="s">
        <v>1699</v>
      </c>
      <c r="B2670" s="544">
        <v>1576501.61</v>
      </c>
      <c r="C2670" s="95">
        <v>0</v>
      </c>
      <c r="D2670" s="95">
        <v>0</v>
      </c>
      <c r="E2670" s="95">
        <v>1576501.61</v>
      </c>
      <c r="F2670" s="95">
        <v>-20126.899999999998</v>
      </c>
      <c r="G2670" s="145">
        <f t="shared" si="87"/>
        <v>1556374.7100000002</v>
      </c>
      <c r="H2670" s="143"/>
      <c r="I2670" s="8" t="s">
        <v>1700</v>
      </c>
    </row>
    <row r="2671" spans="1:9" hidden="1" outlineLevel="1">
      <c r="A2671" s="467" t="s">
        <v>449</v>
      </c>
      <c r="B2671" s="544">
        <v>777942.02</v>
      </c>
      <c r="C2671" s="95">
        <v>0</v>
      </c>
      <c r="D2671" s="95">
        <v>0</v>
      </c>
      <c r="E2671" s="95">
        <v>777942.02</v>
      </c>
      <c r="F2671" s="95">
        <v>10442</v>
      </c>
      <c r="G2671" s="145">
        <f t="shared" si="87"/>
        <v>788384.02</v>
      </c>
      <c r="H2671" s="143"/>
      <c r="I2671" s="8" t="s">
        <v>450</v>
      </c>
    </row>
    <row r="2672" spans="1:9" hidden="1" outlineLevel="1">
      <c r="A2672" s="467" t="s">
        <v>1701</v>
      </c>
      <c r="B2672" s="544">
        <v>11807.22</v>
      </c>
      <c r="C2672" s="95">
        <v>0</v>
      </c>
      <c r="D2672" s="95">
        <v>0</v>
      </c>
      <c r="E2672" s="95">
        <v>11807.22</v>
      </c>
      <c r="F2672" s="95">
        <v>0</v>
      </c>
      <c r="G2672" s="145">
        <f t="shared" si="87"/>
        <v>11807.22</v>
      </c>
      <c r="H2672" s="143"/>
      <c r="I2672" s="8" t="s">
        <v>1702</v>
      </c>
    </row>
    <row r="2673" spans="1:9" hidden="1" outlineLevel="1">
      <c r="A2673" s="467" t="s">
        <v>837</v>
      </c>
      <c r="B2673" s="544">
        <v>663075.80000000005</v>
      </c>
      <c r="C2673" s="95">
        <v>0</v>
      </c>
      <c r="D2673" s="95">
        <v>0</v>
      </c>
      <c r="E2673" s="95">
        <v>663075.80000000005</v>
      </c>
      <c r="F2673" s="95">
        <v>0</v>
      </c>
      <c r="G2673" s="145">
        <f t="shared" ref="G2673:G2680" si="88">E2673+F2673</f>
        <v>663075.80000000005</v>
      </c>
      <c r="H2673" s="143"/>
      <c r="I2673" s="8" t="s">
        <v>838</v>
      </c>
    </row>
    <row r="2674" spans="1:9" hidden="1" outlineLevel="1">
      <c r="A2674" s="467" t="s">
        <v>1703</v>
      </c>
      <c r="B2674" s="544">
        <v>2456620.17</v>
      </c>
      <c r="C2674" s="95">
        <v>-1750167.24</v>
      </c>
      <c r="D2674" s="95">
        <v>0</v>
      </c>
      <c r="E2674" s="95">
        <v>706452.93</v>
      </c>
      <c r="F2674" s="95">
        <v>0</v>
      </c>
      <c r="G2674" s="145">
        <f t="shared" si="88"/>
        <v>706452.93</v>
      </c>
      <c r="H2674" s="143"/>
      <c r="I2674" s="8" t="s">
        <v>1704</v>
      </c>
    </row>
    <row r="2675" spans="1:9" hidden="1" outlineLevel="1">
      <c r="A2675" s="467" t="s">
        <v>1705</v>
      </c>
      <c r="B2675" s="544">
        <v>881912.69</v>
      </c>
      <c r="C2675" s="95">
        <v>0</v>
      </c>
      <c r="D2675" s="95">
        <v>0</v>
      </c>
      <c r="E2675" s="95">
        <v>881912.69</v>
      </c>
      <c r="F2675" s="95">
        <v>7351.8799999999992</v>
      </c>
      <c r="G2675" s="145">
        <f t="shared" si="88"/>
        <v>889264.57</v>
      </c>
      <c r="H2675" s="143"/>
      <c r="I2675" s="8" t="s">
        <v>1706</v>
      </c>
    </row>
    <row r="2676" spans="1:9" hidden="1" outlineLevel="1">
      <c r="A2676" s="467" t="s">
        <v>1707</v>
      </c>
      <c r="B2676" s="544">
        <v>105140.55</v>
      </c>
      <c r="C2676" s="95">
        <v>0</v>
      </c>
      <c r="D2676" s="95">
        <v>0</v>
      </c>
      <c r="E2676" s="95">
        <v>105140.55</v>
      </c>
      <c r="F2676" s="95">
        <v>0</v>
      </c>
      <c r="G2676" s="145">
        <f t="shared" si="88"/>
        <v>105140.55</v>
      </c>
      <c r="H2676" s="143"/>
      <c r="I2676" s="8" t="s">
        <v>1708</v>
      </c>
    </row>
    <row r="2677" spans="1:9" hidden="1" outlineLevel="1">
      <c r="A2677" s="467" t="s">
        <v>1709</v>
      </c>
      <c r="B2677" s="544">
        <v>4550280.49</v>
      </c>
      <c r="C2677" s="95">
        <v>0</v>
      </c>
      <c r="D2677" s="95">
        <v>0</v>
      </c>
      <c r="E2677" s="95">
        <v>4550280.49</v>
      </c>
      <c r="F2677" s="95">
        <v>-67012.210000000006</v>
      </c>
      <c r="G2677" s="145">
        <f t="shared" si="88"/>
        <v>4483268.28</v>
      </c>
      <c r="H2677" s="143"/>
      <c r="I2677" s="8" t="s">
        <v>1710</v>
      </c>
    </row>
    <row r="2678" spans="1:9" hidden="1" outlineLevel="1">
      <c r="A2678" s="467" t="s">
        <v>1972</v>
      </c>
      <c r="B2678" s="544">
        <v>12100.76</v>
      </c>
      <c r="C2678" s="95">
        <v>0</v>
      </c>
      <c r="D2678" s="95">
        <v>0</v>
      </c>
      <c r="E2678" s="95">
        <v>12100.76</v>
      </c>
      <c r="F2678" s="95">
        <v>0</v>
      </c>
      <c r="G2678" s="145">
        <f t="shared" si="88"/>
        <v>12100.76</v>
      </c>
      <c r="H2678" s="143"/>
      <c r="I2678" s="8" t="s">
        <v>1973</v>
      </c>
    </row>
    <row r="2679" spans="1:9" hidden="1" outlineLevel="1">
      <c r="A2679" s="467" t="s">
        <v>1711</v>
      </c>
      <c r="B2679" s="544">
        <v>117515.28</v>
      </c>
      <c r="C2679" s="95">
        <v>0</v>
      </c>
      <c r="D2679" s="95">
        <v>0</v>
      </c>
      <c r="E2679" s="95">
        <v>117515.28</v>
      </c>
      <c r="F2679" s="95">
        <v>0</v>
      </c>
      <c r="G2679" s="145">
        <f t="shared" si="88"/>
        <v>117515.28</v>
      </c>
      <c r="H2679" s="143"/>
      <c r="I2679" s="8" t="s">
        <v>1712</v>
      </c>
    </row>
    <row r="2680" spans="1:9" hidden="1" outlineLevel="1">
      <c r="A2680" s="467" t="s">
        <v>1713</v>
      </c>
      <c r="B2680" s="544">
        <v>11688.22</v>
      </c>
      <c r="C2680" s="95">
        <v>0</v>
      </c>
      <c r="D2680" s="95">
        <v>0</v>
      </c>
      <c r="E2680" s="95">
        <v>11688.22</v>
      </c>
      <c r="F2680" s="95">
        <v>26.67</v>
      </c>
      <c r="G2680" s="145">
        <f t="shared" si="88"/>
        <v>11714.89</v>
      </c>
      <c r="H2680" s="143"/>
      <c r="I2680" s="8" t="s">
        <v>1714</v>
      </c>
    </row>
    <row r="2681" spans="1:9" ht="13.5" collapsed="1" thickBot="1">
      <c r="A2681" s="456" t="s">
        <v>1715</v>
      </c>
      <c r="B2681" s="545">
        <f t="shared" ref="B2681:G2681" si="89">B1755+B1925+B2160+B2542</f>
        <v>878598079.46349978</v>
      </c>
      <c r="C2681" s="146">
        <f>C1755+C1925+C2160+C2542</f>
        <v>-28054533.299999997</v>
      </c>
      <c r="D2681" s="146">
        <f t="shared" si="89"/>
        <v>14601.32</v>
      </c>
      <c r="E2681" s="146">
        <f t="shared" si="89"/>
        <v>850558147.48349965</v>
      </c>
      <c r="F2681" s="146">
        <f t="shared" si="89"/>
        <v>-748466.74</v>
      </c>
      <c r="G2681" s="147">
        <f t="shared" si="89"/>
        <v>849809680.74349964</v>
      </c>
      <c r="H2681" s="10"/>
    </row>
    <row r="2683" spans="1:9">
      <c r="A2683" s="11"/>
      <c r="B2683" s="10"/>
      <c r="C2683" s="10"/>
      <c r="D2683" s="10"/>
      <c r="E2683" s="10"/>
      <c r="F2683" s="10"/>
      <c r="G2683" s="10"/>
      <c r="H2683" s="10"/>
    </row>
    <row r="2684" spans="1:9">
      <c r="A2684" s="13" t="s">
        <v>2100</v>
      </c>
    </row>
    <row r="2685" spans="1:9" ht="13.5" thickBot="1"/>
    <row r="2686" spans="1:9" ht="76.5">
      <c r="A2686" s="542"/>
      <c r="B2686" s="546" t="s">
        <v>2101</v>
      </c>
      <c r="C2686" s="550" t="s">
        <v>2102</v>
      </c>
      <c r="D2686" s="551" t="s">
        <v>2103</v>
      </c>
      <c r="E2686" s="97"/>
      <c r="F2686" s="97"/>
      <c r="G2686" s="97"/>
      <c r="H2686" s="97"/>
    </row>
    <row r="2687" spans="1:9" s="8" customFormat="1" ht="13.5" thickBot="1">
      <c r="A2687" s="541"/>
      <c r="B2687" s="581" t="s">
        <v>84</v>
      </c>
      <c r="C2687" s="583" t="s">
        <v>84</v>
      </c>
      <c r="D2687" s="585" t="s">
        <v>84</v>
      </c>
      <c r="E2687" s="18"/>
      <c r="F2687" s="18"/>
      <c r="G2687" s="18"/>
      <c r="H2687" s="18"/>
    </row>
    <row r="2688" spans="1:9">
      <c r="A2688" s="464" t="str">
        <f>A7</f>
        <v>Regelzone 50Hertz (gesamt)</v>
      </c>
      <c r="B2688" s="1009">
        <f>+SUM(B2689:B2857)</f>
        <v>68023519338</v>
      </c>
      <c r="C2688" s="151">
        <f>+SUM(C2689:C2857)</f>
        <v>184535902</v>
      </c>
      <c r="D2688" s="152">
        <f>B2688+C2688</f>
        <v>68208055240</v>
      </c>
      <c r="E2688" s="143"/>
      <c r="F2688" s="143"/>
      <c r="G2688" s="143"/>
      <c r="H2688" s="143"/>
    </row>
    <row r="2689" spans="1:9" hidden="1" outlineLevel="1">
      <c r="A2689" s="465" t="str">
        <f t="shared" ref="A2689:A2720" si="90">+A1756</f>
        <v>SNB901665585874</v>
      </c>
      <c r="B2689" s="452">
        <v>73140630</v>
      </c>
      <c r="C2689" s="95">
        <f>+SUMIF('Anlage 2b_Korrekturen'!$B$8:$B$202,A2689,'Anlage 2b_Korrekturen'!$D$8:$D$202)</f>
        <v>49430</v>
      </c>
      <c r="D2689" s="145">
        <f t="shared" ref="D2689:D2720" si="91">+B2689+C2689</f>
        <v>73190060</v>
      </c>
      <c r="E2689" s="143"/>
      <c r="F2689" s="143"/>
      <c r="G2689" s="143"/>
      <c r="H2689" s="143"/>
      <c r="I2689" s="99" t="s">
        <v>87</v>
      </c>
    </row>
    <row r="2690" spans="1:9" hidden="1" outlineLevel="1">
      <c r="A2690" s="465" t="str">
        <f t="shared" si="90"/>
        <v>SNB910474681448</v>
      </c>
      <c r="B2690" s="452">
        <v>77182193</v>
      </c>
      <c r="C2690" s="95">
        <f>+SUMIF('Anlage 2b_Korrekturen'!$B$8:$B$202,A2690,'Anlage 2b_Korrekturen'!$D$8:$D$202)</f>
        <v>-106386</v>
      </c>
      <c r="D2690" s="145">
        <f t="shared" si="91"/>
        <v>77075807</v>
      </c>
      <c r="E2690" s="143"/>
      <c r="F2690" s="143"/>
      <c r="G2690" s="143"/>
      <c r="H2690" s="143"/>
      <c r="I2690" s="99" t="s">
        <v>89</v>
      </c>
    </row>
    <row r="2691" spans="1:9" hidden="1" outlineLevel="1">
      <c r="A2691" s="465" t="str">
        <f t="shared" si="90"/>
        <v>SNB911159111601</v>
      </c>
      <c r="B2691" s="452">
        <v>198717750</v>
      </c>
      <c r="C2691" s="95">
        <f>+SUMIF('Anlage 2b_Korrekturen'!$B$8:$B$202,A2691,'Anlage 2b_Korrekturen'!$D$8:$D$202)</f>
        <v>0</v>
      </c>
      <c r="D2691" s="145">
        <f t="shared" si="91"/>
        <v>198717750</v>
      </c>
      <c r="E2691" s="143"/>
      <c r="F2691" s="143"/>
      <c r="G2691" s="143"/>
      <c r="H2691" s="143"/>
      <c r="I2691" s="99" t="s">
        <v>91</v>
      </c>
    </row>
    <row r="2692" spans="1:9" hidden="1" outlineLevel="1">
      <c r="A2692" s="465" t="str">
        <f t="shared" si="90"/>
        <v>SNB912218404412</v>
      </c>
      <c r="B2692" s="452">
        <v>57733295</v>
      </c>
      <c r="C2692" s="95">
        <f>+SUMIF('Anlage 2b_Korrekturen'!$B$8:$B$202,A2692,'Anlage 2b_Korrekturen'!$D$8:$D$202)</f>
        <v>-198361</v>
      </c>
      <c r="D2692" s="145">
        <f t="shared" si="91"/>
        <v>57534934</v>
      </c>
      <c r="E2692" s="143"/>
      <c r="F2692" s="143"/>
      <c r="G2692" s="143"/>
      <c r="H2692" s="143"/>
      <c r="I2692" s="99" t="s">
        <v>93</v>
      </c>
    </row>
    <row r="2693" spans="1:9" hidden="1" outlineLevel="1">
      <c r="A2693" s="465" t="str">
        <f t="shared" si="90"/>
        <v>SNB913006238462</v>
      </c>
      <c r="B2693" s="452">
        <v>80674069</v>
      </c>
      <c r="C2693" s="95">
        <f>+SUMIF('Anlage 2b_Korrekturen'!$B$8:$B$202,A2693,'Anlage 2b_Korrekturen'!$D$8:$D$202)</f>
        <v>250388</v>
      </c>
      <c r="D2693" s="145">
        <f t="shared" si="91"/>
        <v>80924457</v>
      </c>
      <c r="E2693" s="143"/>
      <c r="F2693" s="143"/>
      <c r="G2693" s="143"/>
      <c r="H2693" s="143"/>
      <c r="I2693" s="99" t="s">
        <v>95</v>
      </c>
    </row>
    <row r="2694" spans="1:9" hidden="1" outlineLevel="1">
      <c r="A2694" s="465" t="str">
        <f t="shared" si="90"/>
        <v>SNB913130054136</v>
      </c>
      <c r="B2694" s="452">
        <v>299825829</v>
      </c>
      <c r="C2694" s="95">
        <f>+SUMIF('Anlage 2b_Korrekturen'!$B$8:$B$202,A2694,'Anlage 2b_Korrekturen'!$D$8:$D$202)</f>
        <v>0</v>
      </c>
      <c r="D2694" s="145">
        <f t="shared" si="91"/>
        <v>299825829</v>
      </c>
      <c r="E2694" s="143"/>
      <c r="F2694" s="143"/>
      <c r="G2694" s="143"/>
      <c r="H2694" s="143"/>
      <c r="I2694" s="99" t="s">
        <v>97</v>
      </c>
    </row>
    <row r="2695" spans="1:9" hidden="1" outlineLevel="1">
      <c r="A2695" s="465" t="str">
        <f t="shared" si="90"/>
        <v>SNB913280322543</v>
      </c>
      <c r="B2695" s="452">
        <v>80655992</v>
      </c>
      <c r="C2695" s="95">
        <f>+SUMIF('Anlage 2b_Korrekturen'!$B$8:$B$202,A2695,'Anlage 2b_Korrekturen'!$D$8:$D$202)</f>
        <v>0</v>
      </c>
      <c r="D2695" s="145">
        <f t="shared" si="91"/>
        <v>80655992</v>
      </c>
      <c r="E2695" s="143"/>
      <c r="F2695" s="143"/>
      <c r="G2695" s="143"/>
      <c r="H2695" s="143"/>
      <c r="I2695" s="99" t="s">
        <v>99</v>
      </c>
    </row>
    <row r="2696" spans="1:9" hidden="1" outlineLevel="1">
      <c r="A2696" s="465" t="str">
        <f t="shared" si="90"/>
        <v>SNB913563830420</v>
      </c>
      <c r="B2696" s="452">
        <v>94063335</v>
      </c>
      <c r="C2696" s="95">
        <f>+SUMIF('Anlage 2b_Korrekturen'!$B$8:$B$202,A2696,'Anlage 2b_Korrekturen'!$D$8:$D$202)</f>
        <v>346122</v>
      </c>
      <c r="D2696" s="145">
        <f t="shared" si="91"/>
        <v>94409457</v>
      </c>
      <c r="E2696" s="143"/>
      <c r="F2696" s="143"/>
      <c r="G2696" s="143"/>
      <c r="H2696" s="143"/>
      <c r="I2696" s="99" t="s">
        <v>101</v>
      </c>
    </row>
    <row r="2697" spans="1:9" hidden="1" outlineLevel="1">
      <c r="A2697" s="465" t="str">
        <f t="shared" si="90"/>
        <v>SNB913768089142</v>
      </c>
      <c r="B2697" s="452">
        <v>6786673</v>
      </c>
      <c r="C2697" s="95">
        <f>+SUMIF('Anlage 2b_Korrekturen'!$B$8:$B$202,A2697,'Anlage 2b_Korrekturen'!$D$8:$D$202)</f>
        <v>0</v>
      </c>
      <c r="D2697" s="145">
        <f t="shared" si="91"/>
        <v>6786673</v>
      </c>
      <c r="E2697" s="143"/>
      <c r="F2697" s="143"/>
      <c r="G2697" s="143"/>
      <c r="H2697" s="143"/>
      <c r="I2697" s="99" t="s">
        <v>2084</v>
      </c>
    </row>
    <row r="2698" spans="1:9" hidden="1" outlineLevel="1">
      <c r="A2698" s="465" t="str">
        <f t="shared" si="90"/>
        <v>SNB914103081760</v>
      </c>
      <c r="B2698" s="452">
        <v>82449513</v>
      </c>
      <c r="C2698" s="95">
        <f>+SUMIF('Anlage 2b_Korrekturen'!$B$8:$B$202,A2698,'Anlage 2b_Korrekturen'!$D$8:$D$202)</f>
        <v>0</v>
      </c>
      <c r="D2698" s="145">
        <f t="shared" si="91"/>
        <v>82449513</v>
      </c>
      <c r="E2698" s="143"/>
      <c r="F2698" s="143"/>
      <c r="G2698" s="143"/>
      <c r="H2698" s="143"/>
      <c r="I2698" s="99" t="s">
        <v>103</v>
      </c>
    </row>
    <row r="2699" spans="1:9" hidden="1" outlineLevel="1">
      <c r="A2699" s="465" t="str">
        <f t="shared" si="90"/>
        <v>SNB914630088973</v>
      </c>
      <c r="B2699" s="452">
        <v>54042644</v>
      </c>
      <c r="C2699" s="95">
        <f>+SUMIF('Anlage 2b_Korrekturen'!$B$8:$B$202,A2699,'Anlage 2b_Korrekturen'!$D$8:$D$202)</f>
        <v>0</v>
      </c>
      <c r="D2699" s="145">
        <f t="shared" si="91"/>
        <v>54042644</v>
      </c>
      <c r="E2699" s="143"/>
      <c r="F2699" s="143"/>
      <c r="G2699" s="143"/>
      <c r="H2699" s="143"/>
      <c r="I2699" s="99" t="s">
        <v>105</v>
      </c>
    </row>
    <row r="2700" spans="1:9" hidden="1" outlineLevel="1">
      <c r="A2700" s="465" t="str">
        <f t="shared" si="90"/>
        <v>SNB914879260819</v>
      </c>
      <c r="B2700" s="452">
        <v>145357853</v>
      </c>
      <c r="C2700" s="95">
        <f>+SUMIF('Anlage 2b_Korrekturen'!$B$8:$B$202,A2700,'Anlage 2b_Korrekturen'!$D$8:$D$202)</f>
        <v>0</v>
      </c>
      <c r="D2700" s="145">
        <f t="shared" si="91"/>
        <v>145357853</v>
      </c>
      <c r="E2700" s="143"/>
      <c r="F2700" s="143"/>
      <c r="G2700" s="143"/>
      <c r="H2700" s="143"/>
      <c r="I2700" s="99" t="s">
        <v>107</v>
      </c>
    </row>
    <row r="2701" spans="1:9" hidden="1" outlineLevel="1">
      <c r="A2701" s="465" t="str">
        <f t="shared" si="90"/>
        <v>SNB915186313908</v>
      </c>
      <c r="B2701" s="452">
        <v>40347448</v>
      </c>
      <c r="C2701" s="95">
        <f>+SUMIF('Anlage 2b_Korrekturen'!$B$8:$B$202,A2701,'Anlage 2b_Korrekturen'!$D$8:$D$202)</f>
        <v>0</v>
      </c>
      <c r="D2701" s="145">
        <f t="shared" si="91"/>
        <v>40347448</v>
      </c>
      <c r="E2701" s="143"/>
      <c r="F2701" s="143"/>
      <c r="G2701" s="143"/>
      <c r="H2701" s="143"/>
      <c r="I2701" s="99" t="s">
        <v>109</v>
      </c>
    </row>
    <row r="2702" spans="1:9" hidden="1" outlineLevel="1">
      <c r="A2702" s="465" t="str">
        <f t="shared" si="90"/>
        <v>SNB915358347793</v>
      </c>
      <c r="B2702" s="452">
        <v>24423869</v>
      </c>
      <c r="C2702" s="95">
        <f>+SUMIF('Anlage 2b_Korrekturen'!$B$8:$B$202,A2702,'Anlage 2b_Korrekturen'!$D$8:$D$202)</f>
        <v>0</v>
      </c>
      <c r="D2702" s="145">
        <f t="shared" si="91"/>
        <v>24423869</v>
      </c>
      <c r="E2702" s="143"/>
      <c r="F2702" s="143"/>
      <c r="G2702" s="143"/>
      <c r="H2702" s="143"/>
      <c r="I2702" s="99" t="s">
        <v>111</v>
      </c>
    </row>
    <row r="2703" spans="1:9" hidden="1" outlineLevel="1">
      <c r="A2703" s="465" t="str">
        <f t="shared" si="90"/>
        <v>SNB915638224585</v>
      </c>
      <c r="B2703" s="452">
        <v>177365990</v>
      </c>
      <c r="C2703" s="95">
        <f>+SUMIF('Anlage 2b_Korrekturen'!$B$8:$B$202,A2703,'Anlage 2b_Korrekturen'!$D$8:$D$202)</f>
        <v>0</v>
      </c>
      <c r="D2703" s="145">
        <f t="shared" si="91"/>
        <v>177365990</v>
      </c>
      <c r="E2703" s="143"/>
      <c r="F2703" s="143"/>
      <c r="G2703" s="143"/>
      <c r="H2703" s="143"/>
      <c r="I2703" s="99" t="s">
        <v>2085</v>
      </c>
    </row>
    <row r="2704" spans="1:9" hidden="1" outlineLevel="1">
      <c r="A2704" s="465" t="str">
        <f t="shared" si="90"/>
        <v>SNB916269213931</v>
      </c>
      <c r="B2704" s="452">
        <v>7755295792</v>
      </c>
      <c r="C2704" s="95">
        <f>+SUMIF('Anlage 2b_Korrekturen'!$B$8:$B$202,A2704,'Anlage 2b_Korrekturen'!$D$8:$D$202)</f>
        <v>-64262258</v>
      </c>
      <c r="D2704" s="145">
        <f t="shared" si="91"/>
        <v>7691033534</v>
      </c>
      <c r="E2704" s="143"/>
      <c r="F2704" s="143"/>
      <c r="G2704" s="143"/>
      <c r="H2704" s="143"/>
      <c r="I2704" s="99" t="s">
        <v>115</v>
      </c>
    </row>
    <row r="2705" spans="1:9" hidden="1" outlineLevel="1">
      <c r="A2705" s="465" t="str">
        <f t="shared" si="90"/>
        <v>SNB916663914472</v>
      </c>
      <c r="B2705" s="452">
        <v>671363375</v>
      </c>
      <c r="C2705" s="95">
        <f>+SUMIF('Anlage 2b_Korrekturen'!$B$8:$B$202,A2705,'Anlage 2b_Korrekturen'!$D$8:$D$202)</f>
        <v>0</v>
      </c>
      <c r="D2705" s="145">
        <f t="shared" si="91"/>
        <v>671363375</v>
      </c>
      <c r="E2705" s="143"/>
      <c r="F2705" s="143"/>
      <c r="G2705" s="143"/>
      <c r="H2705" s="143"/>
      <c r="I2705" s="99" t="s">
        <v>117</v>
      </c>
    </row>
    <row r="2706" spans="1:9" hidden="1" outlineLevel="1">
      <c r="A2706" s="465" t="str">
        <f t="shared" si="90"/>
        <v>SNB917314328846</v>
      </c>
      <c r="B2706" s="452">
        <v>102160691</v>
      </c>
      <c r="C2706" s="95">
        <f>+SUMIF('Anlage 2b_Korrekturen'!$B$8:$B$202,A2706,'Anlage 2b_Korrekturen'!$D$8:$D$202)</f>
        <v>0</v>
      </c>
      <c r="D2706" s="145">
        <f t="shared" si="91"/>
        <v>102160691</v>
      </c>
      <c r="E2706" s="143"/>
      <c r="F2706" s="143"/>
      <c r="G2706" s="143"/>
      <c r="H2706" s="143"/>
      <c r="I2706" s="99" t="s">
        <v>119</v>
      </c>
    </row>
    <row r="2707" spans="1:9" hidden="1" outlineLevel="1">
      <c r="A2707" s="465" t="str">
        <f t="shared" si="90"/>
        <v>SNB917432806905</v>
      </c>
      <c r="B2707" s="452">
        <v>33819469</v>
      </c>
      <c r="C2707" s="95">
        <f>+SUMIF('Anlage 2b_Korrekturen'!$B$8:$B$202,A2707,'Anlage 2b_Korrekturen'!$D$8:$D$202)</f>
        <v>351285</v>
      </c>
      <c r="D2707" s="145">
        <f t="shared" si="91"/>
        <v>34170754</v>
      </c>
      <c r="E2707" s="143"/>
      <c r="F2707" s="143"/>
      <c r="G2707" s="143"/>
      <c r="H2707" s="143"/>
      <c r="I2707" s="99" t="s">
        <v>121</v>
      </c>
    </row>
    <row r="2708" spans="1:9" hidden="1" outlineLevel="1">
      <c r="A2708" s="465" t="str">
        <f t="shared" si="90"/>
        <v>SNB918070278383</v>
      </c>
      <c r="B2708" s="452">
        <v>63723271</v>
      </c>
      <c r="C2708" s="95">
        <f>+SUMIF('Anlage 2b_Korrekturen'!$B$8:$B$202,A2708,'Anlage 2b_Korrekturen'!$D$8:$D$202)</f>
        <v>0</v>
      </c>
      <c r="D2708" s="145">
        <f t="shared" si="91"/>
        <v>63723271</v>
      </c>
      <c r="E2708" s="143"/>
      <c r="F2708" s="143"/>
      <c r="G2708" s="143"/>
      <c r="H2708" s="143"/>
      <c r="I2708" s="99" t="s">
        <v>123</v>
      </c>
    </row>
    <row r="2709" spans="1:9" hidden="1" outlineLevel="1">
      <c r="A2709" s="465" t="str">
        <f t="shared" si="90"/>
        <v>SNB918084816830</v>
      </c>
      <c r="B2709" s="452">
        <v>34107474</v>
      </c>
      <c r="C2709" s="95">
        <f>+SUMIF('Anlage 2b_Korrekturen'!$B$8:$B$202,A2709,'Anlage 2b_Korrekturen'!$D$8:$D$202)</f>
        <v>-239746</v>
      </c>
      <c r="D2709" s="145">
        <f t="shared" si="91"/>
        <v>33867728</v>
      </c>
      <c r="E2709" s="143"/>
      <c r="F2709" s="143"/>
      <c r="G2709" s="143"/>
      <c r="H2709" s="143"/>
      <c r="I2709" s="99" t="s">
        <v>125</v>
      </c>
    </row>
    <row r="2710" spans="1:9" hidden="1" outlineLevel="1">
      <c r="A2710" s="465" t="str">
        <f t="shared" si="90"/>
        <v>SNB918100919279</v>
      </c>
      <c r="B2710" s="452">
        <v>17740098</v>
      </c>
      <c r="C2710" s="95">
        <f>+SUMIF('Anlage 2b_Korrekturen'!$B$8:$B$202,A2710,'Anlage 2b_Korrekturen'!$D$8:$D$202)</f>
        <v>0</v>
      </c>
      <c r="D2710" s="145">
        <f t="shared" si="91"/>
        <v>17740098</v>
      </c>
      <c r="E2710" s="143"/>
      <c r="F2710" s="143"/>
      <c r="G2710" s="143"/>
      <c r="H2710" s="143"/>
      <c r="I2710" s="99" t="s">
        <v>2086</v>
      </c>
    </row>
    <row r="2711" spans="1:9" hidden="1" outlineLevel="1">
      <c r="A2711" s="465" t="str">
        <f t="shared" si="90"/>
        <v>SNB918539636471</v>
      </c>
      <c r="B2711" s="452">
        <v>53108848</v>
      </c>
      <c r="C2711" s="95">
        <f>+SUMIF('Anlage 2b_Korrekturen'!$B$8:$B$202,A2711,'Anlage 2b_Korrekturen'!$D$8:$D$202)</f>
        <v>0</v>
      </c>
      <c r="D2711" s="145">
        <f t="shared" si="91"/>
        <v>53108848</v>
      </c>
      <c r="E2711" s="143"/>
      <c r="F2711" s="143"/>
      <c r="G2711" s="143"/>
      <c r="H2711" s="143"/>
      <c r="I2711" s="99" t="s">
        <v>127</v>
      </c>
    </row>
    <row r="2712" spans="1:9" hidden="1" outlineLevel="1">
      <c r="A2712" s="465" t="str">
        <f t="shared" si="90"/>
        <v>SNB918620072652</v>
      </c>
      <c r="B2712" s="452">
        <v>60911162</v>
      </c>
      <c r="C2712" s="95">
        <f>+SUMIF('Anlage 2b_Korrekturen'!$B$8:$B$202,A2712,'Anlage 2b_Korrekturen'!$D$8:$D$202)</f>
        <v>-94667</v>
      </c>
      <c r="D2712" s="145">
        <f t="shared" si="91"/>
        <v>60816495</v>
      </c>
      <c r="E2712" s="143"/>
      <c r="F2712" s="143"/>
      <c r="G2712" s="143"/>
      <c r="H2712" s="143"/>
      <c r="I2712" s="99" t="s">
        <v>129</v>
      </c>
    </row>
    <row r="2713" spans="1:9" hidden="1" outlineLevel="1">
      <c r="A2713" s="465" t="str">
        <f t="shared" si="90"/>
        <v>SNB919654931526</v>
      </c>
      <c r="B2713" s="452">
        <v>32029391</v>
      </c>
      <c r="C2713" s="95">
        <f>+SUMIF('Anlage 2b_Korrekturen'!$B$8:$B$202,A2713,'Anlage 2b_Korrekturen'!$D$8:$D$202)</f>
        <v>0</v>
      </c>
      <c r="D2713" s="145">
        <f t="shared" si="91"/>
        <v>32029391</v>
      </c>
      <c r="E2713" s="143"/>
      <c r="F2713" s="143"/>
      <c r="G2713" s="143"/>
      <c r="H2713" s="143"/>
      <c r="I2713" s="99" t="s">
        <v>131</v>
      </c>
    </row>
    <row r="2714" spans="1:9" hidden="1" outlineLevel="1">
      <c r="A2714" s="465" t="str">
        <f t="shared" si="90"/>
        <v>SNB919657321775</v>
      </c>
      <c r="B2714" s="452">
        <v>87408133</v>
      </c>
      <c r="C2714" s="95">
        <f>+SUMIF('Anlage 2b_Korrekturen'!$B$8:$B$202,A2714,'Anlage 2b_Korrekturen'!$D$8:$D$202)</f>
        <v>-24856</v>
      </c>
      <c r="D2714" s="145">
        <f t="shared" si="91"/>
        <v>87383277</v>
      </c>
      <c r="E2714" s="143"/>
      <c r="F2714" s="143"/>
      <c r="G2714" s="143"/>
      <c r="H2714" s="143"/>
      <c r="I2714" s="99" t="s">
        <v>133</v>
      </c>
    </row>
    <row r="2715" spans="1:9" hidden="1" outlineLevel="1">
      <c r="A2715" s="465" t="str">
        <f t="shared" si="90"/>
        <v>SNB919985327685</v>
      </c>
      <c r="B2715" s="452">
        <v>19232458</v>
      </c>
      <c r="C2715" s="95">
        <f>+SUMIF('Anlage 2b_Korrekturen'!$B$8:$B$202,A2715,'Anlage 2b_Korrekturen'!$D$8:$D$202)</f>
        <v>90902</v>
      </c>
      <c r="D2715" s="145">
        <f t="shared" si="91"/>
        <v>19323360</v>
      </c>
      <c r="E2715" s="143"/>
      <c r="F2715" s="143"/>
      <c r="G2715" s="143"/>
      <c r="H2715" s="143"/>
      <c r="I2715" s="99" t="s">
        <v>2019</v>
      </c>
    </row>
    <row r="2716" spans="1:9" hidden="1" outlineLevel="1">
      <c r="A2716" s="465" t="str">
        <f t="shared" si="90"/>
        <v>SNB920348005966</v>
      </c>
      <c r="B2716" s="452">
        <v>90378662</v>
      </c>
      <c r="C2716" s="95">
        <f>+SUMIF('Anlage 2b_Korrekturen'!$B$8:$B$202,A2716,'Anlage 2b_Korrekturen'!$D$8:$D$202)</f>
        <v>-138986</v>
      </c>
      <c r="D2716" s="145">
        <f t="shared" si="91"/>
        <v>90239676</v>
      </c>
      <c r="E2716" s="143"/>
      <c r="F2716" s="143"/>
      <c r="G2716" s="143"/>
      <c r="H2716" s="143"/>
      <c r="I2716" s="99" t="s">
        <v>135</v>
      </c>
    </row>
    <row r="2717" spans="1:9" hidden="1" outlineLevel="1">
      <c r="A2717" s="465" t="str">
        <f t="shared" si="90"/>
        <v>SNB920699937404</v>
      </c>
      <c r="B2717" s="452">
        <v>168313555</v>
      </c>
      <c r="C2717" s="95">
        <f>+SUMIF('Anlage 2b_Korrekturen'!$B$8:$B$202,A2717,'Anlage 2b_Korrekturen'!$D$8:$D$202)</f>
        <v>1344063</v>
      </c>
      <c r="D2717" s="145">
        <f t="shared" si="91"/>
        <v>169657618</v>
      </c>
      <c r="E2717" s="143"/>
      <c r="F2717" s="143"/>
      <c r="G2717" s="143"/>
      <c r="H2717" s="143"/>
      <c r="I2717" s="99" t="s">
        <v>137</v>
      </c>
    </row>
    <row r="2718" spans="1:9" hidden="1" outlineLevel="1">
      <c r="A2718" s="465" t="str">
        <f t="shared" si="90"/>
        <v>SNB921629791202</v>
      </c>
      <c r="B2718" s="452">
        <v>6015180</v>
      </c>
      <c r="C2718" s="95">
        <f>+SUMIF('Anlage 2b_Korrekturen'!$B$8:$B$202,A2718,'Anlage 2b_Korrekturen'!$D$8:$D$202)</f>
        <v>0</v>
      </c>
      <c r="D2718" s="145">
        <f t="shared" si="91"/>
        <v>6015180</v>
      </c>
      <c r="E2718" s="143"/>
      <c r="F2718" s="143"/>
      <c r="G2718" s="143"/>
      <c r="H2718" s="143"/>
      <c r="I2718" s="99" t="s">
        <v>139</v>
      </c>
    </row>
    <row r="2719" spans="1:9" hidden="1" outlineLevel="1">
      <c r="A2719" s="465" t="str">
        <f t="shared" si="90"/>
        <v>SNB922055731633</v>
      </c>
      <c r="B2719" s="452">
        <v>41812239</v>
      </c>
      <c r="C2719" s="95">
        <f>+SUMIF('Anlage 2b_Korrekturen'!$B$8:$B$202,A2719,'Anlage 2b_Korrekturen'!$D$8:$D$202)</f>
        <v>5449034</v>
      </c>
      <c r="D2719" s="145">
        <f t="shared" si="91"/>
        <v>47261273</v>
      </c>
      <c r="E2719" s="143"/>
      <c r="F2719" s="143"/>
      <c r="G2719" s="143"/>
      <c r="H2719" s="143"/>
      <c r="I2719" s="99" t="s">
        <v>141</v>
      </c>
    </row>
    <row r="2720" spans="1:9" hidden="1" outlineLevel="1">
      <c r="A2720" s="465" t="str">
        <f t="shared" si="90"/>
        <v>SNB922354559020</v>
      </c>
      <c r="B2720" s="452">
        <v>27565694</v>
      </c>
      <c r="C2720" s="95">
        <f>+SUMIF('Anlage 2b_Korrekturen'!$B$8:$B$202,A2720,'Anlage 2b_Korrekturen'!$D$8:$D$202)</f>
        <v>0</v>
      </c>
      <c r="D2720" s="145">
        <f t="shared" si="91"/>
        <v>27565694</v>
      </c>
      <c r="E2720" s="143"/>
      <c r="F2720" s="143"/>
      <c r="G2720" s="143"/>
      <c r="H2720" s="143"/>
      <c r="I2720" s="99" t="s">
        <v>143</v>
      </c>
    </row>
    <row r="2721" spans="1:9" hidden="1" outlineLevel="1">
      <c r="A2721" s="465" t="str">
        <f t="shared" ref="A2721:A2752" si="92">+A1788</f>
        <v>SNB922689183730</v>
      </c>
      <c r="B2721" s="452">
        <v>99324444</v>
      </c>
      <c r="C2721" s="95">
        <f>+SUMIF('Anlage 2b_Korrekturen'!$B$8:$B$202,A2721,'Anlage 2b_Korrekturen'!$D$8:$D$202)</f>
        <v>271210</v>
      </c>
      <c r="D2721" s="145">
        <f t="shared" ref="D2721:D2752" si="93">+B2721+C2721</f>
        <v>99595654</v>
      </c>
      <c r="E2721" s="143"/>
      <c r="F2721" s="143"/>
      <c r="G2721" s="143"/>
      <c r="H2721" s="143"/>
      <c r="I2721" s="99" t="s">
        <v>2087</v>
      </c>
    </row>
    <row r="2722" spans="1:9" hidden="1" outlineLevel="1">
      <c r="A2722" s="465" t="str">
        <f t="shared" si="92"/>
        <v>SNB922861338965</v>
      </c>
      <c r="B2722" s="452">
        <v>77974900</v>
      </c>
      <c r="C2722" s="95">
        <f>+SUMIF('Anlage 2b_Korrekturen'!$B$8:$B$202,A2722,'Anlage 2b_Korrekturen'!$D$8:$D$202)</f>
        <v>0</v>
      </c>
      <c r="D2722" s="145">
        <f t="shared" si="93"/>
        <v>77974900</v>
      </c>
      <c r="E2722" s="143"/>
      <c r="F2722" s="143"/>
      <c r="G2722" s="143"/>
      <c r="H2722" s="143"/>
      <c r="I2722" s="99" t="s">
        <v>147</v>
      </c>
    </row>
    <row r="2723" spans="1:9" hidden="1" outlineLevel="1">
      <c r="A2723" s="465" t="str">
        <f t="shared" si="92"/>
        <v>SNB925823629552</v>
      </c>
      <c r="B2723" s="452">
        <v>256279492</v>
      </c>
      <c r="C2723" s="95">
        <f>+SUMIF('Anlage 2b_Korrekturen'!$B$8:$B$202,A2723,'Anlage 2b_Korrekturen'!$D$8:$D$202)</f>
        <v>0</v>
      </c>
      <c r="D2723" s="145">
        <f t="shared" si="93"/>
        <v>256279492</v>
      </c>
      <c r="E2723" s="143"/>
      <c r="F2723" s="143"/>
      <c r="G2723" s="143"/>
      <c r="H2723" s="143"/>
      <c r="I2723" s="99" t="s">
        <v>149</v>
      </c>
    </row>
    <row r="2724" spans="1:9" hidden="1" outlineLevel="1">
      <c r="A2724" s="465" t="str">
        <f t="shared" si="92"/>
        <v>SNB925883927308</v>
      </c>
      <c r="B2724" s="452">
        <v>78626651</v>
      </c>
      <c r="C2724" s="95">
        <f>+SUMIF('Anlage 2b_Korrekturen'!$B$8:$B$202,A2724,'Anlage 2b_Korrekturen'!$D$8:$D$202)</f>
        <v>1783642</v>
      </c>
      <c r="D2724" s="145">
        <f t="shared" si="93"/>
        <v>80410293</v>
      </c>
      <c r="E2724" s="143"/>
      <c r="F2724" s="143"/>
      <c r="G2724" s="143"/>
      <c r="H2724" s="143"/>
      <c r="I2724" s="99" t="s">
        <v>151</v>
      </c>
    </row>
    <row r="2725" spans="1:9" hidden="1" outlineLevel="1">
      <c r="A2725" s="465" t="str">
        <f t="shared" si="92"/>
        <v>SNB926394976090</v>
      </c>
      <c r="B2725" s="452">
        <v>58667339</v>
      </c>
      <c r="C2725" s="95">
        <f>+SUMIF('Anlage 2b_Korrekturen'!$B$8:$B$202,A2725,'Anlage 2b_Korrekturen'!$D$8:$D$202)</f>
        <v>0</v>
      </c>
      <c r="D2725" s="145">
        <f t="shared" si="93"/>
        <v>58667339</v>
      </c>
      <c r="E2725" s="143"/>
      <c r="F2725" s="143"/>
      <c r="G2725" s="143"/>
      <c r="H2725" s="143"/>
      <c r="I2725" s="99" t="s">
        <v>153</v>
      </c>
    </row>
    <row r="2726" spans="1:9" hidden="1" outlineLevel="1">
      <c r="A2726" s="465" t="str">
        <f t="shared" si="92"/>
        <v>SNB926442995943</v>
      </c>
      <c r="B2726" s="452">
        <v>189066891</v>
      </c>
      <c r="C2726" s="95">
        <f>+SUMIF('Anlage 2b_Korrekturen'!$B$8:$B$202,A2726,'Anlage 2b_Korrekturen'!$D$8:$D$202)</f>
        <v>-992208</v>
      </c>
      <c r="D2726" s="145">
        <f t="shared" si="93"/>
        <v>188074683</v>
      </c>
      <c r="E2726" s="143"/>
      <c r="F2726" s="143"/>
      <c r="G2726" s="143"/>
      <c r="H2726" s="143"/>
      <c r="I2726" s="99" t="s">
        <v>155</v>
      </c>
    </row>
    <row r="2727" spans="1:9" hidden="1" outlineLevel="1">
      <c r="A2727" s="465" t="str">
        <f t="shared" si="92"/>
        <v>SNB926470799582</v>
      </c>
      <c r="B2727" s="452">
        <v>40430526</v>
      </c>
      <c r="C2727" s="95">
        <f>+SUMIF('Anlage 2b_Korrekturen'!$B$8:$B$202,A2727,'Anlage 2b_Korrekturen'!$D$8:$D$202)</f>
        <v>0</v>
      </c>
      <c r="D2727" s="145">
        <f t="shared" si="93"/>
        <v>40430526</v>
      </c>
      <c r="E2727" s="143"/>
      <c r="F2727" s="143"/>
      <c r="G2727" s="143"/>
      <c r="H2727" s="143"/>
      <c r="I2727" s="99" t="s">
        <v>157</v>
      </c>
    </row>
    <row r="2728" spans="1:9" hidden="1" outlineLevel="1">
      <c r="A2728" s="465" t="str">
        <f t="shared" si="92"/>
        <v>SNB927160517950</v>
      </c>
      <c r="B2728" s="452">
        <v>82598595</v>
      </c>
      <c r="C2728" s="95">
        <f>+SUMIF('Anlage 2b_Korrekturen'!$B$8:$B$202,A2728,'Anlage 2b_Korrekturen'!$D$8:$D$202)</f>
        <v>-625513</v>
      </c>
      <c r="D2728" s="145">
        <f t="shared" si="93"/>
        <v>81973082</v>
      </c>
      <c r="E2728" s="143"/>
      <c r="F2728" s="143"/>
      <c r="G2728" s="143"/>
      <c r="H2728" s="143"/>
      <c r="I2728" s="99" t="s">
        <v>159</v>
      </c>
    </row>
    <row r="2729" spans="1:9" hidden="1" outlineLevel="1">
      <c r="A2729" s="465" t="str">
        <f t="shared" si="92"/>
        <v>SNB927925826730</v>
      </c>
      <c r="B2729" s="452">
        <v>113954078</v>
      </c>
      <c r="C2729" s="95">
        <f>+SUMIF('Anlage 2b_Korrekturen'!$B$8:$B$202,A2729,'Anlage 2b_Korrekturen'!$D$8:$D$202)</f>
        <v>103687</v>
      </c>
      <c r="D2729" s="145">
        <f t="shared" si="93"/>
        <v>114057765</v>
      </c>
      <c r="E2729" s="143"/>
      <c r="F2729" s="143"/>
      <c r="G2729" s="143"/>
      <c r="H2729" s="143"/>
      <c r="I2729" s="99" t="s">
        <v>161</v>
      </c>
    </row>
    <row r="2730" spans="1:9" hidden="1" outlineLevel="1">
      <c r="A2730" s="465" t="str">
        <f t="shared" si="92"/>
        <v>SNB928200943784</v>
      </c>
      <c r="B2730" s="452">
        <v>36691992</v>
      </c>
      <c r="C2730" s="95">
        <f>+SUMIF('Anlage 2b_Korrekturen'!$B$8:$B$202,A2730,'Anlage 2b_Korrekturen'!$D$8:$D$202)</f>
        <v>-151308</v>
      </c>
      <c r="D2730" s="145">
        <f t="shared" si="93"/>
        <v>36540684</v>
      </c>
      <c r="E2730" s="143"/>
      <c r="F2730" s="143"/>
      <c r="G2730" s="143"/>
      <c r="H2730" s="143"/>
      <c r="I2730" s="99" t="s">
        <v>163</v>
      </c>
    </row>
    <row r="2731" spans="1:9" hidden="1" outlineLevel="1">
      <c r="A2731" s="465" t="str">
        <f t="shared" si="92"/>
        <v>SNB928602915495</v>
      </c>
      <c r="B2731" s="452">
        <v>33871777</v>
      </c>
      <c r="C2731" s="95">
        <f>+SUMIF('Anlage 2b_Korrekturen'!$B$8:$B$202,A2731,'Anlage 2b_Korrekturen'!$D$8:$D$202)</f>
        <v>0</v>
      </c>
      <c r="D2731" s="145">
        <f t="shared" si="93"/>
        <v>33871777</v>
      </c>
      <c r="E2731" s="143"/>
      <c r="F2731" s="143"/>
      <c r="G2731" s="143"/>
      <c r="H2731" s="143"/>
      <c r="I2731" s="99" t="s">
        <v>165</v>
      </c>
    </row>
    <row r="2732" spans="1:9" hidden="1" outlineLevel="1">
      <c r="A2732" s="465" t="str">
        <f t="shared" si="92"/>
        <v>SNB928759560869</v>
      </c>
      <c r="B2732" s="452">
        <v>910283105</v>
      </c>
      <c r="C2732" s="95">
        <f>+SUMIF('Anlage 2b_Korrekturen'!$B$8:$B$202,A2732,'Anlage 2b_Korrekturen'!$D$8:$D$202)</f>
        <v>-35216786</v>
      </c>
      <c r="D2732" s="145">
        <f t="shared" si="93"/>
        <v>875066319</v>
      </c>
      <c r="E2732" s="143"/>
      <c r="F2732" s="143"/>
      <c r="G2732" s="143"/>
      <c r="H2732" s="143"/>
      <c r="I2732" s="99" t="s">
        <v>167</v>
      </c>
    </row>
    <row r="2733" spans="1:9" hidden="1" outlineLevel="1">
      <c r="A2733" s="465" t="str">
        <f t="shared" si="92"/>
        <v>SNB929027950139</v>
      </c>
      <c r="B2733" s="452">
        <v>520952936</v>
      </c>
      <c r="C2733" s="95">
        <f>+SUMIF('Anlage 2b_Korrekturen'!$B$8:$B$202,A2733,'Anlage 2b_Korrekturen'!$D$8:$D$202)</f>
        <v>349803</v>
      </c>
      <c r="D2733" s="145">
        <f t="shared" si="93"/>
        <v>521302739</v>
      </c>
      <c r="E2733" s="143"/>
      <c r="F2733" s="143"/>
      <c r="G2733" s="143"/>
      <c r="H2733" s="143"/>
      <c r="I2733" s="99" t="s">
        <v>169</v>
      </c>
    </row>
    <row r="2734" spans="1:9" hidden="1" outlineLevel="1">
      <c r="A2734" s="465" t="str">
        <f t="shared" si="92"/>
        <v>SNB930067626847</v>
      </c>
      <c r="B2734" s="452">
        <v>51943560</v>
      </c>
      <c r="C2734" s="95">
        <f>+SUMIF('Anlage 2b_Korrekturen'!$B$8:$B$202,A2734,'Anlage 2b_Korrekturen'!$D$8:$D$202)</f>
        <v>26516</v>
      </c>
      <c r="D2734" s="145">
        <f t="shared" si="93"/>
        <v>51970076</v>
      </c>
      <c r="E2734" s="143"/>
      <c r="F2734" s="143"/>
      <c r="G2734" s="143"/>
      <c r="H2734" s="143"/>
      <c r="I2734" s="99" t="s">
        <v>171</v>
      </c>
    </row>
    <row r="2735" spans="1:9" hidden="1" outlineLevel="1">
      <c r="A2735" s="465" t="str">
        <f t="shared" si="92"/>
        <v>SNB930525911119</v>
      </c>
      <c r="B2735" s="452">
        <v>1840284</v>
      </c>
      <c r="C2735" s="95">
        <f>+SUMIF('Anlage 2b_Korrekturen'!$B$8:$B$202,A2735,'Anlage 2b_Korrekturen'!$D$8:$D$202)</f>
        <v>23918</v>
      </c>
      <c r="D2735" s="145">
        <f t="shared" si="93"/>
        <v>1864202</v>
      </c>
      <c r="E2735" s="143"/>
      <c r="F2735" s="143"/>
      <c r="G2735" s="143"/>
      <c r="H2735" s="143"/>
      <c r="I2735" s="99" t="s">
        <v>173</v>
      </c>
    </row>
    <row r="2736" spans="1:9" hidden="1" outlineLevel="1">
      <c r="A2736" s="465" t="str">
        <f t="shared" si="92"/>
        <v>SNB931294328658</v>
      </c>
      <c r="B2736" s="452">
        <v>31055316</v>
      </c>
      <c r="C2736" s="95">
        <f>+SUMIF('Anlage 2b_Korrekturen'!$B$8:$B$202,A2736,'Anlage 2b_Korrekturen'!$D$8:$D$202)</f>
        <v>0</v>
      </c>
      <c r="D2736" s="145">
        <f t="shared" si="93"/>
        <v>31055316</v>
      </c>
      <c r="E2736" s="143"/>
      <c r="F2736" s="143"/>
      <c r="G2736" s="143"/>
      <c r="H2736" s="143"/>
      <c r="I2736" s="99" t="s">
        <v>175</v>
      </c>
    </row>
    <row r="2737" spans="1:9" hidden="1" outlineLevel="1">
      <c r="A2737" s="465" t="str">
        <f t="shared" si="92"/>
        <v>SNB931431136771</v>
      </c>
      <c r="B2737" s="452">
        <v>231910827</v>
      </c>
      <c r="C2737" s="95">
        <f>+SUMIF('Anlage 2b_Korrekturen'!$B$8:$B$202,A2737,'Anlage 2b_Korrekturen'!$D$8:$D$202)</f>
        <v>0</v>
      </c>
      <c r="D2737" s="145">
        <f t="shared" si="93"/>
        <v>231910827</v>
      </c>
      <c r="E2737" s="143"/>
      <c r="F2737" s="143"/>
      <c r="G2737" s="143"/>
      <c r="H2737" s="143"/>
      <c r="I2737" s="99" t="s">
        <v>177</v>
      </c>
    </row>
    <row r="2738" spans="1:9" hidden="1" outlineLevel="1">
      <c r="A2738" s="465" t="str">
        <f t="shared" si="92"/>
        <v>SNB931986174853</v>
      </c>
      <c r="B2738" s="452">
        <v>98020277</v>
      </c>
      <c r="C2738" s="95">
        <f>+SUMIF('Anlage 2b_Korrekturen'!$B$8:$B$202,A2738,'Anlage 2b_Korrekturen'!$D$8:$D$202)</f>
        <v>0</v>
      </c>
      <c r="D2738" s="145">
        <f t="shared" si="93"/>
        <v>98020277</v>
      </c>
      <c r="E2738" s="143"/>
      <c r="F2738" s="143"/>
      <c r="G2738" s="143"/>
      <c r="H2738" s="143"/>
      <c r="I2738" s="99" t="s">
        <v>179</v>
      </c>
    </row>
    <row r="2739" spans="1:9" hidden="1" outlineLevel="1">
      <c r="A2739" s="465" t="str">
        <f t="shared" si="92"/>
        <v>SNB932006596143</v>
      </c>
      <c r="B2739" s="452">
        <v>43117450</v>
      </c>
      <c r="C2739" s="95">
        <f>+SUMIF('Anlage 2b_Korrekturen'!$B$8:$B$202,A2739,'Anlage 2b_Korrekturen'!$D$8:$D$202)</f>
        <v>0</v>
      </c>
      <c r="D2739" s="145">
        <f t="shared" si="93"/>
        <v>43117450</v>
      </c>
      <c r="E2739" s="143"/>
      <c r="F2739" s="143"/>
      <c r="G2739" s="143"/>
      <c r="H2739" s="143"/>
      <c r="I2739" s="99" t="s">
        <v>181</v>
      </c>
    </row>
    <row r="2740" spans="1:9" hidden="1" outlineLevel="1">
      <c r="A2740" s="465" t="str">
        <f t="shared" si="92"/>
        <v>SNB932107297727</v>
      </c>
      <c r="B2740" s="452">
        <v>221266201</v>
      </c>
      <c r="C2740" s="95">
        <f>+SUMIF('Anlage 2b_Korrekturen'!$B$8:$B$202,A2740,'Anlage 2b_Korrekturen'!$D$8:$D$202)</f>
        <v>-1906254</v>
      </c>
      <c r="D2740" s="145">
        <f t="shared" si="93"/>
        <v>219359947</v>
      </c>
      <c r="E2740" s="143"/>
      <c r="F2740" s="143"/>
      <c r="G2740" s="143"/>
      <c r="H2740" s="143"/>
      <c r="I2740" s="99" t="s">
        <v>183</v>
      </c>
    </row>
    <row r="2741" spans="1:9" hidden="1" outlineLevel="1">
      <c r="A2741" s="465" t="str">
        <f t="shared" si="92"/>
        <v>SNB932509765411</v>
      </c>
      <c r="B2741" s="452">
        <v>34821140</v>
      </c>
      <c r="C2741" s="95">
        <f>+SUMIF('Anlage 2b_Korrekturen'!$B$8:$B$202,A2741,'Anlage 2b_Korrekturen'!$D$8:$D$202)</f>
        <v>0</v>
      </c>
      <c r="D2741" s="145">
        <f t="shared" si="93"/>
        <v>34821140</v>
      </c>
      <c r="E2741" s="143"/>
      <c r="F2741" s="143"/>
      <c r="G2741" s="143"/>
      <c r="H2741" s="143"/>
      <c r="I2741" s="99" t="s">
        <v>185</v>
      </c>
    </row>
    <row r="2742" spans="1:9" hidden="1" outlineLevel="1">
      <c r="A2742" s="465" t="str">
        <f t="shared" si="92"/>
        <v>SNB933235634552</v>
      </c>
      <c r="B2742" s="452">
        <v>62242363</v>
      </c>
      <c r="C2742" s="95">
        <f>+SUMIF('Anlage 2b_Korrekturen'!$B$8:$B$202,A2742,'Anlage 2b_Korrekturen'!$D$8:$D$202)</f>
        <v>0</v>
      </c>
      <c r="D2742" s="145">
        <f t="shared" si="93"/>
        <v>62242363</v>
      </c>
      <c r="E2742" s="143"/>
      <c r="F2742" s="143"/>
      <c r="G2742" s="143"/>
      <c r="H2742" s="143"/>
      <c r="I2742" s="99" t="s">
        <v>187</v>
      </c>
    </row>
    <row r="2743" spans="1:9" hidden="1" outlineLevel="1">
      <c r="A2743" s="465" t="str">
        <f t="shared" si="92"/>
        <v>SNB933274941888</v>
      </c>
      <c r="B2743" s="452">
        <v>90788821</v>
      </c>
      <c r="C2743" s="95">
        <f>+SUMIF('Anlage 2b_Korrekturen'!$B$8:$B$202,A2743,'Anlage 2b_Korrekturen'!$D$8:$D$202)</f>
        <v>-205425</v>
      </c>
      <c r="D2743" s="145">
        <f t="shared" si="93"/>
        <v>90583396</v>
      </c>
      <c r="E2743" s="143"/>
      <c r="F2743" s="143"/>
      <c r="G2743" s="143"/>
      <c r="H2743" s="143"/>
      <c r="I2743" s="99" t="s">
        <v>189</v>
      </c>
    </row>
    <row r="2744" spans="1:9" hidden="1" outlineLevel="1">
      <c r="A2744" s="465" t="str">
        <f t="shared" si="92"/>
        <v>SNB933459598975</v>
      </c>
      <c r="B2744" s="452">
        <v>756477431</v>
      </c>
      <c r="C2744" s="95">
        <f>+SUMIF('Anlage 2b_Korrekturen'!$B$8:$B$202,A2744,'Anlage 2b_Korrekturen'!$D$8:$D$202)</f>
        <v>0</v>
      </c>
      <c r="D2744" s="145">
        <f t="shared" si="93"/>
        <v>756477431</v>
      </c>
      <c r="E2744" s="143"/>
      <c r="F2744" s="143"/>
      <c r="G2744" s="143"/>
      <c r="H2744" s="143"/>
      <c r="I2744" s="99" t="s">
        <v>191</v>
      </c>
    </row>
    <row r="2745" spans="1:9" hidden="1" outlineLevel="1">
      <c r="A2745" s="465" t="str">
        <f t="shared" si="92"/>
        <v>SNB933869654360</v>
      </c>
      <c r="B2745" s="452">
        <v>51793864</v>
      </c>
      <c r="C2745" s="95">
        <f>+SUMIF('Anlage 2b_Korrekturen'!$B$8:$B$202,A2745,'Anlage 2b_Korrekturen'!$D$8:$D$202)</f>
        <v>-14692825</v>
      </c>
      <c r="D2745" s="145">
        <f t="shared" si="93"/>
        <v>37101039</v>
      </c>
      <c r="E2745" s="143"/>
      <c r="F2745" s="143"/>
      <c r="G2745" s="143"/>
      <c r="H2745" s="143"/>
      <c r="I2745" s="99" t="s">
        <v>193</v>
      </c>
    </row>
    <row r="2746" spans="1:9" hidden="1" outlineLevel="1">
      <c r="A2746" s="465" t="str">
        <f t="shared" si="92"/>
        <v>SNB934071779865</v>
      </c>
      <c r="B2746" s="452">
        <v>16594294</v>
      </c>
      <c r="C2746" s="95">
        <f>+SUMIF('Anlage 2b_Korrekturen'!$B$8:$B$202,A2746,'Anlage 2b_Korrekturen'!$D$8:$D$202)</f>
        <v>0</v>
      </c>
      <c r="D2746" s="145">
        <f t="shared" si="93"/>
        <v>16594294</v>
      </c>
      <c r="E2746" s="143"/>
      <c r="F2746" s="143"/>
      <c r="G2746" s="143"/>
      <c r="H2746" s="143"/>
      <c r="I2746" s="99" t="s">
        <v>195</v>
      </c>
    </row>
    <row r="2747" spans="1:9" hidden="1" outlineLevel="1">
      <c r="A2747" s="465" t="str">
        <f t="shared" si="92"/>
        <v>SNB934355412402</v>
      </c>
      <c r="B2747" s="452">
        <v>25884060</v>
      </c>
      <c r="C2747" s="95">
        <f>+SUMIF('Anlage 2b_Korrekturen'!$B$8:$B$202,A2747,'Anlage 2b_Korrekturen'!$D$8:$D$202)</f>
        <v>-6108</v>
      </c>
      <c r="D2747" s="145">
        <f t="shared" si="93"/>
        <v>25877952</v>
      </c>
      <c r="E2747" s="143"/>
      <c r="F2747" s="143"/>
      <c r="G2747" s="143"/>
      <c r="H2747" s="143"/>
      <c r="I2747" s="99" t="s">
        <v>197</v>
      </c>
    </row>
    <row r="2748" spans="1:9" hidden="1" outlineLevel="1">
      <c r="A2748" s="465" t="str">
        <f t="shared" si="92"/>
        <v>SNB934514392514</v>
      </c>
      <c r="B2748" s="452">
        <v>84145307</v>
      </c>
      <c r="C2748" s="95">
        <f>+SUMIF('Anlage 2b_Korrekturen'!$B$8:$B$202,A2748,'Anlage 2b_Korrekturen'!$D$8:$D$202)</f>
        <v>0</v>
      </c>
      <c r="D2748" s="145">
        <f t="shared" si="93"/>
        <v>84145307</v>
      </c>
      <c r="E2748" s="143"/>
      <c r="F2748" s="143"/>
      <c r="G2748" s="143"/>
      <c r="H2748" s="143"/>
      <c r="I2748" s="99" t="s">
        <v>199</v>
      </c>
    </row>
    <row r="2749" spans="1:9" hidden="1" outlineLevel="1">
      <c r="A2749" s="465" t="str">
        <f t="shared" si="92"/>
        <v>SNB934984130722</v>
      </c>
      <c r="B2749" s="452">
        <v>39697121</v>
      </c>
      <c r="C2749" s="95">
        <f>+SUMIF('Anlage 2b_Korrekturen'!$B$8:$B$202,A2749,'Anlage 2b_Korrekturen'!$D$8:$D$202)</f>
        <v>-198426</v>
      </c>
      <c r="D2749" s="145">
        <f t="shared" si="93"/>
        <v>39498695</v>
      </c>
      <c r="E2749" s="143"/>
      <c r="F2749" s="143"/>
      <c r="G2749" s="143"/>
      <c r="H2749" s="143"/>
      <c r="I2749" s="99" t="s">
        <v>201</v>
      </c>
    </row>
    <row r="2750" spans="1:9" hidden="1" outlineLevel="1">
      <c r="A2750" s="465" t="str">
        <f t="shared" si="92"/>
        <v>SNB935760057516</v>
      </c>
      <c r="B2750" s="452">
        <v>164206069</v>
      </c>
      <c r="C2750" s="95">
        <f>+SUMIF('Anlage 2b_Korrekturen'!$B$8:$B$202,A2750,'Anlage 2b_Korrekturen'!$D$8:$D$202)</f>
        <v>0</v>
      </c>
      <c r="D2750" s="145">
        <f t="shared" si="93"/>
        <v>164206069</v>
      </c>
      <c r="E2750" s="143"/>
      <c r="F2750" s="143"/>
      <c r="G2750" s="143"/>
      <c r="H2750" s="143"/>
      <c r="I2750" s="99" t="s">
        <v>203</v>
      </c>
    </row>
    <row r="2751" spans="1:9" hidden="1" outlineLevel="1">
      <c r="A2751" s="465" t="str">
        <f t="shared" si="92"/>
        <v>SNB936461984224</v>
      </c>
      <c r="B2751" s="452">
        <v>121373809</v>
      </c>
      <c r="C2751" s="95">
        <f>+SUMIF('Anlage 2b_Korrekturen'!$B$8:$B$202,A2751,'Anlage 2b_Korrekturen'!$D$8:$D$202)</f>
        <v>-190832</v>
      </c>
      <c r="D2751" s="145">
        <f t="shared" si="93"/>
        <v>121182977</v>
      </c>
      <c r="E2751" s="143"/>
      <c r="F2751" s="143"/>
      <c r="G2751" s="143"/>
      <c r="H2751" s="143"/>
      <c r="I2751" s="99" t="s">
        <v>2088</v>
      </c>
    </row>
    <row r="2752" spans="1:9" hidden="1" outlineLevel="1">
      <c r="A2752" s="465" t="str">
        <f t="shared" si="92"/>
        <v>SNB936480897581</v>
      </c>
      <c r="B2752" s="452">
        <v>775456</v>
      </c>
      <c r="C2752" s="95">
        <f>+SUMIF('Anlage 2b_Korrekturen'!$B$8:$B$202,A2752,'Anlage 2b_Korrekturen'!$D$8:$D$202)</f>
        <v>0</v>
      </c>
      <c r="D2752" s="145">
        <f t="shared" si="93"/>
        <v>775456</v>
      </c>
      <c r="E2752" s="143"/>
      <c r="F2752" s="143"/>
      <c r="G2752" s="143"/>
      <c r="H2752" s="143"/>
      <c r="I2752" s="99" t="s">
        <v>2089</v>
      </c>
    </row>
    <row r="2753" spans="1:9" hidden="1" outlineLevel="1">
      <c r="A2753" s="465" t="str">
        <f t="shared" ref="A2753:A2784" si="94">+A1820</f>
        <v>SNB936769439815</v>
      </c>
      <c r="B2753" s="452">
        <v>92895156</v>
      </c>
      <c r="C2753" s="95">
        <f>+SUMIF('Anlage 2b_Korrekturen'!$B$8:$B$202,A2753,'Anlage 2b_Korrekturen'!$D$8:$D$202)</f>
        <v>0</v>
      </c>
      <c r="D2753" s="145">
        <f t="shared" ref="D2753:D2784" si="95">+B2753+C2753</f>
        <v>92895156</v>
      </c>
      <c r="E2753" s="143"/>
      <c r="F2753" s="143"/>
      <c r="G2753" s="143"/>
      <c r="H2753" s="143"/>
      <c r="I2753" s="99" t="s">
        <v>209</v>
      </c>
    </row>
    <row r="2754" spans="1:9" hidden="1" outlineLevel="1">
      <c r="A2754" s="465" t="str">
        <f t="shared" si="94"/>
        <v>SNB936940951426</v>
      </c>
      <c r="B2754" s="452">
        <v>58053837</v>
      </c>
      <c r="C2754" s="95">
        <f>+SUMIF('Anlage 2b_Korrekturen'!$B$8:$B$202,A2754,'Anlage 2b_Korrekturen'!$D$8:$D$202)</f>
        <v>0</v>
      </c>
      <c r="D2754" s="145">
        <f t="shared" si="95"/>
        <v>58053837</v>
      </c>
      <c r="E2754" s="143"/>
      <c r="F2754" s="143"/>
      <c r="G2754" s="143"/>
      <c r="H2754" s="143"/>
      <c r="I2754" s="99" t="s">
        <v>211</v>
      </c>
    </row>
    <row r="2755" spans="1:9" hidden="1" outlineLevel="1">
      <c r="A2755" s="465" t="str">
        <f t="shared" si="94"/>
        <v>SNB937001443546</v>
      </c>
      <c r="B2755" s="452">
        <v>63444196</v>
      </c>
      <c r="C2755" s="95">
        <f>+SUMIF('Anlage 2b_Korrekturen'!$B$8:$B$202,A2755,'Anlage 2b_Korrekturen'!$D$8:$D$202)</f>
        <v>169202</v>
      </c>
      <c r="D2755" s="145">
        <f t="shared" si="95"/>
        <v>63613398</v>
      </c>
      <c r="E2755" s="143"/>
      <c r="F2755" s="143"/>
      <c r="G2755" s="143"/>
      <c r="H2755" s="143"/>
      <c r="I2755" s="99" t="s">
        <v>213</v>
      </c>
    </row>
    <row r="2756" spans="1:9" hidden="1" outlineLevel="1">
      <c r="A2756" s="465" t="str">
        <f t="shared" si="94"/>
        <v>SNB938672757734</v>
      </c>
      <c r="B2756" s="452">
        <v>116219918</v>
      </c>
      <c r="C2756" s="95">
        <f>+SUMIF('Anlage 2b_Korrekturen'!$B$8:$B$202,A2756,'Anlage 2b_Korrekturen'!$D$8:$D$202)</f>
        <v>-3164</v>
      </c>
      <c r="D2756" s="145">
        <f t="shared" si="95"/>
        <v>116216754</v>
      </c>
      <c r="E2756" s="143"/>
      <c r="F2756" s="143"/>
      <c r="G2756" s="143"/>
      <c r="H2756" s="143"/>
      <c r="I2756" s="99" t="s">
        <v>215</v>
      </c>
    </row>
    <row r="2757" spans="1:9" hidden="1" outlineLevel="1">
      <c r="A2757" s="465" t="str">
        <f t="shared" si="94"/>
        <v>SNB939517994215</v>
      </c>
      <c r="B2757" s="452">
        <v>51658166</v>
      </c>
      <c r="C2757" s="95">
        <f>+SUMIF('Anlage 2b_Korrekturen'!$B$8:$B$202,A2757,'Anlage 2b_Korrekturen'!$D$8:$D$202)</f>
        <v>-51988</v>
      </c>
      <c r="D2757" s="145">
        <f t="shared" si="95"/>
        <v>51606178</v>
      </c>
      <c r="E2757" s="143"/>
      <c r="F2757" s="143"/>
      <c r="G2757" s="143"/>
      <c r="H2757" s="143"/>
      <c r="I2757" s="99" t="s">
        <v>217</v>
      </c>
    </row>
    <row r="2758" spans="1:9" hidden="1" outlineLevel="1">
      <c r="A2758" s="465" t="str">
        <f t="shared" si="94"/>
        <v>SNB939548785561</v>
      </c>
      <c r="B2758" s="452">
        <v>103696066</v>
      </c>
      <c r="C2758" s="95">
        <f>+SUMIF('Anlage 2b_Korrekturen'!$B$8:$B$202,A2758,'Anlage 2b_Korrekturen'!$D$8:$D$202)</f>
        <v>5684914</v>
      </c>
      <c r="D2758" s="145">
        <f t="shared" si="95"/>
        <v>109380980</v>
      </c>
      <c r="E2758" s="143"/>
      <c r="F2758" s="143"/>
      <c r="G2758" s="143"/>
      <c r="H2758" s="143"/>
      <c r="I2758" s="99" t="s">
        <v>2020</v>
      </c>
    </row>
    <row r="2759" spans="1:9" hidden="1" outlineLevel="1">
      <c r="A2759" s="465" t="str">
        <f t="shared" si="94"/>
        <v>SNB939624707241</v>
      </c>
      <c r="B2759" s="452">
        <v>186312870</v>
      </c>
      <c r="C2759" s="95">
        <f>+SUMIF('Anlage 2b_Korrekturen'!$B$8:$B$202,A2759,'Anlage 2b_Korrekturen'!$D$8:$D$202)</f>
        <v>0</v>
      </c>
      <c r="D2759" s="145">
        <f t="shared" si="95"/>
        <v>186312870</v>
      </c>
      <c r="E2759" s="143"/>
      <c r="F2759" s="143"/>
      <c r="G2759" s="143"/>
      <c r="H2759" s="143"/>
      <c r="I2759" s="99" t="s">
        <v>219</v>
      </c>
    </row>
    <row r="2760" spans="1:9" hidden="1" outlineLevel="1">
      <c r="A2760" s="465" t="str">
        <f t="shared" si="94"/>
        <v>SNB939724292715</v>
      </c>
      <c r="B2760" s="452">
        <v>647766649</v>
      </c>
      <c r="C2760" s="95">
        <f>+SUMIF('Anlage 2b_Korrekturen'!$B$8:$B$202,A2760,'Anlage 2b_Korrekturen'!$D$8:$D$202)</f>
        <v>523279</v>
      </c>
      <c r="D2760" s="145">
        <f t="shared" si="95"/>
        <v>648289928</v>
      </c>
      <c r="E2760" s="143"/>
      <c r="F2760" s="143"/>
      <c r="G2760" s="143"/>
      <c r="H2760" s="143"/>
      <c r="I2760" s="99" t="s">
        <v>221</v>
      </c>
    </row>
    <row r="2761" spans="1:9" hidden="1" outlineLevel="1">
      <c r="A2761" s="465" t="str">
        <f t="shared" si="94"/>
        <v>SNB941081544895</v>
      </c>
      <c r="B2761" s="452">
        <v>51569684</v>
      </c>
      <c r="C2761" s="95">
        <f>+SUMIF('Anlage 2b_Korrekturen'!$B$8:$B$202,A2761,'Anlage 2b_Korrekturen'!$D$8:$D$202)</f>
        <v>0</v>
      </c>
      <c r="D2761" s="145">
        <f t="shared" si="95"/>
        <v>51569684</v>
      </c>
      <c r="E2761" s="143"/>
      <c r="F2761" s="143"/>
      <c r="G2761" s="143"/>
      <c r="H2761" s="143"/>
      <c r="I2761" s="99" t="s">
        <v>223</v>
      </c>
    </row>
    <row r="2762" spans="1:9" hidden="1" outlineLevel="1">
      <c r="A2762" s="465" t="str">
        <f t="shared" si="94"/>
        <v>SNB941283828373</v>
      </c>
      <c r="B2762" s="452">
        <v>56902744</v>
      </c>
      <c r="C2762" s="95">
        <f>+SUMIF('Anlage 2b_Korrekturen'!$B$8:$B$202,A2762,'Anlage 2b_Korrekturen'!$D$8:$D$202)</f>
        <v>0</v>
      </c>
      <c r="D2762" s="145">
        <f t="shared" si="95"/>
        <v>56902744</v>
      </c>
      <c r="E2762" s="143"/>
      <c r="F2762" s="143"/>
      <c r="G2762" s="143"/>
      <c r="H2762" s="143"/>
      <c r="I2762" s="99" t="s">
        <v>225</v>
      </c>
    </row>
    <row r="2763" spans="1:9" hidden="1" outlineLevel="1">
      <c r="A2763" s="465" t="str">
        <f t="shared" si="94"/>
        <v>SNB941314694489</v>
      </c>
      <c r="B2763" s="452">
        <v>33278563</v>
      </c>
      <c r="C2763" s="95">
        <f>+SUMIF('Anlage 2b_Korrekturen'!$B$8:$B$202,A2763,'Anlage 2b_Korrekturen'!$D$8:$D$202)</f>
        <v>-62044</v>
      </c>
      <c r="D2763" s="145">
        <f t="shared" si="95"/>
        <v>33216519</v>
      </c>
      <c r="E2763" s="143"/>
      <c r="F2763" s="143"/>
      <c r="G2763" s="143"/>
      <c r="H2763" s="143"/>
      <c r="I2763" s="99" t="s">
        <v>227</v>
      </c>
    </row>
    <row r="2764" spans="1:9" hidden="1" outlineLevel="1">
      <c r="A2764" s="465" t="str">
        <f t="shared" si="94"/>
        <v>SNB941690671609</v>
      </c>
      <c r="B2764" s="452">
        <v>6867506216</v>
      </c>
      <c r="C2764" s="95">
        <f>+SUMIF('Anlage 2b_Korrekturen'!$B$8:$B$202,A2764,'Anlage 2b_Korrekturen'!$D$8:$D$202)</f>
        <v>-41833932</v>
      </c>
      <c r="D2764" s="145">
        <f t="shared" si="95"/>
        <v>6825672284</v>
      </c>
      <c r="E2764" s="143"/>
      <c r="F2764" s="143"/>
      <c r="G2764" s="143"/>
      <c r="H2764" s="143"/>
      <c r="I2764" s="99" t="s">
        <v>229</v>
      </c>
    </row>
    <row r="2765" spans="1:9" hidden="1" outlineLevel="1">
      <c r="A2765" s="465" t="str">
        <f t="shared" si="94"/>
        <v>SNB942159258331</v>
      </c>
      <c r="B2765" s="452">
        <v>88505557</v>
      </c>
      <c r="C2765" s="95">
        <f>+SUMIF('Anlage 2b_Korrekturen'!$B$8:$B$202,A2765,'Anlage 2b_Korrekturen'!$D$8:$D$202)</f>
        <v>596195</v>
      </c>
      <c r="D2765" s="145">
        <f t="shared" si="95"/>
        <v>89101752</v>
      </c>
      <c r="E2765" s="143"/>
      <c r="F2765" s="143"/>
      <c r="G2765" s="143"/>
      <c r="H2765" s="143"/>
      <c r="I2765" s="99" t="s">
        <v>231</v>
      </c>
    </row>
    <row r="2766" spans="1:9" hidden="1" outlineLevel="1">
      <c r="A2766" s="465" t="str">
        <f t="shared" si="94"/>
        <v>SNB942182027607</v>
      </c>
      <c r="B2766" s="452">
        <v>2736393373</v>
      </c>
      <c r="C2766" s="95">
        <f>+SUMIF('Anlage 2b_Korrekturen'!$B$8:$B$202,A2766,'Anlage 2b_Korrekturen'!$D$8:$D$202)</f>
        <v>2368540</v>
      </c>
      <c r="D2766" s="145">
        <f t="shared" si="95"/>
        <v>2738761913</v>
      </c>
      <c r="E2766" s="143"/>
      <c r="F2766" s="143"/>
      <c r="G2766" s="143"/>
      <c r="H2766" s="143"/>
      <c r="I2766" s="99" t="s">
        <v>2104</v>
      </c>
    </row>
    <row r="2767" spans="1:9" hidden="1" outlineLevel="1">
      <c r="A2767" s="465" t="str">
        <f t="shared" si="94"/>
        <v>SNB943531720705</v>
      </c>
      <c r="B2767" s="452">
        <v>61450133</v>
      </c>
      <c r="C2767" s="95">
        <f>+SUMIF('Anlage 2b_Korrekturen'!$B$8:$B$202,A2767,'Anlage 2b_Korrekturen'!$D$8:$D$202)</f>
        <v>0</v>
      </c>
      <c r="D2767" s="145">
        <f t="shared" si="95"/>
        <v>61450133</v>
      </c>
      <c r="E2767" s="143"/>
      <c r="F2767" s="143"/>
      <c r="G2767" s="143"/>
      <c r="H2767" s="143"/>
      <c r="I2767" s="99" t="s">
        <v>233</v>
      </c>
    </row>
    <row r="2768" spans="1:9" hidden="1" outlineLevel="1">
      <c r="A2768" s="465" t="str">
        <f t="shared" si="94"/>
        <v>SNB943962034624</v>
      </c>
      <c r="B2768" s="452">
        <v>121848639</v>
      </c>
      <c r="C2768" s="95">
        <f>+SUMIF('Anlage 2b_Korrekturen'!$B$8:$B$202,A2768,'Anlage 2b_Korrekturen'!$D$8:$D$202)</f>
        <v>-888972</v>
      </c>
      <c r="D2768" s="145">
        <f t="shared" si="95"/>
        <v>120959667</v>
      </c>
      <c r="E2768" s="143"/>
      <c r="F2768" s="143"/>
      <c r="G2768" s="143"/>
      <c r="H2768" s="143"/>
      <c r="I2768" s="99" t="s">
        <v>2090</v>
      </c>
    </row>
    <row r="2769" spans="1:9" hidden="1" outlineLevel="1">
      <c r="A2769" s="465" t="str">
        <f t="shared" si="94"/>
        <v>SNB944962954653</v>
      </c>
      <c r="B2769" s="452">
        <v>27571062</v>
      </c>
      <c r="C2769" s="95">
        <f>+SUMIF('Anlage 2b_Korrekturen'!$B$8:$B$202,A2769,'Anlage 2b_Korrekturen'!$D$8:$D$202)</f>
        <v>0</v>
      </c>
      <c r="D2769" s="145">
        <f t="shared" si="95"/>
        <v>27571062</v>
      </c>
      <c r="E2769" s="143"/>
      <c r="F2769" s="143"/>
      <c r="G2769" s="143"/>
      <c r="H2769" s="143"/>
      <c r="I2769" s="99" t="s">
        <v>237</v>
      </c>
    </row>
    <row r="2770" spans="1:9" hidden="1" outlineLevel="1">
      <c r="A2770" s="465" t="str">
        <f t="shared" si="94"/>
        <v>SNB945861817537</v>
      </c>
      <c r="B2770" s="452">
        <v>614236495</v>
      </c>
      <c r="C2770" s="95">
        <f>+SUMIF('Anlage 2b_Korrekturen'!$B$8:$B$202,A2770,'Anlage 2b_Korrekturen'!$D$8:$D$202)</f>
        <v>44607</v>
      </c>
      <c r="D2770" s="145">
        <f t="shared" si="95"/>
        <v>614281102</v>
      </c>
      <c r="E2770" s="143"/>
      <c r="F2770" s="143"/>
      <c r="G2770" s="143"/>
      <c r="H2770" s="143"/>
      <c r="I2770" s="99" t="s">
        <v>239</v>
      </c>
    </row>
    <row r="2771" spans="1:9" hidden="1" outlineLevel="1">
      <c r="A2771" s="465" t="str">
        <f t="shared" si="94"/>
        <v>SNB946013720880</v>
      </c>
      <c r="B2771" s="452">
        <v>39701245</v>
      </c>
      <c r="C2771" s="95">
        <f>+SUMIF('Anlage 2b_Korrekturen'!$B$8:$B$202,A2771,'Anlage 2b_Korrekturen'!$D$8:$D$202)</f>
        <v>59601</v>
      </c>
      <c r="D2771" s="145">
        <f t="shared" si="95"/>
        <v>39760846</v>
      </c>
      <c r="E2771" s="143"/>
      <c r="F2771" s="143"/>
      <c r="G2771" s="143"/>
      <c r="H2771" s="143"/>
      <c r="I2771" s="99" t="s">
        <v>241</v>
      </c>
    </row>
    <row r="2772" spans="1:9" hidden="1" outlineLevel="1">
      <c r="A2772" s="465" t="str">
        <f t="shared" si="94"/>
        <v>SNB946425570127</v>
      </c>
      <c r="B2772" s="452">
        <v>117957444</v>
      </c>
      <c r="C2772" s="95">
        <f>+SUMIF('Anlage 2b_Korrekturen'!$B$8:$B$202,A2772,'Anlage 2b_Korrekturen'!$D$8:$D$202)</f>
        <v>-862877</v>
      </c>
      <c r="D2772" s="145">
        <f t="shared" si="95"/>
        <v>117094567</v>
      </c>
      <c r="E2772" s="143"/>
      <c r="F2772" s="143"/>
      <c r="G2772" s="143"/>
      <c r="H2772" s="143"/>
      <c r="I2772" s="99" t="s">
        <v>243</v>
      </c>
    </row>
    <row r="2773" spans="1:9" hidden="1" outlineLevel="1">
      <c r="A2773" s="465" t="str">
        <f t="shared" si="94"/>
        <v>SNB946612539746</v>
      </c>
      <c r="B2773" s="452">
        <v>80881985</v>
      </c>
      <c r="C2773" s="95">
        <f>+SUMIF('Anlage 2b_Korrekturen'!$B$8:$B$202,A2773,'Anlage 2b_Korrekturen'!$D$8:$D$202)</f>
        <v>-1164182</v>
      </c>
      <c r="D2773" s="145">
        <f t="shared" si="95"/>
        <v>79717803</v>
      </c>
      <c r="E2773" s="143"/>
      <c r="F2773" s="143"/>
      <c r="G2773" s="143"/>
      <c r="H2773" s="143"/>
      <c r="I2773" s="99" t="s">
        <v>245</v>
      </c>
    </row>
    <row r="2774" spans="1:9" hidden="1" outlineLevel="1">
      <c r="A2774" s="465" t="str">
        <f t="shared" si="94"/>
        <v>SNB948470226516</v>
      </c>
      <c r="B2774" s="452">
        <v>19490943</v>
      </c>
      <c r="C2774" s="95">
        <f>+SUMIF('Anlage 2b_Korrekturen'!$B$8:$B$202,A2774,'Anlage 2b_Korrekturen'!$D$8:$D$202)</f>
        <v>0</v>
      </c>
      <c r="D2774" s="145">
        <f t="shared" si="95"/>
        <v>19490943</v>
      </c>
      <c r="E2774" s="143"/>
      <c r="F2774" s="143"/>
      <c r="G2774" s="143"/>
      <c r="H2774" s="143"/>
      <c r="I2774" s="99" t="s">
        <v>247</v>
      </c>
    </row>
    <row r="2775" spans="1:9" hidden="1" outlineLevel="1">
      <c r="A2775" s="465" t="str">
        <f t="shared" si="94"/>
        <v>SNB948816192529</v>
      </c>
      <c r="B2775" s="452">
        <v>270820578</v>
      </c>
      <c r="C2775" s="95">
        <f>+SUMIF('Anlage 2b_Korrekturen'!$B$8:$B$202,A2775,'Anlage 2b_Korrekturen'!$D$8:$D$202)</f>
        <v>638088</v>
      </c>
      <c r="D2775" s="145">
        <f t="shared" si="95"/>
        <v>271458666</v>
      </c>
      <c r="E2775" s="143"/>
      <c r="F2775" s="143"/>
      <c r="G2775" s="143"/>
      <c r="H2775" s="143"/>
      <c r="I2775" s="99" t="s">
        <v>249</v>
      </c>
    </row>
    <row r="2776" spans="1:9" hidden="1" outlineLevel="1">
      <c r="A2776" s="465" t="str">
        <f t="shared" si="94"/>
        <v>SNB948859455841</v>
      </c>
      <c r="B2776" s="452">
        <v>1672267248</v>
      </c>
      <c r="C2776" s="95">
        <f>+SUMIF('Anlage 2b_Korrekturen'!$B$8:$B$202,A2776,'Anlage 2b_Korrekturen'!$D$8:$D$202)</f>
        <v>0</v>
      </c>
      <c r="D2776" s="145">
        <f t="shared" si="95"/>
        <v>1672267248</v>
      </c>
      <c r="E2776" s="143"/>
      <c r="F2776" s="143"/>
      <c r="G2776" s="143"/>
      <c r="H2776" s="143"/>
      <c r="I2776" s="99" t="s">
        <v>251</v>
      </c>
    </row>
    <row r="2777" spans="1:9" hidden="1" outlineLevel="1">
      <c r="A2777" s="465" t="str">
        <f t="shared" si="94"/>
        <v>SNB950262883869</v>
      </c>
      <c r="B2777" s="452">
        <v>640439545</v>
      </c>
      <c r="C2777" s="95">
        <f>+SUMIF('Anlage 2b_Korrekturen'!$B$8:$B$202,A2777,'Anlage 2b_Korrekturen'!$D$8:$D$202)</f>
        <v>-4708112</v>
      </c>
      <c r="D2777" s="145">
        <f t="shared" si="95"/>
        <v>635731433</v>
      </c>
      <c r="E2777" s="143"/>
      <c r="F2777" s="143"/>
      <c r="G2777" s="143"/>
      <c r="H2777" s="143"/>
      <c r="I2777" s="99" t="s">
        <v>1698</v>
      </c>
    </row>
    <row r="2778" spans="1:9" hidden="1" outlineLevel="1">
      <c r="A2778" s="465" t="str">
        <f t="shared" si="94"/>
        <v>SNB951105240061</v>
      </c>
      <c r="B2778" s="452">
        <v>193809035</v>
      </c>
      <c r="C2778" s="95">
        <f>+SUMIF('Anlage 2b_Korrekturen'!$B$8:$B$202,A2778,'Anlage 2b_Korrekturen'!$D$8:$D$202)</f>
        <v>-1086580</v>
      </c>
      <c r="D2778" s="145">
        <f t="shared" si="95"/>
        <v>192722455</v>
      </c>
      <c r="E2778" s="143"/>
      <c r="F2778" s="143"/>
      <c r="G2778" s="143"/>
      <c r="H2778" s="143"/>
      <c r="I2778" s="99" t="s">
        <v>255</v>
      </c>
    </row>
    <row r="2779" spans="1:9" hidden="1" outlineLevel="1">
      <c r="A2779" s="465" t="str">
        <f t="shared" si="94"/>
        <v>SNB951305396193</v>
      </c>
      <c r="B2779" s="452">
        <v>82503220</v>
      </c>
      <c r="C2779" s="95">
        <f>+SUMIF('Anlage 2b_Korrekturen'!$B$8:$B$202,A2779,'Anlage 2b_Korrekturen'!$D$8:$D$202)</f>
        <v>42498</v>
      </c>
      <c r="D2779" s="145">
        <f t="shared" si="95"/>
        <v>82545718</v>
      </c>
      <c r="E2779" s="143"/>
      <c r="F2779" s="143"/>
      <c r="G2779" s="143"/>
      <c r="H2779" s="143"/>
      <c r="I2779" s="99" t="s">
        <v>257</v>
      </c>
    </row>
    <row r="2780" spans="1:9" hidden="1" outlineLevel="1">
      <c r="A2780" s="465" t="str">
        <f t="shared" si="94"/>
        <v>SNB952677840789</v>
      </c>
      <c r="B2780" s="452">
        <v>91158567</v>
      </c>
      <c r="C2780" s="95">
        <f>+SUMIF('Anlage 2b_Korrekturen'!$B$8:$B$202,A2780,'Anlage 2b_Korrekturen'!$D$8:$D$202)</f>
        <v>289259</v>
      </c>
      <c r="D2780" s="145">
        <f t="shared" si="95"/>
        <v>91447826</v>
      </c>
      <c r="E2780" s="143"/>
      <c r="F2780" s="143"/>
      <c r="G2780" s="143"/>
      <c r="H2780" s="143"/>
      <c r="I2780" s="99" t="s">
        <v>259</v>
      </c>
    </row>
    <row r="2781" spans="1:9" hidden="1" outlineLevel="1">
      <c r="A2781" s="465" t="str">
        <f t="shared" si="94"/>
        <v>SNB953495670831</v>
      </c>
      <c r="B2781" s="452">
        <v>75674506</v>
      </c>
      <c r="C2781" s="95">
        <f>+SUMIF('Anlage 2b_Korrekturen'!$B$8:$B$202,A2781,'Anlage 2b_Korrekturen'!$D$8:$D$202)</f>
        <v>0</v>
      </c>
      <c r="D2781" s="145">
        <f t="shared" si="95"/>
        <v>75674506</v>
      </c>
      <c r="E2781" s="143"/>
      <c r="F2781" s="143"/>
      <c r="G2781" s="143"/>
      <c r="H2781" s="143"/>
      <c r="I2781" s="99" t="s">
        <v>261</v>
      </c>
    </row>
    <row r="2782" spans="1:9" hidden="1" outlineLevel="1">
      <c r="A2782" s="465" t="str">
        <f t="shared" si="94"/>
        <v>SNB953669866350</v>
      </c>
      <c r="B2782" s="452">
        <v>116445863</v>
      </c>
      <c r="C2782" s="95">
        <f>+SUMIF('Anlage 2b_Korrekturen'!$B$8:$B$202,A2782,'Anlage 2b_Korrekturen'!$D$8:$D$202)</f>
        <v>0</v>
      </c>
      <c r="D2782" s="145">
        <f t="shared" si="95"/>
        <v>116445863</v>
      </c>
      <c r="E2782" s="143"/>
      <c r="F2782" s="143"/>
      <c r="G2782" s="143"/>
      <c r="H2782" s="143"/>
      <c r="I2782" s="99" t="s">
        <v>263</v>
      </c>
    </row>
    <row r="2783" spans="1:9" hidden="1" outlineLevel="1">
      <c r="A2783" s="465" t="str">
        <f t="shared" si="94"/>
        <v>SNB954281375657</v>
      </c>
      <c r="B2783" s="452">
        <v>253396319</v>
      </c>
      <c r="C2783" s="95">
        <f>+SUMIF('Anlage 2b_Korrekturen'!$B$8:$B$202,A2783,'Anlage 2b_Korrekturen'!$D$8:$D$202)</f>
        <v>-1943325</v>
      </c>
      <c r="D2783" s="145">
        <f t="shared" si="95"/>
        <v>251452994</v>
      </c>
      <c r="E2783" s="143"/>
      <c r="F2783" s="143"/>
      <c r="G2783" s="143"/>
      <c r="H2783" s="143"/>
      <c r="I2783" s="99" t="s">
        <v>265</v>
      </c>
    </row>
    <row r="2784" spans="1:9" hidden="1" outlineLevel="1">
      <c r="A2784" s="465" t="str">
        <f t="shared" si="94"/>
        <v>SNB954814647626</v>
      </c>
      <c r="B2784" s="452">
        <v>201699436</v>
      </c>
      <c r="C2784" s="95">
        <f>+SUMIF('Anlage 2b_Korrekturen'!$B$8:$B$202,A2784,'Anlage 2b_Korrekturen'!$D$8:$D$202)</f>
        <v>0</v>
      </c>
      <c r="D2784" s="145">
        <f t="shared" si="95"/>
        <v>201699436</v>
      </c>
      <c r="E2784" s="143"/>
      <c r="F2784" s="143"/>
      <c r="G2784" s="143"/>
      <c r="H2784" s="143"/>
      <c r="I2784" s="99" t="s">
        <v>267</v>
      </c>
    </row>
    <row r="2785" spans="1:9" hidden="1" outlineLevel="1">
      <c r="A2785" s="465" t="str">
        <f t="shared" ref="A2785:A2816" si="96">+A1852</f>
        <v>SNB957404386462</v>
      </c>
      <c r="B2785" s="452">
        <v>86526801</v>
      </c>
      <c r="C2785" s="95">
        <f>+SUMIF('Anlage 2b_Korrekturen'!$B$8:$B$202,A2785,'Anlage 2b_Korrekturen'!$D$8:$D$202)</f>
        <v>0</v>
      </c>
      <c r="D2785" s="145">
        <f t="shared" ref="D2785:D2816" si="97">+B2785+C2785</f>
        <v>86526801</v>
      </c>
      <c r="E2785" s="143"/>
      <c r="F2785" s="143"/>
      <c r="G2785" s="143"/>
      <c r="H2785" s="143"/>
      <c r="I2785" s="99" t="s">
        <v>2091</v>
      </c>
    </row>
    <row r="2786" spans="1:9" hidden="1" outlineLevel="1">
      <c r="A2786" s="465" t="str">
        <f t="shared" si="96"/>
        <v>SNB957440824454</v>
      </c>
      <c r="B2786" s="452">
        <v>45973114</v>
      </c>
      <c r="C2786" s="95">
        <f>+SUMIF('Anlage 2b_Korrekturen'!$B$8:$B$202,A2786,'Anlage 2b_Korrekturen'!$D$8:$D$202)</f>
        <v>0</v>
      </c>
      <c r="D2786" s="145">
        <f t="shared" si="97"/>
        <v>45973114</v>
      </c>
      <c r="E2786" s="143"/>
      <c r="F2786" s="143"/>
      <c r="G2786" s="143"/>
      <c r="H2786" s="143"/>
      <c r="I2786" s="99" t="s">
        <v>271</v>
      </c>
    </row>
    <row r="2787" spans="1:9" hidden="1" outlineLevel="1">
      <c r="A2787" s="465" t="str">
        <f t="shared" si="96"/>
        <v>SNB957549782006</v>
      </c>
      <c r="B2787" s="452">
        <v>39339125</v>
      </c>
      <c r="C2787" s="95">
        <f>+SUMIF('Anlage 2b_Korrekturen'!$B$8:$B$202,A2787,'Anlage 2b_Korrekturen'!$D$8:$D$202)</f>
        <v>0</v>
      </c>
      <c r="D2787" s="145">
        <f t="shared" si="97"/>
        <v>39339125</v>
      </c>
      <c r="E2787" s="143"/>
      <c r="F2787" s="143"/>
      <c r="G2787" s="143"/>
      <c r="H2787" s="143"/>
      <c r="I2787" s="99" t="s">
        <v>273</v>
      </c>
    </row>
    <row r="2788" spans="1:9" hidden="1" outlineLevel="1">
      <c r="A2788" s="465" t="str">
        <f t="shared" si="96"/>
        <v>SNB957591716776</v>
      </c>
      <c r="B2788" s="452">
        <v>52626429</v>
      </c>
      <c r="C2788" s="95">
        <f>+SUMIF('Anlage 2b_Korrekturen'!$B$8:$B$202,A2788,'Anlage 2b_Korrekturen'!$D$8:$D$202)</f>
        <v>0</v>
      </c>
      <c r="D2788" s="145">
        <f t="shared" si="97"/>
        <v>52626429</v>
      </c>
      <c r="E2788" s="143"/>
      <c r="F2788" s="143"/>
      <c r="G2788" s="143"/>
      <c r="H2788" s="143"/>
      <c r="I2788" s="99" t="s">
        <v>275</v>
      </c>
    </row>
    <row r="2789" spans="1:9" hidden="1" outlineLevel="1">
      <c r="A2789" s="465" t="str">
        <f t="shared" si="96"/>
        <v>SNB958237843443</v>
      </c>
      <c r="B2789" s="452">
        <v>74406392</v>
      </c>
      <c r="C2789" s="95">
        <f>+SUMIF('Anlage 2b_Korrekturen'!$B$8:$B$202,A2789,'Anlage 2b_Korrekturen'!$D$8:$D$202)</f>
        <v>-92963</v>
      </c>
      <c r="D2789" s="145">
        <f t="shared" si="97"/>
        <v>74313429</v>
      </c>
      <c r="E2789" s="143"/>
      <c r="F2789" s="143"/>
      <c r="G2789" s="143"/>
      <c r="H2789" s="143"/>
      <c r="I2789" s="99" t="s">
        <v>277</v>
      </c>
    </row>
    <row r="2790" spans="1:9" hidden="1" outlineLevel="1">
      <c r="A2790" s="465" t="str">
        <f t="shared" si="96"/>
        <v>SNB959120377328</v>
      </c>
      <c r="B2790" s="452">
        <v>108447924</v>
      </c>
      <c r="C2790" s="95">
        <f>+SUMIF('Anlage 2b_Korrekturen'!$B$8:$B$202,A2790,'Anlage 2b_Korrekturen'!$D$8:$D$202)</f>
        <v>0</v>
      </c>
      <c r="D2790" s="145">
        <f t="shared" si="97"/>
        <v>108447924</v>
      </c>
      <c r="E2790" s="143"/>
      <c r="F2790" s="143"/>
      <c r="G2790" s="143"/>
      <c r="H2790" s="143"/>
      <c r="I2790" s="99" t="s">
        <v>279</v>
      </c>
    </row>
    <row r="2791" spans="1:9" hidden="1" outlineLevel="1">
      <c r="A2791" s="465" t="str">
        <f t="shared" si="96"/>
        <v>SNB959176447266</v>
      </c>
      <c r="B2791" s="452">
        <v>206177884</v>
      </c>
      <c r="C2791" s="95">
        <f>+SUMIF('Anlage 2b_Korrekturen'!$B$8:$B$202,A2791,'Anlage 2b_Korrekturen'!$D$8:$D$202)</f>
        <v>0</v>
      </c>
      <c r="D2791" s="145">
        <f t="shared" si="97"/>
        <v>206177884</v>
      </c>
      <c r="E2791" s="143"/>
      <c r="F2791" s="143"/>
      <c r="G2791" s="143"/>
      <c r="H2791" s="143"/>
      <c r="I2791" s="99" t="s">
        <v>281</v>
      </c>
    </row>
    <row r="2792" spans="1:9" hidden="1" outlineLevel="1">
      <c r="A2792" s="465" t="str">
        <f t="shared" si="96"/>
        <v>SNB959492463384</v>
      </c>
      <c r="B2792" s="452">
        <v>33121527</v>
      </c>
      <c r="C2792" s="95">
        <f>+SUMIF('Anlage 2b_Korrekturen'!$B$8:$B$202,A2792,'Anlage 2b_Korrekturen'!$D$8:$D$202)</f>
        <v>0</v>
      </c>
      <c r="D2792" s="145">
        <f t="shared" si="97"/>
        <v>33121527</v>
      </c>
      <c r="E2792" s="143"/>
      <c r="F2792" s="143"/>
      <c r="G2792" s="143"/>
      <c r="H2792" s="143"/>
      <c r="I2792" s="99" t="s">
        <v>2092</v>
      </c>
    </row>
    <row r="2793" spans="1:9" hidden="1" outlineLevel="1">
      <c r="A2793" s="465" t="str">
        <f t="shared" si="96"/>
        <v>SNB959567240391</v>
      </c>
      <c r="B2793" s="452">
        <v>52162246</v>
      </c>
      <c r="C2793" s="95">
        <f>+SUMIF('Anlage 2b_Korrekturen'!$B$8:$B$202,A2793,'Anlage 2b_Korrekturen'!$D$8:$D$202)</f>
        <v>0</v>
      </c>
      <c r="D2793" s="145">
        <f t="shared" si="97"/>
        <v>52162246</v>
      </c>
      <c r="E2793" s="143"/>
      <c r="F2793" s="143"/>
      <c r="G2793" s="143"/>
      <c r="H2793" s="143"/>
      <c r="I2793" s="99" t="s">
        <v>2093</v>
      </c>
    </row>
    <row r="2794" spans="1:9" hidden="1" outlineLevel="1">
      <c r="A2794" s="465" t="str">
        <f t="shared" si="96"/>
        <v>SNB959966681252</v>
      </c>
      <c r="B2794" s="452">
        <v>65247397</v>
      </c>
      <c r="C2794" s="95">
        <f>+SUMIF('Anlage 2b_Korrekturen'!$B$8:$B$202,A2794,'Anlage 2b_Korrekturen'!$D$8:$D$202)</f>
        <v>-75838</v>
      </c>
      <c r="D2794" s="145">
        <f t="shared" si="97"/>
        <v>65171559</v>
      </c>
      <c r="E2794" s="143"/>
      <c r="F2794" s="143"/>
      <c r="G2794" s="143"/>
      <c r="H2794" s="143"/>
      <c r="I2794" s="99" t="s">
        <v>285</v>
      </c>
    </row>
    <row r="2795" spans="1:9" hidden="1" outlineLevel="1">
      <c r="A2795" s="465" t="str">
        <f t="shared" si="96"/>
        <v>SNB960729432592</v>
      </c>
      <c r="B2795" s="452">
        <v>14240100</v>
      </c>
      <c r="C2795" s="95">
        <f>+SUMIF('Anlage 2b_Korrekturen'!$B$8:$B$202,A2795,'Anlage 2b_Korrekturen'!$D$8:$D$202)</f>
        <v>-1679681</v>
      </c>
      <c r="D2795" s="145">
        <f t="shared" si="97"/>
        <v>12560419</v>
      </c>
      <c r="E2795" s="143"/>
      <c r="F2795" s="143"/>
      <c r="G2795" s="143"/>
      <c r="H2795" s="143"/>
      <c r="I2795" s="99" t="s">
        <v>287</v>
      </c>
    </row>
    <row r="2796" spans="1:9" hidden="1" outlineLevel="1">
      <c r="A2796" s="465" t="str">
        <f t="shared" si="96"/>
        <v>SNB961316124487</v>
      </c>
      <c r="B2796" s="452">
        <v>144709339</v>
      </c>
      <c r="C2796" s="95">
        <f>+SUMIF('Anlage 2b_Korrekturen'!$B$8:$B$202,A2796,'Anlage 2b_Korrekturen'!$D$8:$D$202)</f>
        <v>0</v>
      </c>
      <c r="D2796" s="145">
        <f t="shared" si="97"/>
        <v>144709339</v>
      </c>
      <c r="E2796" s="143"/>
      <c r="F2796" s="143"/>
      <c r="G2796" s="143"/>
      <c r="H2796" s="143"/>
      <c r="I2796" s="99" t="s">
        <v>2094</v>
      </c>
    </row>
    <row r="2797" spans="1:9" hidden="1" outlineLevel="1">
      <c r="A2797" s="465" t="str">
        <f t="shared" si="96"/>
        <v>SNB961833910969</v>
      </c>
      <c r="B2797" s="452">
        <v>33210608</v>
      </c>
      <c r="C2797" s="95">
        <f>+SUMIF('Anlage 2b_Korrekturen'!$B$8:$B$202,A2797,'Anlage 2b_Korrekturen'!$D$8:$D$202)</f>
        <v>0</v>
      </c>
      <c r="D2797" s="145">
        <f t="shared" si="97"/>
        <v>33210608</v>
      </c>
      <c r="E2797" s="143"/>
      <c r="F2797" s="143"/>
      <c r="G2797" s="143"/>
      <c r="H2797" s="143"/>
      <c r="I2797" s="99" t="s">
        <v>291</v>
      </c>
    </row>
    <row r="2798" spans="1:9" hidden="1" outlineLevel="1">
      <c r="A2798" s="465" t="str">
        <f t="shared" si="96"/>
        <v>SNB961943991735</v>
      </c>
      <c r="B2798" s="452">
        <v>27036947</v>
      </c>
      <c r="C2798" s="95">
        <f>+SUMIF('Anlage 2b_Korrekturen'!$B$8:$B$202,A2798,'Anlage 2b_Korrekturen'!$D$8:$D$202)</f>
        <v>0</v>
      </c>
      <c r="D2798" s="145">
        <f t="shared" si="97"/>
        <v>27036947</v>
      </c>
      <c r="E2798" s="143"/>
      <c r="F2798" s="143"/>
      <c r="G2798" s="143"/>
      <c r="H2798" s="143"/>
      <c r="I2798" s="99" t="s">
        <v>293</v>
      </c>
    </row>
    <row r="2799" spans="1:9" hidden="1" outlineLevel="1">
      <c r="A2799" s="465" t="str">
        <f t="shared" si="96"/>
        <v>SNB962389410347</v>
      </c>
      <c r="B2799" s="452">
        <v>48905783</v>
      </c>
      <c r="C2799" s="95">
        <f>+SUMIF('Anlage 2b_Korrekturen'!$B$8:$B$202,A2799,'Anlage 2b_Korrekturen'!$D$8:$D$202)</f>
        <v>-312253</v>
      </c>
      <c r="D2799" s="145">
        <f t="shared" si="97"/>
        <v>48593530</v>
      </c>
      <c r="E2799" s="143"/>
      <c r="F2799" s="143"/>
      <c r="G2799" s="143"/>
      <c r="H2799" s="143"/>
      <c r="I2799" s="99" t="s">
        <v>295</v>
      </c>
    </row>
    <row r="2800" spans="1:9" hidden="1" outlineLevel="1">
      <c r="A2800" s="465" t="str">
        <f t="shared" si="96"/>
        <v>SNB962890977544</v>
      </c>
      <c r="B2800" s="452">
        <v>92467481</v>
      </c>
      <c r="C2800" s="95">
        <f>+SUMIF('Anlage 2b_Korrekturen'!$B$8:$B$202,A2800,'Anlage 2b_Korrekturen'!$D$8:$D$202)</f>
        <v>526616</v>
      </c>
      <c r="D2800" s="145">
        <f t="shared" si="97"/>
        <v>92994097</v>
      </c>
      <c r="E2800" s="143"/>
      <c r="F2800" s="143"/>
      <c r="G2800" s="143"/>
      <c r="H2800" s="143"/>
      <c r="I2800" s="99" t="s">
        <v>297</v>
      </c>
    </row>
    <row r="2801" spans="1:9" hidden="1" outlineLevel="1">
      <c r="A2801" s="465" t="str">
        <f t="shared" si="96"/>
        <v>SNB963070917732</v>
      </c>
      <c r="B2801" s="452">
        <v>62746749</v>
      </c>
      <c r="C2801" s="95">
        <f>+SUMIF('Anlage 2b_Korrekturen'!$B$8:$B$202,A2801,'Anlage 2b_Korrekturen'!$D$8:$D$202)</f>
        <v>0</v>
      </c>
      <c r="D2801" s="145">
        <f t="shared" si="97"/>
        <v>62746749</v>
      </c>
      <c r="E2801" s="143"/>
      <c r="F2801" s="143"/>
      <c r="G2801" s="143"/>
      <c r="H2801" s="143"/>
      <c r="I2801" s="99" t="s">
        <v>299</v>
      </c>
    </row>
    <row r="2802" spans="1:9" hidden="1" outlineLevel="1">
      <c r="A2802" s="465" t="str">
        <f t="shared" si="96"/>
        <v>SNB963792700889</v>
      </c>
      <c r="B2802" s="452">
        <v>174480815</v>
      </c>
      <c r="C2802" s="95">
        <f>+SUMIF('Anlage 2b_Korrekturen'!$B$8:$B$202,A2802,'Anlage 2b_Korrekturen'!$D$8:$D$202)</f>
        <v>26580</v>
      </c>
      <c r="D2802" s="145">
        <f t="shared" si="97"/>
        <v>174507395</v>
      </c>
      <c r="E2802" s="143"/>
      <c r="F2802" s="143"/>
      <c r="G2802" s="143"/>
      <c r="H2802" s="143"/>
      <c r="I2802" s="99" t="s">
        <v>301</v>
      </c>
    </row>
    <row r="2803" spans="1:9" hidden="1" outlineLevel="1">
      <c r="A2803" s="465" t="str">
        <f t="shared" si="96"/>
        <v>SNB963995572245</v>
      </c>
      <c r="B2803" s="452">
        <v>57855437</v>
      </c>
      <c r="C2803" s="95">
        <f>+SUMIF('Anlage 2b_Korrekturen'!$B$8:$B$202,A2803,'Anlage 2b_Korrekturen'!$D$8:$D$202)</f>
        <v>-68910</v>
      </c>
      <c r="D2803" s="145">
        <f t="shared" si="97"/>
        <v>57786527</v>
      </c>
      <c r="E2803" s="143"/>
      <c r="F2803" s="143"/>
      <c r="G2803" s="143"/>
      <c r="H2803" s="143"/>
      <c r="I2803" s="99" t="s">
        <v>303</v>
      </c>
    </row>
    <row r="2804" spans="1:9" hidden="1" outlineLevel="1">
      <c r="A2804" s="465" t="str">
        <f t="shared" si="96"/>
        <v>SNB964045995373</v>
      </c>
      <c r="B2804" s="452">
        <v>135244485</v>
      </c>
      <c r="C2804" s="95">
        <f>+SUMIF('Anlage 2b_Korrekturen'!$B$8:$B$202,A2804,'Anlage 2b_Korrekturen'!$D$8:$D$202)</f>
        <v>437241</v>
      </c>
      <c r="D2804" s="145">
        <f t="shared" si="97"/>
        <v>135681726</v>
      </c>
      <c r="E2804" s="143"/>
      <c r="F2804" s="143"/>
      <c r="G2804" s="143"/>
      <c r="H2804" s="143"/>
      <c r="I2804" s="99" t="s">
        <v>2095</v>
      </c>
    </row>
    <row r="2805" spans="1:9" hidden="1" outlineLevel="1">
      <c r="A2805" s="465" t="str">
        <f t="shared" si="96"/>
        <v>SNB964092397892</v>
      </c>
      <c r="B2805" s="452">
        <v>41391857</v>
      </c>
      <c r="C2805" s="95">
        <f>+SUMIF('Anlage 2b_Korrekturen'!$B$8:$B$202,A2805,'Anlage 2b_Korrekturen'!$D$8:$D$202)</f>
        <v>0</v>
      </c>
      <c r="D2805" s="145">
        <f t="shared" si="97"/>
        <v>41391857</v>
      </c>
      <c r="E2805" s="143"/>
      <c r="F2805" s="143"/>
      <c r="G2805" s="143"/>
      <c r="H2805" s="143"/>
      <c r="I2805" s="99" t="s">
        <v>307</v>
      </c>
    </row>
    <row r="2806" spans="1:9" hidden="1" outlineLevel="1">
      <c r="A2806" s="465" t="str">
        <f t="shared" si="96"/>
        <v>SNB964659661008</v>
      </c>
      <c r="B2806" s="452">
        <v>85782003</v>
      </c>
      <c r="C2806" s="95">
        <f>+SUMIF('Anlage 2b_Korrekturen'!$B$8:$B$202,A2806,'Anlage 2b_Korrekturen'!$D$8:$D$202)</f>
        <v>0</v>
      </c>
      <c r="D2806" s="145">
        <f t="shared" si="97"/>
        <v>85782003</v>
      </c>
      <c r="E2806" s="143"/>
      <c r="F2806" s="143"/>
      <c r="G2806" s="143"/>
      <c r="H2806" s="143"/>
      <c r="I2806" s="99" t="s">
        <v>309</v>
      </c>
    </row>
    <row r="2807" spans="1:9" hidden="1" outlineLevel="1">
      <c r="A2807" s="465" t="str">
        <f t="shared" si="96"/>
        <v>SNB968295079586</v>
      </c>
      <c r="B2807" s="452">
        <v>6909866822</v>
      </c>
      <c r="C2807" s="95">
        <f>+SUMIF('Anlage 2b_Korrekturen'!$B$8:$B$202,A2807,'Anlage 2b_Korrekturen'!$D$8:$D$202)</f>
        <v>-465340</v>
      </c>
      <c r="D2807" s="145">
        <f t="shared" si="97"/>
        <v>6909401482</v>
      </c>
      <c r="E2807" s="143"/>
      <c r="F2807" s="143"/>
      <c r="G2807" s="143"/>
      <c r="H2807" s="143"/>
      <c r="I2807" s="99" t="s">
        <v>311</v>
      </c>
    </row>
    <row r="2808" spans="1:9" hidden="1" outlineLevel="1">
      <c r="A2808" s="465" t="str">
        <f t="shared" si="96"/>
        <v>SNB968914838013</v>
      </c>
      <c r="B2808" s="452">
        <v>2052716008</v>
      </c>
      <c r="C2808" s="95">
        <f>+SUMIF('Anlage 2b_Korrekturen'!$B$8:$B$202,A2808,'Anlage 2b_Korrekturen'!$D$8:$D$202)</f>
        <v>38541880</v>
      </c>
      <c r="D2808" s="145">
        <f t="shared" si="97"/>
        <v>2091257888</v>
      </c>
      <c r="E2808" s="143"/>
      <c r="F2808" s="143"/>
      <c r="G2808" s="143"/>
      <c r="H2808" s="143"/>
      <c r="I2808" s="99" t="s">
        <v>313</v>
      </c>
    </row>
    <row r="2809" spans="1:9" hidden="1" outlineLevel="1">
      <c r="A2809" s="465" t="str">
        <f t="shared" si="96"/>
        <v>SNB970223838288</v>
      </c>
      <c r="B2809" s="452">
        <v>79275835</v>
      </c>
      <c r="C2809" s="95">
        <f>+SUMIF('Anlage 2b_Korrekturen'!$B$8:$B$202,A2809,'Anlage 2b_Korrekturen'!$D$8:$D$202)</f>
        <v>0</v>
      </c>
      <c r="D2809" s="145">
        <f t="shared" si="97"/>
        <v>79275835</v>
      </c>
      <c r="E2809" s="143"/>
      <c r="F2809" s="143"/>
      <c r="G2809" s="143"/>
      <c r="H2809" s="143"/>
      <c r="I2809" s="99" t="s">
        <v>315</v>
      </c>
    </row>
    <row r="2810" spans="1:9" hidden="1" outlineLevel="1">
      <c r="A2810" s="465" t="str">
        <f t="shared" si="96"/>
        <v>SNB970821959712</v>
      </c>
      <c r="B2810" s="452">
        <v>2975555620</v>
      </c>
      <c r="C2810" s="95">
        <f>+SUMIF('Anlage 2b_Korrekturen'!$B$8:$B$202,A2810,'Anlage 2b_Korrekturen'!$D$8:$D$202)</f>
        <v>90235376</v>
      </c>
      <c r="D2810" s="145">
        <f t="shared" si="97"/>
        <v>3065790996</v>
      </c>
      <c r="E2810" s="143"/>
      <c r="F2810" s="143"/>
      <c r="G2810" s="143"/>
      <c r="H2810" s="143"/>
      <c r="I2810" s="99" t="s">
        <v>317</v>
      </c>
    </row>
    <row r="2811" spans="1:9" hidden="1" outlineLevel="1">
      <c r="A2811" s="465" t="str">
        <f t="shared" si="96"/>
        <v>SNB971199523673</v>
      </c>
      <c r="B2811" s="452">
        <v>217412607</v>
      </c>
      <c r="C2811" s="95">
        <f>+SUMIF('Anlage 2b_Korrekturen'!$B$8:$B$202,A2811,'Anlage 2b_Korrekturen'!$D$8:$D$202)</f>
        <v>-2821620</v>
      </c>
      <c r="D2811" s="145">
        <f t="shared" si="97"/>
        <v>214590987</v>
      </c>
      <c r="E2811" s="143"/>
      <c r="F2811" s="143"/>
      <c r="G2811" s="143"/>
      <c r="H2811" s="143"/>
      <c r="I2811" s="99" t="s">
        <v>319</v>
      </c>
    </row>
    <row r="2812" spans="1:9" hidden="1" outlineLevel="1">
      <c r="A2812" s="465" t="str">
        <f t="shared" si="96"/>
        <v>SNB971345683381</v>
      </c>
      <c r="B2812" s="452">
        <v>36896821</v>
      </c>
      <c r="C2812" s="95">
        <f>+SUMIF('Anlage 2b_Korrekturen'!$B$8:$B$202,A2812,'Anlage 2b_Korrekturen'!$D$8:$D$202)</f>
        <v>0</v>
      </c>
      <c r="D2812" s="145">
        <f t="shared" si="97"/>
        <v>36896821</v>
      </c>
      <c r="E2812" s="143"/>
      <c r="F2812" s="143"/>
      <c r="G2812" s="143"/>
      <c r="H2812" s="143"/>
      <c r="I2812" s="99" t="s">
        <v>321</v>
      </c>
    </row>
    <row r="2813" spans="1:9" hidden="1" outlineLevel="1">
      <c r="A2813" s="465" t="str">
        <f t="shared" si="96"/>
        <v>SNB971770548286</v>
      </c>
      <c r="B2813" s="452">
        <v>26111099</v>
      </c>
      <c r="C2813" s="95">
        <f>+SUMIF('Anlage 2b_Korrekturen'!$B$8:$B$202,A2813,'Anlage 2b_Korrekturen'!$D$8:$D$202)</f>
        <v>-191176</v>
      </c>
      <c r="D2813" s="145">
        <f t="shared" si="97"/>
        <v>25919923</v>
      </c>
      <c r="E2813" s="143"/>
      <c r="F2813" s="143"/>
      <c r="G2813" s="143"/>
      <c r="H2813" s="143"/>
      <c r="I2813" s="99" t="s">
        <v>323</v>
      </c>
    </row>
    <row r="2814" spans="1:9" hidden="1" outlineLevel="1">
      <c r="A2814" s="465" t="str">
        <f t="shared" si="96"/>
        <v>SNB971962135690</v>
      </c>
      <c r="B2814" s="452">
        <v>5390351</v>
      </c>
      <c r="C2814" s="95">
        <f>+SUMIF('Anlage 2b_Korrekturen'!$B$8:$B$202,A2814,'Anlage 2b_Korrekturen'!$D$8:$D$202)</f>
        <v>0</v>
      </c>
      <c r="D2814" s="145">
        <f t="shared" si="97"/>
        <v>5390351</v>
      </c>
      <c r="E2814" s="143"/>
      <c r="F2814" s="143"/>
      <c r="G2814" s="143"/>
      <c r="H2814" s="143"/>
      <c r="I2814" s="99" t="s">
        <v>2096</v>
      </c>
    </row>
    <row r="2815" spans="1:9" hidden="1" outlineLevel="1">
      <c r="A2815" s="465" t="str">
        <f t="shared" si="96"/>
        <v>SNB973501936539</v>
      </c>
      <c r="B2815" s="452">
        <v>96460337</v>
      </c>
      <c r="C2815" s="95">
        <f>+SUMIF('Anlage 2b_Korrekturen'!$B$8:$B$202,A2815,'Anlage 2b_Korrekturen'!$D$8:$D$202)</f>
        <v>0</v>
      </c>
      <c r="D2815" s="145">
        <f t="shared" si="97"/>
        <v>96460337</v>
      </c>
      <c r="E2815" s="143"/>
      <c r="F2815" s="143"/>
      <c r="G2815" s="143"/>
      <c r="H2815" s="143"/>
      <c r="I2815" s="99" t="s">
        <v>327</v>
      </c>
    </row>
    <row r="2816" spans="1:9" hidden="1" outlineLevel="1">
      <c r="A2816" s="465" t="str">
        <f t="shared" si="96"/>
        <v>SNB973505068113</v>
      </c>
      <c r="B2816" s="452">
        <v>70767204</v>
      </c>
      <c r="C2816" s="95">
        <f>+SUMIF('Anlage 2b_Korrekturen'!$B$8:$B$202,A2816,'Anlage 2b_Korrekturen'!$D$8:$D$202)</f>
        <v>0</v>
      </c>
      <c r="D2816" s="145">
        <f t="shared" si="97"/>
        <v>70767204</v>
      </c>
      <c r="E2816" s="143"/>
      <c r="F2816" s="143"/>
      <c r="G2816" s="143"/>
      <c r="H2816" s="143"/>
      <c r="I2816" s="99" t="s">
        <v>329</v>
      </c>
    </row>
    <row r="2817" spans="1:9" hidden="1" outlineLevel="1">
      <c r="A2817" s="465" t="str">
        <f t="shared" ref="A2817:A2848" si="98">+A1884</f>
        <v>SNB974684403535</v>
      </c>
      <c r="B2817" s="452">
        <v>43532592</v>
      </c>
      <c r="C2817" s="95">
        <f>+SUMIF('Anlage 2b_Korrekturen'!$B$8:$B$202,A2817,'Anlage 2b_Korrekturen'!$D$8:$D$202)</f>
        <v>292323</v>
      </c>
      <c r="D2817" s="145">
        <f t="shared" ref="D2817:D2848" si="99">+B2817+C2817</f>
        <v>43824915</v>
      </c>
      <c r="E2817" s="143"/>
      <c r="F2817" s="143"/>
      <c r="G2817" s="143"/>
      <c r="H2817" s="143"/>
      <c r="I2817" s="99" t="s">
        <v>331</v>
      </c>
    </row>
    <row r="2818" spans="1:9" hidden="1" outlineLevel="1">
      <c r="A2818" s="465" t="str">
        <f t="shared" si="98"/>
        <v>SNB974693983233</v>
      </c>
      <c r="B2818" s="452">
        <v>192128304</v>
      </c>
      <c r="C2818" s="95">
        <f>+SUMIF('Anlage 2b_Korrekturen'!$B$8:$B$202,A2818,'Anlage 2b_Korrekturen'!$D$8:$D$202)</f>
        <v>33311</v>
      </c>
      <c r="D2818" s="145">
        <f t="shared" si="99"/>
        <v>192161615</v>
      </c>
      <c r="E2818" s="143"/>
      <c r="F2818" s="143"/>
      <c r="G2818" s="143"/>
      <c r="H2818" s="143"/>
      <c r="I2818" s="99" t="s">
        <v>2021</v>
      </c>
    </row>
    <row r="2819" spans="1:9" hidden="1" outlineLevel="1">
      <c r="A2819" s="465" t="str">
        <f t="shared" si="98"/>
        <v>SNB974763887737</v>
      </c>
      <c r="B2819" s="452">
        <v>34074724</v>
      </c>
      <c r="C2819" s="95">
        <f>+SUMIF('Anlage 2b_Korrekturen'!$B$8:$B$202,A2819,'Anlage 2b_Korrekturen'!$D$8:$D$202)</f>
        <v>0</v>
      </c>
      <c r="D2819" s="145">
        <f t="shared" si="99"/>
        <v>34074724</v>
      </c>
      <c r="E2819" s="143"/>
      <c r="F2819" s="143"/>
      <c r="G2819" s="143"/>
      <c r="H2819" s="143"/>
      <c r="I2819" s="99" t="s">
        <v>333</v>
      </c>
    </row>
    <row r="2820" spans="1:9" hidden="1" outlineLevel="1">
      <c r="A2820" s="465" t="str">
        <f t="shared" si="98"/>
        <v>SNB975176329548</v>
      </c>
      <c r="B2820" s="452">
        <v>1320270</v>
      </c>
      <c r="C2820" s="95">
        <f>+SUMIF('Anlage 2b_Korrekturen'!$B$8:$B$202,A2820,'Anlage 2b_Korrekturen'!$D$8:$D$202)</f>
        <v>0</v>
      </c>
      <c r="D2820" s="145">
        <f t="shared" si="99"/>
        <v>1320270</v>
      </c>
      <c r="E2820" s="143"/>
      <c r="F2820" s="143"/>
      <c r="G2820" s="143"/>
      <c r="H2820" s="143"/>
      <c r="I2820" s="99" t="s">
        <v>335</v>
      </c>
    </row>
    <row r="2821" spans="1:9" hidden="1" outlineLevel="1">
      <c r="A2821" s="465" t="str">
        <f t="shared" si="98"/>
        <v>SNB975846871759</v>
      </c>
      <c r="B2821" s="452">
        <v>68457083</v>
      </c>
      <c r="C2821" s="95">
        <f>+SUMIF('Anlage 2b_Korrekturen'!$B$8:$B$202,A2821,'Anlage 2b_Korrekturen'!$D$8:$D$202)</f>
        <v>0</v>
      </c>
      <c r="D2821" s="145">
        <f t="shared" si="99"/>
        <v>68457083</v>
      </c>
      <c r="E2821" s="143"/>
      <c r="F2821" s="143"/>
      <c r="G2821" s="143"/>
      <c r="H2821" s="143"/>
      <c r="I2821" s="99" t="s">
        <v>337</v>
      </c>
    </row>
    <row r="2822" spans="1:9" hidden="1" outlineLevel="1">
      <c r="A2822" s="465" t="str">
        <f t="shared" si="98"/>
        <v>SNB976240506834</v>
      </c>
      <c r="B2822" s="452">
        <v>20620381</v>
      </c>
      <c r="C2822" s="95">
        <f>+SUMIF('Anlage 2b_Korrekturen'!$B$8:$B$202,A2822,'Anlage 2b_Korrekturen'!$D$8:$D$202)</f>
        <v>106725</v>
      </c>
      <c r="D2822" s="145">
        <f t="shared" si="99"/>
        <v>20727106</v>
      </c>
      <c r="E2822" s="143"/>
      <c r="F2822" s="143"/>
      <c r="G2822" s="143"/>
      <c r="H2822" s="143"/>
      <c r="I2822" s="99" t="s">
        <v>339</v>
      </c>
    </row>
    <row r="2823" spans="1:9" hidden="1" outlineLevel="1">
      <c r="A2823" s="465" t="str">
        <f t="shared" si="98"/>
        <v>SNB976679550309</v>
      </c>
      <c r="B2823" s="452">
        <v>85977212</v>
      </c>
      <c r="C2823" s="95">
        <f>+SUMIF('Anlage 2b_Korrekturen'!$B$8:$B$202,A2823,'Anlage 2b_Korrekturen'!$D$8:$D$202)</f>
        <v>0</v>
      </c>
      <c r="D2823" s="145">
        <f t="shared" si="99"/>
        <v>85977212</v>
      </c>
      <c r="E2823" s="143"/>
      <c r="F2823" s="143"/>
      <c r="G2823" s="143"/>
      <c r="H2823" s="143"/>
      <c r="I2823" s="99" t="s">
        <v>341</v>
      </c>
    </row>
    <row r="2824" spans="1:9" hidden="1" outlineLevel="1">
      <c r="A2824" s="465" t="str">
        <f t="shared" si="98"/>
        <v>SNB977174706994</v>
      </c>
      <c r="B2824" s="452">
        <v>40112012</v>
      </c>
      <c r="C2824" s="95">
        <f>+SUMIF('Anlage 2b_Korrekturen'!$B$8:$B$202,A2824,'Anlage 2b_Korrekturen'!$D$8:$D$202)</f>
        <v>0</v>
      </c>
      <c r="D2824" s="145">
        <f t="shared" si="99"/>
        <v>40112012</v>
      </c>
      <c r="E2824" s="143"/>
      <c r="F2824" s="143"/>
      <c r="G2824" s="143"/>
      <c r="H2824" s="143"/>
      <c r="I2824" s="99" t="s">
        <v>343</v>
      </c>
    </row>
    <row r="2825" spans="1:9" hidden="1" outlineLevel="1">
      <c r="A2825" s="465" t="str">
        <f t="shared" si="98"/>
        <v>SNB977374861035</v>
      </c>
      <c r="B2825" s="452">
        <v>123182165</v>
      </c>
      <c r="C2825" s="95">
        <f>+SUMIF('Anlage 2b_Korrekturen'!$B$8:$B$202,A2825,'Anlage 2b_Korrekturen'!$D$8:$D$202)</f>
        <v>0</v>
      </c>
      <c r="D2825" s="145">
        <f t="shared" si="99"/>
        <v>123182165</v>
      </c>
      <c r="E2825" s="143"/>
      <c r="F2825" s="143"/>
      <c r="G2825" s="143"/>
      <c r="H2825" s="143"/>
      <c r="I2825" s="99" t="s">
        <v>2097</v>
      </c>
    </row>
    <row r="2826" spans="1:9" hidden="1" outlineLevel="1">
      <c r="A2826" s="465" t="str">
        <f t="shared" si="98"/>
        <v>SNB977641826996</v>
      </c>
      <c r="B2826" s="452">
        <v>204284378</v>
      </c>
      <c r="C2826" s="95">
        <f>+SUMIF('Anlage 2b_Korrekturen'!$B$8:$B$202,A2826,'Anlage 2b_Korrekturen'!$D$8:$D$202)</f>
        <v>-838935</v>
      </c>
      <c r="D2826" s="145">
        <f t="shared" si="99"/>
        <v>203445443</v>
      </c>
      <c r="E2826" s="143"/>
      <c r="F2826" s="143"/>
      <c r="G2826" s="143"/>
      <c r="H2826" s="143"/>
      <c r="I2826" s="99" t="s">
        <v>347</v>
      </c>
    </row>
    <row r="2827" spans="1:9" hidden="1" outlineLevel="1">
      <c r="A2827" s="465" t="str">
        <f t="shared" si="98"/>
        <v>SNB978051166283</v>
      </c>
      <c r="B2827" s="452">
        <v>26584542</v>
      </c>
      <c r="C2827" s="95">
        <f>+SUMIF('Anlage 2b_Korrekturen'!$B$8:$B$202,A2827,'Anlage 2b_Korrekturen'!$D$8:$D$202)</f>
        <v>1590678</v>
      </c>
      <c r="D2827" s="145">
        <f t="shared" si="99"/>
        <v>28175220</v>
      </c>
      <c r="E2827" s="143"/>
      <c r="F2827" s="143"/>
      <c r="G2827" s="143"/>
      <c r="H2827" s="143"/>
      <c r="I2827" s="99" t="s">
        <v>349</v>
      </c>
    </row>
    <row r="2828" spans="1:9" hidden="1" outlineLevel="1">
      <c r="A2828" s="465" t="str">
        <f t="shared" si="98"/>
        <v>SNB978071940108</v>
      </c>
      <c r="B2828" s="452">
        <v>66964156</v>
      </c>
      <c r="C2828" s="95">
        <f>+SUMIF('Anlage 2b_Korrekturen'!$B$8:$B$202,A2828,'Anlage 2b_Korrekturen'!$D$8:$D$202)</f>
        <v>588974</v>
      </c>
      <c r="D2828" s="145">
        <f t="shared" si="99"/>
        <v>67553130</v>
      </c>
      <c r="E2828" s="143"/>
      <c r="F2828" s="143"/>
      <c r="G2828" s="143"/>
      <c r="H2828" s="143"/>
      <c r="I2828" s="99" t="s">
        <v>351</v>
      </c>
    </row>
    <row r="2829" spans="1:9" hidden="1" outlineLevel="1">
      <c r="A2829" s="465" t="str">
        <f t="shared" si="98"/>
        <v>SNB979269087643</v>
      </c>
      <c r="B2829" s="452">
        <v>11312378472</v>
      </c>
      <c r="C2829" s="95">
        <f>+SUMIF('Anlage 2b_Korrekturen'!$B$8:$B$202,A2829,'Anlage 2b_Korrekturen'!$D$8:$D$202)</f>
        <v>192631479</v>
      </c>
      <c r="D2829" s="145">
        <f t="shared" si="99"/>
        <v>11505009951</v>
      </c>
      <c r="E2829" s="143"/>
      <c r="F2829" s="143"/>
      <c r="G2829" s="143"/>
      <c r="H2829" s="143"/>
      <c r="I2829" s="99" t="s">
        <v>353</v>
      </c>
    </row>
    <row r="2830" spans="1:9" hidden="1" outlineLevel="1">
      <c r="A2830" s="465" t="str">
        <f t="shared" si="98"/>
        <v>SNB979429791342</v>
      </c>
      <c r="B2830" s="452">
        <v>59496461</v>
      </c>
      <c r="C2830" s="95">
        <f>+SUMIF('Anlage 2b_Korrekturen'!$B$8:$B$202,A2830,'Anlage 2b_Korrekturen'!$D$8:$D$202)</f>
        <v>0</v>
      </c>
      <c r="D2830" s="145">
        <f t="shared" si="99"/>
        <v>59496461</v>
      </c>
      <c r="E2830" s="143"/>
      <c r="F2830" s="143"/>
      <c r="G2830" s="143"/>
      <c r="H2830" s="143"/>
      <c r="I2830" s="99" t="s">
        <v>355</v>
      </c>
    </row>
    <row r="2831" spans="1:9" hidden="1" outlineLevel="1">
      <c r="A2831" s="465" t="str">
        <f t="shared" si="98"/>
        <v>SNB980362940834</v>
      </c>
      <c r="B2831" s="452">
        <v>8384960</v>
      </c>
      <c r="C2831" s="95">
        <f>+SUMIF('Anlage 2b_Korrekturen'!$B$8:$B$202,A2831,'Anlage 2b_Korrekturen'!$D$8:$D$202)</f>
        <v>0</v>
      </c>
      <c r="D2831" s="145">
        <f t="shared" si="99"/>
        <v>8384960</v>
      </c>
      <c r="E2831" s="143"/>
      <c r="F2831" s="143"/>
      <c r="G2831" s="143"/>
      <c r="H2831" s="143"/>
      <c r="I2831" s="99" t="s">
        <v>357</v>
      </c>
    </row>
    <row r="2832" spans="1:9" hidden="1" outlineLevel="1">
      <c r="A2832" s="465" t="str">
        <f t="shared" si="98"/>
        <v>SNB980808485264</v>
      </c>
      <c r="B2832" s="452">
        <v>2002885478</v>
      </c>
      <c r="C2832" s="95">
        <f>+SUMIF('Anlage 2b_Korrekturen'!$B$8:$B$202,A2832,'Anlage 2b_Korrekturen'!$D$8:$D$202)</f>
        <v>12617159</v>
      </c>
      <c r="D2832" s="145">
        <f t="shared" si="99"/>
        <v>2015502637</v>
      </c>
      <c r="E2832" s="143"/>
      <c r="F2832" s="143"/>
      <c r="G2832" s="143"/>
      <c r="H2832" s="143"/>
      <c r="I2832" s="99" t="s">
        <v>359</v>
      </c>
    </row>
    <row r="2833" spans="1:9" hidden="1" outlineLevel="1">
      <c r="A2833" s="465" t="str">
        <f t="shared" si="98"/>
        <v>SNB981122608278</v>
      </c>
      <c r="B2833" s="452">
        <v>913944</v>
      </c>
      <c r="C2833" s="95">
        <f>+SUMIF('Anlage 2b_Korrekturen'!$B$8:$B$202,A2833,'Anlage 2b_Korrekturen'!$D$8:$D$202)</f>
        <v>0</v>
      </c>
      <c r="D2833" s="145">
        <f t="shared" si="99"/>
        <v>913944</v>
      </c>
      <c r="E2833" s="143"/>
      <c r="F2833" s="143"/>
      <c r="G2833" s="143"/>
      <c r="H2833" s="143"/>
      <c r="I2833" s="99" t="s">
        <v>361</v>
      </c>
    </row>
    <row r="2834" spans="1:9" hidden="1" outlineLevel="1">
      <c r="A2834" s="465" t="str">
        <f t="shared" si="98"/>
        <v>SNB981460842488</v>
      </c>
      <c r="B2834" s="452">
        <v>23584877</v>
      </c>
      <c r="C2834" s="95">
        <f>+SUMIF('Anlage 2b_Korrekturen'!$B$8:$B$202,A2834,'Anlage 2b_Korrekturen'!$D$8:$D$202)</f>
        <v>-92408</v>
      </c>
      <c r="D2834" s="145">
        <f t="shared" si="99"/>
        <v>23492469</v>
      </c>
      <c r="E2834" s="143"/>
      <c r="F2834" s="143"/>
      <c r="G2834" s="143"/>
      <c r="H2834" s="143"/>
      <c r="I2834" s="99" t="s">
        <v>363</v>
      </c>
    </row>
    <row r="2835" spans="1:9" hidden="1" outlineLevel="1">
      <c r="A2835" s="465" t="str">
        <f t="shared" si="98"/>
        <v>SNB981597332487</v>
      </c>
      <c r="B2835" s="452">
        <v>5455993</v>
      </c>
      <c r="C2835" s="95">
        <f>+SUMIF('Anlage 2b_Korrekturen'!$B$8:$B$202,A2835,'Anlage 2b_Korrekturen'!$D$8:$D$202)</f>
        <v>0</v>
      </c>
      <c r="D2835" s="145">
        <f t="shared" si="99"/>
        <v>5455993</v>
      </c>
      <c r="E2835" s="143"/>
      <c r="F2835" s="143"/>
      <c r="G2835" s="143"/>
      <c r="H2835" s="143"/>
      <c r="I2835" s="99" t="s">
        <v>365</v>
      </c>
    </row>
    <row r="2836" spans="1:9" hidden="1" outlineLevel="1">
      <c r="A2836" s="465" t="str">
        <f t="shared" si="98"/>
        <v>SNB982046657236</v>
      </c>
      <c r="B2836" s="452">
        <v>4394828406</v>
      </c>
      <c r="C2836" s="95">
        <f>+SUMIF('Anlage 2b_Korrekturen'!$B$8:$B$202,A2836,'Anlage 2b_Korrekturen'!$D$8:$D$202)</f>
        <v>-71252</v>
      </c>
      <c r="D2836" s="145">
        <f t="shared" si="99"/>
        <v>4394757154</v>
      </c>
      <c r="E2836" s="143"/>
      <c r="F2836" s="143"/>
      <c r="G2836" s="143"/>
      <c r="H2836" s="143"/>
      <c r="I2836" s="99" t="s">
        <v>403</v>
      </c>
    </row>
    <row r="2837" spans="1:9" hidden="1" outlineLevel="1">
      <c r="A2837" s="465" t="str">
        <f t="shared" si="98"/>
        <v>SNB982241851170</v>
      </c>
      <c r="B2837" s="452">
        <v>75412441</v>
      </c>
      <c r="C2837" s="95">
        <f>+SUMIF('Anlage 2b_Korrekturen'!$B$8:$B$202,A2837,'Anlage 2b_Korrekturen'!$D$8:$D$202)</f>
        <v>0</v>
      </c>
      <c r="D2837" s="145">
        <f t="shared" si="99"/>
        <v>75412441</v>
      </c>
      <c r="E2837" s="143"/>
      <c r="F2837" s="143"/>
      <c r="G2837" s="143"/>
      <c r="H2837" s="143"/>
      <c r="I2837" s="99" t="s">
        <v>367</v>
      </c>
    </row>
    <row r="2838" spans="1:9" hidden="1" outlineLevel="1">
      <c r="A2838" s="465" t="str">
        <f t="shared" si="98"/>
        <v>SNB982722829230</v>
      </c>
      <c r="B2838" s="452">
        <v>273518848</v>
      </c>
      <c r="C2838" s="95">
        <f>+SUMIF('Anlage 2b_Korrekturen'!$B$8:$B$202,A2838,'Anlage 2b_Korrekturen'!$D$8:$D$202)</f>
        <v>0</v>
      </c>
      <c r="D2838" s="145">
        <f t="shared" si="99"/>
        <v>273518848</v>
      </c>
      <c r="E2838" s="143"/>
      <c r="F2838" s="143"/>
      <c r="G2838" s="143"/>
      <c r="H2838" s="143"/>
      <c r="I2838" s="99" t="s">
        <v>369</v>
      </c>
    </row>
    <row r="2839" spans="1:9" hidden="1" outlineLevel="1">
      <c r="A2839" s="465" t="str">
        <f t="shared" si="98"/>
        <v>SNB982934611074</v>
      </c>
      <c r="B2839" s="452">
        <v>648785158</v>
      </c>
      <c r="C2839" s="95">
        <f>+SUMIF('Anlage 2b_Korrekturen'!$B$8:$B$202,A2839,'Anlage 2b_Korrekturen'!$D$8:$D$202)</f>
        <v>0</v>
      </c>
      <c r="D2839" s="145">
        <f t="shared" si="99"/>
        <v>648785158</v>
      </c>
      <c r="E2839" s="143"/>
      <c r="F2839" s="143"/>
      <c r="G2839" s="143"/>
      <c r="H2839" s="143"/>
      <c r="I2839" s="99" t="s">
        <v>371</v>
      </c>
    </row>
    <row r="2840" spans="1:9" hidden="1" outlineLevel="1">
      <c r="A2840" s="465" t="str">
        <f t="shared" si="98"/>
        <v>SNB983029590205</v>
      </c>
      <c r="B2840" s="452">
        <v>83393935</v>
      </c>
      <c r="C2840" s="95">
        <f>+SUMIF('Anlage 2b_Korrekturen'!$B$8:$B$202,A2840,'Anlage 2b_Korrekturen'!$D$8:$D$202)</f>
        <v>0</v>
      </c>
      <c r="D2840" s="145">
        <f t="shared" si="99"/>
        <v>83393935</v>
      </c>
      <c r="E2840" s="143"/>
      <c r="F2840" s="143"/>
      <c r="G2840" s="143"/>
      <c r="H2840" s="143"/>
      <c r="I2840" s="99" t="s">
        <v>373</v>
      </c>
    </row>
    <row r="2841" spans="1:9" hidden="1" outlineLevel="1">
      <c r="A2841" s="465" t="str">
        <f t="shared" si="98"/>
        <v>SNB983765888505</v>
      </c>
      <c r="B2841" s="452">
        <v>51231277</v>
      </c>
      <c r="C2841" s="95">
        <f>+SUMIF('Anlage 2b_Korrekturen'!$B$8:$B$202,A2841,'Anlage 2b_Korrekturen'!$D$8:$D$202)</f>
        <v>0</v>
      </c>
      <c r="D2841" s="145">
        <f t="shared" si="99"/>
        <v>51231277</v>
      </c>
      <c r="E2841" s="143"/>
      <c r="F2841" s="143"/>
      <c r="G2841" s="143"/>
      <c r="H2841" s="143"/>
      <c r="I2841" s="99" t="s">
        <v>375</v>
      </c>
    </row>
    <row r="2842" spans="1:9" hidden="1" outlineLevel="1">
      <c r="A2842" s="465" t="str">
        <f t="shared" si="98"/>
        <v>SNB985072256732</v>
      </c>
      <c r="B2842" s="452">
        <v>42922617</v>
      </c>
      <c r="C2842" s="95">
        <f>+SUMIF('Anlage 2b_Korrekturen'!$B$8:$B$202,A2842,'Anlage 2b_Korrekturen'!$D$8:$D$202)</f>
        <v>0</v>
      </c>
      <c r="D2842" s="145">
        <f t="shared" si="99"/>
        <v>42922617</v>
      </c>
      <c r="E2842" s="143"/>
      <c r="F2842" s="143"/>
      <c r="G2842" s="143"/>
      <c r="H2842" s="143"/>
      <c r="I2842" s="99" t="s">
        <v>377</v>
      </c>
    </row>
    <row r="2843" spans="1:9" hidden="1" outlineLevel="1">
      <c r="A2843" s="465" t="str">
        <f t="shared" si="98"/>
        <v>SNB985414225433</v>
      </c>
      <c r="B2843" s="452">
        <v>9705432</v>
      </c>
      <c r="C2843" s="95">
        <f>+SUMIF('Anlage 2b_Korrekturen'!$B$8:$B$202,A2843,'Anlage 2b_Korrekturen'!$D$8:$D$202)</f>
        <v>0</v>
      </c>
      <c r="D2843" s="145">
        <f t="shared" si="99"/>
        <v>9705432</v>
      </c>
      <c r="E2843" s="143"/>
      <c r="F2843" s="143"/>
      <c r="G2843" s="143"/>
      <c r="H2843" s="143"/>
      <c r="I2843" s="99" t="s">
        <v>2098</v>
      </c>
    </row>
    <row r="2844" spans="1:9" hidden="1" outlineLevel="1">
      <c r="A2844" s="465" t="str">
        <f t="shared" si="98"/>
        <v>SNB985993443181</v>
      </c>
      <c r="B2844" s="452">
        <v>130644438</v>
      </c>
      <c r="C2844" s="95">
        <f>+SUMIF('Anlage 2b_Korrekturen'!$B$8:$B$202,A2844,'Anlage 2b_Korrekturen'!$D$8:$D$202)</f>
        <v>0</v>
      </c>
      <c r="D2844" s="145">
        <f t="shared" si="99"/>
        <v>130644438</v>
      </c>
      <c r="E2844" s="143"/>
      <c r="F2844" s="143"/>
      <c r="G2844" s="143"/>
      <c r="H2844" s="143"/>
      <c r="I2844" s="99" t="s">
        <v>379</v>
      </c>
    </row>
    <row r="2845" spans="1:9" hidden="1" outlineLevel="1">
      <c r="A2845" s="465" t="str">
        <f t="shared" si="98"/>
        <v>SNB987317008403</v>
      </c>
      <c r="B2845" s="452">
        <v>41441923</v>
      </c>
      <c r="C2845" s="95">
        <f>+SUMIF('Anlage 2b_Korrekturen'!$B$8:$B$202,A2845,'Anlage 2b_Korrekturen'!$D$8:$D$202)</f>
        <v>-2685934</v>
      </c>
      <c r="D2845" s="145">
        <f t="shared" si="99"/>
        <v>38755989</v>
      </c>
      <c r="E2845" s="143"/>
      <c r="F2845" s="143"/>
      <c r="G2845" s="143"/>
      <c r="H2845" s="143"/>
      <c r="I2845" s="99" t="s">
        <v>381</v>
      </c>
    </row>
    <row r="2846" spans="1:9" hidden="1" outlineLevel="1">
      <c r="A2846" s="465" t="str">
        <f t="shared" si="98"/>
        <v>SNB987483520273</v>
      </c>
      <c r="B2846" s="452">
        <v>71192148</v>
      </c>
      <c r="C2846" s="95">
        <f>+SUMIF('Anlage 2b_Korrekturen'!$B$8:$B$202,A2846,'Anlage 2b_Korrekturen'!$D$8:$D$202)</f>
        <v>0</v>
      </c>
      <c r="D2846" s="145">
        <f t="shared" si="99"/>
        <v>71192148</v>
      </c>
      <c r="E2846" s="143"/>
      <c r="F2846" s="143"/>
      <c r="G2846" s="143"/>
      <c r="H2846" s="143"/>
      <c r="I2846" s="99" t="s">
        <v>383</v>
      </c>
    </row>
    <row r="2847" spans="1:9" hidden="1" outlineLevel="1">
      <c r="A2847" s="465" t="str">
        <f t="shared" si="98"/>
        <v>SNB988532040636</v>
      </c>
      <c r="B2847" s="452">
        <v>30167722</v>
      </c>
      <c r="C2847" s="95">
        <f>+SUMIF('Anlage 2b_Korrekturen'!$B$8:$B$202,A2847,'Anlage 2b_Korrekturen'!$D$8:$D$202)</f>
        <v>0</v>
      </c>
      <c r="D2847" s="145">
        <f t="shared" si="99"/>
        <v>30167722</v>
      </c>
      <c r="E2847" s="143"/>
      <c r="F2847" s="143"/>
      <c r="G2847" s="143"/>
      <c r="H2847" s="143"/>
      <c r="I2847" s="99" t="s">
        <v>385</v>
      </c>
    </row>
    <row r="2848" spans="1:9" hidden="1" outlineLevel="1">
      <c r="A2848" s="465" t="str">
        <f t="shared" si="98"/>
        <v>SNB989700422711</v>
      </c>
      <c r="B2848" s="452">
        <v>155829227</v>
      </c>
      <c r="C2848" s="95">
        <f>+SUMIF('Anlage 2b_Korrekturen'!$B$8:$B$202,A2848,'Anlage 2b_Korrekturen'!$D$8:$D$202)</f>
        <v>86577</v>
      </c>
      <c r="D2848" s="145">
        <f t="shared" si="99"/>
        <v>155915804</v>
      </c>
      <c r="E2848" s="143"/>
      <c r="F2848" s="143"/>
      <c r="G2848" s="143"/>
      <c r="H2848" s="143"/>
      <c r="I2848" s="99" t="s">
        <v>387</v>
      </c>
    </row>
    <row r="2849" spans="1:9" hidden="1" outlineLevel="1">
      <c r="A2849" s="465" t="str">
        <f t="shared" ref="A2849:A2857" si="100">+A1916</f>
        <v>SNB990362338043</v>
      </c>
      <c r="B2849" s="452">
        <v>1877073717</v>
      </c>
      <c r="C2849" s="95">
        <f>+SUMIF('Anlage 2b_Korrekturen'!$B$8:$B$202,A2849,'Anlage 2b_Korrekturen'!$D$8:$D$202)</f>
        <v>-1001505</v>
      </c>
      <c r="D2849" s="145">
        <f t="shared" ref="D2849:D2857" si="101">+B2849+C2849</f>
        <v>1876072212</v>
      </c>
      <c r="E2849" s="143"/>
      <c r="F2849" s="143"/>
      <c r="G2849" s="143"/>
      <c r="H2849" s="143"/>
      <c r="I2849" s="99" t="s">
        <v>389</v>
      </c>
    </row>
    <row r="2850" spans="1:9" hidden="1" outlineLevel="1">
      <c r="A2850" s="465" t="str">
        <f t="shared" si="100"/>
        <v>SNB990792528632</v>
      </c>
      <c r="B2850" s="452">
        <v>62547608</v>
      </c>
      <c r="C2850" s="95">
        <f>+SUMIF('Anlage 2b_Korrekturen'!$B$8:$B$202,A2850,'Anlage 2b_Korrekturen'!$D$8:$D$202)</f>
        <v>0</v>
      </c>
      <c r="D2850" s="145">
        <f t="shared" si="101"/>
        <v>62547608</v>
      </c>
      <c r="E2850" s="143"/>
      <c r="F2850" s="143"/>
      <c r="G2850" s="143"/>
      <c r="H2850" s="143"/>
      <c r="I2850" s="99" t="s">
        <v>2099</v>
      </c>
    </row>
    <row r="2851" spans="1:9" hidden="1" outlineLevel="1">
      <c r="A2851" s="465" t="str">
        <f t="shared" si="100"/>
        <v>SNB990971435621</v>
      </c>
      <c r="B2851" s="452">
        <v>142279622</v>
      </c>
      <c r="C2851" s="95">
        <f>+SUMIF('Anlage 2b_Korrekturen'!$B$8:$B$202,A2851,'Anlage 2b_Korrekturen'!$D$8:$D$202)</f>
        <v>1128840</v>
      </c>
      <c r="D2851" s="145">
        <f t="shared" si="101"/>
        <v>143408462</v>
      </c>
      <c r="E2851" s="143"/>
      <c r="F2851" s="143"/>
      <c r="G2851" s="143"/>
      <c r="H2851" s="143"/>
      <c r="I2851" s="99" t="s">
        <v>391</v>
      </c>
    </row>
    <row r="2852" spans="1:9" hidden="1" outlineLevel="1">
      <c r="A2852" s="465" t="str">
        <f t="shared" si="100"/>
        <v>SNB991689251534</v>
      </c>
      <c r="B2852" s="452">
        <v>26576012</v>
      </c>
      <c r="C2852" s="95">
        <f>+SUMIF('Anlage 2b_Korrekturen'!$B$8:$B$202,A2852,'Anlage 2b_Korrekturen'!$D$8:$D$202)</f>
        <v>0</v>
      </c>
      <c r="D2852" s="145">
        <f t="shared" si="101"/>
        <v>26576012</v>
      </c>
      <c r="E2852" s="143"/>
      <c r="F2852" s="143"/>
      <c r="G2852" s="143"/>
      <c r="H2852" s="143"/>
      <c r="I2852" s="99" t="s">
        <v>393</v>
      </c>
    </row>
    <row r="2853" spans="1:9" hidden="1" outlineLevel="1">
      <c r="A2853" s="465" t="str">
        <f t="shared" si="100"/>
        <v>SNB991836941189</v>
      </c>
      <c r="B2853" s="452">
        <v>32255284</v>
      </c>
      <c r="C2853" s="95">
        <f>+SUMIF('Anlage 2b_Korrekturen'!$B$8:$B$202,A2853,'Anlage 2b_Korrekturen'!$D$8:$D$202)</f>
        <v>0</v>
      </c>
      <c r="D2853" s="145">
        <f t="shared" si="101"/>
        <v>32255284</v>
      </c>
      <c r="E2853" s="143"/>
      <c r="F2853" s="143"/>
      <c r="G2853" s="143"/>
      <c r="H2853" s="143"/>
      <c r="I2853" s="99" t="s">
        <v>395</v>
      </c>
    </row>
    <row r="2854" spans="1:9" hidden="1" outlineLevel="1">
      <c r="A2854" s="465" t="str">
        <f t="shared" si="100"/>
        <v>SNB995034381532</v>
      </c>
      <c r="B2854" s="452">
        <v>69585677</v>
      </c>
      <c r="C2854" s="95">
        <f>+SUMIF('Anlage 2b_Korrekturen'!$B$8:$B$202,A2854,'Anlage 2b_Korrekturen'!$D$8:$D$202)</f>
        <v>0</v>
      </c>
      <c r="D2854" s="145">
        <f t="shared" si="101"/>
        <v>69585677</v>
      </c>
      <c r="E2854" s="143"/>
      <c r="F2854" s="143"/>
      <c r="G2854" s="143"/>
      <c r="H2854" s="143"/>
      <c r="I2854" s="99" t="s">
        <v>397</v>
      </c>
    </row>
    <row r="2855" spans="1:9" hidden="1" outlineLevel="1">
      <c r="A2855" s="465" t="str">
        <f t="shared" si="100"/>
        <v>SNB995332374861</v>
      </c>
      <c r="B2855" s="452">
        <v>43771945</v>
      </c>
      <c r="C2855" s="95">
        <f>+SUMIF('Anlage 2b_Korrekturen'!$B$8:$B$202,A2855,'Anlage 2b_Korrekturen'!$D$8:$D$202)</f>
        <v>7092593</v>
      </c>
      <c r="D2855" s="145">
        <f t="shared" si="101"/>
        <v>50864538</v>
      </c>
      <c r="E2855" s="143"/>
      <c r="F2855" s="143"/>
      <c r="G2855" s="143"/>
      <c r="H2855" s="143"/>
      <c r="I2855" s="99" t="s">
        <v>399</v>
      </c>
    </row>
    <row r="2856" spans="1:9" hidden="1" outlineLevel="1">
      <c r="A2856" s="465" t="str">
        <f t="shared" si="100"/>
        <v>SNB988556835096</v>
      </c>
      <c r="B2856" s="452">
        <v>15410139</v>
      </c>
      <c r="C2856" s="95">
        <f>+SUMIF('Anlage 2b_Korrekturen'!$B$8:$B$202,A2856,'Anlage 2b_Korrekturen'!$D$8:$D$202)</f>
        <v>0</v>
      </c>
      <c r="D2856" s="145">
        <f t="shared" si="101"/>
        <v>15410139</v>
      </c>
      <c r="E2856" s="143"/>
      <c r="F2856" s="143"/>
      <c r="G2856" s="143"/>
      <c r="H2856" s="143"/>
      <c r="I2856" s="99" t="s">
        <v>832</v>
      </c>
    </row>
    <row r="2857" spans="1:9" hidden="1" outlineLevel="1">
      <c r="A2857" s="465" t="str">
        <f t="shared" si="100"/>
        <v>SNB999125588145</v>
      </c>
      <c r="B2857" s="452">
        <v>52070402</v>
      </c>
      <c r="C2857" s="95">
        <f>+SUMIF('Anlage 2b_Korrekturen'!$B$8:$B$202,A2857,'Anlage 2b_Korrekturen'!$D$8:$D$202)</f>
        <v>-2697</v>
      </c>
      <c r="D2857" s="145">
        <f t="shared" si="101"/>
        <v>52067705</v>
      </c>
      <c r="E2857" s="143"/>
      <c r="F2857" s="143"/>
      <c r="G2857" s="143"/>
      <c r="H2857" s="143"/>
      <c r="I2857" s="99" t="s">
        <v>401</v>
      </c>
    </row>
    <row r="2858" spans="1:9" collapsed="1">
      <c r="A2858" s="465" t="str">
        <f>A167</f>
        <v>Regelzone Amprion (gesamt)</v>
      </c>
      <c r="B2858" s="793">
        <f>SUM(B2859:B3092)</f>
        <v>109759127554</v>
      </c>
      <c r="C2858" s="746">
        <f>SUM(C2859:C3092)</f>
        <v>-236739243</v>
      </c>
      <c r="D2858" s="145">
        <f>B2858+C2858</f>
        <v>109522388311</v>
      </c>
      <c r="E2858" s="143"/>
      <c r="F2858" s="143"/>
      <c r="G2858" s="143"/>
      <c r="H2858" s="143"/>
    </row>
    <row r="2859" spans="1:9" hidden="1" outlineLevel="1">
      <c r="A2859" s="465" t="s">
        <v>405</v>
      </c>
      <c r="B2859" s="452">
        <v>91081632</v>
      </c>
      <c r="C2859" s="95">
        <v>0</v>
      </c>
      <c r="D2859" s="145">
        <f t="shared" ref="D2859:D2942" si="102">B2859+C2859</f>
        <v>91081632</v>
      </c>
      <c r="E2859" s="143"/>
      <c r="F2859" s="143"/>
      <c r="G2859" s="143"/>
      <c r="H2859" s="143"/>
      <c r="I2859" s="99" t="s">
        <v>406</v>
      </c>
    </row>
    <row r="2860" spans="1:9" hidden="1" outlineLevel="1">
      <c r="A2860" s="465" t="s">
        <v>86</v>
      </c>
      <c r="B2860" s="452">
        <v>104380372</v>
      </c>
      <c r="C2860" s="95">
        <v>-4123154</v>
      </c>
      <c r="D2860" s="145">
        <f t="shared" si="102"/>
        <v>100257218</v>
      </c>
      <c r="E2860" s="143"/>
      <c r="F2860" s="143"/>
      <c r="G2860" s="143"/>
      <c r="H2860" s="143"/>
      <c r="I2860" s="99" t="s">
        <v>87</v>
      </c>
    </row>
    <row r="2861" spans="1:9" hidden="1" outlineLevel="1">
      <c r="A2861" s="465" t="s">
        <v>407</v>
      </c>
      <c r="B2861" s="452">
        <v>120192261</v>
      </c>
      <c r="C2861" s="95">
        <v>1514477</v>
      </c>
      <c r="D2861" s="145">
        <f t="shared" si="102"/>
        <v>121706738</v>
      </c>
      <c r="E2861" s="143"/>
      <c r="F2861" s="143"/>
      <c r="G2861" s="143"/>
      <c r="H2861" s="143"/>
      <c r="I2861" s="99" t="s">
        <v>408</v>
      </c>
    </row>
    <row r="2862" spans="1:9" hidden="1" outlineLevel="1">
      <c r="A2862" s="465" t="s">
        <v>409</v>
      </c>
      <c r="B2862" s="452">
        <v>304554865</v>
      </c>
      <c r="C2862" s="95">
        <v>0</v>
      </c>
      <c r="D2862" s="145">
        <f t="shared" si="102"/>
        <v>304554865</v>
      </c>
      <c r="E2862" s="143"/>
      <c r="F2862" s="143"/>
      <c r="G2862" s="143"/>
      <c r="H2862" s="143"/>
      <c r="I2862" s="99" t="s">
        <v>410</v>
      </c>
    </row>
    <row r="2863" spans="1:9" hidden="1" outlineLevel="1">
      <c r="A2863" s="465" t="s">
        <v>411</v>
      </c>
      <c r="B2863" s="452">
        <v>900483368</v>
      </c>
      <c r="C2863" s="95">
        <v>8517987</v>
      </c>
      <c r="D2863" s="145">
        <f t="shared" si="102"/>
        <v>909001355</v>
      </c>
      <c r="E2863" s="143"/>
      <c r="F2863" s="143"/>
      <c r="G2863" s="143"/>
      <c r="H2863" s="143"/>
      <c r="I2863" s="99" t="s">
        <v>412</v>
      </c>
    </row>
    <row r="2864" spans="1:9" hidden="1" outlineLevel="1">
      <c r="A2864" s="465" t="s">
        <v>413</v>
      </c>
      <c r="B2864" s="452">
        <v>169071179</v>
      </c>
      <c r="C2864" s="95">
        <v>-1227904</v>
      </c>
      <c r="D2864" s="145">
        <f t="shared" si="102"/>
        <v>167843275</v>
      </c>
      <c r="E2864" s="143"/>
      <c r="F2864" s="143"/>
      <c r="G2864" s="143"/>
      <c r="H2864" s="143"/>
      <c r="I2864" s="99" t="s">
        <v>414</v>
      </c>
    </row>
    <row r="2865" spans="1:9" hidden="1" outlineLevel="1">
      <c r="A2865" s="465" t="s">
        <v>415</v>
      </c>
      <c r="B2865" s="452">
        <v>119127881</v>
      </c>
      <c r="C2865" s="95">
        <v>0</v>
      </c>
      <c r="D2865" s="145">
        <f t="shared" si="102"/>
        <v>119127881</v>
      </c>
      <c r="E2865" s="143"/>
      <c r="F2865" s="143"/>
      <c r="G2865" s="143"/>
      <c r="H2865" s="143"/>
      <c r="I2865" s="99" t="s">
        <v>416</v>
      </c>
    </row>
    <row r="2866" spans="1:9" hidden="1" outlineLevel="1">
      <c r="A2866" s="465" t="s">
        <v>417</v>
      </c>
      <c r="B2866" s="452">
        <v>1928309187</v>
      </c>
      <c r="C2866" s="95">
        <v>8374976</v>
      </c>
      <c r="D2866" s="145">
        <f t="shared" si="102"/>
        <v>1936684163</v>
      </c>
      <c r="E2866" s="143"/>
      <c r="F2866" s="143"/>
      <c r="G2866" s="143"/>
      <c r="H2866" s="143"/>
      <c r="I2866" s="99" t="s">
        <v>418</v>
      </c>
    </row>
    <row r="2867" spans="1:9" hidden="1" outlineLevel="1">
      <c r="A2867" s="465" t="s">
        <v>419</v>
      </c>
      <c r="B2867" s="452">
        <v>3547127524</v>
      </c>
      <c r="C2867" s="95">
        <v>28459644</v>
      </c>
      <c r="D2867" s="145">
        <f t="shared" si="102"/>
        <v>3575587168</v>
      </c>
      <c r="E2867" s="143"/>
      <c r="F2867" s="143"/>
      <c r="G2867" s="143"/>
      <c r="H2867" s="143"/>
      <c r="I2867" s="99" t="s">
        <v>420</v>
      </c>
    </row>
    <row r="2868" spans="1:9" hidden="1" outlineLevel="1">
      <c r="A2868" s="465" t="s">
        <v>421</v>
      </c>
      <c r="B2868" s="452">
        <v>120797180</v>
      </c>
      <c r="C2868" s="95">
        <v>-1345411</v>
      </c>
      <c r="D2868" s="145">
        <f t="shared" si="102"/>
        <v>119451769</v>
      </c>
      <c r="E2868" s="143"/>
      <c r="F2868" s="143"/>
      <c r="G2868" s="143"/>
      <c r="H2868" s="143"/>
      <c r="I2868" s="99" t="s">
        <v>422</v>
      </c>
    </row>
    <row r="2869" spans="1:9" hidden="1" outlineLevel="1">
      <c r="A2869" s="465" t="s">
        <v>423</v>
      </c>
      <c r="B2869" s="452">
        <v>192488235</v>
      </c>
      <c r="C2869" s="95">
        <v>-146036</v>
      </c>
      <c r="D2869" s="145">
        <f t="shared" si="102"/>
        <v>192342199</v>
      </c>
      <c r="E2869" s="143"/>
      <c r="F2869" s="143"/>
      <c r="G2869" s="143"/>
      <c r="H2869" s="143"/>
      <c r="I2869" s="99" t="s">
        <v>424</v>
      </c>
    </row>
    <row r="2870" spans="1:9" hidden="1" outlineLevel="1">
      <c r="A2870" s="465" t="s">
        <v>425</v>
      </c>
      <c r="B2870" s="452">
        <v>581872721</v>
      </c>
      <c r="C2870" s="95">
        <v>0</v>
      </c>
      <c r="D2870" s="145">
        <f t="shared" si="102"/>
        <v>581872721</v>
      </c>
      <c r="E2870" s="143"/>
      <c r="F2870" s="143"/>
      <c r="G2870" s="143"/>
      <c r="H2870" s="143"/>
      <c r="I2870" s="99" t="s">
        <v>426</v>
      </c>
    </row>
    <row r="2871" spans="1:9" hidden="1" outlineLevel="1">
      <c r="A2871" s="465" t="s">
        <v>427</v>
      </c>
      <c r="B2871" s="452">
        <v>378068064</v>
      </c>
      <c r="C2871" s="95">
        <v>0</v>
      </c>
      <c r="D2871" s="145">
        <f t="shared" si="102"/>
        <v>378068064</v>
      </c>
      <c r="E2871" s="143"/>
      <c r="F2871" s="143"/>
      <c r="G2871" s="143"/>
      <c r="H2871" s="143"/>
      <c r="I2871" s="99" t="s">
        <v>428</v>
      </c>
    </row>
    <row r="2872" spans="1:9" hidden="1" outlineLevel="1">
      <c r="A2872" s="465" t="s">
        <v>429</v>
      </c>
      <c r="B2872" s="452">
        <v>51024647</v>
      </c>
      <c r="C2872" s="95">
        <v>971462</v>
      </c>
      <c r="D2872" s="145">
        <f t="shared" si="102"/>
        <v>51996109</v>
      </c>
      <c r="E2872" s="143"/>
      <c r="F2872" s="143"/>
      <c r="G2872" s="143"/>
      <c r="H2872" s="143"/>
      <c r="I2872" s="99" t="s">
        <v>430</v>
      </c>
    </row>
    <row r="2873" spans="1:9" hidden="1" outlineLevel="1">
      <c r="A2873" s="465" t="s">
        <v>431</v>
      </c>
      <c r="B2873" s="452">
        <v>29292348</v>
      </c>
      <c r="C2873" s="95">
        <v>0</v>
      </c>
      <c r="D2873" s="145">
        <f t="shared" si="102"/>
        <v>29292348</v>
      </c>
      <c r="E2873" s="143"/>
      <c r="F2873" s="143"/>
      <c r="G2873" s="143"/>
      <c r="H2873" s="143"/>
      <c r="I2873" s="99" t="s">
        <v>432</v>
      </c>
    </row>
    <row r="2874" spans="1:9" hidden="1" outlineLevel="1">
      <c r="A2874" s="465" t="s">
        <v>433</v>
      </c>
      <c r="B2874" s="452">
        <v>1226268453</v>
      </c>
      <c r="C2874" s="95">
        <v>0</v>
      </c>
      <c r="D2874" s="145">
        <f t="shared" si="102"/>
        <v>1226268453</v>
      </c>
      <c r="E2874" s="143"/>
      <c r="F2874" s="143"/>
      <c r="G2874" s="143"/>
      <c r="H2874" s="143"/>
      <c r="I2874" s="99" t="s">
        <v>434</v>
      </c>
    </row>
    <row r="2875" spans="1:9" hidden="1" outlineLevel="1">
      <c r="A2875" s="465" t="s">
        <v>435</v>
      </c>
      <c r="B2875" s="452">
        <v>138277865</v>
      </c>
      <c r="C2875" s="95">
        <v>-1221050</v>
      </c>
      <c r="D2875" s="145">
        <f t="shared" si="102"/>
        <v>137056815</v>
      </c>
      <c r="E2875" s="143"/>
      <c r="F2875" s="143"/>
      <c r="G2875" s="143"/>
      <c r="H2875" s="143"/>
      <c r="I2875" s="99" t="s">
        <v>436</v>
      </c>
    </row>
    <row r="2876" spans="1:9" hidden="1" outlineLevel="1">
      <c r="A2876" s="465" t="s">
        <v>437</v>
      </c>
      <c r="B2876" s="452">
        <v>850932000</v>
      </c>
      <c r="C2876" s="95">
        <v>10413994</v>
      </c>
      <c r="D2876" s="145">
        <f t="shared" si="102"/>
        <v>861345994</v>
      </c>
      <c r="E2876" s="143"/>
      <c r="F2876" s="143"/>
      <c r="G2876" s="143"/>
      <c r="H2876" s="143"/>
      <c r="I2876" s="99" t="s">
        <v>438</v>
      </c>
    </row>
    <row r="2877" spans="1:9" hidden="1" outlineLevel="1">
      <c r="A2877" s="465" t="s">
        <v>439</v>
      </c>
      <c r="B2877" s="452">
        <v>202652623</v>
      </c>
      <c r="C2877" s="95">
        <v>-761083</v>
      </c>
      <c r="D2877" s="145">
        <f t="shared" si="102"/>
        <v>201891540</v>
      </c>
      <c r="E2877" s="143"/>
      <c r="F2877" s="143"/>
      <c r="G2877" s="143"/>
      <c r="H2877" s="143"/>
      <c r="I2877" s="99" t="s">
        <v>440</v>
      </c>
    </row>
    <row r="2878" spans="1:9" hidden="1" outlineLevel="1">
      <c r="A2878" s="465" t="s">
        <v>441</v>
      </c>
      <c r="B2878" s="452">
        <v>1460035748</v>
      </c>
      <c r="C2878" s="95">
        <v>-14313656</v>
      </c>
      <c r="D2878" s="145">
        <f t="shared" si="102"/>
        <v>1445722092</v>
      </c>
      <c r="E2878" s="143"/>
      <c r="F2878" s="143"/>
      <c r="G2878" s="143"/>
      <c r="H2878" s="143"/>
      <c r="I2878" s="99" t="s">
        <v>442</v>
      </c>
    </row>
    <row r="2879" spans="1:9" hidden="1" outlineLevel="1">
      <c r="A2879" s="465" t="s">
        <v>443</v>
      </c>
      <c r="B2879" s="452">
        <v>9823711</v>
      </c>
      <c r="C2879" s="95">
        <v>-33109</v>
      </c>
      <c r="D2879" s="145">
        <f t="shared" si="102"/>
        <v>9790602</v>
      </c>
      <c r="E2879" s="143"/>
      <c r="F2879" s="143"/>
      <c r="G2879" s="143"/>
      <c r="H2879" s="143"/>
      <c r="I2879" s="99" t="s">
        <v>444</v>
      </c>
    </row>
    <row r="2880" spans="1:9" hidden="1" outlineLevel="1">
      <c r="A2880" s="465" t="s">
        <v>445</v>
      </c>
      <c r="B2880" s="452">
        <v>223600889</v>
      </c>
      <c r="C2880" s="95">
        <v>203556</v>
      </c>
      <c r="D2880" s="145">
        <f t="shared" si="102"/>
        <v>223804445</v>
      </c>
      <c r="E2880" s="143"/>
      <c r="F2880" s="143"/>
      <c r="G2880" s="143"/>
      <c r="H2880" s="143"/>
      <c r="I2880" s="99" t="s">
        <v>446</v>
      </c>
    </row>
    <row r="2881" spans="1:9" hidden="1" outlineLevel="1">
      <c r="A2881" s="465" t="s">
        <v>447</v>
      </c>
      <c r="B2881" s="452">
        <v>111147696</v>
      </c>
      <c r="C2881" s="95">
        <v>-608908</v>
      </c>
      <c r="D2881" s="145">
        <f t="shared" si="102"/>
        <v>110538788</v>
      </c>
      <c r="E2881" s="143"/>
      <c r="F2881" s="143"/>
      <c r="G2881" s="143"/>
      <c r="H2881" s="143"/>
      <c r="I2881" s="99" t="s">
        <v>448</v>
      </c>
    </row>
    <row r="2882" spans="1:9" hidden="1" outlineLevel="1">
      <c r="A2882" s="465" t="s">
        <v>449</v>
      </c>
      <c r="B2882" s="452">
        <v>5312643632</v>
      </c>
      <c r="C2882" s="95">
        <v>-31312990</v>
      </c>
      <c r="D2882" s="145">
        <f t="shared" si="102"/>
        <v>5281330642</v>
      </c>
      <c r="E2882" s="143"/>
      <c r="F2882" s="143"/>
      <c r="G2882" s="143"/>
      <c r="H2882" s="143"/>
      <c r="I2882" s="99" t="s">
        <v>450</v>
      </c>
    </row>
    <row r="2883" spans="1:9" hidden="1" outlineLevel="1">
      <c r="A2883" s="465" t="s">
        <v>451</v>
      </c>
      <c r="B2883" s="452">
        <v>71221377</v>
      </c>
      <c r="C2883" s="95">
        <v>719765</v>
      </c>
      <c r="D2883" s="145">
        <f t="shared" si="102"/>
        <v>71941142</v>
      </c>
      <c r="E2883" s="143"/>
      <c r="F2883" s="143"/>
      <c r="G2883" s="143"/>
      <c r="H2883" s="143"/>
      <c r="I2883" s="99" t="s">
        <v>452</v>
      </c>
    </row>
    <row r="2884" spans="1:9" hidden="1" outlineLevel="1">
      <c r="A2884" s="465" t="s">
        <v>453</v>
      </c>
      <c r="B2884" s="452">
        <v>306421229</v>
      </c>
      <c r="C2884" s="95">
        <v>-143874</v>
      </c>
      <c r="D2884" s="145">
        <f t="shared" si="102"/>
        <v>306277355</v>
      </c>
      <c r="E2884" s="143"/>
      <c r="F2884" s="143"/>
      <c r="G2884" s="143"/>
      <c r="H2884" s="143"/>
      <c r="I2884" s="99" t="s">
        <v>454</v>
      </c>
    </row>
    <row r="2885" spans="1:9" hidden="1" outlineLevel="1">
      <c r="A2885" s="465" t="s">
        <v>455</v>
      </c>
      <c r="B2885" s="452">
        <v>28566827</v>
      </c>
      <c r="C2885" s="95">
        <v>180142</v>
      </c>
      <c r="D2885" s="145">
        <f t="shared" si="102"/>
        <v>28746969</v>
      </c>
      <c r="E2885" s="143"/>
      <c r="F2885" s="143"/>
      <c r="G2885" s="143"/>
      <c r="H2885" s="143"/>
      <c r="I2885" s="99" t="s">
        <v>456</v>
      </c>
    </row>
    <row r="2886" spans="1:9" hidden="1" outlineLevel="1">
      <c r="A2886" s="465" t="s">
        <v>457</v>
      </c>
      <c r="B2886" s="452">
        <v>4718954</v>
      </c>
      <c r="C2886" s="95">
        <v>59807</v>
      </c>
      <c r="D2886" s="145">
        <f t="shared" si="102"/>
        <v>4778761</v>
      </c>
      <c r="E2886" s="143"/>
      <c r="F2886" s="143"/>
      <c r="G2886" s="143"/>
      <c r="H2886" s="143"/>
      <c r="I2886" s="99" t="s">
        <v>458</v>
      </c>
    </row>
    <row r="2887" spans="1:9" hidden="1" outlineLevel="1">
      <c r="A2887" s="465" t="s">
        <v>459</v>
      </c>
      <c r="B2887" s="452">
        <v>321981008</v>
      </c>
      <c r="C2887" s="95">
        <v>277526</v>
      </c>
      <c r="D2887" s="145">
        <f t="shared" si="102"/>
        <v>322258534</v>
      </c>
      <c r="E2887" s="143"/>
      <c r="F2887" s="143"/>
      <c r="G2887" s="143"/>
      <c r="H2887" s="143"/>
      <c r="I2887" s="99" t="s">
        <v>460</v>
      </c>
    </row>
    <row r="2888" spans="1:9" hidden="1" outlineLevel="1">
      <c r="A2888" s="465" t="s">
        <v>461</v>
      </c>
      <c r="B2888" s="452">
        <v>32141905</v>
      </c>
      <c r="C2888" s="95">
        <v>160458</v>
      </c>
      <c r="D2888" s="145">
        <f t="shared" si="102"/>
        <v>32302363</v>
      </c>
      <c r="E2888" s="143"/>
      <c r="F2888" s="143"/>
      <c r="G2888" s="143"/>
      <c r="H2888" s="143"/>
      <c r="I2888" s="99" t="s">
        <v>462</v>
      </c>
    </row>
    <row r="2889" spans="1:9" hidden="1" outlineLevel="1">
      <c r="A2889" s="465" t="s">
        <v>463</v>
      </c>
      <c r="B2889" s="452">
        <v>1969743666</v>
      </c>
      <c r="C2889" s="95">
        <v>-20076228</v>
      </c>
      <c r="D2889" s="145">
        <f t="shared" si="102"/>
        <v>1949667438</v>
      </c>
      <c r="E2889" s="143"/>
      <c r="F2889" s="143"/>
      <c r="G2889" s="143"/>
      <c r="H2889" s="143"/>
      <c r="I2889" s="99" t="s">
        <v>464</v>
      </c>
    </row>
    <row r="2890" spans="1:9" hidden="1" outlineLevel="1">
      <c r="A2890" s="465" t="s">
        <v>465</v>
      </c>
      <c r="B2890" s="452">
        <v>6009790</v>
      </c>
      <c r="C2890" s="95">
        <v>-21276</v>
      </c>
      <c r="D2890" s="145">
        <f t="shared" si="102"/>
        <v>5988514</v>
      </c>
      <c r="E2890" s="143"/>
      <c r="F2890" s="143"/>
      <c r="G2890" s="143"/>
      <c r="H2890" s="143"/>
      <c r="I2890" s="99" t="s">
        <v>466</v>
      </c>
    </row>
    <row r="2891" spans="1:9" hidden="1" outlineLevel="1">
      <c r="A2891" s="465" t="s">
        <v>467</v>
      </c>
      <c r="B2891" s="452">
        <v>109516059</v>
      </c>
      <c r="C2891" s="95">
        <v>0</v>
      </c>
      <c r="D2891" s="145">
        <f t="shared" si="102"/>
        <v>109516059</v>
      </c>
      <c r="E2891" s="143"/>
      <c r="F2891" s="143"/>
      <c r="G2891" s="143"/>
      <c r="H2891" s="143"/>
      <c r="I2891" s="99" t="s">
        <v>468</v>
      </c>
    </row>
    <row r="2892" spans="1:9" hidden="1" outlineLevel="1">
      <c r="A2892" s="465" t="s">
        <v>469</v>
      </c>
      <c r="B2892" s="452">
        <v>22053972222</v>
      </c>
      <c r="C2892" s="95">
        <v>-217847936</v>
      </c>
      <c r="D2892" s="145">
        <f t="shared" si="102"/>
        <v>21836124286</v>
      </c>
      <c r="E2892" s="143"/>
      <c r="F2892" s="143"/>
      <c r="G2892" s="143"/>
      <c r="H2892" s="143"/>
      <c r="I2892" s="99" t="s">
        <v>470</v>
      </c>
    </row>
    <row r="2893" spans="1:9" hidden="1" outlineLevel="1">
      <c r="A2893" s="465" t="s">
        <v>471</v>
      </c>
      <c r="B2893" s="452">
        <v>131848005</v>
      </c>
      <c r="C2893" s="95">
        <v>-1461572</v>
      </c>
      <c r="D2893" s="145">
        <f t="shared" si="102"/>
        <v>130386433</v>
      </c>
      <c r="E2893" s="143"/>
      <c r="F2893" s="143"/>
      <c r="G2893" s="143"/>
      <c r="H2893" s="143"/>
      <c r="I2893" s="99" t="s">
        <v>472</v>
      </c>
    </row>
    <row r="2894" spans="1:9" hidden="1" outlineLevel="1">
      <c r="A2894" s="465" t="s">
        <v>473</v>
      </c>
      <c r="B2894" s="452">
        <v>16485387</v>
      </c>
      <c r="C2894" s="95">
        <v>0</v>
      </c>
      <c r="D2894" s="145">
        <f t="shared" si="102"/>
        <v>16485387</v>
      </c>
      <c r="E2894" s="143"/>
      <c r="F2894" s="143"/>
      <c r="G2894" s="143"/>
      <c r="H2894" s="143"/>
      <c r="I2894" s="99" t="s">
        <v>474</v>
      </c>
    </row>
    <row r="2895" spans="1:9" hidden="1" outlineLevel="1">
      <c r="A2895" s="465" t="s">
        <v>475</v>
      </c>
      <c r="B2895" s="452">
        <v>58678267</v>
      </c>
      <c r="C2895" s="95">
        <v>215276</v>
      </c>
      <c r="D2895" s="145">
        <f t="shared" si="102"/>
        <v>58893543</v>
      </c>
      <c r="E2895" s="143"/>
      <c r="F2895" s="143"/>
      <c r="G2895" s="143"/>
      <c r="H2895" s="143"/>
      <c r="I2895" s="99" t="s">
        <v>476</v>
      </c>
    </row>
    <row r="2896" spans="1:9" hidden="1" outlineLevel="1">
      <c r="A2896" s="465" t="s">
        <v>477</v>
      </c>
      <c r="B2896" s="452">
        <v>1259885799</v>
      </c>
      <c r="C2896" s="95">
        <v>-4333432</v>
      </c>
      <c r="D2896" s="145">
        <f t="shared" si="102"/>
        <v>1255552367</v>
      </c>
      <c r="E2896" s="143"/>
      <c r="F2896" s="143"/>
      <c r="G2896" s="143"/>
      <c r="H2896" s="143"/>
      <c r="I2896" s="99" t="s">
        <v>478</v>
      </c>
    </row>
    <row r="2897" spans="1:9" hidden="1" outlineLevel="1">
      <c r="A2897" s="465" t="s">
        <v>479</v>
      </c>
      <c r="B2897" s="452">
        <v>181791267</v>
      </c>
      <c r="C2897" s="95">
        <v>-834842</v>
      </c>
      <c r="D2897" s="145">
        <f t="shared" si="102"/>
        <v>180956425</v>
      </c>
      <c r="E2897" s="143"/>
      <c r="F2897" s="143"/>
      <c r="G2897" s="143"/>
      <c r="H2897" s="143"/>
      <c r="I2897" s="99" t="s">
        <v>480</v>
      </c>
    </row>
    <row r="2898" spans="1:9" hidden="1" outlineLevel="1">
      <c r="A2898" s="465" t="s">
        <v>481</v>
      </c>
      <c r="B2898" s="452">
        <v>121320760</v>
      </c>
      <c r="C2898" s="95">
        <v>0</v>
      </c>
      <c r="D2898" s="145">
        <f t="shared" si="102"/>
        <v>121320760</v>
      </c>
      <c r="E2898" s="143"/>
      <c r="F2898" s="143"/>
      <c r="G2898" s="143"/>
      <c r="H2898" s="143"/>
      <c r="I2898" s="99" t="s">
        <v>482</v>
      </c>
    </row>
    <row r="2899" spans="1:9" hidden="1" outlineLevel="1">
      <c r="A2899" s="465" t="s">
        <v>483</v>
      </c>
      <c r="B2899" s="452">
        <v>6558093744</v>
      </c>
      <c r="C2899" s="95">
        <v>-41277889</v>
      </c>
      <c r="D2899" s="145">
        <f t="shared" si="102"/>
        <v>6516815855</v>
      </c>
      <c r="E2899" s="143"/>
      <c r="F2899" s="143"/>
      <c r="G2899" s="143"/>
      <c r="H2899" s="143"/>
      <c r="I2899" s="99" t="s">
        <v>484</v>
      </c>
    </row>
    <row r="2900" spans="1:9" hidden="1" outlineLevel="1">
      <c r="A2900" s="465" t="s">
        <v>485</v>
      </c>
      <c r="B2900" s="452">
        <v>335822390</v>
      </c>
      <c r="C2900" s="95">
        <v>3600068</v>
      </c>
      <c r="D2900" s="145">
        <f t="shared" si="102"/>
        <v>339422458</v>
      </c>
      <c r="E2900" s="143"/>
      <c r="F2900" s="143"/>
      <c r="G2900" s="143"/>
      <c r="H2900" s="143"/>
      <c r="I2900" s="99" t="s">
        <v>486</v>
      </c>
    </row>
    <row r="2901" spans="1:9" hidden="1" outlineLevel="1">
      <c r="A2901" s="465" t="s">
        <v>487</v>
      </c>
      <c r="B2901" s="452">
        <v>72468533</v>
      </c>
      <c r="C2901" s="95">
        <v>1353533</v>
      </c>
      <c r="D2901" s="145">
        <f t="shared" si="102"/>
        <v>73822066</v>
      </c>
      <c r="E2901" s="143"/>
      <c r="F2901" s="143"/>
      <c r="G2901" s="143"/>
      <c r="H2901" s="143"/>
      <c r="I2901" s="99" t="s">
        <v>488</v>
      </c>
    </row>
    <row r="2902" spans="1:9" hidden="1" outlineLevel="1">
      <c r="A2902" s="465" t="s">
        <v>489</v>
      </c>
      <c r="B2902" s="452">
        <v>427162829</v>
      </c>
      <c r="C2902" s="95">
        <v>144408</v>
      </c>
      <c r="D2902" s="145">
        <f t="shared" si="102"/>
        <v>427307237</v>
      </c>
      <c r="E2902" s="143"/>
      <c r="F2902" s="143"/>
      <c r="G2902" s="143"/>
      <c r="H2902" s="143"/>
      <c r="I2902" s="99" t="s">
        <v>490</v>
      </c>
    </row>
    <row r="2903" spans="1:9" hidden="1" outlineLevel="1">
      <c r="A2903" s="465" t="s">
        <v>491</v>
      </c>
      <c r="B2903" s="452">
        <v>19068722</v>
      </c>
      <c r="C2903" s="95">
        <v>0</v>
      </c>
      <c r="D2903" s="145">
        <f t="shared" si="102"/>
        <v>19068722</v>
      </c>
      <c r="E2903" s="143"/>
      <c r="F2903" s="143"/>
      <c r="G2903" s="143"/>
      <c r="H2903" s="143"/>
      <c r="I2903" s="99" t="s">
        <v>492</v>
      </c>
    </row>
    <row r="2904" spans="1:9" hidden="1" outlineLevel="1">
      <c r="A2904" s="465" t="s">
        <v>493</v>
      </c>
      <c r="B2904" s="452">
        <v>217064428</v>
      </c>
      <c r="C2904" s="95">
        <v>0</v>
      </c>
      <c r="D2904" s="145">
        <f t="shared" si="102"/>
        <v>217064428</v>
      </c>
      <c r="E2904" s="143"/>
      <c r="F2904" s="143"/>
      <c r="G2904" s="143"/>
      <c r="H2904" s="143"/>
      <c r="I2904" s="99" t="s">
        <v>494</v>
      </c>
    </row>
    <row r="2905" spans="1:9" hidden="1" outlineLevel="1">
      <c r="A2905" s="465" t="s">
        <v>495</v>
      </c>
      <c r="B2905" s="452">
        <v>783727527</v>
      </c>
      <c r="C2905" s="95">
        <v>0</v>
      </c>
      <c r="D2905" s="145">
        <f t="shared" si="102"/>
        <v>783727527</v>
      </c>
      <c r="E2905" s="143"/>
      <c r="F2905" s="143"/>
      <c r="G2905" s="143"/>
      <c r="H2905" s="143"/>
      <c r="I2905" s="99" t="s">
        <v>496</v>
      </c>
    </row>
    <row r="2906" spans="1:9" hidden="1" outlineLevel="1">
      <c r="A2906" s="465" t="s">
        <v>497</v>
      </c>
      <c r="B2906" s="452">
        <v>177407966</v>
      </c>
      <c r="C2906" s="95">
        <v>-261802</v>
      </c>
      <c r="D2906" s="145">
        <f t="shared" si="102"/>
        <v>177146164</v>
      </c>
      <c r="E2906" s="143"/>
      <c r="F2906" s="143"/>
      <c r="G2906" s="143"/>
      <c r="H2906" s="143"/>
      <c r="I2906" s="99" t="s">
        <v>498</v>
      </c>
    </row>
    <row r="2907" spans="1:9" hidden="1" outlineLevel="1">
      <c r="A2907" s="465" t="s">
        <v>499</v>
      </c>
      <c r="B2907" s="452">
        <v>14717428</v>
      </c>
      <c r="C2907" s="95">
        <v>54989</v>
      </c>
      <c r="D2907" s="145">
        <f t="shared" si="102"/>
        <v>14772417</v>
      </c>
      <c r="E2907" s="143"/>
      <c r="F2907" s="143"/>
      <c r="G2907" s="143"/>
      <c r="H2907" s="143"/>
      <c r="I2907" s="99" t="s">
        <v>500</v>
      </c>
    </row>
    <row r="2908" spans="1:9" hidden="1" outlineLevel="1">
      <c r="A2908" s="465" t="s">
        <v>501</v>
      </c>
      <c r="B2908" s="452">
        <v>144203267</v>
      </c>
      <c r="C2908" s="95">
        <v>0</v>
      </c>
      <c r="D2908" s="145">
        <f t="shared" si="102"/>
        <v>144203267</v>
      </c>
      <c r="E2908" s="143"/>
      <c r="F2908" s="143"/>
      <c r="G2908" s="143"/>
      <c r="H2908" s="143"/>
      <c r="I2908" s="99" t="s">
        <v>502</v>
      </c>
    </row>
    <row r="2909" spans="1:9" hidden="1" outlineLevel="1">
      <c r="A2909" s="465" t="s">
        <v>503</v>
      </c>
      <c r="B2909" s="452">
        <v>1242544271</v>
      </c>
      <c r="C2909" s="95">
        <v>389537</v>
      </c>
      <c r="D2909" s="145">
        <f t="shared" si="102"/>
        <v>1242933808</v>
      </c>
      <c r="E2909" s="143"/>
      <c r="F2909" s="143"/>
      <c r="G2909" s="143"/>
      <c r="H2909" s="143"/>
      <c r="I2909" s="99" t="s">
        <v>504</v>
      </c>
    </row>
    <row r="2910" spans="1:9" hidden="1" outlineLevel="1">
      <c r="A2910" s="465" t="s">
        <v>505</v>
      </c>
      <c r="B2910" s="452">
        <v>109245897</v>
      </c>
      <c r="C2910" s="95">
        <v>-204047</v>
      </c>
      <c r="D2910" s="145">
        <f t="shared" si="102"/>
        <v>109041850</v>
      </c>
      <c r="E2910" s="143"/>
      <c r="F2910" s="143"/>
      <c r="G2910" s="143"/>
      <c r="H2910" s="143"/>
      <c r="I2910" s="99" t="s">
        <v>506</v>
      </c>
    </row>
    <row r="2911" spans="1:9" hidden="1" outlineLevel="1">
      <c r="A2911" s="465" t="s">
        <v>507</v>
      </c>
      <c r="B2911" s="452">
        <v>122364622</v>
      </c>
      <c r="C2911" s="95">
        <v>190880</v>
      </c>
      <c r="D2911" s="145">
        <f t="shared" si="102"/>
        <v>122555502</v>
      </c>
      <c r="E2911" s="143"/>
      <c r="F2911" s="143"/>
      <c r="G2911" s="143"/>
      <c r="H2911" s="143"/>
      <c r="I2911" s="99" t="s">
        <v>508</v>
      </c>
    </row>
    <row r="2912" spans="1:9" hidden="1" outlineLevel="1">
      <c r="A2912" s="465" t="s">
        <v>509</v>
      </c>
      <c r="B2912" s="452">
        <v>129982090</v>
      </c>
      <c r="C2912" s="95">
        <v>-468488</v>
      </c>
      <c r="D2912" s="145">
        <f t="shared" si="102"/>
        <v>129513602</v>
      </c>
      <c r="E2912" s="143"/>
      <c r="F2912" s="143"/>
      <c r="G2912" s="143"/>
      <c r="H2912" s="143"/>
      <c r="I2912" s="99" t="s">
        <v>510</v>
      </c>
    </row>
    <row r="2913" spans="1:9" hidden="1" outlineLevel="1">
      <c r="A2913" s="465" t="s">
        <v>511</v>
      </c>
      <c r="B2913" s="452">
        <v>62106</v>
      </c>
      <c r="C2913" s="95">
        <v>0</v>
      </c>
      <c r="D2913" s="145">
        <f t="shared" si="102"/>
        <v>62106</v>
      </c>
      <c r="E2913" s="143"/>
      <c r="F2913" s="143"/>
      <c r="G2913" s="143"/>
      <c r="H2913" s="143"/>
      <c r="I2913" s="99" t="s">
        <v>512</v>
      </c>
    </row>
    <row r="2914" spans="1:9" hidden="1" outlineLevel="1">
      <c r="A2914" s="465" t="s">
        <v>172</v>
      </c>
      <c r="B2914" s="452">
        <v>9055995</v>
      </c>
      <c r="C2914" s="95">
        <v>379797</v>
      </c>
      <c r="D2914" s="145">
        <f t="shared" si="102"/>
        <v>9435792</v>
      </c>
      <c r="E2914" s="143"/>
      <c r="F2914" s="143"/>
      <c r="G2914" s="143"/>
      <c r="H2914" s="143"/>
      <c r="I2914" s="99" t="s">
        <v>173</v>
      </c>
    </row>
    <row r="2915" spans="1:9" hidden="1" outlineLevel="1">
      <c r="A2915" s="465" t="s">
        <v>513</v>
      </c>
      <c r="B2915" s="452">
        <v>86428070</v>
      </c>
      <c r="C2915" s="95">
        <v>160880</v>
      </c>
      <c r="D2915" s="145">
        <f t="shared" si="102"/>
        <v>86588950</v>
      </c>
      <c r="E2915" s="143"/>
      <c r="F2915" s="143"/>
      <c r="G2915" s="143"/>
      <c r="H2915" s="143"/>
      <c r="I2915" s="99" t="s">
        <v>514</v>
      </c>
    </row>
    <row r="2916" spans="1:9" hidden="1" outlineLevel="1">
      <c r="A2916" s="465" t="s">
        <v>515</v>
      </c>
      <c r="B2916" s="452">
        <v>3276700</v>
      </c>
      <c r="C2916" s="95">
        <v>0</v>
      </c>
      <c r="D2916" s="145">
        <f t="shared" si="102"/>
        <v>3276700</v>
      </c>
      <c r="E2916" s="143"/>
      <c r="F2916" s="143"/>
      <c r="G2916" s="143"/>
      <c r="H2916" s="143"/>
      <c r="I2916" s="99" t="s">
        <v>516</v>
      </c>
    </row>
    <row r="2917" spans="1:9" hidden="1" outlineLevel="1">
      <c r="A2917" s="465" t="s">
        <v>517</v>
      </c>
      <c r="B2917" s="452">
        <v>138094398</v>
      </c>
      <c r="C2917" s="95">
        <v>0</v>
      </c>
      <c r="D2917" s="145">
        <f t="shared" si="102"/>
        <v>138094398</v>
      </c>
      <c r="E2917" s="143"/>
      <c r="F2917" s="143"/>
      <c r="G2917" s="143"/>
      <c r="H2917" s="143"/>
      <c r="I2917" s="99" t="s">
        <v>518</v>
      </c>
    </row>
    <row r="2918" spans="1:9" hidden="1" outlineLevel="1">
      <c r="A2918" s="465" t="s">
        <v>519</v>
      </c>
      <c r="B2918" s="452">
        <v>94582070</v>
      </c>
      <c r="C2918" s="95">
        <v>781436</v>
      </c>
      <c r="D2918" s="145">
        <f t="shared" si="102"/>
        <v>95363506</v>
      </c>
      <c r="E2918" s="143"/>
      <c r="F2918" s="143"/>
      <c r="G2918" s="143"/>
      <c r="H2918" s="143"/>
      <c r="I2918" s="99" t="s">
        <v>520</v>
      </c>
    </row>
    <row r="2919" spans="1:9" hidden="1" outlineLevel="1">
      <c r="A2919" s="465" t="s">
        <v>521</v>
      </c>
      <c r="B2919" s="452">
        <v>303088082</v>
      </c>
      <c r="C2919" s="95">
        <v>0</v>
      </c>
      <c r="D2919" s="145">
        <f t="shared" si="102"/>
        <v>303088082</v>
      </c>
      <c r="E2919" s="143"/>
      <c r="F2919" s="143"/>
      <c r="G2919" s="143"/>
      <c r="H2919" s="143"/>
      <c r="I2919" s="99" t="s">
        <v>522</v>
      </c>
    </row>
    <row r="2920" spans="1:9" hidden="1" outlineLevel="1">
      <c r="A2920" s="465" t="s">
        <v>523</v>
      </c>
      <c r="B2920" s="452">
        <v>139597374</v>
      </c>
      <c r="C2920" s="95">
        <v>3159378</v>
      </c>
      <c r="D2920" s="145">
        <f t="shared" si="102"/>
        <v>142756752</v>
      </c>
      <c r="E2920" s="143"/>
      <c r="F2920" s="143"/>
      <c r="G2920" s="143"/>
      <c r="H2920" s="143"/>
      <c r="I2920" s="99" t="s">
        <v>524</v>
      </c>
    </row>
    <row r="2921" spans="1:9" hidden="1" outlineLevel="1">
      <c r="A2921" s="465" t="s">
        <v>525</v>
      </c>
      <c r="B2921" s="452">
        <v>19242494</v>
      </c>
      <c r="C2921" s="95">
        <v>0</v>
      </c>
      <c r="D2921" s="145">
        <f t="shared" si="102"/>
        <v>19242494</v>
      </c>
      <c r="E2921" s="143"/>
      <c r="F2921" s="143"/>
      <c r="G2921" s="143"/>
      <c r="H2921" s="143"/>
      <c r="I2921" s="99" t="s">
        <v>526</v>
      </c>
    </row>
    <row r="2922" spans="1:9" hidden="1" outlineLevel="1">
      <c r="A2922" s="465" t="s">
        <v>527</v>
      </c>
      <c r="B2922" s="452">
        <v>181910899</v>
      </c>
      <c r="C2922" s="95">
        <v>-2850659</v>
      </c>
      <c r="D2922" s="145">
        <f t="shared" si="102"/>
        <v>179060240</v>
      </c>
      <c r="E2922" s="143"/>
      <c r="F2922" s="143"/>
      <c r="G2922" s="143"/>
      <c r="H2922" s="143"/>
      <c r="I2922" s="99" t="s">
        <v>528</v>
      </c>
    </row>
    <row r="2923" spans="1:9" hidden="1" outlineLevel="1">
      <c r="A2923" s="465" t="s">
        <v>529</v>
      </c>
      <c r="B2923" s="452">
        <v>11202656</v>
      </c>
      <c r="C2923" s="95">
        <v>60395</v>
      </c>
      <c r="D2923" s="145">
        <f t="shared" si="102"/>
        <v>11263051</v>
      </c>
      <c r="E2923" s="143"/>
      <c r="F2923" s="143"/>
      <c r="G2923" s="143"/>
      <c r="H2923" s="143"/>
      <c r="I2923" s="99" t="s">
        <v>530</v>
      </c>
    </row>
    <row r="2924" spans="1:9" hidden="1" outlineLevel="1">
      <c r="A2924" s="465" t="s">
        <v>531</v>
      </c>
      <c r="B2924" s="452">
        <v>331696388</v>
      </c>
      <c r="C2924" s="95">
        <v>0</v>
      </c>
      <c r="D2924" s="145">
        <f t="shared" si="102"/>
        <v>331696388</v>
      </c>
      <c r="E2924" s="143"/>
      <c r="F2924" s="143"/>
      <c r="G2924" s="143"/>
      <c r="H2924" s="143"/>
      <c r="I2924" s="99" t="s">
        <v>532</v>
      </c>
    </row>
    <row r="2925" spans="1:9" hidden="1" outlineLevel="1">
      <c r="A2925" s="465" t="s">
        <v>533</v>
      </c>
      <c r="B2925" s="452">
        <v>245192402</v>
      </c>
      <c r="C2925" s="95">
        <v>0</v>
      </c>
      <c r="D2925" s="145">
        <f t="shared" si="102"/>
        <v>245192402</v>
      </c>
      <c r="E2925" s="143"/>
      <c r="F2925" s="143"/>
      <c r="G2925" s="143"/>
      <c r="H2925" s="143"/>
      <c r="I2925" s="99" t="s">
        <v>534</v>
      </c>
    </row>
    <row r="2926" spans="1:9" hidden="1" outlineLevel="1">
      <c r="A2926" s="465" t="s">
        <v>535</v>
      </c>
      <c r="B2926" s="452">
        <v>142115100</v>
      </c>
      <c r="C2926" s="95">
        <v>2256833</v>
      </c>
      <c r="D2926" s="145">
        <f t="shared" si="102"/>
        <v>144371933</v>
      </c>
      <c r="E2926" s="143"/>
      <c r="F2926" s="143"/>
      <c r="G2926" s="143"/>
      <c r="H2926" s="143"/>
      <c r="I2926" s="99" t="s">
        <v>536</v>
      </c>
    </row>
    <row r="2927" spans="1:9" hidden="1" outlineLevel="1">
      <c r="A2927" s="465" t="s">
        <v>537</v>
      </c>
      <c r="B2927" s="452">
        <v>31439938</v>
      </c>
      <c r="C2927" s="95">
        <v>0</v>
      </c>
      <c r="D2927" s="145">
        <f t="shared" si="102"/>
        <v>31439938</v>
      </c>
      <c r="E2927" s="143"/>
      <c r="F2927" s="143"/>
      <c r="G2927" s="143"/>
      <c r="H2927" s="143"/>
      <c r="I2927" s="99" t="s">
        <v>538</v>
      </c>
    </row>
    <row r="2928" spans="1:9" hidden="1" outlineLevel="1">
      <c r="A2928" s="465" t="s">
        <v>539</v>
      </c>
      <c r="B2928" s="452">
        <v>150455657</v>
      </c>
      <c r="C2928" s="95">
        <v>0</v>
      </c>
      <c r="D2928" s="145">
        <f t="shared" si="102"/>
        <v>150455657</v>
      </c>
      <c r="E2928" s="143"/>
      <c r="F2928" s="143"/>
      <c r="G2928" s="143"/>
      <c r="H2928" s="143"/>
      <c r="I2928" s="99" t="s">
        <v>540</v>
      </c>
    </row>
    <row r="2929" spans="1:9" hidden="1" outlineLevel="1">
      <c r="A2929" s="465" t="s">
        <v>541</v>
      </c>
      <c r="B2929" s="452">
        <v>2632683051</v>
      </c>
      <c r="C2929" s="95">
        <v>72766622</v>
      </c>
      <c r="D2929" s="145">
        <f t="shared" si="102"/>
        <v>2705449673</v>
      </c>
      <c r="E2929" s="143"/>
      <c r="F2929" s="143"/>
      <c r="G2929" s="143"/>
      <c r="H2929" s="143"/>
      <c r="I2929" s="99" t="s">
        <v>542</v>
      </c>
    </row>
    <row r="2930" spans="1:9" hidden="1" outlineLevel="1">
      <c r="A2930" s="465" t="s">
        <v>543</v>
      </c>
      <c r="B2930" s="452">
        <v>298942678</v>
      </c>
      <c r="C2930" s="95">
        <v>24013</v>
      </c>
      <c r="D2930" s="145">
        <f t="shared" si="102"/>
        <v>298966691</v>
      </c>
      <c r="E2930" s="143"/>
      <c r="F2930" s="143"/>
      <c r="G2930" s="143"/>
      <c r="H2930" s="143"/>
      <c r="I2930" s="99" t="s">
        <v>544</v>
      </c>
    </row>
    <row r="2931" spans="1:9" hidden="1" outlineLevel="1">
      <c r="A2931" s="465" t="s">
        <v>545</v>
      </c>
      <c r="B2931" s="452">
        <v>83737207</v>
      </c>
      <c r="C2931" s="95">
        <v>482097</v>
      </c>
      <c r="D2931" s="145">
        <f t="shared" si="102"/>
        <v>84219304</v>
      </c>
      <c r="E2931" s="143"/>
      <c r="F2931" s="143"/>
      <c r="G2931" s="143"/>
      <c r="H2931" s="143"/>
      <c r="I2931" s="99" t="s">
        <v>546</v>
      </c>
    </row>
    <row r="2932" spans="1:9" hidden="1" outlineLevel="1">
      <c r="A2932" s="465" t="s">
        <v>547</v>
      </c>
      <c r="B2932" s="452">
        <v>155752424</v>
      </c>
      <c r="C2932" s="95">
        <v>57716</v>
      </c>
      <c r="D2932" s="145">
        <f t="shared" si="102"/>
        <v>155810140</v>
      </c>
      <c r="E2932" s="143"/>
      <c r="F2932" s="143"/>
      <c r="G2932" s="143"/>
      <c r="H2932" s="143"/>
      <c r="I2932" s="99" t="s">
        <v>548</v>
      </c>
    </row>
    <row r="2933" spans="1:9" hidden="1" outlineLevel="1">
      <c r="A2933" s="465" t="s">
        <v>549</v>
      </c>
      <c r="B2933" s="452">
        <v>75912656</v>
      </c>
      <c r="C2933" s="95">
        <v>-165569</v>
      </c>
      <c r="D2933" s="145">
        <f t="shared" si="102"/>
        <v>75747087</v>
      </c>
      <c r="E2933" s="143"/>
      <c r="F2933" s="143"/>
      <c r="G2933" s="143"/>
      <c r="H2933" s="143"/>
      <c r="I2933" s="99" t="s">
        <v>550</v>
      </c>
    </row>
    <row r="2934" spans="1:9" hidden="1" outlineLevel="1">
      <c r="A2934" s="465" t="s">
        <v>551</v>
      </c>
      <c r="B2934" s="452">
        <v>459326757</v>
      </c>
      <c r="C2934" s="95">
        <v>-2568532</v>
      </c>
      <c r="D2934" s="145">
        <f t="shared" si="102"/>
        <v>456758225</v>
      </c>
      <c r="E2934" s="143"/>
      <c r="F2934" s="143"/>
      <c r="G2934" s="143"/>
      <c r="H2934" s="143"/>
      <c r="I2934" s="99" t="s">
        <v>552</v>
      </c>
    </row>
    <row r="2935" spans="1:9" hidden="1" outlineLevel="1">
      <c r="A2935" s="465" t="s">
        <v>553</v>
      </c>
      <c r="B2935" s="452">
        <v>353715302</v>
      </c>
      <c r="C2935" s="95">
        <v>2285409</v>
      </c>
      <c r="D2935" s="145">
        <f t="shared" si="102"/>
        <v>356000711</v>
      </c>
      <c r="E2935" s="143"/>
      <c r="F2935" s="143"/>
      <c r="G2935" s="143"/>
      <c r="H2935" s="143"/>
      <c r="I2935" s="99" t="s">
        <v>554</v>
      </c>
    </row>
    <row r="2936" spans="1:9" hidden="1" outlineLevel="1">
      <c r="A2936" s="465" t="s">
        <v>555</v>
      </c>
      <c r="B2936" s="452">
        <v>173151986</v>
      </c>
      <c r="C2936" s="95">
        <v>1703322</v>
      </c>
      <c r="D2936" s="145">
        <f t="shared" si="102"/>
        <v>174855308</v>
      </c>
      <c r="E2936" s="143"/>
      <c r="F2936" s="143"/>
      <c r="G2936" s="143"/>
      <c r="H2936" s="143"/>
      <c r="I2936" s="99" t="s">
        <v>556</v>
      </c>
    </row>
    <row r="2937" spans="1:9" hidden="1" outlineLevel="1">
      <c r="A2937" s="465" t="s">
        <v>559</v>
      </c>
      <c r="B2937" s="452">
        <v>10987166</v>
      </c>
      <c r="C2937" s="95">
        <v>4356</v>
      </c>
      <c r="D2937" s="145">
        <f t="shared" si="102"/>
        <v>10991522</v>
      </c>
      <c r="E2937" s="143"/>
      <c r="F2937" s="143"/>
      <c r="G2937" s="143"/>
      <c r="H2937" s="143"/>
      <c r="I2937" s="99" t="s">
        <v>560</v>
      </c>
    </row>
    <row r="2938" spans="1:9" hidden="1" outlineLevel="1">
      <c r="A2938" s="465" t="s">
        <v>561</v>
      </c>
      <c r="B2938" s="452">
        <v>3254890</v>
      </c>
      <c r="C2938" s="95">
        <v>-4540</v>
      </c>
      <c r="D2938" s="145">
        <f t="shared" si="102"/>
        <v>3250350</v>
      </c>
      <c r="E2938" s="143"/>
      <c r="F2938" s="143"/>
      <c r="G2938" s="143"/>
      <c r="H2938" s="143"/>
      <c r="I2938" s="99" t="s">
        <v>562</v>
      </c>
    </row>
    <row r="2939" spans="1:9" hidden="1" outlineLevel="1">
      <c r="A2939" s="465" t="s">
        <v>563</v>
      </c>
      <c r="B2939" s="452">
        <v>78978002</v>
      </c>
      <c r="C2939" s="95">
        <v>-1820679</v>
      </c>
      <c r="D2939" s="145">
        <f t="shared" si="102"/>
        <v>77157323</v>
      </c>
      <c r="E2939" s="143"/>
      <c r="F2939" s="143"/>
      <c r="G2939" s="143"/>
      <c r="H2939" s="143"/>
      <c r="I2939" s="99" t="s">
        <v>564</v>
      </c>
    </row>
    <row r="2940" spans="1:9" hidden="1" outlineLevel="1">
      <c r="A2940" s="465" t="s">
        <v>565</v>
      </c>
      <c r="B2940" s="452">
        <v>116308497</v>
      </c>
      <c r="C2940" s="95">
        <v>0</v>
      </c>
      <c r="D2940" s="145">
        <f t="shared" si="102"/>
        <v>116308497</v>
      </c>
      <c r="E2940" s="143"/>
      <c r="F2940" s="143"/>
      <c r="G2940" s="143"/>
      <c r="H2940" s="143"/>
      <c r="I2940" s="99" t="s">
        <v>566</v>
      </c>
    </row>
    <row r="2941" spans="1:9" hidden="1" outlineLevel="1">
      <c r="A2941" s="465" t="s">
        <v>567</v>
      </c>
      <c r="B2941" s="452">
        <v>2337661713</v>
      </c>
      <c r="C2941" s="95">
        <v>-18872151</v>
      </c>
      <c r="D2941" s="145">
        <f t="shared" si="102"/>
        <v>2318789562</v>
      </c>
      <c r="E2941" s="143"/>
      <c r="F2941" s="143"/>
      <c r="G2941" s="143"/>
      <c r="H2941" s="143"/>
      <c r="I2941" s="99" t="s">
        <v>568</v>
      </c>
    </row>
    <row r="2942" spans="1:9" hidden="1" outlineLevel="1">
      <c r="A2942" s="465" t="s">
        <v>569</v>
      </c>
      <c r="B2942" s="452">
        <v>46026523</v>
      </c>
      <c r="C2942" s="95">
        <v>0</v>
      </c>
      <c r="D2942" s="145">
        <f t="shared" si="102"/>
        <v>46026523</v>
      </c>
      <c r="E2942" s="143"/>
      <c r="F2942" s="143"/>
      <c r="G2942" s="143"/>
      <c r="H2942" s="143"/>
      <c r="I2942" s="99" t="s">
        <v>570</v>
      </c>
    </row>
    <row r="2943" spans="1:9" hidden="1" outlineLevel="1">
      <c r="A2943" s="465" t="s">
        <v>571</v>
      </c>
      <c r="B2943" s="452">
        <v>55759316</v>
      </c>
      <c r="C2943" s="95">
        <v>0</v>
      </c>
      <c r="D2943" s="145">
        <f t="shared" ref="D2943:D3006" si="103">B2943+C2943</f>
        <v>55759316</v>
      </c>
      <c r="E2943" s="143"/>
      <c r="F2943" s="143"/>
      <c r="G2943" s="143"/>
      <c r="H2943" s="143"/>
      <c r="I2943" s="99" t="s">
        <v>572</v>
      </c>
    </row>
    <row r="2944" spans="1:9" hidden="1" outlineLevel="1">
      <c r="A2944" s="465" t="s">
        <v>573</v>
      </c>
      <c r="B2944" s="452">
        <v>255962896</v>
      </c>
      <c r="C2944" s="95">
        <v>4748335</v>
      </c>
      <c r="D2944" s="145">
        <f t="shared" si="103"/>
        <v>260711231</v>
      </c>
      <c r="E2944" s="143"/>
      <c r="F2944" s="143"/>
      <c r="G2944" s="143"/>
      <c r="H2944" s="143"/>
      <c r="I2944" s="99" t="s">
        <v>574</v>
      </c>
    </row>
    <row r="2945" spans="1:9" hidden="1" outlineLevel="1">
      <c r="A2945" s="465" t="s">
        <v>575</v>
      </c>
      <c r="B2945" s="452">
        <v>115468416</v>
      </c>
      <c r="C2945" s="95">
        <v>129555</v>
      </c>
      <c r="D2945" s="145">
        <f t="shared" si="103"/>
        <v>115597971</v>
      </c>
      <c r="E2945" s="143"/>
      <c r="F2945" s="143"/>
      <c r="G2945" s="143"/>
      <c r="H2945" s="143"/>
      <c r="I2945" s="99" t="s">
        <v>576</v>
      </c>
    </row>
    <row r="2946" spans="1:9" hidden="1" outlineLevel="1">
      <c r="A2946" s="465" t="s">
        <v>577</v>
      </c>
      <c r="B2946" s="452">
        <v>3169446215</v>
      </c>
      <c r="C2946" s="95">
        <v>8245330</v>
      </c>
      <c r="D2946" s="145">
        <f t="shared" si="103"/>
        <v>3177691545</v>
      </c>
      <c r="E2946" s="143"/>
      <c r="F2946" s="143"/>
      <c r="G2946" s="143"/>
      <c r="H2946" s="143"/>
      <c r="I2946" s="99" t="s">
        <v>578</v>
      </c>
    </row>
    <row r="2947" spans="1:9" hidden="1" outlineLevel="1">
      <c r="A2947" s="465" t="s">
        <v>579</v>
      </c>
      <c r="B2947" s="452">
        <v>140170690</v>
      </c>
      <c r="C2947" s="95">
        <v>267480</v>
      </c>
      <c r="D2947" s="145">
        <f t="shared" si="103"/>
        <v>140438170</v>
      </c>
      <c r="E2947" s="143"/>
      <c r="F2947" s="143"/>
      <c r="G2947" s="143"/>
      <c r="H2947" s="143"/>
      <c r="I2947" s="99" t="s">
        <v>580</v>
      </c>
    </row>
    <row r="2948" spans="1:9" hidden="1" outlineLevel="1">
      <c r="A2948" s="465" t="s">
        <v>581</v>
      </c>
      <c r="B2948" s="452">
        <v>32190923</v>
      </c>
      <c r="C2948" s="95">
        <v>663394</v>
      </c>
      <c r="D2948" s="145">
        <f t="shared" si="103"/>
        <v>32854317</v>
      </c>
      <c r="E2948" s="143"/>
      <c r="F2948" s="143"/>
      <c r="G2948" s="143"/>
      <c r="H2948" s="143"/>
      <c r="I2948" s="99" t="s">
        <v>582</v>
      </c>
    </row>
    <row r="2949" spans="1:9" hidden="1" outlineLevel="1">
      <c r="A2949" s="465" t="s">
        <v>583</v>
      </c>
      <c r="B2949" s="452">
        <v>117495396</v>
      </c>
      <c r="C2949" s="95">
        <v>-130535</v>
      </c>
      <c r="D2949" s="145">
        <f t="shared" si="103"/>
        <v>117364861</v>
      </c>
      <c r="E2949" s="143"/>
      <c r="F2949" s="143"/>
      <c r="G2949" s="143"/>
      <c r="H2949" s="143"/>
      <c r="I2949" s="99" t="s">
        <v>584</v>
      </c>
    </row>
    <row r="2950" spans="1:9" hidden="1" outlineLevel="1">
      <c r="A2950" s="465" t="s">
        <v>585</v>
      </c>
      <c r="B2950" s="452">
        <v>1664705</v>
      </c>
      <c r="C2950" s="95">
        <v>0</v>
      </c>
      <c r="D2950" s="145">
        <f t="shared" si="103"/>
        <v>1664705</v>
      </c>
      <c r="E2950" s="143"/>
      <c r="F2950" s="143"/>
      <c r="G2950" s="143"/>
      <c r="H2950" s="143"/>
      <c r="I2950" s="99" t="s">
        <v>586</v>
      </c>
    </row>
    <row r="2951" spans="1:9" hidden="1" outlineLevel="1">
      <c r="A2951" s="465" t="s">
        <v>585</v>
      </c>
      <c r="B2951" s="452">
        <v>41898817</v>
      </c>
      <c r="C2951" s="95">
        <v>0</v>
      </c>
      <c r="D2951" s="145">
        <f t="shared" si="103"/>
        <v>41898817</v>
      </c>
      <c r="E2951" s="143"/>
      <c r="F2951" s="143"/>
      <c r="G2951" s="143"/>
      <c r="H2951" s="143"/>
      <c r="I2951" s="99" t="s">
        <v>586</v>
      </c>
    </row>
    <row r="2952" spans="1:9" hidden="1" outlineLevel="1">
      <c r="A2952" s="465" t="s">
        <v>587</v>
      </c>
      <c r="B2952" s="452">
        <v>71296872</v>
      </c>
      <c r="C2952" s="95">
        <v>436033</v>
      </c>
      <c r="D2952" s="145">
        <f t="shared" si="103"/>
        <v>71732905</v>
      </c>
      <c r="E2952" s="143"/>
      <c r="F2952" s="143"/>
      <c r="G2952" s="143"/>
      <c r="H2952" s="143"/>
      <c r="I2952" s="99" t="s">
        <v>588</v>
      </c>
    </row>
    <row r="2953" spans="1:9" hidden="1" outlineLevel="1">
      <c r="A2953" s="465" t="s">
        <v>589</v>
      </c>
      <c r="B2953" s="452">
        <v>136253265</v>
      </c>
      <c r="C2953" s="95">
        <v>-524746</v>
      </c>
      <c r="D2953" s="145">
        <f t="shared" si="103"/>
        <v>135728519</v>
      </c>
      <c r="E2953" s="143"/>
      <c r="F2953" s="143"/>
      <c r="G2953" s="143"/>
      <c r="H2953" s="143"/>
      <c r="I2953" s="99" t="s">
        <v>590</v>
      </c>
    </row>
    <row r="2954" spans="1:9" hidden="1" outlineLevel="1">
      <c r="A2954" s="465" t="s">
        <v>591</v>
      </c>
      <c r="B2954" s="452">
        <v>608016726</v>
      </c>
      <c r="C2954" s="95">
        <v>2765270</v>
      </c>
      <c r="D2954" s="145">
        <f t="shared" si="103"/>
        <v>610781996</v>
      </c>
      <c r="E2954" s="143"/>
      <c r="F2954" s="143"/>
      <c r="G2954" s="143"/>
      <c r="H2954" s="143"/>
      <c r="I2954" s="99" t="s">
        <v>592</v>
      </c>
    </row>
    <row r="2955" spans="1:9" hidden="1" outlineLevel="1">
      <c r="A2955" s="465" t="s">
        <v>593</v>
      </c>
      <c r="B2955" s="452">
        <v>270616277</v>
      </c>
      <c r="C2955" s="95">
        <v>822783</v>
      </c>
      <c r="D2955" s="145">
        <f t="shared" si="103"/>
        <v>271439060</v>
      </c>
      <c r="E2955" s="143"/>
      <c r="F2955" s="143"/>
      <c r="G2955" s="143"/>
      <c r="H2955" s="143"/>
      <c r="I2955" s="99" t="s">
        <v>594</v>
      </c>
    </row>
    <row r="2956" spans="1:9" hidden="1" outlineLevel="1">
      <c r="A2956" s="465" t="s">
        <v>595</v>
      </c>
      <c r="B2956" s="452">
        <v>277037032</v>
      </c>
      <c r="C2956" s="95">
        <v>0</v>
      </c>
      <c r="D2956" s="145">
        <f t="shared" si="103"/>
        <v>277037032</v>
      </c>
      <c r="E2956" s="143"/>
      <c r="F2956" s="143"/>
      <c r="G2956" s="143"/>
      <c r="H2956" s="143"/>
      <c r="I2956" s="99" t="s">
        <v>596</v>
      </c>
    </row>
    <row r="2957" spans="1:9" hidden="1" outlineLevel="1">
      <c r="A2957" s="465" t="s">
        <v>597</v>
      </c>
      <c r="B2957" s="452">
        <v>165431649</v>
      </c>
      <c r="C2957" s="95">
        <v>-113944</v>
      </c>
      <c r="D2957" s="145">
        <f t="shared" si="103"/>
        <v>165317705</v>
      </c>
      <c r="E2957" s="143"/>
      <c r="F2957" s="143"/>
      <c r="G2957" s="143"/>
      <c r="H2957" s="143"/>
      <c r="I2957" s="99" t="s">
        <v>598</v>
      </c>
    </row>
    <row r="2958" spans="1:9" hidden="1" outlineLevel="1">
      <c r="A2958" s="465" t="s">
        <v>599</v>
      </c>
      <c r="B2958" s="452">
        <v>102302571</v>
      </c>
      <c r="C2958" s="95">
        <v>0</v>
      </c>
      <c r="D2958" s="145">
        <f t="shared" si="103"/>
        <v>102302571</v>
      </c>
      <c r="E2958" s="143"/>
      <c r="F2958" s="143"/>
      <c r="G2958" s="143"/>
      <c r="H2958" s="143"/>
      <c r="I2958" s="99" t="s">
        <v>600</v>
      </c>
    </row>
    <row r="2959" spans="1:9" hidden="1" outlineLevel="1">
      <c r="A2959" s="465" t="s">
        <v>601</v>
      </c>
      <c r="B2959" s="452">
        <v>15834429</v>
      </c>
      <c r="C2959" s="95">
        <v>395774</v>
      </c>
      <c r="D2959" s="145">
        <f t="shared" si="103"/>
        <v>16230203</v>
      </c>
      <c r="E2959" s="143"/>
      <c r="F2959" s="143"/>
      <c r="G2959" s="143"/>
      <c r="H2959" s="143"/>
      <c r="I2959" s="99" t="s">
        <v>602</v>
      </c>
    </row>
    <row r="2960" spans="1:9" hidden="1" outlineLevel="1">
      <c r="A2960" s="465" t="s">
        <v>603</v>
      </c>
      <c r="B2960" s="452">
        <v>119907767</v>
      </c>
      <c r="C2960" s="95">
        <v>5652490</v>
      </c>
      <c r="D2960" s="145">
        <f t="shared" si="103"/>
        <v>125560257</v>
      </c>
      <c r="E2960" s="143"/>
      <c r="F2960" s="143"/>
      <c r="G2960" s="143"/>
      <c r="H2960" s="143"/>
      <c r="I2960" s="99" t="s">
        <v>604</v>
      </c>
    </row>
    <row r="2961" spans="1:9" hidden="1" outlineLevel="1">
      <c r="A2961" s="465" t="s">
        <v>605</v>
      </c>
      <c r="B2961" s="452">
        <v>274553068</v>
      </c>
      <c r="C2961" s="95">
        <v>0</v>
      </c>
      <c r="D2961" s="145">
        <f t="shared" si="103"/>
        <v>274553068</v>
      </c>
      <c r="E2961" s="143"/>
      <c r="F2961" s="143"/>
      <c r="G2961" s="143"/>
      <c r="H2961" s="143"/>
      <c r="I2961" s="99" t="s">
        <v>606</v>
      </c>
    </row>
    <row r="2962" spans="1:9" hidden="1" outlineLevel="1">
      <c r="A2962" s="465" t="s">
        <v>607</v>
      </c>
      <c r="B2962" s="452">
        <v>19568428</v>
      </c>
      <c r="C2962" s="95">
        <v>620681</v>
      </c>
      <c r="D2962" s="145">
        <f t="shared" si="103"/>
        <v>20189109</v>
      </c>
      <c r="E2962" s="143"/>
      <c r="F2962" s="143"/>
      <c r="G2962" s="143"/>
      <c r="H2962" s="143"/>
      <c r="I2962" s="99" t="s">
        <v>608</v>
      </c>
    </row>
    <row r="2963" spans="1:9" hidden="1" outlineLevel="1">
      <c r="A2963" s="465" t="s">
        <v>609</v>
      </c>
      <c r="B2963" s="452">
        <v>212802154</v>
      </c>
      <c r="C2963" s="95">
        <v>948959</v>
      </c>
      <c r="D2963" s="145">
        <f t="shared" si="103"/>
        <v>213751113</v>
      </c>
      <c r="E2963" s="143"/>
      <c r="F2963" s="143"/>
      <c r="G2963" s="143"/>
      <c r="H2963" s="143"/>
      <c r="I2963" s="99" t="s">
        <v>610</v>
      </c>
    </row>
    <row r="2964" spans="1:9" hidden="1" outlineLevel="1">
      <c r="A2964" s="465" t="s">
        <v>611</v>
      </c>
      <c r="B2964" s="452">
        <v>163426844</v>
      </c>
      <c r="C2964" s="95">
        <v>-1628099</v>
      </c>
      <c r="D2964" s="145">
        <f t="shared" si="103"/>
        <v>161798745</v>
      </c>
      <c r="E2964" s="143"/>
      <c r="F2964" s="143"/>
      <c r="G2964" s="143"/>
      <c r="H2964" s="143"/>
      <c r="I2964" s="99" t="s">
        <v>612</v>
      </c>
    </row>
    <row r="2965" spans="1:9" hidden="1" outlineLevel="1">
      <c r="A2965" s="465" t="s">
        <v>613</v>
      </c>
      <c r="B2965" s="452">
        <v>5896100</v>
      </c>
      <c r="C2965" s="95">
        <v>26767</v>
      </c>
      <c r="D2965" s="145">
        <f t="shared" si="103"/>
        <v>5922867</v>
      </c>
      <c r="E2965" s="143"/>
      <c r="F2965" s="143"/>
      <c r="G2965" s="143"/>
      <c r="H2965" s="143"/>
      <c r="I2965" s="99" t="s">
        <v>614</v>
      </c>
    </row>
    <row r="2966" spans="1:9" hidden="1" outlineLevel="1">
      <c r="A2966" s="465" t="s">
        <v>615</v>
      </c>
      <c r="B2966" s="452">
        <v>110454111</v>
      </c>
      <c r="C2966" s="95">
        <v>0</v>
      </c>
      <c r="D2966" s="145">
        <f t="shared" si="103"/>
        <v>110454111</v>
      </c>
      <c r="E2966" s="143"/>
      <c r="F2966" s="143"/>
      <c r="G2966" s="143"/>
      <c r="H2966" s="143"/>
      <c r="I2966" s="99" t="s">
        <v>616</v>
      </c>
    </row>
    <row r="2967" spans="1:9" hidden="1" outlineLevel="1">
      <c r="A2967" s="465" t="s">
        <v>617</v>
      </c>
      <c r="B2967" s="452">
        <v>61599145</v>
      </c>
      <c r="C2967" s="95">
        <v>0</v>
      </c>
      <c r="D2967" s="145">
        <f t="shared" si="103"/>
        <v>61599145</v>
      </c>
      <c r="E2967" s="143"/>
      <c r="F2967" s="143"/>
      <c r="G2967" s="143"/>
      <c r="H2967" s="143"/>
      <c r="I2967" s="99" t="s">
        <v>618</v>
      </c>
    </row>
    <row r="2968" spans="1:9" hidden="1" outlineLevel="1">
      <c r="A2968" s="465" t="s">
        <v>619</v>
      </c>
      <c r="B2968" s="452">
        <v>403192811</v>
      </c>
      <c r="C2968" s="95">
        <v>0</v>
      </c>
      <c r="D2968" s="145">
        <f t="shared" si="103"/>
        <v>403192811</v>
      </c>
      <c r="E2968" s="143"/>
      <c r="F2968" s="143"/>
      <c r="G2968" s="143"/>
      <c r="H2968" s="143"/>
      <c r="I2968" s="99" t="s">
        <v>620</v>
      </c>
    </row>
    <row r="2969" spans="1:9" hidden="1" outlineLevel="1">
      <c r="A2969" s="465" t="s">
        <v>621</v>
      </c>
      <c r="B2969" s="452">
        <v>978350700</v>
      </c>
      <c r="C2969" s="95">
        <v>2911697</v>
      </c>
      <c r="D2969" s="145">
        <f t="shared" si="103"/>
        <v>981262397</v>
      </c>
      <c r="E2969" s="143"/>
      <c r="F2969" s="143"/>
      <c r="G2969" s="143"/>
      <c r="H2969" s="143"/>
      <c r="I2969" s="99" t="s">
        <v>622</v>
      </c>
    </row>
    <row r="2970" spans="1:9" hidden="1" outlineLevel="1">
      <c r="A2970" s="465" t="s">
        <v>623</v>
      </c>
      <c r="B2970" s="452">
        <v>10781064</v>
      </c>
      <c r="C2970" s="95">
        <v>345753</v>
      </c>
      <c r="D2970" s="145">
        <f t="shared" si="103"/>
        <v>11126817</v>
      </c>
      <c r="E2970" s="143"/>
      <c r="F2970" s="143"/>
      <c r="G2970" s="143"/>
      <c r="H2970" s="143"/>
      <c r="I2970" s="99" t="s">
        <v>624</v>
      </c>
    </row>
    <row r="2971" spans="1:9" hidden="1" outlineLevel="1">
      <c r="A2971" s="465" t="s">
        <v>625</v>
      </c>
      <c r="B2971" s="452">
        <v>50460666</v>
      </c>
      <c r="C2971" s="95">
        <v>-115812</v>
      </c>
      <c r="D2971" s="145">
        <f t="shared" si="103"/>
        <v>50344854</v>
      </c>
      <c r="E2971" s="143"/>
      <c r="F2971" s="143"/>
      <c r="G2971" s="143"/>
      <c r="H2971" s="143"/>
      <c r="I2971" s="99" t="s">
        <v>626</v>
      </c>
    </row>
    <row r="2972" spans="1:9" hidden="1" outlineLevel="1">
      <c r="A2972" s="465" t="s">
        <v>627</v>
      </c>
      <c r="B2972" s="452">
        <v>365605912</v>
      </c>
      <c r="C2972" s="95">
        <v>0</v>
      </c>
      <c r="D2972" s="145">
        <f t="shared" si="103"/>
        <v>365605912</v>
      </c>
      <c r="E2972" s="143"/>
      <c r="F2972" s="143"/>
      <c r="G2972" s="143"/>
      <c r="H2972" s="143"/>
      <c r="I2972" s="99" t="s">
        <v>628</v>
      </c>
    </row>
    <row r="2973" spans="1:9" hidden="1" outlineLevel="1">
      <c r="A2973" s="465" t="s">
        <v>629</v>
      </c>
      <c r="B2973" s="452">
        <v>278415639</v>
      </c>
      <c r="C2973" s="95">
        <v>0</v>
      </c>
      <c r="D2973" s="145">
        <f t="shared" si="103"/>
        <v>278415639</v>
      </c>
      <c r="E2973" s="143"/>
      <c r="F2973" s="143"/>
      <c r="G2973" s="143"/>
      <c r="H2973" s="143"/>
      <c r="I2973" s="99" t="s">
        <v>630</v>
      </c>
    </row>
    <row r="2974" spans="1:9" hidden="1" outlineLevel="1">
      <c r="A2974" s="465" t="s">
        <v>631</v>
      </c>
      <c r="B2974" s="452">
        <v>145129163</v>
      </c>
      <c r="C2974" s="95">
        <v>-755926</v>
      </c>
      <c r="D2974" s="145">
        <f t="shared" si="103"/>
        <v>144373237</v>
      </c>
      <c r="E2974" s="143"/>
      <c r="F2974" s="143"/>
      <c r="G2974" s="143"/>
      <c r="H2974" s="143"/>
      <c r="I2974" s="99" t="s">
        <v>632</v>
      </c>
    </row>
    <row r="2975" spans="1:9" hidden="1" outlineLevel="1">
      <c r="A2975" s="465" t="s">
        <v>633</v>
      </c>
      <c r="B2975" s="452">
        <v>28806327</v>
      </c>
      <c r="C2975" s="95">
        <v>0</v>
      </c>
      <c r="D2975" s="145">
        <f t="shared" si="103"/>
        <v>28806327</v>
      </c>
      <c r="E2975" s="143"/>
      <c r="F2975" s="143"/>
      <c r="G2975" s="143"/>
      <c r="H2975" s="143"/>
      <c r="I2975" s="99" t="s">
        <v>634</v>
      </c>
    </row>
    <row r="2976" spans="1:9" hidden="1" outlineLevel="1">
      <c r="A2976" s="465" t="s">
        <v>635</v>
      </c>
      <c r="B2976" s="452">
        <v>53108871</v>
      </c>
      <c r="C2976" s="95">
        <v>0</v>
      </c>
      <c r="D2976" s="145">
        <f t="shared" si="103"/>
        <v>53108871</v>
      </c>
      <c r="E2976" s="143"/>
      <c r="F2976" s="143"/>
      <c r="G2976" s="143"/>
      <c r="H2976" s="143"/>
      <c r="I2976" s="99" t="s">
        <v>636</v>
      </c>
    </row>
    <row r="2977" spans="1:9" hidden="1" outlineLevel="1">
      <c r="A2977" s="465" t="s">
        <v>637</v>
      </c>
      <c r="B2977" s="452">
        <v>564467244</v>
      </c>
      <c r="C2977" s="95">
        <v>-782585</v>
      </c>
      <c r="D2977" s="145">
        <f t="shared" si="103"/>
        <v>563684659</v>
      </c>
      <c r="E2977" s="143"/>
      <c r="F2977" s="143"/>
      <c r="G2977" s="143"/>
      <c r="H2977" s="143"/>
      <c r="I2977" s="99" t="s">
        <v>638</v>
      </c>
    </row>
    <row r="2978" spans="1:9" hidden="1" outlineLevel="1">
      <c r="A2978" s="465" t="s">
        <v>639</v>
      </c>
      <c r="B2978" s="452">
        <v>2381875449</v>
      </c>
      <c r="C2978" s="95">
        <v>0</v>
      </c>
      <c r="D2978" s="145">
        <f t="shared" si="103"/>
        <v>2381875449</v>
      </c>
      <c r="E2978" s="143"/>
      <c r="F2978" s="143"/>
      <c r="G2978" s="143"/>
      <c r="H2978" s="143"/>
      <c r="I2978" s="99" t="s">
        <v>640</v>
      </c>
    </row>
    <row r="2979" spans="1:9" hidden="1" outlineLevel="1">
      <c r="A2979" s="465" t="s">
        <v>641</v>
      </c>
      <c r="B2979" s="452">
        <v>27180051</v>
      </c>
      <c r="C2979" s="95">
        <v>19241</v>
      </c>
      <c r="D2979" s="145">
        <f t="shared" si="103"/>
        <v>27199292</v>
      </c>
      <c r="E2979" s="143"/>
      <c r="F2979" s="143"/>
      <c r="G2979" s="143"/>
      <c r="H2979" s="143"/>
      <c r="I2979" s="99" t="s">
        <v>642</v>
      </c>
    </row>
    <row r="2980" spans="1:9" hidden="1" outlineLevel="1">
      <c r="A2980" s="465" t="s">
        <v>643</v>
      </c>
      <c r="B2980" s="452">
        <v>88541264</v>
      </c>
      <c r="C2980" s="95">
        <v>-251336</v>
      </c>
      <c r="D2980" s="145">
        <f t="shared" si="103"/>
        <v>88289928</v>
      </c>
      <c r="E2980" s="143"/>
      <c r="F2980" s="143"/>
      <c r="G2980" s="143"/>
      <c r="H2980" s="143"/>
      <c r="I2980" s="99" t="s">
        <v>644</v>
      </c>
    </row>
    <row r="2981" spans="1:9" hidden="1" outlineLevel="1">
      <c r="A2981" s="465" t="s">
        <v>645</v>
      </c>
      <c r="B2981" s="452">
        <v>1002892468</v>
      </c>
      <c r="C2981" s="95">
        <v>-615516</v>
      </c>
      <c r="D2981" s="145">
        <f t="shared" si="103"/>
        <v>1002276952</v>
      </c>
      <c r="E2981" s="143"/>
      <c r="F2981" s="143"/>
      <c r="G2981" s="143"/>
      <c r="H2981" s="143"/>
      <c r="I2981" s="99" t="s">
        <v>646</v>
      </c>
    </row>
    <row r="2982" spans="1:9" hidden="1" outlineLevel="1">
      <c r="A2982" s="465" t="s">
        <v>647</v>
      </c>
      <c r="B2982" s="452">
        <v>90897601</v>
      </c>
      <c r="C2982" s="95">
        <v>0</v>
      </c>
      <c r="D2982" s="145">
        <f t="shared" si="103"/>
        <v>90897601</v>
      </c>
      <c r="E2982" s="143"/>
      <c r="F2982" s="143"/>
      <c r="G2982" s="143"/>
      <c r="H2982" s="143"/>
      <c r="I2982" s="99" t="s">
        <v>648</v>
      </c>
    </row>
    <row r="2983" spans="1:9" hidden="1" outlineLevel="1">
      <c r="A2983" s="465" t="s">
        <v>649</v>
      </c>
      <c r="B2983" s="452">
        <v>117989560</v>
      </c>
      <c r="C2983" s="95">
        <v>-9323</v>
      </c>
      <c r="D2983" s="145">
        <f t="shared" si="103"/>
        <v>117980237</v>
      </c>
      <c r="E2983" s="143"/>
      <c r="F2983" s="143"/>
      <c r="G2983" s="143"/>
      <c r="H2983" s="143"/>
      <c r="I2983" s="99" t="s">
        <v>650</v>
      </c>
    </row>
    <row r="2984" spans="1:9" hidden="1" outlineLevel="1">
      <c r="A2984" s="465" t="s">
        <v>651</v>
      </c>
      <c r="B2984" s="452">
        <v>1312456551</v>
      </c>
      <c r="C2984" s="95">
        <v>0</v>
      </c>
      <c r="D2984" s="145">
        <f t="shared" si="103"/>
        <v>1312456551</v>
      </c>
      <c r="E2984" s="143"/>
      <c r="F2984" s="143"/>
      <c r="G2984" s="143"/>
      <c r="H2984" s="143"/>
      <c r="I2984" s="99" t="s">
        <v>652</v>
      </c>
    </row>
    <row r="2985" spans="1:9" hidden="1" outlineLevel="1">
      <c r="A2985" s="465" t="s">
        <v>653</v>
      </c>
      <c r="B2985" s="452">
        <v>11374656</v>
      </c>
      <c r="C2985" s="95">
        <v>101209</v>
      </c>
      <c r="D2985" s="145">
        <f t="shared" si="103"/>
        <v>11475865</v>
      </c>
      <c r="E2985" s="143"/>
      <c r="F2985" s="143"/>
      <c r="G2985" s="143"/>
      <c r="H2985" s="143"/>
      <c r="I2985" s="99" t="s">
        <v>654</v>
      </c>
    </row>
    <row r="2986" spans="1:9" hidden="1" outlineLevel="1">
      <c r="A2986" s="465" t="s">
        <v>655</v>
      </c>
      <c r="B2986" s="452">
        <v>182446896</v>
      </c>
      <c r="C2986" s="95">
        <v>0</v>
      </c>
      <c r="D2986" s="145">
        <f t="shared" si="103"/>
        <v>182446896</v>
      </c>
      <c r="E2986" s="143"/>
      <c r="F2986" s="143"/>
      <c r="G2986" s="143"/>
      <c r="H2986" s="143"/>
      <c r="I2986" s="99" t="s">
        <v>578</v>
      </c>
    </row>
    <row r="2987" spans="1:9" hidden="1" outlineLevel="1">
      <c r="A2987" s="465" t="s">
        <v>656</v>
      </c>
      <c r="B2987" s="452">
        <v>132895566</v>
      </c>
      <c r="C2987" s="95">
        <v>0</v>
      </c>
      <c r="D2987" s="145">
        <f t="shared" si="103"/>
        <v>132895566</v>
      </c>
      <c r="E2987" s="143"/>
      <c r="F2987" s="143"/>
      <c r="G2987" s="143"/>
      <c r="H2987" s="143"/>
      <c r="I2987" s="99" t="s">
        <v>657</v>
      </c>
    </row>
    <row r="2988" spans="1:9" hidden="1" outlineLevel="1">
      <c r="A2988" s="465" t="s">
        <v>658</v>
      </c>
      <c r="B2988" s="452">
        <v>88775913</v>
      </c>
      <c r="C2988" s="95">
        <v>-74836</v>
      </c>
      <c r="D2988" s="145">
        <f t="shared" si="103"/>
        <v>88701077</v>
      </c>
      <c r="E2988" s="143"/>
      <c r="F2988" s="143"/>
      <c r="G2988" s="143"/>
      <c r="H2988" s="143"/>
      <c r="I2988" s="99" t="s">
        <v>659</v>
      </c>
    </row>
    <row r="2989" spans="1:9" hidden="1" outlineLevel="1">
      <c r="A2989" s="465" t="s">
        <v>660</v>
      </c>
      <c r="B2989" s="452">
        <v>29767612</v>
      </c>
      <c r="C2989" s="95">
        <v>-68240</v>
      </c>
      <c r="D2989" s="145">
        <f t="shared" si="103"/>
        <v>29699372</v>
      </c>
      <c r="E2989" s="143"/>
      <c r="F2989" s="143"/>
      <c r="G2989" s="143"/>
      <c r="H2989" s="143"/>
      <c r="I2989" s="99" t="s">
        <v>661</v>
      </c>
    </row>
    <row r="2990" spans="1:9" hidden="1" outlineLevel="1">
      <c r="A2990" s="465" t="s">
        <v>662</v>
      </c>
      <c r="B2990" s="452">
        <v>1821902277</v>
      </c>
      <c r="C2990" s="95">
        <v>0</v>
      </c>
      <c r="D2990" s="145">
        <f t="shared" si="103"/>
        <v>1821902277</v>
      </c>
      <c r="E2990" s="143"/>
      <c r="F2990" s="143"/>
      <c r="G2990" s="143"/>
      <c r="H2990" s="143"/>
      <c r="I2990" s="99" t="s">
        <v>663</v>
      </c>
    </row>
    <row r="2991" spans="1:9" hidden="1" outlineLevel="1">
      <c r="A2991" s="465" t="s">
        <v>664</v>
      </c>
      <c r="B2991" s="452">
        <v>405496384</v>
      </c>
      <c r="C2991" s="95">
        <v>-1922145</v>
      </c>
      <c r="D2991" s="145">
        <f t="shared" si="103"/>
        <v>403574239</v>
      </c>
      <c r="E2991" s="143"/>
      <c r="F2991" s="143"/>
      <c r="G2991" s="143"/>
      <c r="H2991" s="143"/>
      <c r="I2991" s="99" t="s">
        <v>665</v>
      </c>
    </row>
    <row r="2992" spans="1:9" hidden="1" outlineLevel="1">
      <c r="A2992" s="465" t="s">
        <v>666</v>
      </c>
      <c r="B2992" s="452">
        <v>234218905</v>
      </c>
      <c r="C2992" s="95">
        <v>3910143</v>
      </c>
      <c r="D2992" s="145">
        <f t="shared" si="103"/>
        <v>238129048</v>
      </c>
      <c r="E2992" s="143"/>
      <c r="F2992" s="143"/>
      <c r="G2992" s="143"/>
      <c r="H2992" s="143"/>
      <c r="I2992" s="99" t="s">
        <v>667</v>
      </c>
    </row>
    <row r="2993" spans="1:9" hidden="1" outlineLevel="1">
      <c r="A2993" s="465" t="s">
        <v>668</v>
      </c>
      <c r="B2993" s="452">
        <v>14896055</v>
      </c>
      <c r="C2993" s="95">
        <v>-123278</v>
      </c>
      <c r="D2993" s="145">
        <f t="shared" si="103"/>
        <v>14772777</v>
      </c>
      <c r="E2993" s="143"/>
      <c r="F2993" s="143"/>
      <c r="G2993" s="143"/>
      <c r="H2993" s="143"/>
      <c r="I2993" s="99" t="s">
        <v>669</v>
      </c>
    </row>
    <row r="2994" spans="1:9" hidden="1" outlineLevel="1">
      <c r="A2994" s="465" t="s">
        <v>670</v>
      </c>
      <c r="B2994" s="452">
        <v>424358022</v>
      </c>
      <c r="C2994" s="95">
        <v>503069</v>
      </c>
      <c r="D2994" s="145">
        <f t="shared" si="103"/>
        <v>424861091</v>
      </c>
      <c r="E2994" s="143"/>
      <c r="F2994" s="143"/>
      <c r="G2994" s="143"/>
      <c r="H2994" s="143"/>
      <c r="I2994" s="99" t="s">
        <v>671</v>
      </c>
    </row>
    <row r="2995" spans="1:9" hidden="1" outlineLevel="1">
      <c r="A2995" s="465" t="s">
        <v>672</v>
      </c>
      <c r="B2995" s="452">
        <v>91864181</v>
      </c>
      <c r="C2995" s="95">
        <v>0</v>
      </c>
      <c r="D2995" s="145">
        <f t="shared" si="103"/>
        <v>91864181</v>
      </c>
      <c r="E2995" s="143"/>
      <c r="F2995" s="143"/>
      <c r="G2995" s="143"/>
      <c r="H2995" s="143"/>
      <c r="I2995" s="99" t="s">
        <v>673</v>
      </c>
    </row>
    <row r="2996" spans="1:9" hidden="1" outlineLevel="1">
      <c r="A2996" s="465" t="s">
        <v>674</v>
      </c>
      <c r="B2996" s="452">
        <v>172707198</v>
      </c>
      <c r="C2996" s="95">
        <v>32436</v>
      </c>
      <c r="D2996" s="145">
        <f t="shared" si="103"/>
        <v>172739634</v>
      </c>
      <c r="E2996" s="143"/>
      <c r="F2996" s="143"/>
      <c r="G2996" s="143"/>
      <c r="H2996" s="143"/>
      <c r="I2996" s="99" t="s">
        <v>675</v>
      </c>
    </row>
    <row r="2997" spans="1:9" hidden="1" outlineLevel="1">
      <c r="A2997" s="465" t="s">
        <v>676</v>
      </c>
      <c r="B2997" s="452">
        <v>122098163</v>
      </c>
      <c r="C2997" s="95">
        <v>221393</v>
      </c>
      <c r="D2997" s="145">
        <f t="shared" si="103"/>
        <v>122319556</v>
      </c>
      <c r="E2997" s="143"/>
      <c r="F2997" s="143"/>
      <c r="G2997" s="143"/>
      <c r="H2997" s="143"/>
      <c r="I2997" s="99" t="s">
        <v>677</v>
      </c>
    </row>
    <row r="2998" spans="1:9" hidden="1" outlineLevel="1">
      <c r="A2998" s="465" t="s">
        <v>678</v>
      </c>
      <c r="B2998" s="452">
        <v>163007763</v>
      </c>
      <c r="C2998" s="95">
        <v>-85520</v>
      </c>
      <c r="D2998" s="145">
        <f t="shared" si="103"/>
        <v>162922243</v>
      </c>
      <c r="E2998" s="143"/>
      <c r="F2998" s="143"/>
      <c r="G2998" s="143"/>
      <c r="H2998" s="143"/>
      <c r="I2998" s="99" t="s">
        <v>679</v>
      </c>
    </row>
    <row r="2999" spans="1:9" hidden="1" outlineLevel="1">
      <c r="A2999" s="465" t="s">
        <v>680</v>
      </c>
      <c r="B2999" s="452">
        <v>258385300</v>
      </c>
      <c r="C2999" s="95">
        <v>0</v>
      </c>
      <c r="D2999" s="145">
        <f t="shared" si="103"/>
        <v>258385300</v>
      </c>
      <c r="E2999" s="143"/>
      <c r="F2999" s="143"/>
      <c r="G2999" s="143"/>
      <c r="H2999" s="143"/>
      <c r="I2999" s="99" t="s">
        <v>681</v>
      </c>
    </row>
    <row r="3000" spans="1:9" hidden="1" outlineLevel="1">
      <c r="A3000" s="465" t="s">
        <v>682</v>
      </c>
      <c r="B3000" s="452">
        <v>229099657</v>
      </c>
      <c r="C3000" s="95">
        <v>-801441</v>
      </c>
      <c r="D3000" s="145">
        <f t="shared" si="103"/>
        <v>228298216</v>
      </c>
      <c r="E3000" s="143"/>
      <c r="F3000" s="143"/>
      <c r="G3000" s="143"/>
      <c r="H3000" s="143"/>
      <c r="I3000" s="99" t="s">
        <v>683</v>
      </c>
    </row>
    <row r="3001" spans="1:9" hidden="1" outlineLevel="1">
      <c r="A3001" s="465" t="s">
        <v>684</v>
      </c>
      <c r="B3001" s="452">
        <v>141186503</v>
      </c>
      <c r="C3001" s="95">
        <v>0</v>
      </c>
      <c r="D3001" s="145">
        <f t="shared" si="103"/>
        <v>141186503</v>
      </c>
      <c r="E3001" s="143"/>
      <c r="F3001" s="143"/>
      <c r="G3001" s="143"/>
      <c r="H3001" s="143"/>
      <c r="I3001" s="99" t="s">
        <v>685</v>
      </c>
    </row>
    <row r="3002" spans="1:9" hidden="1" outlineLevel="1">
      <c r="A3002" s="465" t="s">
        <v>688</v>
      </c>
      <c r="B3002" s="452">
        <v>345797000</v>
      </c>
      <c r="C3002" s="95">
        <v>0</v>
      </c>
      <c r="D3002" s="145">
        <f t="shared" si="103"/>
        <v>345797000</v>
      </c>
      <c r="E3002" s="143"/>
      <c r="F3002" s="143"/>
      <c r="G3002" s="143"/>
      <c r="H3002" s="143"/>
      <c r="I3002" s="99" t="s">
        <v>689</v>
      </c>
    </row>
    <row r="3003" spans="1:9" hidden="1" outlineLevel="1">
      <c r="A3003" s="465" t="s">
        <v>690</v>
      </c>
      <c r="B3003" s="452">
        <v>110529234</v>
      </c>
      <c r="C3003" s="95">
        <v>0</v>
      </c>
      <c r="D3003" s="145">
        <f t="shared" si="103"/>
        <v>110529234</v>
      </c>
      <c r="E3003" s="143"/>
      <c r="F3003" s="143"/>
      <c r="G3003" s="143"/>
      <c r="H3003" s="143"/>
      <c r="I3003" s="99" t="s">
        <v>691</v>
      </c>
    </row>
    <row r="3004" spans="1:9" hidden="1" outlineLevel="1">
      <c r="A3004" s="465" t="s">
        <v>692</v>
      </c>
      <c r="B3004" s="452">
        <v>447568450</v>
      </c>
      <c r="C3004" s="95">
        <v>-8701828</v>
      </c>
      <c r="D3004" s="145">
        <f t="shared" si="103"/>
        <v>438866622</v>
      </c>
      <c r="E3004" s="143"/>
      <c r="F3004" s="143"/>
      <c r="G3004" s="143"/>
      <c r="H3004" s="143"/>
      <c r="I3004" s="99" t="s">
        <v>693</v>
      </c>
    </row>
    <row r="3005" spans="1:9" hidden="1" outlineLevel="1">
      <c r="A3005" s="465" t="s">
        <v>694</v>
      </c>
      <c r="B3005" s="452">
        <v>3142693</v>
      </c>
      <c r="C3005" s="95">
        <v>-9906</v>
      </c>
      <c r="D3005" s="145">
        <f t="shared" si="103"/>
        <v>3132787</v>
      </c>
      <c r="E3005" s="143"/>
      <c r="F3005" s="143"/>
      <c r="G3005" s="143"/>
      <c r="H3005" s="143"/>
      <c r="I3005" s="99" t="s">
        <v>695</v>
      </c>
    </row>
    <row r="3006" spans="1:9" hidden="1" outlineLevel="1">
      <c r="A3006" s="465" t="s">
        <v>696</v>
      </c>
      <c r="B3006" s="452">
        <v>118903622</v>
      </c>
      <c r="C3006" s="95">
        <v>378186</v>
      </c>
      <c r="D3006" s="145">
        <f t="shared" si="103"/>
        <v>119281808</v>
      </c>
      <c r="E3006" s="143"/>
      <c r="F3006" s="143"/>
      <c r="G3006" s="143"/>
      <c r="H3006" s="143"/>
      <c r="I3006" s="99" t="s">
        <v>697</v>
      </c>
    </row>
    <row r="3007" spans="1:9" hidden="1" outlineLevel="1">
      <c r="A3007" s="465" t="s">
        <v>698</v>
      </c>
      <c r="B3007" s="452">
        <v>705811221</v>
      </c>
      <c r="C3007" s="95">
        <v>11123741</v>
      </c>
      <c r="D3007" s="145">
        <f t="shared" ref="D3007:D3070" si="104">B3007+C3007</f>
        <v>716934962</v>
      </c>
      <c r="E3007" s="143"/>
      <c r="F3007" s="143"/>
      <c r="G3007" s="143"/>
      <c r="H3007" s="143"/>
      <c r="I3007" s="99" t="s">
        <v>699</v>
      </c>
    </row>
    <row r="3008" spans="1:9" hidden="1" outlineLevel="1">
      <c r="A3008" s="465" t="s">
        <v>700</v>
      </c>
      <c r="B3008" s="452">
        <v>10498448</v>
      </c>
      <c r="C3008" s="95">
        <v>-37135</v>
      </c>
      <c r="D3008" s="145">
        <f t="shared" si="104"/>
        <v>10461313</v>
      </c>
      <c r="E3008" s="143"/>
      <c r="F3008" s="143"/>
      <c r="G3008" s="143"/>
      <c r="H3008" s="143"/>
      <c r="I3008" s="99" t="s">
        <v>701</v>
      </c>
    </row>
    <row r="3009" spans="1:9" hidden="1" outlineLevel="1">
      <c r="A3009" s="465" t="s">
        <v>702</v>
      </c>
      <c r="B3009" s="452">
        <v>483018775</v>
      </c>
      <c r="C3009" s="95">
        <v>-222660</v>
      </c>
      <c r="D3009" s="145">
        <f t="shared" si="104"/>
        <v>482796115</v>
      </c>
      <c r="E3009" s="143"/>
      <c r="F3009" s="143"/>
      <c r="G3009" s="143"/>
      <c r="H3009" s="143"/>
      <c r="I3009" s="99" t="s">
        <v>703</v>
      </c>
    </row>
    <row r="3010" spans="1:9" hidden="1" outlineLevel="1">
      <c r="A3010" s="465" t="s">
        <v>704</v>
      </c>
      <c r="B3010" s="452">
        <v>93639946</v>
      </c>
      <c r="C3010" s="95">
        <v>0</v>
      </c>
      <c r="D3010" s="145">
        <f t="shared" si="104"/>
        <v>93639946</v>
      </c>
      <c r="E3010" s="143"/>
      <c r="F3010" s="143"/>
      <c r="G3010" s="143"/>
      <c r="H3010" s="143"/>
      <c r="I3010" s="99" t="s">
        <v>705</v>
      </c>
    </row>
    <row r="3011" spans="1:9" hidden="1" outlineLevel="1">
      <c r="A3011" s="465" t="s">
        <v>706</v>
      </c>
      <c r="B3011" s="452">
        <v>251403215</v>
      </c>
      <c r="C3011" s="95">
        <v>-9731240</v>
      </c>
      <c r="D3011" s="145">
        <f t="shared" si="104"/>
        <v>241671975</v>
      </c>
      <c r="E3011" s="143"/>
      <c r="F3011" s="143"/>
      <c r="G3011" s="143"/>
      <c r="H3011" s="143"/>
      <c r="I3011" s="99" t="s">
        <v>707</v>
      </c>
    </row>
    <row r="3012" spans="1:9" hidden="1" outlineLevel="1">
      <c r="A3012" s="465" t="s">
        <v>708</v>
      </c>
      <c r="B3012" s="452">
        <v>1224365473</v>
      </c>
      <c r="C3012" s="95">
        <v>7396680</v>
      </c>
      <c r="D3012" s="145">
        <f t="shared" si="104"/>
        <v>1231762153</v>
      </c>
      <c r="E3012" s="143"/>
      <c r="F3012" s="143"/>
      <c r="G3012" s="143"/>
      <c r="H3012" s="143"/>
      <c r="I3012" s="99" t="s">
        <v>709</v>
      </c>
    </row>
    <row r="3013" spans="1:9" hidden="1" outlineLevel="1">
      <c r="A3013" s="465" t="s">
        <v>710</v>
      </c>
      <c r="B3013" s="452">
        <v>117829125</v>
      </c>
      <c r="C3013" s="95">
        <v>-872439</v>
      </c>
      <c r="D3013" s="145">
        <f t="shared" si="104"/>
        <v>116956686</v>
      </c>
      <c r="E3013" s="143"/>
      <c r="F3013" s="143"/>
      <c r="G3013" s="143"/>
      <c r="H3013" s="143"/>
      <c r="I3013" s="99" t="s">
        <v>711</v>
      </c>
    </row>
    <row r="3014" spans="1:9" hidden="1" outlineLevel="1">
      <c r="A3014" s="465" t="s">
        <v>712</v>
      </c>
      <c r="B3014" s="452">
        <v>546231684</v>
      </c>
      <c r="C3014" s="95">
        <v>0</v>
      </c>
      <c r="D3014" s="145">
        <f t="shared" si="104"/>
        <v>546231684</v>
      </c>
      <c r="E3014" s="143"/>
      <c r="F3014" s="143"/>
      <c r="G3014" s="143"/>
      <c r="H3014" s="143"/>
      <c r="I3014" s="99" t="s">
        <v>713</v>
      </c>
    </row>
    <row r="3015" spans="1:9" hidden="1" outlineLevel="1">
      <c r="A3015" s="465" t="s">
        <v>714</v>
      </c>
      <c r="B3015" s="452">
        <v>31497561</v>
      </c>
      <c r="C3015" s="95">
        <v>280413</v>
      </c>
      <c r="D3015" s="145">
        <f t="shared" si="104"/>
        <v>31777974</v>
      </c>
      <c r="E3015" s="143"/>
      <c r="F3015" s="143"/>
      <c r="G3015" s="143"/>
      <c r="H3015" s="143"/>
      <c r="I3015" s="99" t="s">
        <v>715</v>
      </c>
    </row>
    <row r="3016" spans="1:9" hidden="1" outlineLevel="1">
      <c r="A3016" s="465" t="s">
        <v>716</v>
      </c>
      <c r="B3016" s="452">
        <v>232955679</v>
      </c>
      <c r="C3016" s="95">
        <v>1028192</v>
      </c>
      <c r="D3016" s="145">
        <f t="shared" si="104"/>
        <v>233983871</v>
      </c>
      <c r="E3016" s="143"/>
      <c r="F3016" s="143"/>
      <c r="G3016" s="143"/>
      <c r="H3016" s="143"/>
      <c r="I3016" s="99" t="s">
        <v>717</v>
      </c>
    </row>
    <row r="3017" spans="1:9" hidden="1" outlineLevel="1">
      <c r="A3017" s="465" t="s">
        <v>718</v>
      </c>
      <c r="B3017" s="452">
        <v>171462025</v>
      </c>
      <c r="C3017" s="95">
        <v>0</v>
      </c>
      <c r="D3017" s="145">
        <f t="shared" si="104"/>
        <v>171462025</v>
      </c>
      <c r="E3017" s="143"/>
      <c r="F3017" s="143"/>
      <c r="G3017" s="143"/>
      <c r="H3017" s="143"/>
      <c r="I3017" s="99" t="s">
        <v>719</v>
      </c>
    </row>
    <row r="3018" spans="1:9" hidden="1" outlineLevel="1">
      <c r="A3018" s="465" t="s">
        <v>720</v>
      </c>
      <c r="B3018" s="452">
        <v>80511358</v>
      </c>
      <c r="C3018" s="95">
        <v>0</v>
      </c>
      <c r="D3018" s="145">
        <f t="shared" si="104"/>
        <v>80511358</v>
      </c>
      <c r="E3018" s="143"/>
      <c r="F3018" s="143"/>
      <c r="G3018" s="143"/>
      <c r="H3018" s="143"/>
      <c r="I3018" s="99" t="s">
        <v>721</v>
      </c>
    </row>
    <row r="3019" spans="1:9" hidden="1" outlineLevel="1">
      <c r="A3019" s="465" t="s">
        <v>722</v>
      </c>
      <c r="B3019" s="452">
        <v>44636290</v>
      </c>
      <c r="C3019" s="95">
        <v>0</v>
      </c>
      <c r="D3019" s="145">
        <f t="shared" si="104"/>
        <v>44636290</v>
      </c>
      <c r="E3019" s="143"/>
      <c r="F3019" s="143"/>
      <c r="G3019" s="143"/>
      <c r="H3019" s="143"/>
      <c r="I3019" s="99" t="s">
        <v>723</v>
      </c>
    </row>
    <row r="3020" spans="1:9" hidden="1" outlineLevel="1">
      <c r="A3020" s="465" t="s">
        <v>724</v>
      </c>
      <c r="B3020" s="452">
        <v>294350403</v>
      </c>
      <c r="C3020" s="95">
        <v>2037613</v>
      </c>
      <c r="D3020" s="145">
        <f t="shared" si="104"/>
        <v>296388016</v>
      </c>
      <c r="E3020" s="143"/>
      <c r="F3020" s="143"/>
      <c r="G3020" s="143"/>
      <c r="H3020" s="143"/>
      <c r="I3020" s="99" t="s">
        <v>725</v>
      </c>
    </row>
    <row r="3021" spans="1:9" hidden="1" outlineLevel="1">
      <c r="A3021" s="465" t="s">
        <v>726</v>
      </c>
      <c r="B3021" s="452">
        <v>387850191</v>
      </c>
      <c r="C3021" s="95">
        <v>-12358218</v>
      </c>
      <c r="D3021" s="145">
        <f t="shared" si="104"/>
        <v>375491973</v>
      </c>
      <c r="E3021" s="143"/>
      <c r="F3021" s="143"/>
      <c r="G3021" s="143"/>
      <c r="H3021" s="143"/>
      <c r="I3021" s="99" t="s">
        <v>727</v>
      </c>
    </row>
    <row r="3022" spans="1:9" hidden="1" outlineLevel="1">
      <c r="A3022" s="465" t="s">
        <v>728</v>
      </c>
      <c r="B3022" s="452">
        <v>28818528</v>
      </c>
      <c r="C3022" s="95">
        <v>-387862</v>
      </c>
      <c r="D3022" s="145">
        <f t="shared" si="104"/>
        <v>28430666</v>
      </c>
      <c r="E3022" s="143"/>
      <c r="F3022" s="143"/>
      <c r="G3022" s="143"/>
      <c r="H3022" s="143"/>
      <c r="I3022" s="99" t="s">
        <v>729</v>
      </c>
    </row>
    <row r="3023" spans="1:9" hidden="1" outlineLevel="1">
      <c r="A3023" s="465" t="s">
        <v>730</v>
      </c>
      <c r="B3023" s="452">
        <v>114225262</v>
      </c>
      <c r="C3023" s="95">
        <v>-1286567</v>
      </c>
      <c r="D3023" s="145">
        <f t="shared" si="104"/>
        <v>112938695</v>
      </c>
      <c r="E3023" s="143"/>
      <c r="F3023" s="143"/>
      <c r="G3023" s="143"/>
      <c r="H3023" s="143"/>
      <c r="I3023" s="99" t="s">
        <v>731</v>
      </c>
    </row>
    <row r="3024" spans="1:9" hidden="1" outlineLevel="1">
      <c r="A3024" s="465" t="s">
        <v>732</v>
      </c>
      <c r="B3024" s="452">
        <v>9457778</v>
      </c>
      <c r="C3024" s="95">
        <v>88537</v>
      </c>
      <c r="D3024" s="145">
        <f t="shared" si="104"/>
        <v>9546315</v>
      </c>
      <c r="E3024" s="143"/>
      <c r="F3024" s="143"/>
      <c r="G3024" s="143"/>
      <c r="H3024" s="143"/>
      <c r="I3024" s="99" t="s">
        <v>733</v>
      </c>
    </row>
    <row r="3025" spans="1:9" hidden="1" outlineLevel="1">
      <c r="A3025" s="465" t="s">
        <v>734</v>
      </c>
      <c r="B3025" s="452">
        <v>1191735043</v>
      </c>
      <c r="C3025" s="95">
        <v>-758640</v>
      </c>
      <c r="D3025" s="145">
        <f t="shared" si="104"/>
        <v>1190976403</v>
      </c>
      <c r="E3025" s="143"/>
      <c r="F3025" s="143"/>
      <c r="G3025" s="143"/>
      <c r="H3025" s="143"/>
      <c r="I3025" s="99" t="s">
        <v>735</v>
      </c>
    </row>
    <row r="3026" spans="1:9" hidden="1" outlineLevel="1">
      <c r="A3026" s="465" t="s">
        <v>736</v>
      </c>
      <c r="B3026" s="452">
        <v>68340937</v>
      </c>
      <c r="C3026" s="95">
        <v>0</v>
      </c>
      <c r="D3026" s="145">
        <f t="shared" si="104"/>
        <v>68340937</v>
      </c>
      <c r="E3026" s="143"/>
      <c r="F3026" s="143"/>
      <c r="G3026" s="143"/>
      <c r="H3026" s="143"/>
      <c r="I3026" s="99" t="s">
        <v>737</v>
      </c>
    </row>
    <row r="3027" spans="1:9" hidden="1" outlineLevel="1">
      <c r="A3027" s="465" t="s">
        <v>738</v>
      </c>
      <c r="B3027" s="452">
        <v>82770286</v>
      </c>
      <c r="C3027" s="95">
        <v>1058064</v>
      </c>
      <c r="D3027" s="145">
        <f t="shared" si="104"/>
        <v>83828350</v>
      </c>
      <c r="E3027" s="143"/>
      <c r="F3027" s="143"/>
      <c r="G3027" s="143"/>
      <c r="H3027" s="143"/>
      <c r="I3027" s="99" t="s">
        <v>739</v>
      </c>
    </row>
    <row r="3028" spans="1:9" hidden="1" outlineLevel="1">
      <c r="A3028" s="465" t="s">
        <v>740</v>
      </c>
      <c r="B3028" s="452">
        <v>24777036</v>
      </c>
      <c r="C3028" s="95">
        <v>0</v>
      </c>
      <c r="D3028" s="145">
        <f t="shared" si="104"/>
        <v>24777036</v>
      </c>
      <c r="E3028" s="143"/>
      <c r="F3028" s="143"/>
      <c r="G3028" s="143"/>
      <c r="H3028" s="143"/>
      <c r="I3028" s="99" t="s">
        <v>741</v>
      </c>
    </row>
    <row r="3029" spans="1:9" hidden="1" outlineLevel="1">
      <c r="A3029" s="465" t="s">
        <v>742</v>
      </c>
      <c r="B3029" s="452">
        <v>344980392</v>
      </c>
      <c r="C3029" s="95">
        <v>-2813655</v>
      </c>
      <c r="D3029" s="145">
        <f t="shared" si="104"/>
        <v>342166737</v>
      </c>
      <c r="E3029" s="143"/>
      <c r="F3029" s="143"/>
      <c r="G3029" s="143"/>
      <c r="H3029" s="143"/>
      <c r="I3029" s="99" t="s">
        <v>743</v>
      </c>
    </row>
    <row r="3030" spans="1:9" hidden="1" outlineLevel="1">
      <c r="A3030" s="465" t="s">
        <v>744</v>
      </c>
      <c r="B3030" s="452">
        <v>96602293</v>
      </c>
      <c r="C3030" s="95">
        <v>-85642</v>
      </c>
      <c r="D3030" s="145">
        <f t="shared" si="104"/>
        <v>96516651</v>
      </c>
      <c r="E3030" s="143"/>
      <c r="F3030" s="143"/>
      <c r="G3030" s="143"/>
      <c r="H3030" s="143"/>
      <c r="I3030" s="99" t="s">
        <v>745</v>
      </c>
    </row>
    <row r="3031" spans="1:9" hidden="1" outlineLevel="1">
      <c r="A3031" s="465" t="s">
        <v>746</v>
      </c>
      <c r="B3031" s="452">
        <v>1133346564</v>
      </c>
      <c r="C3031" s="95">
        <v>276455</v>
      </c>
      <c r="D3031" s="145">
        <f t="shared" si="104"/>
        <v>1133623019</v>
      </c>
      <c r="E3031" s="143"/>
      <c r="F3031" s="143"/>
      <c r="G3031" s="143"/>
      <c r="H3031" s="143"/>
      <c r="I3031" s="99" t="s">
        <v>747</v>
      </c>
    </row>
    <row r="3032" spans="1:9" hidden="1" outlineLevel="1">
      <c r="A3032" s="465" t="s">
        <v>748</v>
      </c>
      <c r="B3032" s="452">
        <v>48659225</v>
      </c>
      <c r="C3032" s="95">
        <v>631106</v>
      </c>
      <c r="D3032" s="145">
        <f t="shared" si="104"/>
        <v>49290331</v>
      </c>
      <c r="E3032" s="143"/>
      <c r="F3032" s="143"/>
      <c r="G3032" s="143"/>
      <c r="H3032" s="143"/>
      <c r="I3032" s="99" t="s">
        <v>749</v>
      </c>
    </row>
    <row r="3033" spans="1:9" hidden="1" outlineLevel="1">
      <c r="A3033" s="465" t="s">
        <v>750</v>
      </c>
      <c r="B3033" s="452">
        <v>132689589</v>
      </c>
      <c r="C3033" s="95">
        <v>0</v>
      </c>
      <c r="D3033" s="145">
        <f t="shared" si="104"/>
        <v>132689589</v>
      </c>
      <c r="E3033" s="143"/>
      <c r="F3033" s="143"/>
      <c r="G3033" s="143"/>
      <c r="H3033" s="143"/>
      <c r="I3033" s="99" t="s">
        <v>751</v>
      </c>
    </row>
    <row r="3034" spans="1:9" hidden="1" outlineLevel="1">
      <c r="A3034" s="465" t="s">
        <v>752</v>
      </c>
      <c r="B3034" s="452">
        <v>1190883758</v>
      </c>
      <c r="C3034" s="95">
        <v>6138311</v>
      </c>
      <c r="D3034" s="145">
        <f t="shared" si="104"/>
        <v>1197022069</v>
      </c>
      <c r="E3034" s="143"/>
      <c r="F3034" s="143"/>
      <c r="G3034" s="143"/>
      <c r="H3034" s="143"/>
      <c r="I3034" s="99" t="s">
        <v>753</v>
      </c>
    </row>
    <row r="3035" spans="1:9" hidden="1" outlineLevel="1">
      <c r="A3035" s="465" t="s">
        <v>754</v>
      </c>
      <c r="B3035" s="452">
        <v>3205916109</v>
      </c>
      <c r="C3035" s="95">
        <v>-101889</v>
      </c>
      <c r="D3035" s="145">
        <f t="shared" si="104"/>
        <v>3205814220</v>
      </c>
      <c r="E3035" s="143"/>
      <c r="F3035" s="143"/>
      <c r="G3035" s="143"/>
      <c r="H3035" s="143"/>
      <c r="I3035" s="99" t="s">
        <v>755</v>
      </c>
    </row>
    <row r="3036" spans="1:9" hidden="1" outlineLevel="1">
      <c r="A3036" s="465" t="s">
        <v>756</v>
      </c>
      <c r="B3036" s="452">
        <v>162643572</v>
      </c>
      <c r="C3036" s="95">
        <v>0</v>
      </c>
      <c r="D3036" s="145">
        <f t="shared" si="104"/>
        <v>162643572</v>
      </c>
      <c r="E3036" s="143"/>
      <c r="F3036" s="143"/>
      <c r="G3036" s="143"/>
      <c r="H3036" s="143"/>
      <c r="I3036" s="99" t="s">
        <v>610</v>
      </c>
    </row>
    <row r="3037" spans="1:9" hidden="1" outlineLevel="1">
      <c r="A3037" s="465" t="s">
        <v>757</v>
      </c>
      <c r="B3037" s="452">
        <v>4928889</v>
      </c>
      <c r="C3037" s="95">
        <v>0</v>
      </c>
      <c r="D3037" s="145">
        <f t="shared" si="104"/>
        <v>4928889</v>
      </c>
      <c r="E3037" s="143"/>
      <c r="F3037" s="143"/>
      <c r="G3037" s="143"/>
      <c r="H3037" s="143"/>
      <c r="I3037" s="99" t="s">
        <v>758</v>
      </c>
    </row>
    <row r="3038" spans="1:9" hidden="1" outlineLevel="1">
      <c r="A3038" s="465" t="s">
        <v>759</v>
      </c>
      <c r="B3038" s="452">
        <v>126032248</v>
      </c>
      <c r="C3038" s="95">
        <v>601461</v>
      </c>
      <c r="D3038" s="145">
        <f t="shared" si="104"/>
        <v>126633709</v>
      </c>
      <c r="E3038" s="143"/>
      <c r="F3038" s="143"/>
      <c r="G3038" s="143"/>
      <c r="H3038" s="143"/>
      <c r="I3038" s="99" t="s">
        <v>760</v>
      </c>
    </row>
    <row r="3039" spans="1:9" hidden="1" outlineLevel="1">
      <c r="A3039" s="465" t="s">
        <v>761</v>
      </c>
      <c r="B3039" s="452">
        <v>988917900</v>
      </c>
      <c r="C3039" s="95">
        <v>0</v>
      </c>
      <c r="D3039" s="145">
        <f t="shared" si="104"/>
        <v>988917900</v>
      </c>
      <c r="E3039" s="143"/>
      <c r="F3039" s="143"/>
      <c r="G3039" s="143"/>
      <c r="H3039" s="143"/>
      <c r="I3039" s="99" t="s">
        <v>762</v>
      </c>
    </row>
    <row r="3040" spans="1:9" hidden="1" outlineLevel="1">
      <c r="A3040" s="465" t="s">
        <v>763</v>
      </c>
      <c r="B3040" s="452">
        <v>269258242</v>
      </c>
      <c r="C3040" s="95">
        <v>0</v>
      </c>
      <c r="D3040" s="145">
        <f t="shared" si="104"/>
        <v>269258242</v>
      </c>
      <c r="E3040" s="143"/>
      <c r="F3040" s="143"/>
      <c r="G3040" s="143"/>
      <c r="H3040" s="143"/>
      <c r="I3040" s="99" t="s">
        <v>764</v>
      </c>
    </row>
    <row r="3041" spans="1:9" hidden="1" outlineLevel="1">
      <c r="A3041" s="465" t="s">
        <v>765</v>
      </c>
      <c r="B3041" s="452">
        <v>100516999</v>
      </c>
      <c r="C3041" s="95">
        <v>-807515</v>
      </c>
      <c r="D3041" s="145">
        <f t="shared" si="104"/>
        <v>99709484</v>
      </c>
      <c r="E3041" s="143"/>
      <c r="F3041" s="143"/>
      <c r="G3041" s="143"/>
      <c r="H3041" s="143"/>
      <c r="I3041" s="99" t="s">
        <v>766</v>
      </c>
    </row>
    <row r="3042" spans="1:9" hidden="1" outlineLevel="1">
      <c r="A3042" s="465" t="s">
        <v>767</v>
      </c>
      <c r="B3042" s="452">
        <v>49901845</v>
      </c>
      <c r="C3042" s="95">
        <v>0</v>
      </c>
      <c r="D3042" s="145">
        <f t="shared" si="104"/>
        <v>49901845</v>
      </c>
      <c r="E3042" s="143"/>
      <c r="F3042" s="143"/>
      <c r="G3042" s="143"/>
      <c r="H3042" s="143"/>
      <c r="I3042" s="99" t="s">
        <v>768</v>
      </c>
    </row>
    <row r="3043" spans="1:9" hidden="1" outlineLevel="1">
      <c r="A3043" s="465" t="s">
        <v>769</v>
      </c>
      <c r="B3043" s="452">
        <v>57883786</v>
      </c>
      <c r="C3043" s="95">
        <v>-11022</v>
      </c>
      <c r="D3043" s="145">
        <f t="shared" si="104"/>
        <v>57872764</v>
      </c>
      <c r="E3043" s="143"/>
      <c r="F3043" s="143"/>
      <c r="G3043" s="143"/>
      <c r="H3043" s="143"/>
      <c r="I3043" s="99" t="s">
        <v>770</v>
      </c>
    </row>
    <row r="3044" spans="1:9" hidden="1" outlineLevel="1">
      <c r="A3044" s="465" t="s">
        <v>771</v>
      </c>
      <c r="B3044" s="452">
        <v>113604575</v>
      </c>
      <c r="C3044" s="95">
        <v>0</v>
      </c>
      <c r="D3044" s="145">
        <f t="shared" si="104"/>
        <v>113604575</v>
      </c>
      <c r="E3044" s="143"/>
      <c r="F3044" s="143"/>
      <c r="G3044" s="143"/>
      <c r="H3044" s="143"/>
      <c r="I3044" s="99" t="s">
        <v>772</v>
      </c>
    </row>
    <row r="3045" spans="1:9" hidden="1" outlineLevel="1">
      <c r="A3045" s="465" t="s">
        <v>773</v>
      </c>
      <c r="B3045" s="452">
        <v>1447615987</v>
      </c>
      <c r="C3045" s="95">
        <v>-7430321</v>
      </c>
      <c r="D3045" s="145">
        <f t="shared" si="104"/>
        <v>1440185666</v>
      </c>
      <c r="E3045" s="143"/>
      <c r="F3045" s="143"/>
      <c r="G3045" s="143"/>
      <c r="H3045" s="143"/>
      <c r="I3045" s="99" t="s">
        <v>774</v>
      </c>
    </row>
    <row r="3046" spans="1:9" hidden="1" outlineLevel="1">
      <c r="A3046" s="465" t="s">
        <v>356</v>
      </c>
      <c r="B3046" s="452">
        <v>975190</v>
      </c>
      <c r="C3046" s="95">
        <v>-29136537</v>
      </c>
      <c r="D3046" s="145">
        <f t="shared" si="104"/>
        <v>-28161347</v>
      </c>
      <c r="E3046" s="143"/>
      <c r="F3046" s="143"/>
      <c r="G3046" s="143"/>
      <c r="H3046" s="143"/>
      <c r="I3046" s="99" t="s">
        <v>357</v>
      </c>
    </row>
    <row r="3047" spans="1:9" hidden="1" outlineLevel="1">
      <c r="A3047" s="465" t="s">
        <v>775</v>
      </c>
      <c r="B3047" s="452">
        <v>1126825756</v>
      </c>
      <c r="C3047" s="95">
        <v>-28021617</v>
      </c>
      <c r="D3047" s="145">
        <f t="shared" si="104"/>
        <v>1098804139</v>
      </c>
      <c r="E3047" s="143"/>
      <c r="F3047" s="143"/>
      <c r="G3047" s="143"/>
      <c r="H3047" s="143"/>
      <c r="I3047" s="99" t="s">
        <v>776</v>
      </c>
    </row>
    <row r="3048" spans="1:9" hidden="1" outlineLevel="1">
      <c r="A3048" s="465" t="s">
        <v>777</v>
      </c>
      <c r="B3048" s="452">
        <v>1897327269</v>
      </c>
      <c r="C3048" s="95">
        <v>7880251</v>
      </c>
      <c r="D3048" s="145">
        <f t="shared" si="104"/>
        <v>1905207520</v>
      </c>
      <c r="E3048" s="143"/>
      <c r="F3048" s="143"/>
      <c r="G3048" s="143"/>
      <c r="H3048" s="143"/>
      <c r="I3048" s="99" t="s">
        <v>778</v>
      </c>
    </row>
    <row r="3049" spans="1:9" hidden="1" outlineLevel="1">
      <c r="A3049" s="465" t="s">
        <v>360</v>
      </c>
      <c r="B3049" s="452">
        <v>8979223</v>
      </c>
      <c r="C3049" s="95">
        <v>0</v>
      </c>
      <c r="D3049" s="145">
        <f t="shared" si="104"/>
        <v>8979223</v>
      </c>
      <c r="E3049" s="143"/>
      <c r="F3049" s="143"/>
      <c r="G3049" s="143"/>
      <c r="H3049" s="143"/>
      <c r="I3049" s="99" t="s">
        <v>361</v>
      </c>
    </row>
    <row r="3050" spans="1:9" hidden="1" outlineLevel="1">
      <c r="A3050" s="465" t="s">
        <v>779</v>
      </c>
      <c r="B3050" s="452">
        <v>119646729</v>
      </c>
      <c r="C3050" s="95">
        <v>1233951</v>
      </c>
      <c r="D3050" s="145">
        <f t="shared" si="104"/>
        <v>120880680</v>
      </c>
      <c r="E3050" s="143"/>
      <c r="F3050" s="143"/>
      <c r="G3050" s="143"/>
      <c r="H3050" s="143"/>
      <c r="I3050" s="99" t="s">
        <v>780</v>
      </c>
    </row>
    <row r="3051" spans="1:9" hidden="1" outlineLevel="1">
      <c r="A3051" s="465" t="s">
        <v>781</v>
      </c>
      <c r="B3051" s="452">
        <v>208395394</v>
      </c>
      <c r="C3051" s="95">
        <v>162281</v>
      </c>
      <c r="D3051" s="145">
        <f t="shared" si="104"/>
        <v>208557675</v>
      </c>
      <c r="E3051" s="143"/>
      <c r="F3051" s="143"/>
      <c r="G3051" s="143"/>
      <c r="H3051" s="143"/>
      <c r="I3051" s="99" t="s">
        <v>782</v>
      </c>
    </row>
    <row r="3052" spans="1:9" hidden="1" outlineLevel="1">
      <c r="A3052" s="465" t="s">
        <v>783</v>
      </c>
      <c r="B3052" s="452">
        <v>59034795</v>
      </c>
      <c r="C3052" s="95">
        <v>34131</v>
      </c>
      <c r="D3052" s="145">
        <f t="shared" si="104"/>
        <v>59068926</v>
      </c>
      <c r="E3052" s="143"/>
      <c r="F3052" s="143"/>
      <c r="G3052" s="143"/>
      <c r="H3052" s="143"/>
      <c r="I3052" s="99" t="s">
        <v>784</v>
      </c>
    </row>
    <row r="3053" spans="1:9" hidden="1" outlineLevel="1">
      <c r="A3053" s="465" t="s">
        <v>785</v>
      </c>
      <c r="B3053" s="452">
        <v>450513062</v>
      </c>
      <c r="C3053" s="95">
        <v>-76763</v>
      </c>
      <c r="D3053" s="145">
        <f t="shared" si="104"/>
        <v>450436299</v>
      </c>
      <c r="E3053" s="143"/>
      <c r="F3053" s="143"/>
      <c r="G3053" s="143"/>
      <c r="H3053" s="143"/>
      <c r="I3053" s="99" t="s">
        <v>786</v>
      </c>
    </row>
    <row r="3054" spans="1:9" hidden="1" outlineLevel="1">
      <c r="A3054" s="465" t="s">
        <v>787</v>
      </c>
      <c r="B3054" s="452">
        <v>152660191</v>
      </c>
      <c r="C3054" s="95">
        <v>-599790</v>
      </c>
      <c r="D3054" s="145">
        <f t="shared" si="104"/>
        <v>152060401</v>
      </c>
      <c r="E3054" s="143"/>
      <c r="F3054" s="143"/>
      <c r="G3054" s="143"/>
      <c r="H3054" s="143"/>
      <c r="I3054" s="99" t="s">
        <v>788</v>
      </c>
    </row>
    <row r="3055" spans="1:9" hidden="1" outlineLevel="1">
      <c r="A3055" s="465" t="s">
        <v>789</v>
      </c>
      <c r="B3055" s="452">
        <v>2033008</v>
      </c>
      <c r="C3055" s="95">
        <v>-2911</v>
      </c>
      <c r="D3055" s="145">
        <f t="shared" si="104"/>
        <v>2030097</v>
      </c>
      <c r="E3055" s="143"/>
      <c r="F3055" s="143"/>
      <c r="G3055" s="143"/>
      <c r="H3055" s="143"/>
      <c r="I3055" s="99" t="s">
        <v>790</v>
      </c>
    </row>
    <row r="3056" spans="1:9" hidden="1" outlineLevel="1">
      <c r="A3056" s="465" t="s">
        <v>791</v>
      </c>
      <c r="B3056" s="452">
        <v>96130202</v>
      </c>
      <c r="C3056" s="95">
        <v>-124844</v>
      </c>
      <c r="D3056" s="145">
        <f t="shared" si="104"/>
        <v>96005358</v>
      </c>
      <c r="E3056" s="143"/>
      <c r="F3056" s="143"/>
      <c r="G3056" s="143"/>
      <c r="H3056" s="143"/>
      <c r="I3056" s="99" t="s">
        <v>792</v>
      </c>
    </row>
    <row r="3057" spans="1:9" hidden="1" outlineLevel="1">
      <c r="A3057" s="465" t="s">
        <v>793</v>
      </c>
      <c r="B3057" s="452">
        <v>140314930</v>
      </c>
      <c r="C3057" s="95">
        <v>-2059628</v>
      </c>
      <c r="D3057" s="145">
        <f t="shared" si="104"/>
        <v>138255302</v>
      </c>
      <c r="E3057" s="143"/>
      <c r="F3057" s="143"/>
      <c r="G3057" s="143"/>
      <c r="H3057" s="143"/>
      <c r="I3057" s="99" t="s">
        <v>794</v>
      </c>
    </row>
    <row r="3058" spans="1:9" hidden="1" outlineLevel="1">
      <c r="A3058" s="465" t="s">
        <v>795</v>
      </c>
      <c r="B3058" s="452">
        <v>162381048</v>
      </c>
      <c r="C3058" s="95">
        <v>-1861497</v>
      </c>
      <c r="D3058" s="145">
        <f t="shared" si="104"/>
        <v>160519551</v>
      </c>
      <c r="E3058" s="143"/>
      <c r="F3058" s="143"/>
      <c r="G3058" s="143"/>
      <c r="H3058" s="143"/>
      <c r="I3058" s="99" t="s">
        <v>796</v>
      </c>
    </row>
    <row r="3059" spans="1:9" hidden="1" outlineLevel="1">
      <c r="A3059" s="465" t="s">
        <v>797</v>
      </c>
      <c r="B3059" s="452">
        <v>37459119</v>
      </c>
      <c r="C3059" s="95">
        <v>-276375</v>
      </c>
      <c r="D3059" s="145">
        <f t="shared" si="104"/>
        <v>37182744</v>
      </c>
      <c r="E3059" s="143"/>
      <c r="F3059" s="143"/>
      <c r="G3059" s="143"/>
      <c r="H3059" s="143"/>
      <c r="I3059" s="99" t="s">
        <v>798</v>
      </c>
    </row>
    <row r="3060" spans="1:9" hidden="1" outlineLevel="1">
      <c r="A3060" s="465" t="s">
        <v>799</v>
      </c>
      <c r="B3060" s="452">
        <v>17423578</v>
      </c>
      <c r="C3060" s="95">
        <v>0</v>
      </c>
      <c r="D3060" s="145">
        <f t="shared" si="104"/>
        <v>17423578</v>
      </c>
      <c r="E3060" s="143"/>
      <c r="F3060" s="143"/>
      <c r="G3060" s="143"/>
      <c r="H3060" s="143"/>
      <c r="I3060" s="99" t="s">
        <v>800</v>
      </c>
    </row>
    <row r="3061" spans="1:9" hidden="1" outlineLevel="1">
      <c r="A3061" s="465" t="s">
        <v>801</v>
      </c>
      <c r="B3061" s="452">
        <v>21846485</v>
      </c>
      <c r="C3061" s="95">
        <v>0</v>
      </c>
      <c r="D3061" s="145">
        <f t="shared" si="104"/>
        <v>21846485</v>
      </c>
      <c r="E3061" s="143"/>
      <c r="F3061" s="143"/>
      <c r="G3061" s="143"/>
      <c r="H3061" s="143"/>
      <c r="I3061" s="99" t="s">
        <v>802</v>
      </c>
    </row>
    <row r="3062" spans="1:9" hidden="1" outlineLevel="1">
      <c r="A3062" s="465" t="s">
        <v>803</v>
      </c>
      <c r="B3062" s="452">
        <v>115903091</v>
      </c>
      <c r="C3062" s="95">
        <v>0</v>
      </c>
      <c r="D3062" s="145">
        <f t="shared" si="104"/>
        <v>115903091</v>
      </c>
      <c r="E3062" s="143"/>
      <c r="F3062" s="143"/>
      <c r="G3062" s="143"/>
      <c r="H3062" s="143"/>
      <c r="I3062" s="99" t="s">
        <v>804</v>
      </c>
    </row>
    <row r="3063" spans="1:9" hidden="1" outlineLevel="1">
      <c r="A3063" s="465" t="s">
        <v>805</v>
      </c>
      <c r="B3063" s="452">
        <v>295767356</v>
      </c>
      <c r="C3063" s="95">
        <v>1693596</v>
      </c>
      <c r="D3063" s="145">
        <f t="shared" si="104"/>
        <v>297460952</v>
      </c>
      <c r="E3063" s="143"/>
      <c r="F3063" s="143"/>
      <c r="G3063" s="143"/>
      <c r="H3063" s="143"/>
      <c r="I3063" s="99" t="s">
        <v>806</v>
      </c>
    </row>
    <row r="3064" spans="1:9" hidden="1" outlineLevel="1">
      <c r="A3064" s="465" t="s">
        <v>807</v>
      </c>
      <c r="B3064" s="452">
        <v>142105303</v>
      </c>
      <c r="C3064" s="95">
        <v>47635</v>
      </c>
      <c r="D3064" s="145">
        <f t="shared" si="104"/>
        <v>142152938</v>
      </c>
      <c r="E3064" s="143"/>
      <c r="F3064" s="143"/>
      <c r="G3064" s="143"/>
      <c r="H3064" s="143"/>
      <c r="I3064" s="99" t="s">
        <v>808</v>
      </c>
    </row>
    <row r="3065" spans="1:9" hidden="1" outlineLevel="1">
      <c r="A3065" s="465" t="s">
        <v>809</v>
      </c>
      <c r="B3065" s="452">
        <v>920496498</v>
      </c>
      <c r="C3065" s="95">
        <v>14075885</v>
      </c>
      <c r="D3065" s="145">
        <f t="shared" si="104"/>
        <v>934572383</v>
      </c>
      <c r="E3065" s="143"/>
      <c r="F3065" s="143"/>
      <c r="G3065" s="143"/>
      <c r="H3065" s="143"/>
      <c r="I3065" s="99" t="s">
        <v>810</v>
      </c>
    </row>
    <row r="3066" spans="1:9" hidden="1" outlineLevel="1">
      <c r="A3066" s="465" t="s">
        <v>811</v>
      </c>
      <c r="B3066" s="452">
        <v>195640169</v>
      </c>
      <c r="C3066" s="95">
        <v>4806362</v>
      </c>
      <c r="D3066" s="145">
        <f t="shared" si="104"/>
        <v>200446531</v>
      </c>
      <c r="E3066" s="143"/>
      <c r="F3066" s="143"/>
      <c r="G3066" s="143"/>
      <c r="H3066" s="143"/>
      <c r="I3066" s="99" t="s">
        <v>812</v>
      </c>
    </row>
    <row r="3067" spans="1:9" hidden="1" outlineLevel="1">
      <c r="A3067" s="465" t="s">
        <v>813</v>
      </c>
      <c r="B3067" s="452">
        <v>33909042</v>
      </c>
      <c r="C3067" s="95">
        <v>0</v>
      </c>
      <c r="D3067" s="145">
        <f t="shared" si="104"/>
        <v>33909042</v>
      </c>
      <c r="E3067" s="143"/>
      <c r="F3067" s="143"/>
      <c r="G3067" s="143"/>
      <c r="H3067" s="143"/>
      <c r="I3067" s="99" t="s">
        <v>814</v>
      </c>
    </row>
    <row r="3068" spans="1:9" hidden="1" outlineLevel="1">
      <c r="A3068" s="465" t="s">
        <v>815</v>
      </c>
      <c r="B3068" s="452">
        <v>71572816</v>
      </c>
      <c r="C3068" s="95">
        <v>0</v>
      </c>
      <c r="D3068" s="145">
        <f t="shared" si="104"/>
        <v>71572816</v>
      </c>
      <c r="E3068" s="143"/>
      <c r="F3068" s="143"/>
      <c r="G3068" s="143"/>
      <c r="H3068" s="143"/>
      <c r="I3068" s="99" t="s">
        <v>816</v>
      </c>
    </row>
    <row r="3069" spans="1:9" hidden="1" outlineLevel="1">
      <c r="A3069" s="465" t="s">
        <v>817</v>
      </c>
      <c r="B3069" s="452">
        <v>155668250</v>
      </c>
      <c r="C3069" s="95">
        <v>-475082</v>
      </c>
      <c r="D3069" s="145">
        <f t="shared" si="104"/>
        <v>155193168</v>
      </c>
      <c r="E3069" s="143"/>
      <c r="F3069" s="143"/>
      <c r="G3069" s="143"/>
      <c r="H3069" s="143"/>
      <c r="I3069" s="99" t="s">
        <v>818</v>
      </c>
    </row>
    <row r="3070" spans="1:9" hidden="1" outlineLevel="1">
      <c r="A3070" s="465" t="s">
        <v>819</v>
      </c>
      <c r="B3070" s="452">
        <v>10266585</v>
      </c>
      <c r="C3070" s="95">
        <v>0</v>
      </c>
      <c r="D3070" s="145">
        <f t="shared" si="104"/>
        <v>10266585</v>
      </c>
      <c r="E3070" s="143"/>
      <c r="F3070" s="143"/>
      <c r="G3070" s="143"/>
      <c r="H3070" s="143"/>
      <c r="I3070" s="99" t="s">
        <v>820</v>
      </c>
    </row>
    <row r="3071" spans="1:9" hidden="1" outlineLevel="1">
      <c r="A3071" s="465" t="s">
        <v>821</v>
      </c>
      <c r="B3071" s="452">
        <v>413117090</v>
      </c>
      <c r="C3071" s="95">
        <v>0</v>
      </c>
      <c r="D3071" s="145">
        <f t="shared" ref="D3071:D3092" si="105">B3071+C3071</f>
        <v>413117090</v>
      </c>
      <c r="E3071" s="143"/>
      <c r="F3071" s="143"/>
      <c r="G3071" s="143"/>
      <c r="H3071" s="143"/>
      <c r="I3071" s="99" t="s">
        <v>822</v>
      </c>
    </row>
    <row r="3072" spans="1:9" hidden="1" outlineLevel="1">
      <c r="A3072" s="465" t="s">
        <v>821</v>
      </c>
      <c r="B3072" s="452">
        <v>27009993</v>
      </c>
      <c r="C3072" s="95">
        <v>0</v>
      </c>
      <c r="D3072" s="145">
        <f t="shared" si="105"/>
        <v>27009993</v>
      </c>
      <c r="E3072" s="143"/>
      <c r="F3072" s="143"/>
      <c r="G3072" s="143"/>
      <c r="H3072" s="143"/>
      <c r="I3072" s="99" t="s">
        <v>822</v>
      </c>
    </row>
    <row r="3073" spans="1:9" hidden="1" outlineLevel="1">
      <c r="A3073" s="465" t="s">
        <v>821</v>
      </c>
      <c r="B3073" s="452">
        <v>308151363</v>
      </c>
      <c r="C3073" s="95">
        <v>0</v>
      </c>
      <c r="D3073" s="145">
        <f t="shared" si="105"/>
        <v>308151363</v>
      </c>
      <c r="E3073" s="143"/>
      <c r="F3073" s="143"/>
      <c r="G3073" s="143"/>
      <c r="H3073" s="143"/>
      <c r="I3073" s="99" t="s">
        <v>822</v>
      </c>
    </row>
    <row r="3074" spans="1:9" hidden="1" outlineLevel="1">
      <c r="A3074" s="465" t="s">
        <v>823</v>
      </c>
      <c r="B3074" s="452">
        <v>19451521</v>
      </c>
      <c r="C3074" s="95">
        <v>-83515</v>
      </c>
      <c r="D3074" s="145">
        <f t="shared" si="105"/>
        <v>19368006</v>
      </c>
      <c r="E3074" s="143"/>
      <c r="F3074" s="143"/>
      <c r="G3074" s="143"/>
      <c r="H3074" s="143"/>
      <c r="I3074" s="99" t="s">
        <v>824</v>
      </c>
    </row>
    <row r="3075" spans="1:9" hidden="1" outlineLevel="1">
      <c r="A3075" s="465" t="s">
        <v>825</v>
      </c>
      <c r="B3075" s="452">
        <v>67781609</v>
      </c>
      <c r="C3075" s="95">
        <v>0</v>
      </c>
      <c r="D3075" s="145">
        <f t="shared" si="105"/>
        <v>67781609</v>
      </c>
      <c r="E3075" s="143"/>
      <c r="F3075" s="143"/>
      <c r="G3075" s="143"/>
      <c r="H3075" s="143"/>
      <c r="I3075" s="99" t="s">
        <v>826</v>
      </c>
    </row>
    <row r="3076" spans="1:9" hidden="1" outlineLevel="1">
      <c r="A3076" s="465" t="s">
        <v>827</v>
      </c>
      <c r="B3076" s="452">
        <v>32748317</v>
      </c>
      <c r="C3076" s="95">
        <v>99563</v>
      </c>
      <c r="D3076" s="145">
        <f t="shared" si="105"/>
        <v>32847880</v>
      </c>
      <c r="E3076" s="143"/>
      <c r="F3076" s="143"/>
      <c r="G3076" s="143"/>
      <c r="H3076" s="143"/>
      <c r="I3076" s="99" t="s">
        <v>828</v>
      </c>
    </row>
    <row r="3077" spans="1:9" hidden="1" outlineLevel="1">
      <c r="A3077" s="465" t="s">
        <v>829</v>
      </c>
      <c r="B3077" s="452">
        <v>38975399</v>
      </c>
      <c r="C3077" s="95">
        <v>1363686</v>
      </c>
      <c r="D3077" s="145">
        <f t="shared" si="105"/>
        <v>40339085</v>
      </c>
      <c r="E3077" s="143"/>
      <c r="F3077" s="143"/>
      <c r="G3077" s="143"/>
      <c r="H3077" s="143"/>
      <c r="I3077" s="99" t="s">
        <v>830</v>
      </c>
    </row>
    <row r="3078" spans="1:9" hidden="1" outlineLevel="1">
      <c r="A3078" s="465" t="s">
        <v>831</v>
      </c>
      <c r="B3078" s="452">
        <v>1111648277</v>
      </c>
      <c r="C3078" s="95">
        <v>0</v>
      </c>
      <c r="D3078" s="145">
        <f t="shared" si="105"/>
        <v>1111648277</v>
      </c>
      <c r="E3078" s="143"/>
      <c r="F3078" s="143"/>
      <c r="G3078" s="143"/>
      <c r="H3078" s="143"/>
      <c r="I3078" s="99" t="s">
        <v>832</v>
      </c>
    </row>
    <row r="3079" spans="1:9" hidden="1" outlineLevel="1">
      <c r="A3079" s="465" t="s">
        <v>833</v>
      </c>
      <c r="B3079" s="452">
        <v>95226966</v>
      </c>
      <c r="C3079" s="95">
        <v>-9520</v>
      </c>
      <c r="D3079" s="145">
        <f t="shared" si="105"/>
        <v>95217446</v>
      </c>
      <c r="E3079" s="143"/>
      <c r="F3079" s="143"/>
      <c r="G3079" s="143"/>
      <c r="H3079" s="143"/>
      <c r="I3079" s="99" t="s">
        <v>834</v>
      </c>
    </row>
    <row r="3080" spans="1:9" hidden="1" outlineLevel="1">
      <c r="A3080" s="465" t="s">
        <v>835</v>
      </c>
      <c r="B3080" s="452">
        <v>451702806</v>
      </c>
      <c r="C3080" s="95">
        <v>2585548</v>
      </c>
      <c r="D3080" s="145">
        <f t="shared" si="105"/>
        <v>454288354</v>
      </c>
      <c r="E3080" s="143"/>
      <c r="F3080" s="143"/>
      <c r="G3080" s="143"/>
      <c r="H3080" s="143"/>
      <c r="I3080" s="99" t="s">
        <v>836</v>
      </c>
    </row>
    <row r="3081" spans="1:9" hidden="1" outlineLevel="1">
      <c r="A3081" s="465" t="s">
        <v>837</v>
      </c>
      <c r="B3081" s="452">
        <v>37965796</v>
      </c>
      <c r="C3081" s="95">
        <v>0</v>
      </c>
      <c r="D3081" s="145">
        <f t="shared" si="105"/>
        <v>37965796</v>
      </c>
      <c r="E3081" s="143"/>
      <c r="F3081" s="143"/>
      <c r="G3081" s="143"/>
      <c r="H3081" s="143"/>
      <c r="I3081" s="99" t="s">
        <v>838</v>
      </c>
    </row>
    <row r="3082" spans="1:9" hidden="1" outlineLevel="1">
      <c r="A3082" s="465" t="s">
        <v>837</v>
      </c>
      <c r="B3082" s="452">
        <v>4756847</v>
      </c>
      <c r="C3082" s="95">
        <v>0</v>
      </c>
      <c r="D3082" s="145">
        <f t="shared" si="105"/>
        <v>4756847</v>
      </c>
      <c r="E3082" s="143"/>
      <c r="F3082" s="143"/>
      <c r="G3082" s="143"/>
      <c r="H3082" s="143"/>
      <c r="I3082" s="99" t="s">
        <v>838</v>
      </c>
    </row>
    <row r="3083" spans="1:9" hidden="1" outlineLevel="1">
      <c r="A3083" s="465" t="s">
        <v>837</v>
      </c>
      <c r="B3083" s="452">
        <v>23559816</v>
      </c>
      <c r="C3083" s="95">
        <v>0</v>
      </c>
      <c r="D3083" s="145">
        <f t="shared" si="105"/>
        <v>23559816</v>
      </c>
      <c r="E3083" s="143"/>
      <c r="F3083" s="143"/>
      <c r="G3083" s="143"/>
      <c r="H3083" s="143"/>
      <c r="I3083" s="99" t="s">
        <v>838</v>
      </c>
    </row>
    <row r="3084" spans="1:9" hidden="1" outlineLevel="1">
      <c r="A3084" s="465" t="s">
        <v>839</v>
      </c>
      <c r="B3084" s="452">
        <v>3863682</v>
      </c>
      <c r="C3084" s="95">
        <v>0</v>
      </c>
      <c r="D3084" s="145">
        <f t="shared" si="105"/>
        <v>3863682</v>
      </c>
      <c r="E3084" s="143"/>
      <c r="F3084" s="143"/>
      <c r="G3084" s="143"/>
      <c r="H3084" s="143"/>
      <c r="I3084" s="99" t="s">
        <v>840</v>
      </c>
    </row>
    <row r="3085" spans="1:9" hidden="1" outlineLevel="1">
      <c r="A3085" s="465" t="s">
        <v>841</v>
      </c>
      <c r="B3085" s="452">
        <v>51116116</v>
      </c>
      <c r="C3085" s="95">
        <v>-82830</v>
      </c>
      <c r="D3085" s="145">
        <f t="shared" si="105"/>
        <v>51033286</v>
      </c>
      <c r="E3085" s="143"/>
      <c r="F3085" s="143"/>
      <c r="G3085" s="143"/>
      <c r="H3085" s="143"/>
      <c r="I3085" s="99" t="s">
        <v>842</v>
      </c>
    </row>
    <row r="3086" spans="1:9" hidden="1" outlineLevel="1">
      <c r="A3086" s="465" t="s">
        <v>843</v>
      </c>
      <c r="B3086" s="452">
        <v>62371706</v>
      </c>
      <c r="C3086" s="95">
        <v>0</v>
      </c>
      <c r="D3086" s="145">
        <f t="shared" si="105"/>
        <v>62371706</v>
      </c>
      <c r="E3086" s="143"/>
      <c r="F3086" s="143"/>
      <c r="G3086" s="143"/>
      <c r="H3086" s="143"/>
      <c r="I3086" s="99" t="s">
        <v>844</v>
      </c>
    </row>
    <row r="3087" spans="1:9" hidden="1" outlineLevel="1">
      <c r="A3087" s="465" t="s">
        <v>845</v>
      </c>
      <c r="B3087" s="452">
        <v>639145481</v>
      </c>
      <c r="C3087" s="95">
        <v>-1083070</v>
      </c>
      <c r="D3087" s="145">
        <f t="shared" si="105"/>
        <v>638062411</v>
      </c>
      <c r="E3087" s="143"/>
      <c r="F3087" s="143"/>
      <c r="G3087" s="143"/>
      <c r="H3087" s="143"/>
      <c r="I3087" s="99" t="s">
        <v>846</v>
      </c>
    </row>
    <row r="3088" spans="1:9" hidden="1" outlineLevel="1">
      <c r="A3088" s="465" t="s">
        <v>847</v>
      </c>
      <c r="B3088" s="452">
        <v>48793952</v>
      </c>
      <c r="C3088" s="95">
        <v>0</v>
      </c>
      <c r="D3088" s="145">
        <f t="shared" si="105"/>
        <v>48793952</v>
      </c>
      <c r="E3088" s="143"/>
      <c r="F3088" s="143"/>
      <c r="G3088" s="143"/>
      <c r="H3088" s="143"/>
      <c r="I3088" s="99" t="s">
        <v>848</v>
      </c>
    </row>
    <row r="3089" spans="1:9" hidden="1" outlineLevel="1">
      <c r="A3089" s="465" t="s">
        <v>849</v>
      </c>
      <c r="B3089" s="452">
        <v>124760681</v>
      </c>
      <c r="C3089" s="95">
        <v>0</v>
      </c>
      <c r="D3089" s="145">
        <f t="shared" si="105"/>
        <v>124760681</v>
      </c>
      <c r="E3089" s="143"/>
      <c r="F3089" s="143"/>
      <c r="G3089" s="143"/>
      <c r="H3089" s="143"/>
      <c r="I3089" s="99" t="s">
        <v>850</v>
      </c>
    </row>
    <row r="3090" spans="1:9" hidden="1" outlineLevel="1">
      <c r="A3090" s="465" t="s">
        <v>398</v>
      </c>
      <c r="B3090" s="452">
        <v>15935131</v>
      </c>
      <c r="C3090" s="95">
        <v>-73222</v>
      </c>
      <c r="D3090" s="145">
        <f t="shared" si="105"/>
        <v>15861909</v>
      </c>
      <c r="E3090" s="143"/>
      <c r="F3090" s="143"/>
      <c r="G3090" s="143"/>
      <c r="H3090" s="143"/>
      <c r="I3090" s="99" t="s">
        <v>399</v>
      </c>
    </row>
    <row r="3091" spans="1:9" hidden="1" outlineLevel="1">
      <c r="A3091" s="465" t="s">
        <v>851</v>
      </c>
      <c r="B3091" s="452">
        <v>11990006</v>
      </c>
      <c r="C3091" s="95">
        <v>440417</v>
      </c>
      <c r="D3091" s="145">
        <f t="shared" si="105"/>
        <v>12430423</v>
      </c>
      <c r="E3091" s="143"/>
      <c r="F3091" s="143"/>
      <c r="G3091" s="143"/>
      <c r="H3091" s="143"/>
      <c r="I3091" s="99" t="s">
        <v>852</v>
      </c>
    </row>
    <row r="3092" spans="1:9" hidden="1" outlineLevel="1">
      <c r="A3092" s="465" t="s">
        <v>853</v>
      </c>
      <c r="B3092" s="452">
        <v>144274972</v>
      </c>
      <c r="C3092" s="95">
        <v>0</v>
      </c>
      <c r="D3092" s="145">
        <f t="shared" si="105"/>
        <v>144274972</v>
      </c>
      <c r="E3092" s="143"/>
      <c r="F3092" s="143"/>
      <c r="G3092" s="143"/>
      <c r="H3092" s="143"/>
      <c r="I3092" s="99" t="s">
        <v>854</v>
      </c>
    </row>
    <row r="3093" spans="1:9" collapsed="1">
      <c r="A3093" s="465" t="str">
        <f>A405</f>
        <v>Regelzone TenneT (gesamt)</v>
      </c>
      <c r="B3093" s="746">
        <f>SUM(B3094:B3474)</f>
        <v>107681602232.5</v>
      </c>
      <c r="C3093" s="809">
        <f>SUM(C3094:C3474)</f>
        <v>-58701221.696999997</v>
      </c>
      <c r="D3093" s="145">
        <f t="shared" ref="D3093:D3156" si="106">B3093+C3093</f>
        <v>107622901010.80299</v>
      </c>
      <c r="E3093" s="143"/>
      <c r="F3093" s="143"/>
      <c r="G3093" s="143"/>
      <c r="H3093" s="143"/>
    </row>
    <row r="3094" spans="1:9" hidden="1" outlineLevel="1">
      <c r="A3094" s="465" t="s">
        <v>1861</v>
      </c>
      <c r="B3094" s="452">
        <v>6078966.04</v>
      </c>
      <c r="C3094" s="95">
        <f>+SUMIF('Anlage 2b_Korrekturen'!$B$647:$B$1026,A3094,'Anlage 2b_Korrekturen'!$D$647:$D$1026)</f>
        <v>0</v>
      </c>
      <c r="D3094" s="145">
        <f t="shared" si="106"/>
        <v>6078966.04</v>
      </c>
      <c r="E3094" s="143"/>
      <c r="F3094" s="143"/>
      <c r="G3094" s="143"/>
      <c r="H3094" s="143"/>
      <c r="I3094" t="s">
        <v>1862</v>
      </c>
    </row>
    <row r="3095" spans="1:9" hidden="1" outlineLevel="1">
      <c r="A3095" s="465" t="s">
        <v>856</v>
      </c>
      <c r="B3095" s="452">
        <v>18425752</v>
      </c>
      <c r="C3095" s="95">
        <f>+SUMIF('Anlage 2b_Korrekturen'!$B$647:$B$1026,A3095,'Anlage 2b_Korrekturen'!$D$647:$D$1026)</f>
        <v>0</v>
      </c>
      <c r="D3095" s="145">
        <f t="shared" si="106"/>
        <v>18425752</v>
      </c>
      <c r="E3095" s="143"/>
      <c r="F3095" s="143"/>
      <c r="G3095" s="143"/>
      <c r="H3095" s="143"/>
      <c r="I3095" t="s">
        <v>857</v>
      </c>
    </row>
    <row r="3096" spans="1:9" hidden="1" outlineLevel="1">
      <c r="A3096" s="465" t="s">
        <v>858</v>
      </c>
      <c r="B3096" s="452">
        <v>31284831</v>
      </c>
      <c r="C3096" s="95">
        <f>+SUMIF('Anlage 2b_Korrekturen'!$B$647:$B$1026,A3096,'Anlage 2b_Korrekturen'!$D$647:$D$1026)</f>
        <v>-197924</v>
      </c>
      <c r="D3096" s="145">
        <f t="shared" si="106"/>
        <v>31086907</v>
      </c>
      <c r="E3096" s="143"/>
      <c r="F3096" s="143"/>
      <c r="G3096" s="143"/>
      <c r="H3096" s="143"/>
      <c r="I3096" t="s">
        <v>859</v>
      </c>
    </row>
    <row r="3097" spans="1:9" hidden="1" outlineLevel="1">
      <c r="A3097" s="465" t="s">
        <v>860</v>
      </c>
      <c r="B3097" s="452">
        <v>54775238</v>
      </c>
      <c r="C3097" s="95">
        <f>+SUMIF('Anlage 2b_Korrekturen'!$B$647:$B$1026,A3097,'Anlage 2b_Korrekturen'!$D$647:$D$1026)</f>
        <v>0</v>
      </c>
      <c r="D3097" s="145">
        <f t="shared" si="106"/>
        <v>54775238</v>
      </c>
      <c r="E3097" s="143"/>
      <c r="F3097" s="143"/>
      <c r="G3097" s="143"/>
      <c r="H3097" s="143"/>
      <c r="I3097" t="s">
        <v>861</v>
      </c>
    </row>
    <row r="3098" spans="1:9" hidden="1" outlineLevel="1">
      <c r="A3098" s="465" t="s">
        <v>862</v>
      </c>
      <c r="B3098" s="452">
        <v>23755295</v>
      </c>
      <c r="C3098" s="95">
        <f>+SUMIF('Anlage 2b_Korrekturen'!$B$647:$B$1026,A3098,'Anlage 2b_Korrekturen'!$D$647:$D$1026)</f>
        <v>-39422</v>
      </c>
      <c r="D3098" s="145">
        <f t="shared" si="106"/>
        <v>23715873</v>
      </c>
      <c r="E3098" s="143"/>
      <c r="F3098" s="143"/>
      <c r="G3098" s="143"/>
      <c r="H3098" s="143"/>
      <c r="I3098" t="s">
        <v>863</v>
      </c>
    </row>
    <row r="3099" spans="1:9" hidden="1" outlineLevel="1">
      <c r="A3099" s="465" t="s">
        <v>864</v>
      </c>
      <c r="B3099" s="452">
        <v>41353895</v>
      </c>
      <c r="C3099" s="95">
        <f>+SUMIF('Anlage 2b_Korrekturen'!$B$647:$B$1026,A3099,'Anlage 2b_Korrekturen'!$D$647:$D$1026)</f>
        <v>4582035</v>
      </c>
      <c r="D3099" s="145">
        <f t="shared" si="106"/>
        <v>45935930</v>
      </c>
      <c r="E3099" s="143"/>
      <c r="F3099" s="143"/>
      <c r="G3099" s="143"/>
      <c r="H3099" s="143"/>
      <c r="I3099" t="s">
        <v>865</v>
      </c>
    </row>
    <row r="3100" spans="1:9" hidden="1" outlineLevel="1">
      <c r="A3100" s="465" t="s">
        <v>866</v>
      </c>
      <c r="B3100" s="452">
        <v>13546877</v>
      </c>
      <c r="C3100" s="95">
        <f>+SUMIF('Anlage 2b_Korrekturen'!$B$647:$B$1026,A3100,'Anlage 2b_Korrekturen'!$D$647:$D$1026)</f>
        <v>0</v>
      </c>
      <c r="D3100" s="145">
        <f t="shared" si="106"/>
        <v>13546877</v>
      </c>
      <c r="E3100" s="143"/>
      <c r="F3100" s="143"/>
      <c r="G3100" s="143"/>
      <c r="H3100" s="143"/>
      <c r="I3100" t="s">
        <v>867</v>
      </c>
    </row>
    <row r="3101" spans="1:9" hidden="1" outlineLevel="1">
      <c r="A3101" s="465" t="s">
        <v>868</v>
      </c>
      <c r="B3101" s="452">
        <v>78854670</v>
      </c>
      <c r="C3101" s="95">
        <f>+SUMIF('Anlage 2b_Korrekturen'!$B$647:$B$1026,A3101,'Anlage 2b_Korrekturen'!$D$647:$D$1026)</f>
        <v>0</v>
      </c>
      <c r="D3101" s="145">
        <f t="shared" si="106"/>
        <v>78854670</v>
      </c>
      <c r="E3101" s="143"/>
      <c r="F3101" s="143"/>
      <c r="G3101" s="143"/>
      <c r="H3101" s="143"/>
      <c r="I3101" t="s">
        <v>869</v>
      </c>
    </row>
    <row r="3102" spans="1:9" hidden="1" outlineLevel="1">
      <c r="A3102" s="465" t="s">
        <v>870</v>
      </c>
      <c r="B3102" s="452">
        <v>168424188</v>
      </c>
      <c r="C3102" s="95">
        <f>+SUMIF('Anlage 2b_Korrekturen'!$B$647:$B$1026,A3102,'Anlage 2b_Korrekturen'!$D$647:$D$1026)</f>
        <v>0</v>
      </c>
      <c r="D3102" s="145">
        <f t="shared" si="106"/>
        <v>168424188</v>
      </c>
      <c r="E3102" s="143"/>
      <c r="F3102" s="143"/>
      <c r="G3102" s="143"/>
      <c r="H3102" s="143"/>
      <c r="I3102" t="s">
        <v>871</v>
      </c>
    </row>
    <row r="3103" spans="1:9" hidden="1" outlineLevel="1">
      <c r="A3103" s="465" t="s">
        <v>872</v>
      </c>
      <c r="B3103" s="452">
        <v>24445731</v>
      </c>
      <c r="C3103" s="95">
        <f>+SUMIF('Anlage 2b_Korrekturen'!$B$647:$B$1026,A3103,'Anlage 2b_Korrekturen'!$D$647:$D$1026)</f>
        <v>0</v>
      </c>
      <c r="D3103" s="145">
        <f t="shared" si="106"/>
        <v>24445731</v>
      </c>
      <c r="E3103" s="143"/>
      <c r="F3103" s="143"/>
      <c r="G3103" s="143"/>
      <c r="H3103" s="143"/>
      <c r="I3103" t="s">
        <v>873</v>
      </c>
    </row>
    <row r="3104" spans="1:9" hidden="1" outlineLevel="1">
      <c r="A3104" s="465" t="s">
        <v>874</v>
      </c>
      <c r="B3104" s="452">
        <v>500262351</v>
      </c>
      <c r="C3104" s="95">
        <f>+SUMIF('Anlage 2b_Korrekturen'!$B$647:$B$1026,A3104,'Anlage 2b_Korrekturen'!$D$647:$D$1026)</f>
        <v>0</v>
      </c>
      <c r="D3104" s="145">
        <f t="shared" si="106"/>
        <v>500262351</v>
      </c>
      <c r="E3104" s="143"/>
      <c r="F3104" s="143"/>
      <c r="G3104" s="143"/>
      <c r="H3104" s="143"/>
      <c r="I3104" t="s">
        <v>875</v>
      </c>
    </row>
    <row r="3105" spans="1:9" hidden="1" outlineLevel="1">
      <c r="A3105" s="465" t="s">
        <v>1863</v>
      </c>
      <c r="B3105" s="452">
        <v>0</v>
      </c>
      <c r="C3105" s="95">
        <f>+SUMIF('Anlage 2b_Korrekturen'!$B$647:$B$1026,A3105,'Anlage 2b_Korrekturen'!$D$647:$D$1026)</f>
        <v>0</v>
      </c>
      <c r="D3105" s="145">
        <f t="shared" si="106"/>
        <v>0</v>
      </c>
      <c r="E3105" s="143"/>
      <c r="F3105" s="143"/>
      <c r="G3105" s="143"/>
      <c r="H3105" s="143"/>
      <c r="I3105" t="s">
        <v>1864</v>
      </c>
    </row>
    <row r="3106" spans="1:9" hidden="1" outlineLevel="1">
      <c r="A3106" s="465" t="s">
        <v>876</v>
      </c>
      <c r="B3106" s="452">
        <v>27902438</v>
      </c>
      <c r="C3106" s="95">
        <f>+SUMIF('Anlage 2b_Korrekturen'!$B$647:$B$1026,A3106,'Anlage 2b_Korrekturen'!$D$647:$D$1026)</f>
        <v>25543</v>
      </c>
      <c r="D3106" s="145">
        <f t="shared" si="106"/>
        <v>27927981</v>
      </c>
      <c r="E3106" s="143"/>
      <c r="F3106" s="143"/>
      <c r="G3106" s="143"/>
      <c r="H3106" s="143"/>
      <c r="I3106" t="s">
        <v>877</v>
      </c>
    </row>
    <row r="3107" spans="1:9" hidden="1" outlineLevel="1">
      <c r="A3107" s="465" t="s">
        <v>878</v>
      </c>
      <c r="B3107" s="452">
        <v>27633970</v>
      </c>
      <c r="C3107" s="95">
        <f>+SUMIF('Anlage 2b_Korrekturen'!$B$647:$B$1026,A3107,'Anlage 2b_Korrekturen'!$D$647:$D$1026)</f>
        <v>0</v>
      </c>
      <c r="D3107" s="145">
        <f t="shared" si="106"/>
        <v>27633970</v>
      </c>
      <c r="E3107" s="143"/>
      <c r="F3107" s="143"/>
      <c r="G3107" s="143"/>
      <c r="H3107" s="143"/>
      <c r="I3107" t="s">
        <v>879</v>
      </c>
    </row>
    <row r="3108" spans="1:9" hidden="1" outlineLevel="1">
      <c r="A3108" s="465" t="s">
        <v>322</v>
      </c>
      <c r="B3108" s="452">
        <v>42437857</v>
      </c>
      <c r="C3108" s="95">
        <f>+SUMIF('Anlage 2b_Korrekturen'!$B$647:$B$1026,A3108,'Anlage 2b_Korrekturen'!$D$647:$D$1026)</f>
        <v>-62002</v>
      </c>
      <c r="D3108" s="145">
        <f t="shared" si="106"/>
        <v>42375855</v>
      </c>
      <c r="E3108" s="143"/>
      <c r="F3108" s="143"/>
      <c r="G3108" s="143"/>
      <c r="H3108" s="143"/>
      <c r="I3108" t="s">
        <v>2105</v>
      </c>
    </row>
    <row r="3109" spans="1:9" hidden="1" outlineLevel="1">
      <c r="A3109" s="465" t="s">
        <v>880</v>
      </c>
      <c r="B3109" s="452">
        <v>54568061</v>
      </c>
      <c r="C3109" s="95">
        <f>+SUMIF('Anlage 2b_Korrekturen'!$B$647:$B$1026,A3109,'Anlage 2b_Korrekturen'!$D$647:$D$1026)</f>
        <v>-157307</v>
      </c>
      <c r="D3109" s="145">
        <f t="shared" si="106"/>
        <v>54410754</v>
      </c>
      <c r="E3109" s="143"/>
      <c r="F3109" s="143"/>
      <c r="G3109" s="143"/>
      <c r="H3109" s="143"/>
      <c r="I3109" t="s">
        <v>881</v>
      </c>
    </row>
    <row r="3110" spans="1:9" hidden="1" outlineLevel="1">
      <c r="A3110" s="465" t="s">
        <v>882</v>
      </c>
      <c r="B3110" s="452">
        <v>182430555.40000001</v>
      </c>
      <c r="C3110" s="95">
        <f>+SUMIF('Anlage 2b_Korrekturen'!$B$647:$B$1026,A3110,'Anlage 2b_Korrekturen'!$D$647:$D$1026)</f>
        <v>175519.6</v>
      </c>
      <c r="D3110" s="145">
        <f t="shared" si="106"/>
        <v>182606075</v>
      </c>
      <c r="E3110" s="143"/>
      <c r="F3110" s="143"/>
      <c r="G3110" s="143"/>
      <c r="H3110" s="143"/>
      <c r="I3110" t="s">
        <v>883</v>
      </c>
    </row>
    <row r="3111" spans="1:9" hidden="1" outlineLevel="1">
      <c r="A3111" s="465" t="s">
        <v>884</v>
      </c>
      <c r="B3111" s="452">
        <v>194980086</v>
      </c>
      <c r="C3111" s="95">
        <f>+SUMIF('Anlage 2b_Korrekturen'!$B$647:$B$1026,A3111,'Anlage 2b_Korrekturen'!$D$647:$D$1026)</f>
        <v>1109944</v>
      </c>
      <c r="D3111" s="145">
        <f t="shared" si="106"/>
        <v>196090030</v>
      </c>
      <c r="E3111" s="143"/>
      <c r="F3111" s="143"/>
      <c r="G3111" s="143"/>
      <c r="H3111" s="143"/>
      <c r="I3111" t="s">
        <v>885</v>
      </c>
    </row>
    <row r="3112" spans="1:9" hidden="1" outlineLevel="1">
      <c r="A3112" s="465" t="s">
        <v>886</v>
      </c>
      <c r="B3112" s="452">
        <v>59806101</v>
      </c>
      <c r="C3112" s="95">
        <f>+SUMIF('Anlage 2b_Korrekturen'!$B$647:$B$1026,A3112,'Anlage 2b_Korrekturen'!$D$647:$D$1026)</f>
        <v>376474</v>
      </c>
      <c r="D3112" s="145">
        <f t="shared" si="106"/>
        <v>60182575</v>
      </c>
      <c r="E3112" s="143"/>
      <c r="F3112" s="143"/>
      <c r="G3112" s="143"/>
      <c r="H3112" s="143"/>
      <c r="I3112" t="s">
        <v>887</v>
      </c>
    </row>
    <row r="3113" spans="1:9" hidden="1" outlineLevel="1">
      <c r="A3113" s="465" t="s">
        <v>888</v>
      </c>
      <c r="B3113" s="452">
        <v>39741554</v>
      </c>
      <c r="C3113" s="95">
        <f>+SUMIF('Anlage 2b_Korrekturen'!$B$647:$B$1026,A3113,'Anlage 2b_Korrekturen'!$D$647:$D$1026)</f>
        <v>0</v>
      </c>
      <c r="D3113" s="145">
        <f t="shared" si="106"/>
        <v>39741554</v>
      </c>
      <c r="E3113" s="143"/>
      <c r="F3113" s="143"/>
      <c r="G3113" s="143"/>
      <c r="H3113" s="143"/>
      <c r="I3113" t="s">
        <v>889</v>
      </c>
    </row>
    <row r="3114" spans="1:9" hidden="1" outlineLevel="1">
      <c r="A3114" s="465" t="s">
        <v>890</v>
      </c>
      <c r="B3114" s="452">
        <v>181682481</v>
      </c>
      <c r="C3114" s="95">
        <f>+SUMIF('Anlage 2b_Korrekturen'!$B$647:$B$1026,A3114,'Anlage 2b_Korrekturen'!$D$647:$D$1026)</f>
        <v>-20</v>
      </c>
      <c r="D3114" s="145">
        <f t="shared" si="106"/>
        <v>181682461</v>
      </c>
      <c r="E3114" s="143"/>
      <c r="F3114" s="143"/>
      <c r="G3114" s="143"/>
      <c r="H3114" s="143"/>
      <c r="I3114" t="s">
        <v>891</v>
      </c>
    </row>
    <row r="3115" spans="1:9" hidden="1" outlineLevel="1">
      <c r="A3115" s="465" t="s">
        <v>892</v>
      </c>
      <c r="B3115" s="452">
        <v>7258319</v>
      </c>
      <c r="C3115" s="95">
        <f>+SUMIF('Anlage 2b_Korrekturen'!$B$647:$B$1026,A3115,'Anlage 2b_Korrekturen'!$D$647:$D$1026)</f>
        <v>406617</v>
      </c>
      <c r="D3115" s="145">
        <f t="shared" si="106"/>
        <v>7664936</v>
      </c>
      <c r="E3115" s="143"/>
      <c r="F3115" s="143"/>
      <c r="G3115" s="143"/>
      <c r="H3115" s="143"/>
      <c r="I3115" t="s">
        <v>2038</v>
      </c>
    </row>
    <row r="3116" spans="1:9" hidden="1" outlineLevel="1">
      <c r="A3116" s="465" t="s">
        <v>894</v>
      </c>
      <c r="B3116" s="452">
        <v>96874307</v>
      </c>
      <c r="C3116" s="95">
        <f>+SUMIF('Anlage 2b_Korrekturen'!$B$647:$B$1026,A3116,'Anlage 2b_Korrekturen'!$D$647:$D$1026)</f>
        <v>0</v>
      </c>
      <c r="D3116" s="145">
        <f t="shared" si="106"/>
        <v>96874307</v>
      </c>
      <c r="E3116" s="143"/>
      <c r="F3116" s="143"/>
      <c r="G3116" s="143"/>
      <c r="H3116" s="143"/>
      <c r="I3116" t="s">
        <v>2106</v>
      </c>
    </row>
    <row r="3117" spans="1:9" hidden="1" outlineLevel="1">
      <c r="A3117" s="465" t="s">
        <v>896</v>
      </c>
      <c r="B3117" s="452">
        <v>127944407</v>
      </c>
      <c r="C3117" s="95">
        <f>+SUMIF('Anlage 2b_Korrekturen'!$B$647:$B$1026,A3117,'Anlage 2b_Korrekturen'!$D$647:$D$1026)</f>
        <v>11182472</v>
      </c>
      <c r="D3117" s="145">
        <f t="shared" si="106"/>
        <v>139126879</v>
      </c>
      <c r="E3117" s="143"/>
      <c r="F3117" s="143"/>
      <c r="G3117" s="143"/>
      <c r="H3117" s="143"/>
      <c r="I3117" t="s">
        <v>897</v>
      </c>
    </row>
    <row r="3118" spans="1:9" hidden="1" outlineLevel="1">
      <c r="A3118" s="465" t="s">
        <v>1865</v>
      </c>
      <c r="B3118" s="452">
        <v>29504783</v>
      </c>
      <c r="C3118" s="95">
        <f>+SUMIF('Anlage 2b_Korrekturen'!$B$647:$B$1026,A3118,'Anlage 2b_Korrekturen'!$D$647:$D$1026)</f>
        <v>419979</v>
      </c>
      <c r="D3118" s="145">
        <f t="shared" si="106"/>
        <v>29924762</v>
      </c>
      <c r="E3118" s="143"/>
      <c r="F3118" s="143"/>
      <c r="G3118" s="143"/>
      <c r="H3118" s="143"/>
      <c r="I3118" t="s">
        <v>1866</v>
      </c>
    </row>
    <row r="3119" spans="1:9" hidden="1" outlineLevel="1">
      <c r="A3119" s="465" t="s">
        <v>898</v>
      </c>
      <c r="B3119" s="452">
        <v>54139007</v>
      </c>
      <c r="C3119" s="95">
        <f>+SUMIF('Anlage 2b_Korrekturen'!$B$647:$B$1026,A3119,'Anlage 2b_Korrekturen'!$D$647:$D$1026)</f>
        <v>5910118</v>
      </c>
      <c r="D3119" s="145">
        <f t="shared" si="106"/>
        <v>60049125</v>
      </c>
      <c r="E3119" s="143"/>
      <c r="F3119" s="143"/>
      <c r="G3119" s="143"/>
      <c r="H3119" s="143"/>
      <c r="I3119" t="s">
        <v>899</v>
      </c>
    </row>
    <row r="3120" spans="1:9" hidden="1" outlineLevel="1">
      <c r="A3120" s="465" t="s">
        <v>900</v>
      </c>
      <c r="B3120" s="452">
        <v>10443898</v>
      </c>
      <c r="C3120" s="95">
        <f>+SUMIF('Anlage 2b_Korrekturen'!$B$647:$B$1026,A3120,'Anlage 2b_Korrekturen'!$D$647:$D$1026)</f>
        <v>0</v>
      </c>
      <c r="D3120" s="145">
        <f t="shared" si="106"/>
        <v>10443898</v>
      </c>
      <c r="E3120" s="143"/>
      <c r="F3120" s="143"/>
      <c r="G3120" s="143"/>
      <c r="H3120" s="143"/>
      <c r="I3120" t="s">
        <v>2107</v>
      </c>
    </row>
    <row r="3121" spans="1:9" hidden="1" outlineLevel="1">
      <c r="A3121" s="465" t="s">
        <v>902</v>
      </c>
      <c r="B3121" s="452">
        <v>188789219</v>
      </c>
      <c r="C3121" s="95">
        <f>+SUMIF('Anlage 2b_Korrekturen'!$B$647:$B$1026,A3121,'Anlage 2b_Korrekturen'!$D$647:$D$1026)</f>
        <v>-513572</v>
      </c>
      <c r="D3121" s="145">
        <f t="shared" si="106"/>
        <v>188275647</v>
      </c>
      <c r="E3121" s="143"/>
      <c r="F3121" s="143"/>
      <c r="G3121" s="143"/>
      <c r="H3121" s="143"/>
      <c r="I3121" t="s">
        <v>903</v>
      </c>
    </row>
    <row r="3122" spans="1:9" hidden="1" outlineLevel="1">
      <c r="A3122" s="465" t="s">
        <v>904</v>
      </c>
      <c r="B3122" s="452">
        <v>197731148</v>
      </c>
      <c r="C3122" s="95">
        <f>+SUMIF('Anlage 2b_Korrekturen'!$B$647:$B$1026,A3122,'Anlage 2b_Korrekturen'!$D$647:$D$1026)</f>
        <v>314991</v>
      </c>
      <c r="D3122" s="145">
        <f t="shared" si="106"/>
        <v>198046139</v>
      </c>
      <c r="E3122" s="143"/>
      <c r="F3122" s="143"/>
      <c r="G3122" s="143"/>
      <c r="H3122" s="143"/>
      <c r="I3122" t="s">
        <v>905</v>
      </c>
    </row>
    <row r="3123" spans="1:9" hidden="1" outlineLevel="1">
      <c r="A3123" s="465" t="s">
        <v>906</v>
      </c>
      <c r="B3123" s="452">
        <v>85367727.952999994</v>
      </c>
      <c r="C3123" s="95">
        <f>+SUMIF('Anlage 2b_Korrekturen'!$B$647:$B$1026,A3123,'Anlage 2b_Korrekturen'!$D$647:$D$1026)</f>
        <v>0</v>
      </c>
      <c r="D3123" s="145">
        <f t="shared" si="106"/>
        <v>85367727.952999994</v>
      </c>
      <c r="E3123" s="143"/>
      <c r="F3123" s="143"/>
      <c r="G3123" s="143"/>
      <c r="H3123" s="143"/>
      <c r="I3123" t="s">
        <v>907</v>
      </c>
    </row>
    <row r="3124" spans="1:9" hidden="1" outlineLevel="1">
      <c r="A3124" s="465" t="s">
        <v>908</v>
      </c>
      <c r="B3124" s="452">
        <v>146247455</v>
      </c>
      <c r="C3124" s="95">
        <f>+SUMIF('Anlage 2b_Korrekturen'!$B$647:$B$1026,A3124,'Anlage 2b_Korrekturen'!$D$647:$D$1026)</f>
        <v>0</v>
      </c>
      <c r="D3124" s="145">
        <f t="shared" si="106"/>
        <v>146247455</v>
      </c>
      <c r="E3124" s="143"/>
      <c r="F3124" s="143"/>
      <c r="G3124" s="143"/>
      <c r="H3124" s="143"/>
      <c r="I3124" t="s">
        <v>909</v>
      </c>
    </row>
    <row r="3125" spans="1:9" hidden="1" outlineLevel="1">
      <c r="A3125" s="465" t="s">
        <v>910</v>
      </c>
      <c r="B3125" s="452">
        <v>460055212</v>
      </c>
      <c r="C3125" s="95">
        <f>+SUMIF('Anlage 2b_Korrekturen'!$B$647:$B$1026,A3125,'Anlage 2b_Korrekturen'!$D$647:$D$1026)</f>
        <v>-710878</v>
      </c>
      <c r="D3125" s="145">
        <f t="shared" si="106"/>
        <v>459344334</v>
      </c>
      <c r="E3125" s="143"/>
      <c r="F3125" s="143"/>
      <c r="G3125" s="143"/>
      <c r="H3125" s="143"/>
      <c r="I3125" t="s">
        <v>911</v>
      </c>
    </row>
    <row r="3126" spans="1:9" hidden="1" outlineLevel="1">
      <c r="A3126" s="465" t="s">
        <v>912</v>
      </c>
      <c r="B3126" s="452">
        <v>17058447</v>
      </c>
      <c r="C3126" s="95">
        <f>+SUMIF('Anlage 2b_Korrekturen'!$B$647:$B$1026,A3126,'Anlage 2b_Korrekturen'!$D$647:$D$1026)</f>
        <v>0</v>
      </c>
      <c r="D3126" s="145">
        <f t="shared" si="106"/>
        <v>17058447</v>
      </c>
      <c r="E3126" s="143"/>
      <c r="F3126" s="143"/>
      <c r="G3126" s="143"/>
      <c r="H3126" s="143"/>
      <c r="I3126" t="s">
        <v>913</v>
      </c>
    </row>
    <row r="3127" spans="1:9" hidden="1" outlineLevel="1">
      <c r="A3127" s="465" t="s">
        <v>914</v>
      </c>
      <c r="B3127" s="452">
        <v>104723630</v>
      </c>
      <c r="C3127" s="95">
        <f>+SUMIF('Anlage 2b_Korrekturen'!$B$647:$B$1026,A3127,'Anlage 2b_Korrekturen'!$D$647:$D$1026)</f>
        <v>343326</v>
      </c>
      <c r="D3127" s="145">
        <f t="shared" si="106"/>
        <v>105066956</v>
      </c>
      <c r="E3127" s="143"/>
      <c r="F3127" s="143"/>
      <c r="G3127" s="143"/>
      <c r="H3127" s="143"/>
      <c r="I3127" t="s">
        <v>915</v>
      </c>
    </row>
    <row r="3128" spans="1:9" hidden="1" outlineLevel="1">
      <c r="A3128" s="465" t="s">
        <v>916</v>
      </c>
      <c r="B3128" s="452">
        <v>13414232</v>
      </c>
      <c r="C3128" s="95">
        <f>+SUMIF('Anlage 2b_Korrekturen'!$B$647:$B$1026,A3128,'Anlage 2b_Korrekturen'!$D$647:$D$1026)</f>
        <v>0</v>
      </c>
      <c r="D3128" s="145">
        <f t="shared" si="106"/>
        <v>13414232</v>
      </c>
      <c r="E3128" s="143"/>
      <c r="F3128" s="143"/>
      <c r="G3128" s="143"/>
      <c r="H3128" s="143"/>
      <c r="I3128" t="s">
        <v>917</v>
      </c>
    </row>
    <row r="3129" spans="1:9" hidden="1" outlineLevel="1">
      <c r="A3129" s="465" t="s">
        <v>918</v>
      </c>
      <c r="B3129" s="452">
        <v>144168815</v>
      </c>
      <c r="C3129" s="95">
        <f>+SUMIF('Anlage 2b_Korrekturen'!$B$647:$B$1026,A3129,'Anlage 2b_Korrekturen'!$D$647:$D$1026)</f>
        <v>0</v>
      </c>
      <c r="D3129" s="145">
        <f t="shared" si="106"/>
        <v>144168815</v>
      </c>
      <c r="E3129" s="143"/>
      <c r="F3129" s="143"/>
      <c r="G3129" s="143"/>
      <c r="H3129" s="143"/>
      <c r="I3129" t="s">
        <v>919</v>
      </c>
    </row>
    <row r="3130" spans="1:9" hidden="1" outlineLevel="1">
      <c r="A3130" s="465" t="s">
        <v>920</v>
      </c>
      <c r="B3130" s="452">
        <v>476437261.56599998</v>
      </c>
      <c r="C3130" s="95">
        <f>+SUMIF('Anlage 2b_Korrekturen'!$B$647:$B$1026,A3130,'Anlage 2b_Korrekturen'!$D$647:$D$1026)</f>
        <v>0</v>
      </c>
      <c r="D3130" s="145">
        <f t="shared" si="106"/>
        <v>476437261.56599998</v>
      </c>
      <c r="E3130" s="143"/>
      <c r="F3130" s="143"/>
      <c r="G3130" s="143"/>
      <c r="H3130" s="143"/>
      <c r="I3130" t="s">
        <v>921</v>
      </c>
    </row>
    <row r="3131" spans="1:9" hidden="1" outlineLevel="1">
      <c r="A3131" s="465" t="s">
        <v>922</v>
      </c>
      <c r="B3131" s="452">
        <v>11505967</v>
      </c>
      <c r="C3131" s="95">
        <f>+SUMIF('Anlage 2b_Korrekturen'!$B$647:$B$1026,A3131,'Anlage 2b_Korrekturen'!$D$647:$D$1026)</f>
        <v>0</v>
      </c>
      <c r="D3131" s="145">
        <f t="shared" si="106"/>
        <v>11505967</v>
      </c>
      <c r="E3131" s="143"/>
      <c r="F3131" s="143"/>
      <c r="G3131" s="143"/>
      <c r="H3131" s="143"/>
      <c r="I3131" t="s">
        <v>923</v>
      </c>
    </row>
    <row r="3132" spans="1:9" hidden="1" outlineLevel="1">
      <c r="A3132" s="465" t="s">
        <v>924</v>
      </c>
      <c r="B3132" s="452">
        <v>2329263</v>
      </c>
      <c r="C3132" s="95">
        <f>+SUMIF('Anlage 2b_Korrekturen'!$B$647:$B$1026,A3132,'Anlage 2b_Korrekturen'!$D$647:$D$1026)</f>
        <v>0</v>
      </c>
      <c r="D3132" s="145">
        <f t="shared" si="106"/>
        <v>2329263</v>
      </c>
      <c r="E3132" s="143"/>
      <c r="F3132" s="143"/>
      <c r="G3132" s="143"/>
      <c r="H3132" s="143"/>
      <c r="I3132" t="s">
        <v>925</v>
      </c>
    </row>
    <row r="3133" spans="1:9" hidden="1" outlineLevel="1">
      <c r="A3133" s="465" t="s">
        <v>1867</v>
      </c>
      <c r="B3133" s="452">
        <v>6371795</v>
      </c>
      <c r="C3133" s="95">
        <f>+SUMIF('Anlage 2b_Korrekturen'!$B$647:$B$1026,A3133,'Anlage 2b_Korrekturen'!$D$647:$D$1026)</f>
        <v>0</v>
      </c>
      <c r="D3133" s="145">
        <f t="shared" si="106"/>
        <v>6371795</v>
      </c>
      <c r="E3133" s="143"/>
      <c r="F3133" s="143"/>
      <c r="G3133" s="143"/>
      <c r="H3133" s="143"/>
      <c r="I3133" t="s">
        <v>1868</v>
      </c>
    </row>
    <row r="3134" spans="1:9" hidden="1" outlineLevel="1">
      <c r="A3134" s="465" t="s">
        <v>926</v>
      </c>
      <c r="B3134" s="452">
        <v>231349937</v>
      </c>
      <c r="C3134" s="95">
        <f>+SUMIF('Anlage 2b_Korrekturen'!$B$647:$B$1026,A3134,'Anlage 2b_Korrekturen'!$D$647:$D$1026)</f>
        <v>-12991</v>
      </c>
      <c r="D3134" s="145">
        <f t="shared" si="106"/>
        <v>231336946</v>
      </c>
      <c r="E3134" s="143"/>
      <c r="F3134" s="143"/>
      <c r="G3134" s="143"/>
      <c r="H3134" s="143"/>
      <c r="I3134" t="s">
        <v>927</v>
      </c>
    </row>
    <row r="3135" spans="1:9" hidden="1" outlineLevel="1">
      <c r="A3135" s="465" t="s">
        <v>928</v>
      </c>
      <c r="B3135" s="452">
        <v>101840663.62</v>
      </c>
      <c r="C3135" s="95">
        <f>+SUMIF('Anlage 2b_Korrekturen'!$B$647:$B$1026,A3135,'Anlage 2b_Korrekturen'!$D$647:$D$1026)</f>
        <v>0</v>
      </c>
      <c r="D3135" s="145">
        <f t="shared" si="106"/>
        <v>101840663.62</v>
      </c>
      <c r="E3135" s="143"/>
      <c r="F3135" s="143"/>
      <c r="G3135" s="143"/>
      <c r="H3135" s="143"/>
      <c r="I3135" t="s">
        <v>929</v>
      </c>
    </row>
    <row r="3136" spans="1:9" hidden="1" outlineLevel="1">
      <c r="A3136" s="465" t="s">
        <v>930</v>
      </c>
      <c r="B3136" s="452">
        <v>202998838</v>
      </c>
      <c r="C3136" s="95">
        <f>+SUMIF('Anlage 2b_Korrekturen'!$B$647:$B$1026,A3136,'Anlage 2b_Korrekturen'!$D$647:$D$1026)</f>
        <v>0</v>
      </c>
      <c r="D3136" s="145">
        <f t="shared" si="106"/>
        <v>202998838</v>
      </c>
      <c r="E3136" s="143"/>
      <c r="F3136" s="143"/>
      <c r="G3136" s="143"/>
      <c r="H3136" s="143"/>
      <c r="I3136" t="s">
        <v>931</v>
      </c>
    </row>
    <row r="3137" spans="1:9" hidden="1" outlineLevel="1">
      <c r="A3137" s="465" t="s">
        <v>932</v>
      </c>
      <c r="B3137" s="452">
        <v>21545915</v>
      </c>
      <c r="C3137" s="95">
        <f>+SUMIF('Anlage 2b_Korrekturen'!$B$647:$B$1026,A3137,'Anlage 2b_Korrekturen'!$D$647:$D$1026)</f>
        <v>-170123</v>
      </c>
      <c r="D3137" s="145">
        <f t="shared" si="106"/>
        <v>21375792</v>
      </c>
      <c r="E3137" s="143"/>
      <c r="F3137" s="143"/>
      <c r="G3137" s="143"/>
      <c r="H3137" s="143"/>
      <c r="I3137" t="s">
        <v>933</v>
      </c>
    </row>
    <row r="3138" spans="1:9" hidden="1" outlineLevel="1">
      <c r="A3138" s="465" t="s">
        <v>934</v>
      </c>
      <c r="B3138" s="452">
        <v>1671231616</v>
      </c>
      <c r="C3138" s="95">
        <f>+SUMIF('Anlage 2b_Korrekturen'!$B$647:$B$1026,A3138,'Anlage 2b_Korrekturen'!$D$647:$D$1026)</f>
        <v>0</v>
      </c>
      <c r="D3138" s="145">
        <f t="shared" si="106"/>
        <v>1671231616</v>
      </c>
      <c r="E3138" s="143"/>
      <c r="F3138" s="143"/>
      <c r="G3138" s="143"/>
      <c r="H3138" s="143"/>
      <c r="I3138" t="s">
        <v>935</v>
      </c>
    </row>
    <row r="3139" spans="1:9" hidden="1" outlineLevel="1">
      <c r="A3139" s="465" t="s">
        <v>936</v>
      </c>
      <c r="B3139" s="452">
        <v>572033765.72000003</v>
      </c>
      <c r="C3139" s="95">
        <f>+SUMIF('Anlage 2b_Korrekturen'!$B$647:$B$1026,A3139,'Anlage 2b_Korrekturen'!$D$647:$D$1026)</f>
        <v>0</v>
      </c>
      <c r="D3139" s="145">
        <f t="shared" si="106"/>
        <v>572033765.72000003</v>
      </c>
      <c r="E3139" s="143"/>
      <c r="F3139" s="143"/>
      <c r="G3139" s="143"/>
      <c r="H3139" s="143"/>
      <c r="I3139" t="s">
        <v>937</v>
      </c>
    </row>
    <row r="3140" spans="1:9" hidden="1" outlineLevel="1">
      <c r="A3140" s="465" t="s">
        <v>938</v>
      </c>
      <c r="B3140" s="452">
        <v>32868674</v>
      </c>
      <c r="C3140" s="95">
        <f>+SUMIF('Anlage 2b_Korrekturen'!$B$647:$B$1026,A3140,'Anlage 2b_Korrekturen'!$D$647:$D$1026)</f>
        <v>-4900</v>
      </c>
      <c r="D3140" s="145">
        <f t="shared" si="106"/>
        <v>32863774</v>
      </c>
      <c r="E3140" s="143"/>
      <c r="F3140" s="143"/>
      <c r="G3140" s="143"/>
      <c r="H3140" s="143"/>
      <c r="I3140" t="s">
        <v>939</v>
      </c>
    </row>
    <row r="3141" spans="1:9" hidden="1" outlineLevel="1">
      <c r="A3141" s="465" t="s">
        <v>940</v>
      </c>
      <c r="B3141" s="452">
        <v>47253350</v>
      </c>
      <c r="C3141" s="95">
        <f>+SUMIF('Anlage 2b_Korrekturen'!$B$647:$B$1026,A3141,'Anlage 2b_Korrekturen'!$D$647:$D$1026)</f>
        <v>0</v>
      </c>
      <c r="D3141" s="145">
        <f t="shared" si="106"/>
        <v>47253350</v>
      </c>
      <c r="E3141" s="143"/>
      <c r="F3141" s="143"/>
      <c r="G3141" s="143"/>
      <c r="H3141" s="143"/>
      <c r="I3141" t="s">
        <v>941</v>
      </c>
    </row>
    <row r="3142" spans="1:9" hidden="1" outlineLevel="1">
      <c r="A3142" s="465" t="s">
        <v>942</v>
      </c>
      <c r="B3142" s="452">
        <v>16079968</v>
      </c>
      <c r="C3142" s="95">
        <f>+SUMIF('Anlage 2b_Korrekturen'!$B$647:$B$1026,A3142,'Anlage 2b_Korrekturen'!$D$647:$D$1026)</f>
        <v>0</v>
      </c>
      <c r="D3142" s="145">
        <f t="shared" si="106"/>
        <v>16079968</v>
      </c>
      <c r="E3142" s="143"/>
      <c r="F3142" s="143"/>
      <c r="G3142" s="143"/>
      <c r="H3142" s="143"/>
      <c r="I3142" t="s">
        <v>943</v>
      </c>
    </row>
    <row r="3143" spans="1:9" hidden="1" outlineLevel="1">
      <c r="A3143" s="465" t="s">
        <v>210</v>
      </c>
      <c r="B3143" s="452">
        <v>279175062</v>
      </c>
      <c r="C3143" s="95">
        <f>+SUMIF('Anlage 2b_Korrekturen'!$B$647:$B$1026,A3143,'Anlage 2b_Korrekturen'!$D$647:$D$1026)</f>
        <v>0</v>
      </c>
      <c r="D3143" s="145">
        <f t="shared" si="106"/>
        <v>279175062</v>
      </c>
      <c r="E3143" s="143"/>
      <c r="F3143" s="143"/>
      <c r="G3143" s="143"/>
      <c r="H3143" s="143"/>
      <c r="I3143" t="s">
        <v>211</v>
      </c>
    </row>
    <row r="3144" spans="1:9" hidden="1" outlineLevel="1">
      <c r="A3144" s="465" t="s">
        <v>944</v>
      </c>
      <c r="B3144" s="452">
        <v>119592378</v>
      </c>
      <c r="C3144" s="95">
        <f>+SUMIF('Anlage 2b_Korrekturen'!$B$647:$B$1026,A3144,'Anlage 2b_Korrekturen'!$D$647:$D$1026)</f>
        <v>308017</v>
      </c>
      <c r="D3144" s="145">
        <f t="shared" si="106"/>
        <v>119900395</v>
      </c>
      <c r="E3144" s="143"/>
      <c r="F3144" s="143"/>
      <c r="G3144" s="143"/>
      <c r="H3144" s="143"/>
      <c r="I3144" t="s">
        <v>945</v>
      </c>
    </row>
    <row r="3145" spans="1:9" hidden="1" outlineLevel="1">
      <c r="A3145" s="465" t="s">
        <v>946</v>
      </c>
      <c r="B3145" s="452">
        <v>31804412</v>
      </c>
      <c r="C3145" s="95">
        <f>+SUMIF('Anlage 2b_Korrekturen'!$B$647:$B$1026,A3145,'Anlage 2b_Korrekturen'!$D$647:$D$1026)</f>
        <v>0</v>
      </c>
      <c r="D3145" s="145">
        <f t="shared" si="106"/>
        <v>31804412</v>
      </c>
      <c r="E3145" s="143"/>
      <c r="F3145" s="143"/>
      <c r="G3145" s="143"/>
      <c r="H3145" s="143"/>
      <c r="I3145" t="s">
        <v>947</v>
      </c>
    </row>
    <row r="3146" spans="1:9" hidden="1" outlineLevel="1">
      <c r="A3146" s="465" t="s">
        <v>948</v>
      </c>
      <c r="B3146" s="452">
        <v>11399063</v>
      </c>
      <c r="C3146" s="95">
        <f>+SUMIF('Anlage 2b_Korrekturen'!$B$647:$B$1026,A3146,'Anlage 2b_Korrekturen'!$D$647:$D$1026)</f>
        <v>0</v>
      </c>
      <c r="D3146" s="145">
        <f t="shared" si="106"/>
        <v>11399063</v>
      </c>
      <c r="E3146" s="143"/>
      <c r="F3146" s="143"/>
      <c r="G3146" s="143"/>
      <c r="H3146" s="143"/>
      <c r="I3146" t="s">
        <v>949</v>
      </c>
    </row>
    <row r="3147" spans="1:9" hidden="1" outlineLevel="1">
      <c r="A3147" s="465" t="s">
        <v>950</v>
      </c>
      <c r="B3147" s="452">
        <v>23409292</v>
      </c>
      <c r="C3147" s="95">
        <f>+SUMIF('Anlage 2b_Korrekturen'!$B$647:$B$1026,A3147,'Anlage 2b_Korrekturen'!$D$647:$D$1026)</f>
        <v>0</v>
      </c>
      <c r="D3147" s="145">
        <f t="shared" si="106"/>
        <v>23409292</v>
      </c>
      <c r="E3147" s="143"/>
      <c r="F3147" s="143"/>
      <c r="G3147" s="143"/>
      <c r="H3147" s="143"/>
      <c r="I3147" t="s">
        <v>951</v>
      </c>
    </row>
    <row r="3148" spans="1:9" hidden="1" outlineLevel="1">
      <c r="A3148" s="465" t="s">
        <v>952</v>
      </c>
      <c r="B3148" s="452">
        <v>63836297</v>
      </c>
      <c r="C3148" s="95">
        <f>+SUMIF('Anlage 2b_Korrekturen'!$B$647:$B$1026,A3148,'Anlage 2b_Korrekturen'!$D$647:$D$1026)</f>
        <v>0</v>
      </c>
      <c r="D3148" s="145">
        <f t="shared" si="106"/>
        <v>63836297</v>
      </c>
      <c r="E3148" s="143"/>
      <c r="F3148" s="143"/>
      <c r="G3148" s="143"/>
      <c r="H3148" s="143"/>
      <c r="I3148" t="s">
        <v>953</v>
      </c>
    </row>
    <row r="3149" spans="1:9" hidden="1" outlineLevel="1">
      <c r="A3149" s="465" t="s">
        <v>954</v>
      </c>
      <c r="B3149" s="452">
        <v>144489730</v>
      </c>
      <c r="C3149" s="95">
        <f>+SUMIF('Anlage 2b_Korrekturen'!$B$647:$B$1026,A3149,'Anlage 2b_Korrekturen'!$D$647:$D$1026)</f>
        <v>0</v>
      </c>
      <c r="D3149" s="145">
        <f t="shared" si="106"/>
        <v>144489730</v>
      </c>
      <c r="E3149" s="143"/>
      <c r="F3149" s="143"/>
      <c r="G3149" s="143"/>
      <c r="H3149" s="143"/>
      <c r="I3149" t="s">
        <v>955</v>
      </c>
    </row>
    <row r="3150" spans="1:9" hidden="1" outlineLevel="1">
      <c r="A3150" s="465" t="s">
        <v>956</v>
      </c>
      <c r="B3150" s="452">
        <v>35775745</v>
      </c>
      <c r="C3150" s="95">
        <f>+SUMIF('Anlage 2b_Korrekturen'!$B$647:$B$1026,A3150,'Anlage 2b_Korrekturen'!$D$647:$D$1026)</f>
        <v>0</v>
      </c>
      <c r="D3150" s="145">
        <f t="shared" si="106"/>
        <v>35775745</v>
      </c>
      <c r="E3150" s="143"/>
      <c r="F3150" s="143"/>
      <c r="G3150" s="143"/>
      <c r="H3150" s="143"/>
      <c r="I3150" t="s">
        <v>957</v>
      </c>
    </row>
    <row r="3151" spans="1:9" hidden="1" outlineLevel="1">
      <c r="A3151" s="465" t="s">
        <v>958</v>
      </c>
      <c r="B3151" s="452">
        <v>101636138</v>
      </c>
      <c r="C3151" s="95">
        <f>+SUMIF('Anlage 2b_Korrekturen'!$B$647:$B$1026,A3151,'Anlage 2b_Korrekturen'!$D$647:$D$1026)</f>
        <v>-191125</v>
      </c>
      <c r="D3151" s="145">
        <f t="shared" si="106"/>
        <v>101445013</v>
      </c>
      <c r="E3151" s="143"/>
      <c r="F3151" s="143"/>
      <c r="G3151" s="143"/>
      <c r="H3151" s="143"/>
      <c r="I3151" t="s">
        <v>959</v>
      </c>
    </row>
    <row r="3152" spans="1:9" hidden="1" outlineLevel="1">
      <c r="A3152" s="465" t="s">
        <v>960</v>
      </c>
      <c r="B3152" s="452">
        <v>108908044</v>
      </c>
      <c r="C3152" s="95">
        <f>+SUMIF('Anlage 2b_Korrekturen'!$B$647:$B$1026,A3152,'Anlage 2b_Korrekturen'!$D$647:$D$1026)</f>
        <v>0</v>
      </c>
      <c r="D3152" s="145">
        <f t="shared" si="106"/>
        <v>108908044</v>
      </c>
      <c r="E3152" s="143"/>
      <c r="F3152" s="143"/>
      <c r="G3152" s="143"/>
      <c r="H3152" s="143"/>
      <c r="I3152" t="s">
        <v>961</v>
      </c>
    </row>
    <row r="3153" spans="1:9" hidden="1" outlineLevel="1">
      <c r="A3153" s="465" t="s">
        <v>962</v>
      </c>
      <c r="B3153" s="452">
        <v>135469900</v>
      </c>
      <c r="C3153" s="95">
        <f>+SUMIF('Anlage 2b_Korrekturen'!$B$647:$B$1026,A3153,'Anlage 2b_Korrekturen'!$D$647:$D$1026)</f>
        <v>1092446</v>
      </c>
      <c r="D3153" s="145">
        <f t="shared" si="106"/>
        <v>136562346</v>
      </c>
      <c r="E3153" s="143"/>
      <c r="F3153" s="143"/>
      <c r="G3153" s="143"/>
      <c r="H3153" s="143"/>
      <c r="I3153" t="s">
        <v>963</v>
      </c>
    </row>
    <row r="3154" spans="1:9" hidden="1" outlineLevel="1">
      <c r="A3154" s="465" t="s">
        <v>1869</v>
      </c>
      <c r="B3154" s="452">
        <v>4729184.4400000004</v>
      </c>
      <c r="C3154" s="95">
        <f>+SUMIF('Anlage 2b_Korrekturen'!$B$647:$B$1026,A3154,'Anlage 2b_Korrekturen'!$D$647:$D$1026)</f>
        <v>0</v>
      </c>
      <c r="D3154" s="145">
        <f t="shared" si="106"/>
        <v>4729184.4400000004</v>
      </c>
      <c r="E3154" s="143"/>
      <c r="F3154" s="143"/>
      <c r="G3154" s="143"/>
      <c r="H3154" s="143"/>
      <c r="I3154" t="s">
        <v>2108</v>
      </c>
    </row>
    <row r="3155" spans="1:9" hidden="1" outlineLevel="1">
      <c r="A3155" s="465" t="s">
        <v>964</v>
      </c>
      <c r="B3155" s="452">
        <v>266452097</v>
      </c>
      <c r="C3155" s="95">
        <f>+SUMIF('Anlage 2b_Korrekturen'!$B$647:$B$1026,A3155,'Anlage 2b_Korrekturen'!$D$647:$D$1026)</f>
        <v>0</v>
      </c>
      <c r="D3155" s="145">
        <f t="shared" si="106"/>
        <v>266452097</v>
      </c>
      <c r="E3155" s="143"/>
      <c r="F3155" s="143"/>
      <c r="G3155" s="143"/>
      <c r="H3155" s="143"/>
      <c r="I3155" t="s">
        <v>965</v>
      </c>
    </row>
    <row r="3156" spans="1:9" hidden="1" outlineLevel="1">
      <c r="A3156" s="465" t="s">
        <v>1871</v>
      </c>
      <c r="B3156" s="452">
        <v>0</v>
      </c>
      <c r="C3156" s="95">
        <f>+SUMIF('Anlage 2b_Korrekturen'!$B$647:$B$1026,A3156,'Anlage 2b_Korrekturen'!$D$647:$D$1026)</f>
        <v>0</v>
      </c>
      <c r="D3156" s="145">
        <f t="shared" si="106"/>
        <v>0</v>
      </c>
      <c r="E3156" s="143"/>
      <c r="F3156" s="143"/>
      <c r="G3156" s="143"/>
      <c r="H3156" s="143"/>
      <c r="I3156" t="s">
        <v>1872</v>
      </c>
    </row>
    <row r="3157" spans="1:9" hidden="1" outlineLevel="1">
      <c r="A3157" s="465" t="s">
        <v>966</v>
      </c>
      <c r="B3157" s="452">
        <v>16081355</v>
      </c>
      <c r="C3157" s="95">
        <f>+SUMIF('Anlage 2b_Korrekturen'!$B$647:$B$1026,A3157,'Anlage 2b_Korrekturen'!$D$647:$D$1026)</f>
        <v>-46406</v>
      </c>
      <c r="D3157" s="145">
        <f t="shared" ref="D3157:D3220" si="107">B3157+C3157</f>
        <v>16034949</v>
      </c>
      <c r="E3157" s="143"/>
      <c r="F3157" s="143"/>
      <c r="G3157" s="143"/>
      <c r="H3157" s="143"/>
      <c r="I3157" t="s">
        <v>967</v>
      </c>
    </row>
    <row r="3158" spans="1:9" hidden="1" outlineLevel="1">
      <c r="A3158" s="465" t="s">
        <v>968</v>
      </c>
      <c r="B3158" s="452">
        <v>45418359</v>
      </c>
      <c r="C3158" s="95">
        <f>+SUMIF('Anlage 2b_Korrekturen'!$B$647:$B$1026,A3158,'Anlage 2b_Korrekturen'!$D$647:$D$1026)</f>
        <v>0</v>
      </c>
      <c r="D3158" s="145">
        <f t="shared" si="107"/>
        <v>45418359</v>
      </c>
      <c r="E3158" s="143"/>
      <c r="F3158" s="143"/>
      <c r="G3158" s="143"/>
      <c r="H3158" s="143"/>
      <c r="I3158" t="s">
        <v>969</v>
      </c>
    </row>
    <row r="3159" spans="1:9" hidden="1" outlineLevel="1">
      <c r="A3159" s="465" t="s">
        <v>1873</v>
      </c>
      <c r="B3159" s="452">
        <v>6331095</v>
      </c>
      <c r="C3159" s="95">
        <f>+SUMIF('Anlage 2b_Korrekturen'!$B$647:$B$1026,A3159,'Anlage 2b_Korrekturen'!$D$647:$D$1026)</f>
        <v>0</v>
      </c>
      <c r="D3159" s="145">
        <f t="shared" si="107"/>
        <v>6331095</v>
      </c>
      <c r="E3159" s="143"/>
      <c r="F3159" s="143"/>
      <c r="G3159" s="143"/>
      <c r="H3159" s="143"/>
      <c r="I3159" t="s">
        <v>1874</v>
      </c>
    </row>
    <row r="3160" spans="1:9" hidden="1" outlineLevel="1">
      <c r="A3160" s="465" t="s">
        <v>970</v>
      </c>
      <c r="B3160" s="452">
        <v>26278002</v>
      </c>
      <c r="C3160" s="95">
        <f>+SUMIF('Anlage 2b_Korrekturen'!$B$647:$B$1026,A3160,'Anlage 2b_Korrekturen'!$D$647:$D$1026)</f>
        <v>0</v>
      </c>
      <c r="D3160" s="145">
        <f t="shared" si="107"/>
        <v>26278002</v>
      </c>
      <c r="E3160" s="143"/>
      <c r="F3160" s="143"/>
      <c r="G3160" s="143"/>
      <c r="H3160" s="143"/>
      <c r="I3160" t="s">
        <v>971</v>
      </c>
    </row>
    <row r="3161" spans="1:9" hidden="1" outlineLevel="1">
      <c r="A3161" s="465" t="s">
        <v>972</v>
      </c>
      <c r="B3161" s="452">
        <v>500903315</v>
      </c>
      <c r="C3161" s="95">
        <f>+SUMIF('Anlage 2b_Korrekturen'!$B$647:$B$1026,A3161,'Anlage 2b_Korrekturen'!$D$647:$D$1026)</f>
        <v>0</v>
      </c>
      <c r="D3161" s="145">
        <f t="shared" si="107"/>
        <v>500903315</v>
      </c>
      <c r="E3161" s="143"/>
      <c r="F3161" s="143"/>
      <c r="G3161" s="143"/>
      <c r="H3161" s="143"/>
      <c r="I3161" t="s">
        <v>973</v>
      </c>
    </row>
    <row r="3162" spans="1:9" hidden="1" outlineLevel="1">
      <c r="A3162" s="465" t="s">
        <v>974</v>
      </c>
      <c r="B3162" s="452">
        <v>932424543</v>
      </c>
      <c r="C3162" s="95">
        <f>+SUMIF('Anlage 2b_Korrekturen'!$B$647:$B$1026,A3162,'Anlage 2b_Korrekturen'!$D$647:$D$1026)</f>
        <v>0</v>
      </c>
      <c r="D3162" s="145">
        <f t="shared" si="107"/>
        <v>932424543</v>
      </c>
      <c r="E3162" s="143"/>
      <c r="F3162" s="143"/>
      <c r="G3162" s="143"/>
      <c r="H3162" s="143"/>
      <c r="I3162" t="s">
        <v>975</v>
      </c>
    </row>
    <row r="3163" spans="1:9" hidden="1" outlineLevel="1">
      <c r="A3163" s="465" t="s">
        <v>976</v>
      </c>
      <c r="B3163" s="452">
        <v>112903408.16</v>
      </c>
      <c r="C3163" s="95">
        <f>+SUMIF('Anlage 2b_Korrekturen'!$B$647:$B$1026,A3163,'Anlage 2b_Korrekturen'!$D$647:$D$1026)</f>
        <v>1442180.7999999998</v>
      </c>
      <c r="D3163" s="145">
        <f t="shared" si="107"/>
        <v>114345588.95999999</v>
      </c>
      <c r="E3163" s="143"/>
      <c r="F3163" s="143"/>
      <c r="G3163" s="143"/>
      <c r="H3163" s="143"/>
      <c r="I3163" t="s">
        <v>977</v>
      </c>
    </row>
    <row r="3164" spans="1:9" hidden="1" outlineLevel="1">
      <c r="A3164" s="465" t="s">
        <v>978</v>
      </c>
      <c r="B3164" s="452">
        <v>147910530</v>
      </c>
      <c r="C3164" s="95">
        <f>+SUMIF('Anlage 2b_Korrekturen'!$B$647:$B$1026,A3164,'Anlage 2b_Korrekturen'!$D$647:$D$1026)</f>
        <v>0</v>
      </c>
      <c r="D3164" s="145">
        <f t="shared" si="107"/>
        <v>147910530</v>
      </c>
      <c r="E3164" s="143"/>
      <c r="F3164" s="143"/>
      <c r="G3164" s="143"/>
      <c r="H3164" s="143"/>
      <c r="I3164" t="s">
        <v>2109</v>
      </c>
    </row>
    <row r="3165" spans="1:9" hidden="1" outlineLevel="1">
      <c r="A3165" s="465" t="s">
        <v>980</v>
      </c>
      <c r="B3165" s="452">
        <v>285269248</v>
      </c>
      <c r="C3165" s="95">
        <f>+SUMIF('Anlage 2b_Korrekturen'!$B$647:$B$1026,A3165,'Anlage 2b_Korrekturen'!$D$647:$D$1026)</f>
        <v>0</v>
      </c>
      <c r="D3165" s="145">
        <f t="shared" si="107"/>
        <v>285269248</v>
      </c>
      <c r="E3165" s="143"/>
      <c r="F3165" s="143"/>
      <c r="G3165" s="143"/>
      <c r="H3165" s="143"/>
      <c r="I3165" t="s">
        <v>981</v>
      </c>
    </row>
    <row r="3166" spans="1:9" hidden="1" outlineLevel="1">
      <c r="A3166" s="465" t="s">
        <v>982</v>
      </c>
      <c r="B3166" s="452">
        <v>22378068</v>
      </c>
      <c r="C3166" s="95">
        <f>+SUMIF('Anlage 2b_Korrekturen'!$B$647:$B$1026,A3166,'Anlage 2b_Korrekturen'!$D$647:$D$1026)</f>
        <v>-2631</v>
      </c>
      <c r="D3166" s="145">
        <f t="shared" si="107"/>
        <v>22375437</v>
      </c>
      <c r="E3166" s="143"/>
      <c r="F3166" s="143"/>
      <c r="G3166" s="143"/>
      <c r="H3166" s="143"/>
      <c r="I3166" t="s">
        <v>983</v>
      </c>
    </row>
    <row r="3167" spans="1:9" hidden="1" outlineLevel="1">
      <c r="A3167" s="465" t="s">
        <v>984</v>
      </c>
      <c r="B3167" s="452">
        <v>154933305</v>
      </c>
      <c r="C3167" s="95">
        <f>+SUMIF('Anlage 2b_Korrekturen'!$B$647:$B$1026,A3167,'Anlage 2b_Korrekturen'!$D$647:$D$1026)</f>
        <v>-4627981</v>
      </c>
      <c r="D3167" s="145">
        <f t="shared" si="107"/>
        <v>150305324</v>
      </c>
      <c r="E3167" s="143"/>
      <c r="F3167" s="143"/>
      <c r="G3167" s="143"/>
      <c r="H3167" s="143"/>
      <c r="I3167" t="s">
        <v>985</v>
      </c>
    </row>
    <row r="3168" spans="1:9" hidden="1" outlineLevel="1">
      <c r="A3168" s="465" t="s">
        <v>986</v>
      </c>
      <c r="B3168" s="452">
        <v>47342596</v>
      </c>
      <c r="C3168" s="95">
        <f>+SUMIF('Anlage 2b_Korrekturen'!$B$647:$B$1026,A3168,'Anlage 2b_Korrekturen'!$D$647:$D$1026)</f>
        <v>-7144</v>
      </c>
      <c r="D3168" s="145">
        <f t="shared" si="107"/>
        <v>47335452</v>
      </c>
      <c r="E3168" s="143"/>
      <c r="F3168" s="143"/>
      <c r="G3168" s="143"/>
      <c r="H3168" s="143"/>
      <c r="I3168" t="s">
        <v>987</v>
      </c>
    </row>
    <row r="3169" spans="1:9" hidden="1" outlineLevel="1">
      <c r="A3169" s="465" t="s">
        <v>988</v>
      </c>
      <c r="B3169" s="452">
        <v>169907058.39399999</v>
      </c>
      <c r="C3169" s="95">
        <f>+SUMIF('Anlage 2b_Korrekturen'!$B$647:$B$1026,A3169,'Anlage 2b_Korrekturen'!$D$647:$D$1026)</f>
        <v>0</v>
      </c>
      <c r="D3169" s="145">
        <f t="shared" si="107"/>
        <v>169907058.39399999</v>
      </c>
      <c r="E3169" s="143"/>
      <c r="F3169" s="143"/>
      <c r="G3169" s="143"/>
      <c r="H3169" s="143"/>
      <c r="I3169" t="s">
        <v>989</v>
      </c>
    </row>
    <row r="3170" spans="1:9" hidden="1" outlineLevel="1">
      <c r="A3170" s="465" t="s">
        <v>990</v>
      </c>
      <c r="B3170" s="452">
        <v>39147582</v>
      </c>
      <c r="C3170" s="95">
        <f>+SUMIF('Anlage 2b_Korrekturen'!$B$647:$B$1026,A3170,'Anlage 2b_Korrekturen'!$D$647:$D$1026)</f>
        <v>0</v>
      </c>
      <c r="D3170" s="145">
        <f t="shared" si="107"/>
        <v>39147582</v>
      </c>
      <c r="E3170" s="143"/>
      <c r="F3170" s="143"/>
      <c r="G3170" s="143"/>
      <c r="H3170" s="143"/>
      <c r="I3170" t="s">
        <v>991</v>
      </c>
    </row>
    <row r="3171" spans="1:9" hidden="1" outlineLevel="1">
      <c r="A3171" s="465" t="s">
        <v>992</v>
      </c>
      <c r="B3171" s="452">
        <v>61992142</v>
      </c>
      <c r="C3171" s="95">
        <f>+SUMIF('Anlage 2b_Korrekturen'!$B$647:$B$1026,A3171,'Anlage 2b_Korrekturen'!$D$647:$D$1026)</f>
        <v>0</v>
      </c>
      <c r="D3171" s="145">
        <f t="shared" si="107"/>
        <v>61992142</v>
      </c>
      <c r="E3171" s="143"/>
      <c r="F3171" s="143"/>
      <c r="G3171" s="143"/>
      <c r="H3171" s="143"/>
      <c r="I3171" t="s">
        <v>993</v>
      </c>
    </row>
    <row r="3172" spans="1:9" hidden="1" outlineLevel="1">
      <c r="A3172" s="465" t="s">
        <v>994</v>
      </c>
      <c r="B3172" s="452">
        <v>37796903</v>
      </c>
      <c r="C3172" s="95">
        <f>+SUMIF('Anlage 2b_Korrekturen'!$B$647:$B$1026,A3172,'Anlage 2b_Korrekturen'!$D$647:$D$1026)</f>
        <v>0</v>
      </c>
      <c r="D3172" s="145">
        <f t="shared" si="107"/>
        <v>37796903</v>
      </c>
      <c r="E3172" s="143"/>
      <c r="F3172" s="143"/>
      <c r="G3172" s="143"/>
      <c r="H3172" s="143"/>
      <c r="I3172" t="s">
        <v>995</v>
      </c>
    </row>
    <row r="3173" spans="1:9" hidden="1" outlineLevel="1">
      <c r="A3173" s="465" t="s">
        <v>996</v>
      </c>
      <c r="B3173" s="452">
        <v>15037161</v>
      </c>
      <c r="C3173" s="95">
        <f>+SUMIF('Anlage 2b_Korrekturen'!$B$647:$B$1026,A3173,'Anlage 2b_Korrekturen'!$D$647:$D$1026)</f>
        <v>0</v>
      </c>
      <c r="D3173" s="145">
        <f t="shared" si="107"/>
        <v>15037161</v>
      </c>
      <c r="E3173" s="143"/>
      <c r="F3173" s="143"/>
      <c r="G3173" s="143"/>
      <c r="H3173" s="143"/>
      <c r="I3173" t="s">
        <v>997</v>
      </c>
    </row>
    <row r="3174" spans="1:9" hidden="1" outlineLevel="1">
      <c r="A3174" s="465" t="s">
        <v>998</v>
      </c>
      <c r="B3174" s="452">
        <v>11588290</v>
      </c>
      <c r="C3174" s="95">
        <f>+SUMIF('Anlage 2b_Korrekturen'!$B$647:$B$1026,A3174,'Anlage 2b_Korrekturen'!$D$647:$D$1026)</f>
        <v>-21601</v>
      </c>
      <c r="D3174" s="145">
        <f t="shared" si="107"/>
        <v>11566689</v>
      </c>
      <c r="E3174" s="143"/>
      <c r="F3174" s="143"/>
      <c r="G3174" s="143"/>
      <c r="H3174" s="143"/>
      <c r="I3174" t="s">
        <v>999</v>
      </c>
    </row>
    <row r="3175" spans="1:9" hidden="1" outlineLevel="1">
      <c r="A3175" s="465" t="s">
        <v>1000</v>
      </c>
      <c r="B3175" s="452">
        <v>20519559</v>
      </c>
      <c r="C3175" s="95">
        <f>+SUMIF('Anlage 2b_Korrekturen'!$B$647:$B$1026,A3175,'Anlage 2b_Korrekturen'!$D$647:$D$1026)</f>
        <v>0</v>
      </c>
      <c r="D3175" s="145">
        <f t="shared" si="107"/>
        <v>20519559</v>
      </c>
      <c r="E3175" s="143"/>
      <c r="F3175" s="143"/>
      <c r="G3175" s="143"/>
      <c r="H3175" s="143"/>
      <c r="I3175" t="s">
        <v>1001</v>
      </c>
    </row>
    <row r="3176" spans="1:9" hidden="1" outlineLevel="1">
      <c r="A3176" s="465" t="s">
        <v>1002</v>
      </c>
      <c r="B3176" s="452">
        <v>94838521</v>
      </c>
      <c r="C3176" s="95">
        <f>+SUMIF('Anlage 2b_Korrekturen'!$B$647:$B$1026,A3176,'Anlage 2b_Korrekturen'!$D$647:$D$1026)</f>
        <v>268846</v>
      </c>
      <c r="D3176" s="145">
        <f t="shared" si="107"/>
        <v>95107367</v>
      </c>
      <c r="E3176" s="143"/>
      <c r="F3176" s="143"/>
      <c r="G3176" s="143"/>
      <c r="H3176" s="143"/>
      <c r="I3176" t="s">
        <v>1003</v>
      </c>
    </row>
    <row r="3177" spans="1:9" hidden="1" outlineLevel="1">
      <c r="A3177" s="465" t="s">
        <v>1004</v>
      </c>
      <c r="B3177" s="452">
        <v>44699871</v>
      </c>
      <c r="C3177" s="95">
        <f>+SUMIF('Anlage 2b_Korrekturen'!$B$647:$B$1026,A3177,'Anlage 2b_Korrekturen'!$D$647:$D$1026)</f>
        <v>0</v>
      </c>
      <c r="D3177" s="145">
        <f t="shared" si="107"/>
        <v>44699871</v>
      </c>
      <c r="E3177" s="143"/>
      <c r="F3177" s="143"/>
      <c r="G3177" s="143"/>
      <c r="H3177" s="143"/>
      <c r="I3177" t="s">
        <v>1005</v>
      </c>
    </row>
    <row r="3178" spans="1:9" hidden="1" outlineLevel="1">
      <c r="A3178" s="465" t="s">
        <v>1006</v>
      </c>
      <c r="B3178" s="452">
        <v>52804951</v>
      </c>
      <c r="C3178" s="95">
        <f>+SUMIF('Anlage 2b_Korrekturen'!$B$647:$B$1026,A3178,'Anlage 2b_Korrekturen'!$D$647:$D$1026)</f>
        <v>-7391</v>
      </c>
      <c r="D3178" s="145">
        <f t="shared" si="107"/>
        <v>52797560</v>
      </c>
      <c r="E3178" s="143"/>
      <c r="F3178" s="143"/>
      <c r="G3178" s="143"/>
      <c r="H3178" s="143"/>
      <c r="I3178" t="s">
        <v>1007</v>
      </c>
    </row>
    <row r="3179" spans="1:9" hidden="1" outlineLevel="1">
      <c r="A3179" s="465" t="s">
        <v>1008</v>
      </c>
      <c r="B3179" s="452">
        <v>14141114</v>
      </c>
      <c r="C3179" s="95">
        <f>+SUMIF('Anlage 2b_Korrekturen'!$B$647:$B$1026,A3179,'Anlage 2b_Korrekturen'!$D$647:$D$1026)</f>
        <v>-31760</v>
      </c>
      <c r="D3179" s="145">
        <f t="shared" si="107"/>
        <v>14109354</v>
      </c>
      <c r="E3179" s="143"/>
      <c r="F3179" s="143"/>
      <c r="G3179" s="143"/>
      <c r="H3179" s="143"/>
      <c r="I3179" t="s">
        <v>1009</v>
      </c>
    </row>
    <row r="3180" spans="1:9" hidden="1" outlineLevel="1">
      <c r="A3180" s="465" t="s">
        <v>1010</v>
      </c>
      <c r="B3180" s="452">
        <v>17304854</v>
      </c>
      <c r="C3180" s="95">
        <f>+SUMIF('Anlage 2b_Korrekturen'!$B$647:$B$1026,A3180,'Anlage 2b_Korrekturen'!$D$647:$D$1026)</f>
        <v>-47187</v>
      </c>
      <c r="D3180" s="145">
        <f t="shared" si="107"/>
        <v>17257667</v>
      </c>
      <c r="E3180" s="143"/>
      <c r="F3180" s="143"/>
      <c r="G3180" s="143"/>
      <c r="H3180" s="143"/>
      <c r="I3180" t="s">
        <v>1011</v>
      </c>
    </row>
    <row r="3181" spans="1:9" hidden="1" outlineLevel="1">
      <c r="A3181" s="465" t="s">
        <v>1012</v>
      </c>
      <c r="B3181" s="452">
        <v>5780753</v>
      </c>
      <c r="C3181" s="95">
        <f>+SUMIF('Anlage 2b_Korrekturen'!$B$647:$B$1026,A3181,'Anlage 2b_Korrekturen'!$D$647:$D$1026)</f>
        <v>0</v>
      </c>
      <c r="D3181" s="145">
        <f t="shared" si="107"/>
        <v>5780753</v>
      </c>
      <c r="E3181" s="143"/>
      <c r="F3181" s="143"/>
      <c r="G3181" s="143"/>
      <c r="H3181" s="143"/>
      <c r="I3181" t="s">
        <v>1013</v>
      </c>
    </row>
    <row r="3182" spans="1:9" hidden="1" outlineLevel="1">
      <c r="A3182" s="465" t="s">
        <v>1014</v>
      </c>
      <c r="B3182" s="452">
        <v>50824022</v>
      </c>
      <c r="C3182" s="95">
        <f>+SUMIF('Anlage 2b_Korrekturen'!$B$647:$B$1026,A3182,'Anlage 2b_Korrekturen'!$D$647:$D$1026)</f>
        <v>-359374</v>
      </c>
      <c r="D3182" s="145">
        <f t="shared" si="107"/>
        <v>50464648</v>
      </c>
      <c r="E3182" s="143"/>
      <c r="F3182" s="143"/>
      <c r="G3182" s="143"/>
      <c r="H3182" s="143"/>
      <c r="I3182" t="s">
        <v>1015</v>
      </c>
    </row>
    <row r="3183" spans="1:9" hidden="1" outlineLevel="1">
      <c r="A3183" s="465" t="s">
        <v>1016</v>
      </c>
      <c r="B3183" s="452">
        <v>7235631</v>
      </c>
      <c r="C3183" s="95">
        <f>+SUMIF('Anlage 2b_Korrekturen'!$B$647:$B$1026,A3183,'Anlage 2b_Korrekturen'!$D$647:$D$1026)</f>
        <v>0</v>
      </c>
      <c r="D3183" s="145">
        <f t="shared" si="107"/>
        <v>7235631</v>
      </c>
      <c r="E3183" s="143"/>
      <c r="F3183" s="143"/>
      <c r="G3183" s="143"/>
      <c r="H3183" s="143"/>
      <c r="I3183" t="s">
        <v>2110</v>
      </c>
    </row>
    <row r="3184" spans="1:9" hidden="1" outlineLevel="1">
      <c r="A3184" s="465" t="s">
        <v>1018</v>
      </c>
      <c r="B3184" s="452">
        <v>64912065</v>
      </c>
      <c r="C3184" s="95">
        <f>+SUMIF('Anlage 2b_Korrekturen'!$B$647:$B$1026,A3184,'Anlage 2b_Korrekturen'!$D$647:$D$1026)</f>
        <v>0</v>
      </c>
      <c r="D3184" s="145">
        <f t="shared" si="107"/>
        <v>64912065</v>
      </c>
      <c r="E3184" s="143"/>
      <c r="F3184" s="143"/>
      <c r="G3184" s="143"/>
      <c r="H3184" s="143"/>
      <c r="I3184" t="s">
        <v>1019</v>
      </c>
    </row>
    <row r="3185" spans="1:9" hidden="1" outlineLevel="1">
      <c r="A3185" s="465" t="s">
        <v>1020</v>
      </c>
      <c r="B3185" s="452">
        <v>87066241</v>
      </c>
      <c r="C3185" s="95">
        <f>+SUMIF('Anlage 2b_Korrekturen'!$B$647:$B$1026,A3185,'Anlage 2b_Korrekturen'!$D$647:$D$1026)</f>
        <v>0</v>
      </c>
      <c r="D3185" s="145">
        <f t="shared" si="107"/>
        <v>87066241</v>
      </c>
      <c r="E3185" s="143"/>
      <c r="F3185" s="143"/>
      <c r="G3185" s="143"/>
      <c r="H3185" s="143"/>
      <c r="I3185" t="s">
        <v>1021</v>
      </c>
    </row>
    <row r="3186" spans="1:9" hidden="1" outlineLevel="1">
      <c r="A3186" s="465" t="s">
        <v>1022</v>
      </c>
      <c r="B3186" s="452">
        <v>239395114</v>
      </c>
      <c r="C3186" s="95">
        <f>+SUMIF('Anlage 2b_Korrekturen'!$B$647:$B$1026,A3186,'Anlage 2b_Korrekturen'!$D$647:$D$1026)</f>
        <v>-2242894</v>
      </c>
      <c r="D3186" s="145">
        <f t="shared" si="107"/>
        <v>237152220</v>
      </c>
      <c r="E3186" s="143"/>
      <c r="F3186" s="143"/>
      <c r="G3186" s="143"/>
      <c r="H3186" s="143"/>
      <c r="I3186" t="s">
        <v>1023</v>
      </c>
    </row>
    <row r="3187" spans="1:9" hidden="1" outlineLevel="1">
      <c r="A3187" s="465" t="s">
        <v>1024</v>
      </c>
      <c r="B3187" s="452">
        <v>796612810.56200004</v>
      </c>
      <c r="C3187" s="95">
        <f>+SUMIF('Anlage 2b_Korrekturen'!$B$647:$B$1026,A3187,'Anlage 2b_Korrekturen'!$D$647:$D$1026)</f>
        <v>-2287719.4170000004</v>
      </c>
      <c r="D3187" s="145">
        <f t="shared" si="107"/>
        <v>794325091.14499998</v>
      </c>
      <c r="E3187" s="143"/>
      <c r="F3187" s="143"/>
      <c r="G3187" s="143"/>
      <c r="H3187" s="143"/>
      <c r="I3187" t="s">
        <v>1025</v>
      </c>
    </row>
    <row r="3188" spans="1:9" hidden="1" outlineLevel="1">
      <c r="A3188" s="465" t="s">
        <v>1026</v>
      </c>
      <c r="B3188" s="452">
        <v>84013824.5</v>
      </c>
      <c r="C3188" s="95">
        <f>+SUMIF('Anlage 2b_Korrekturen'!$B$647:$B$1026,A3188,'Anlage 2b_Korrekturen'!$D$647:$D$1026)</f>
        <v>0</v>
      </c>
      <c r="D3188" s="145">
        <f t="shared" si="107"/>
        <v>84013824.5</v>
      </c>
      <c r="E3188" s="143"/>
      <c r="F3188" s="143"/>
      <c r="G3188" s="143"/>
      <c r="H3188" s="143"/>
      <c r="I3188" t="s">
        <v>1027</v>
      </c>
    </row>
    <row r="3189" spans="1:9" hidden="1" outlineLevel="1">
      <c r="A3189" s="465" t="s">
        <v>1028</v>
      </c>
      <c r="B3189" s="452">
        <v>17530858</v>
      </c>
      <c r="C3189" s="95">
        <f>+SUMIF('Anlage 2b_Korrekturen'!$B$647:$B$1026,A3189,'Anlage 2b_Korrekturen'!$D$647:$D$1026)</f>
        <v>0</v>
      </c>
      <c r="D3189" s="145">
        <f t="shared" si="107"/>
        <v>17530858</v>
      </c>
      <c r="E3189" s="143"/>
      <c r="F3189" s="143"/>
      <c r="G3189" s="143"/>
      <c r="H3189" s="143"/>
      <c r="I3189" t="s">
        <v>1029</v>
      </c>
    </row>
    <row r="3190" spans="1:9" hidden="1" outlineLevel="1">
      <c r="A3190" s="465" t="s">
        <v>1030</v>
      </c>
      <c r="B3190" s="452">
        <v>603267066</v>
      </c>
      <c r="C3190" s="95">
        <f>+SUMIF('Anlage 2b_Korrekturen'!$B$647:$B$1026,A3190,'Anlage 2b_Korrekturen'!$D$647:$D$1026)</f>
        <v>0</v>
      </c>
      <c r="D3190" s="145">
        <f t="shared" si="107"/>
        <v>603267066</v>
      </c>
      <c r="E3190" s="143"/>
      <c r="F3190" s="143"/>
      <c r="G3190" s="143"/>
      <c r="H3190" s="143"/>
      <c r="I3190" t="s">
        <v>2111</v>
      </c>
    </row>
    <row r="3191" spans="1:9" hidden="1" outlineLevel="1">
      <c r="A3191" s="465" t="s">
        <v>1032</v>
      </c>
      <c r="B3191" s="452">
        <v>10103927</v>
      </c>
      <c r="C3191" s="95">
        <f>+SUMIF('Anlage 2b_Korrekturen'!$B$647:$B$1026,A3191,'Anlage 2b_Korrekturen'!$D$647:$D$1026)</f>
        <v>0</v>
      </c>
      <c r="D3191" s="145">
        <f t="shared" si="107"/>
        <v>10103927</v>
      </c>
      <c r="E3191" s="143"/>
      <c r="F3191" s="143"/>
      <c r="G3191" s="143"/>
      <c r="H3191" s="143"/>
      <c r="I3191" t="s">
        <v>1033</v>
      </c>
    </row>
    <row r="3192" spans="1:9" hidden="1" outlineLevel="1">
      <c r="A3192" s="465" t="s">
        <v>1034</v>
      </c>
      <c r="B3192" s="452">
        <v>7783080</v>
      </c>
      <c r="C3192" s="95">
        <f>+SUMIF('Anlage 2b_Korrekturen'!$B$647:$B$1026,A3192,'Anlage 2b_Korrekturen'!$D$647:$D$1026)</f>
        <v>0</v>
      </c>
      <c r="D3192" s="145">
        <f t="shared" si="107"/>
        <v>7783080</v>
      </c>
      <c r="E3192" s="143"/>
      <c r="F3192" s="143"/>
      <c r="G3192" s="143"/>
      <c r="H3192" s="143"/>
      <c r="I3192" t="s">
        <v>2112</v>
      </c>
    </row>
    <row r="3193" spans="1:9" hidden="1" outlineLevel="1">
      <c r="A3193" s="465" t="s">
        <v>1036</v>
      </c>
      <c r="B3193" s="452">
        <v>90502060</v>
      </c>
      <c r="C3193" s="95">
        <f>+SUMIF('Anlage 2b_Korrekturen'!$B$647:$B$1026,A3193,'Anlage 2b_Korrekturen'!$D$647:$D$1026)</f>
        <v>0</v>
      </c>
      <c r="D3193" s="145">
        <f t="shared" si="107"/>
        <v>90502060</v>
      </c>
      <c r="E3193" s="143"/>
      <c r="F3193" s="143"/>
      <c r="G3193" s="143"/>
      <c r="H3193" s="143"/>
      <c r="I3193" t="s">
        <v>1037</v>
      </c>
    </row>
    <row r="3194" spans="1:9" hidden="1" outlineLevel="1">
      <c r="A3194" s="465" t="s">
        <v>1038</v>
      </c>
      <c r="B3194" s="452">
        <v>21865807</v>
      </c>
      <c r="C3194" s="95">
        <f>+SUMIF('Anlage 2b_Korrekturen'!$B$647:$B$1026,A3194,'Anlage 2b_Korrekturen'!$D$647:$D$1026)</f>
        <v>0</v>
      </c>
      <c r="D3194" s="145">
        <f t="shared" si="107"/>
        <v>21865807</v>
      </c>
      <c r="E3194" s="143"/>
      <c r="F3194" s="143"/>
      <c r="G3194" s="143"/>
      <c r="H3194" s="143"/>
      <c r="I3194" t="s">
        <v>1039</v>
      </c>
    </row>
    <row r="3195" spans="1:9" hidden="1" outlineLevel="1">
      <c r="A3195" s="465" t="s">
        <v>1040</v>
      </c>
      <c r="B3195" s="452">
        <v>34015679</v>
      </c>
      <c r="C3195" s="95">
        <f>+SUMIF('Anlage 2b_Korrekturen'!$B$647:$B$1026,A3195,'Anlage 2b_Korrekturen'!$D$647:$D$1026)</f>
        <v>0</v>
      </c>
      <c r="D3195" s="145">
        <f t="shared" si="107"/>
        <v>34015679</v>
      </c>
      <c r="E3195" s="143"/>
      <c r="F3195" s="143"/>
      <c r="G3195" s="143"/>
      <c r="H3195" s="143"/>
      <c r="I3195" t="s">
        <v>1041</v>
      </c>
    </row>
    <row r="3196" spans="1:9" hidden="1" outlineLevel="1">
      <c r="A3196" s="465" t="s">
        <v>1042</v>
      </c>
      <c r="B3196" s="452">
        <v>25380262</v>
      </c>
      <c r="C3196" s="95">
        <f>+SUMIF('Anlage 2b_Korrekturen'!$B$647:$B$1026,A3196,'Anlage 2b_Korrekturen'!$D$647:$D$1026)</f>
        <v>0</v>
      </c>
      <c r="D3196" s="145">
        <f t="shared" si="107"/>
        <v>25380262</v>
      </c>
      <c r="E3196" s="143"/>
      <c r="F3196" s="143"/>
      <c r="G3196" s="143"/>
      <c r="H3196" s="143"/>
      <c r="I3196" t="s">
        <v>1043</v>
      </c>
    </row>
    <row r="3197" spans="1:9" hidden="1" outlineLevel="1">
      <c r="A3197" s="465" t="s">
        <v>1044</v>
      </c>
      <c r="B3197" s="452">
        <v>43373293</v>
      </c>
      <c r="C3197" s="95">
        <f>+SUMIF('Anlage 2b_Korrekturen'!$B$647:$B$1026,A3197,'Anlage 2b_Korrekturen'!$D$647:$D$1026)</f>
        <v>0</v>
      </c>
      <c r="D3197" s="145">
        <f t="shared" si="107"/>
        <v>43373293</v>
      </c>
      <c r="E3197" s="143"/>
      <c r="F3197" s="143"/>
      <c r="G3197" s="143"/>
      <c r="H3197" s="143"/>
      <c r="I3197" t="s">
        <v>1045</v>
      </c>
    </row>
    <row r="3198" spans="1:9" hidden="1" outlineLevel="1">
      <c r="A3198" s="465" t="s">
        <v>1046</v>
      </c>
      <c r="B3198" s="452">
        <v>25148257</v>
      </c>
      <c r="C3198" s="95">
        <f>+SUMIF('Anlage 2b_Korrekturen'!$B$647:$B$1026,A3198,'Anlage 2b_Korrekturen'!$D$647:$D$1026)</f>
        <v>961321</v>
      </c>
      <c r="D3198" s="145">
        <f t="shared" si="107"/>
        <v>26109578</v>
      </c>
      <c r="E3198" s="143"/>
      <c r="F3198" s="143"/>
      <c r="G3198" s="143"/>
      <c r="H3198" s="143"/>
      <c r="I3198" t="s">
        <v>2034</v>
      </c>
    </row>
    <row r="3199" spans="1:9" hidden="1" outlineLevel="1">
      <c r="A3199" s="465" t="s">
        <v>1048</v>
      </c>
      <c r="B3199" s="452">
        <v>39851478</v>
      </c>
      <c r="C3199" s="95">
        <f>+SUMIF('Anlage 2b_Korrekturen'!$B$647:$B$1026,A3199,'Anlage 2b_Korrekturen'!$D$647:$D$1026)</f>
        <v>0</v>
      </c>
      <c r="D3199" s="145">
        <f t="shared" si="107"/>
        <v>39851478</v>
      </c>
      <c r="E3199" s="143"/>
      <c r="F3199" s="143"/>
      <c r="G3199" s="143"/>
      <c r="H3199" s="143"/>
      <c r="I3199" t="s">
        <v>1049</v>
      </c>
    </row>
    <row r="3200" spans="1:9" hidden="1" outlineLevel="1">
      <c r="A3200" s="465" t="s">
        <v>1050</v>
      </c>
      <c r="B3200" s="452">
        <v>58712505</v>
      </c>
      <c r="C3200" s="95">
        <f>+SUMIF('Anlage 2b_Korrekturen'!$B$647:$B$1026,A3200,'Anlage 2b_Korrekturen'!$D$647:$D$1026)</f>
        <v>0</v>
      </c>
      <c r="D3200" s="145">
        <f t="shared" si="107"/>
        <v>58712505</v>
      </c>
      <c r="E3200" s="143"/>
      <c r="F3200" s="143"/>
      <c r="G3200" s="143"/>
      <c r="H3200" s="143"/>
      <c r="I3200" t="s">
        <v>1051</v>
      </c>
    </row>
    <row r="3201" spans="1:9" hidden="1" outlineLevel="1">
      <c r="A3201" s="465" t="s">
        <v>1052</v>
      </c>
      <c r="B3201" s="452">
        <v>53312543</v>
      </c>
      <c r="C3201" s="95">
        <f>+SUMIF('Anlage 2b_Korrekturen'!$B$647:$B$1026,A3201,'Anlage 2b_Korrekturen'!$D$647:$D$1026)</f>
        <v>0</v>
      </c>
      <c r="D3201" s="145">
        <f t="shared" si="107"/>
        <v>53312543</v>
      </c>
      <c r="E3201" s="143"/>
      <c r="F3201" s="143"/>
      <c r="G3201" s="143"/>
      <c r="H3201" s="143"/>
      <c r="I3201" t="s">
        <v>2113</v>
      </c>
    </row>
    <row r="3202" spans="1:9" hidden="1" outlineLevel="1">
      <c r="A3202" s="465" t="s">
        <v>1054</v>
      </c>
      <c r="B3202" s="452">
        <v>171860860</v>
      </c>
      <c r="C3202" s="95">
        <f>+SUMIF('Anlage 2b_Korrekturen'!$B$647:$B$1026,A3202,'Anlage 2b_Korrekturen'!$D$647:$D$1026)</f>
        <v>-1792921</v>
      </c>
      <c r="D3202" s="145">
        <f t="shared" si="107"/>
        <v>170067939</v>
      </c>
      <c r="E3202" s="143"/>
      <c r="F3202" s="143"/>
      <c r="G3202" s="143"/>
      <c r="H3202" s="143"/>
      <c r="I3202" t="s">
        <v>1055</v>
      </c>
    </row>
    <row r="3203" spans="1:9" hidden="1" outlineLevel="1">
      <c r="A3203" s="465" t="s">
        <v>1056</v>
      </c>
      <c r="B3203" s="452">
        <v>25033478</v>
      </c>
      <c r="C3203" s="95">
        <f>+SUMIF('Anlage 2b_Korrekturen'!$B$647:$B$1026,A3203,'Anlage 2b_Korrekturen'!$D$647:$D$1026)</f>
        <v>0</v>
      </c>
      <c r="D3203" s="145">
        <f t="shared" si="107"/>
        <v>25033478</v>
      </c>
      <c r="E3203" s="143"/>
      <c r="F3203" s="143"/>
      <c r="G3203" s="143"/>
      <c r="H3203" s="143"/>
      <c r="I3203" t="s">
        <v>1057</v>
      </c>
    </row>
    <row r="3204" spans="1:9" hidden="1" outlineLevel="1">
      <c r="A3204" s="465" t="s">
        <v>1058</v>
      </c>
      <c r="B3204" s="452">
        <v>169093057</v>
      </c>
      <c r="C3204" s="95">
        <f>+SUMIF('Anlage 2b_Korrekturen'!$B$647:$B$1026,A3204,'Anlage 2b_Korrekturen'!$D$647:$D$1026)</f>
        <v>-284086.2</v>
      </c>
      <c r="D3204" s="145">
        <f t="shared" si="107"/>
        <v>168808970.80000001</v>
      </c>
      <c r="E3204" s="143"/>
      <c r="F3204" s="143"/>
      <c r="G3204" s="143"/>
      <c r="H3204" s="143"/>
      <c r="I3204" t="s">
        <v>1059</v>
      </c>
    </row>
    <row r="3205" spans="1:9" hidden="1" outlineLevel="1">
      <c r="A3205" s="465" t="s">
        <v>1060</v>
      </c>
      <c r="B3205" s="452">
        <v>117153080</v>
      </c>
      <c r="C3205" s="95">
        <f>+SUMIF('Anlage 2b_Korrekturen'!$B$647:$B$1026,A3205,'Anlage 2b_Korrekturen'!$D$647:$D$1026)</f>
        <v>0</v>
      </c>
      <c r="D3205" s="145">
        <f t="shared" si="107"/>
        <v>117153080</v>
      </c>
      <c r="E3205" s="143"/>
      <c r="F3205" s="143"/>
      <c r="G3205" s="143"/>
      <c r="H3205" s="143"/>
      <c r="I3205" t="s">
        <v>1061</v>
      </c>
    </row>
    <row r="3206" spans="1:9" hidden="1" outlineLevel="1">
      <c r="A3206" s="465" t="s">
        <v>1062</v>
      </c>
      <c r="B3206" s="452">
        <v>74906536</v>
      </c>
      <c r="C3206" s="95">
        <f>+SUMIF('Anlage 2b_Korrekturen'!$B$647:$B$1026,A3206,'Anlage 2b_Korrekturen'!$D$647:$D$1026)</f>
        <v>0</v>
      </c>
      <c r="D3206" s="145">
        <f t="shared" si="107"/>
        <v>74906536</v>
      </c>
      <c r="E3206" s="143"/>
      <c r="F3206" s="143"/>
      <c r="G3206" s="143"/>
      <c r="H3206" s="143"/>
      <c r="I3206" t="s">
        <v>1063</v>
      </c>
    </row>
    <row r="3207" spans="1:9" hidden="1" outlineLevel="1">
      <c r="A3207" s="465" t="s">
        <v>1064</v>
      </c>
      <c r="B3207" s="452">
        <v>143562363</v>
      </c>
      <c r="C3207" s="95">
        <f>+SUMIF('Anlage 2b_Korrekturen'!$B$647:$B$1026,A3207,'Anlage 2b_Korrekturen'!$D$647:$D$1026)</f>
        <v>1211809</v>
      </c>
      <c r="D3207" s="145">
        <f t="shared" si="107"/>
        <v>144774172</v>
      </c>
      <c r="E3207" s="143"/>
      <c r="F3207" s="143"/>
      <c r="G3207" s="143"/>
      <c r="H3207" s="143"/>
      <c r="I3207" t="s">
        <v>1065</v>
      </c>
    </row>
    <row r="3208" spans="1:9" hidden="1" outlineLevel="1">
      <c r="A3208" s="465" t="s">
        <v>1066</v>
      </c>
      <c r="B3208" s="452">
        <v>8000430</v>
      </c>
      <c r="C3208" s="95">
        <f>+SUMIF('Anlage 2b_Korrekturen'!$B$647:$B$1026,A3208,'Anlage 2b_Korrekturen'!$D$647:$D$1026)</f>
        <v>119809</v>
      </c>
      <c r="D3208" s="145">
        <f t="shared" si="107"/>
        <v>8120239</v>
      </c>
      <c r="E3208" s="143"/>
      <c r="F3208" s="143"/>
      <c r="G3208" s="143"/>
      <c r="H3208" s="143"/>
      <c r="I3208" t="s">
        <v>1067</v>
      </c>
    </row>
    <row r="3209" spans="1:9" hidden="1" outlineLevel="1">
      <c r="A3209" s="465" t="s">
        <v>1068</v>
      </c>
      <c r="B3209" s="452">
        <v>114463127</v>
      </c>
      <c r="C3209" s="95">
        <f>+SUMIF('Anlage 2b_Korrekturen'!$B$647:$B$1026,A3209,'Anlage 2b_Korrekturen'!$D$647:$D$1026)</f>
        <v>0</v>
      </c>
      <c r="D3209" s="145">
        <f t="shared" si="107"/>
        <v>114463127</v>
      </c>
      <c r="E3209" s="143"/>
      <c r="F3209" s="143"/>
      <c r="G3209" s="143"/>
      <c r="H3209" s="143"/>
      <c r="I3209" t="s">
        <v>1069</v>
      </c>
    </row>
    <row r="3210" spans="1:9" hidden="1" outlineLevel="1">
      <c r="A3210" s="465" t="s">
        <v>1070</v>
      </c>
      <c r="B3210" s="452">
        <v>77608827</v>
      </c>
      <c r="C3210" s="95">
        <f>+SUMIF('Anlage 2b_Korrekturen'!$B$647:$B$1026,A3210,'Anlage 2b_Korrekturen'!$D$647:$D$1026)</f>
        <v>395328</v>
      </c>
      <c r="D3210" s="145">
        <f t="shared" si="107"/>
        <v>78004155</v>
      </c>
      <c r="E3210" s="143"/>
      <c r="F3210" s="143"/>
      <c r="G3210" s="143"/>
      <c r="H3210" s="143"/>
      <c r="I3210" t="s">
        <v>1071</v>
      </c>
    </row>
    <row r="3211" spans="1:9" hidden="1" outlineLevel="1">
      <c r="A3211" s="465" t="s">
        <v>1072</v>
      </c>
      <c r="B3211" s="452">
        <v>60986154</v>
      </c>
      <c r="C3211" s="95">
        <f>+SUMIF('Anlage 2b_Korrekturen'!$B$647:$B$1026,A3211,'Anlage 2b_Korrekturen'!$D$647:$D$1026)</f>
        <v>0</v>
      </c>
      <c r="D3211" s="145">
        <f t="shared" si="107"/>
        <v>60986154</v>
      </c>
      <c r="E3211" s="143"/>
      <c r="F3211" s="143"/>
      <c r="G3211" s="143"/>
      <c r="H3211" s="143"/>
      <c r="I3211" t="s">
        <v>1073</v>
      </c>
    </row>
    <row r="3212" spans="1:9" hidden="1" outlineLevel="1">
      <c r="A3212" s="465" t="s">
        <v>1074</v>
      </c>
      <c r="B3212" s="452">
        <v>221162686</v>
      </c>
      <c r="C3212" s="95">
        <f>+SUMIF('Anlage 2b_Korrekturen'!$B$647:$B$1026,A3212,'Anlage 2b_Korrekturen'!$D$647:$D$1026)</f>
        <v>204713</v>
      </c>
      <c r="D3212" s="145">
        <f t="shared" si="107"/>
        <v>221367399</v>
      </c>
      <c r="E3212" s="143"/>
      <c r="F3212" s="143"/>
      <c r="G3212" s="143"/>
      <c r="H3212" s="143"/>
      <c r="I3212" t="s">
        <v>1075</v>
      </c>
    </row>
    <row r="3213" spans="1:9" hidden="1" outlineLevel="1">
      <c r="A3213" s="465" t="s">
        <v>1076</v>
      </c>
      <c r="B3213" s="452">
        <v>44888755</v>
      </c>
      <c r="C3213" s="95">
        <f>+SUMIF('Anlage 2b_Korrekturen'!$B$647:$B$1026,A3213,'Anlage 2b_Korrekturen'!$D$647:$D$1026)</f>
        <v>0</v>
      </c>
      <c r="D3213" s="145">
        <f t="shared" si="107"/>
        <v>44888755</v>
      </c>
      <c r="E3213" s="143"/>
      <c r="F3213" s="143"/>
      <c r="G3213" s="143"/>
      <c r="H3213" s="143"/>
      <c r="I3213" t="s">
        <v>2114</v>
      </c>
    </row>
    <row r="3214" spans="1:9" hidden="1" outlineLevel="1">
      <c r="A3214" s="465" t="s">
        <v>1078</v>
      </c>
      <c r="B3214" s="452">
        <v>57378095</v>
      </c>
      <c r="C3214" s="95">
        <f>+SUMIF('Anlage 2b_Korrekturen'!$B$647:$B$1026,A3214,'Anlage 2b_Korrekturen'!$D$647:$D$1026)</f>
        <v>0</v>
      </c>
      <c r="D3214" s="145">
        <f t="shared" si="107"/>
        <v>57378095</v>
      </c>
      <c r="E3214" s="143"/>
      <c r="F3214" s="143"/>
      <c r="G3214" s="143"/>
      <c r="H3214" s="143"/>
      <c r="I3214" t="s">
        <v>1079</v>
      </c>
    </row>
    <row r="3215" spans="1:9" hidden="1" outlineLevel="1">
      <c r="A3215" s="465" t="s">
        <v>1080</v>
      </c>
      <c r="B3215" s="452">
        <v>112517614</v>
      </c>
      <c r="C3215" s="95">
        <f>+SUMIF('Anlage 2b_Korrekturen'!$B$647:$B$1026,A3215,'Anlage 2b_Korrekturen'!$D$647:$D$1026)</f>
        <v>0</v>
      </c>
      <c r="D3215" s="145">
        <f t="shared" si="107"/>
        <v>112517614</v>
      </c>
      <c r="E3215" s="143"/>
      <c r="F3215" s="143"/>
      <c r="G3215" s="143"/>
      <c r="H3215" s="143"/>
      <c r="I3215" t="s">
        <v>1081</v>
      </c>
    </row>
    <row r="3216" spans="1:9" hidden="1" outlineLevel="1">
      <c r="A3216" s="465" t="s">
        <v>1082</v>
      </c>
      <c r="B3216" s="452">
        <v>40553197</v>
      </c>
      <c r="C3216" s="95">
        <f>+SUMIF('Anlage 2b_Korrekturen'!$B$647:$B$1026,A3216,'Anlage 2b_Korrekturen'!$D$647:$D$1026)</f>
        <v>0</v>
      </c>
      <c r="D3216" s="145">
        <f t="shared" si="107"/>
        <v>40553197</v>
      </c>
      <c r="E3216" s="143"/>
      <c r="F3216" s="143"/>
      <c r="G3216" s="143"/>
      <c r="H3216" s="143"/>
      <c r="I3216" t="s">
        <v>1083</v>
      </c>
    </row>
    <row r="3217" spans="1:9" hidden="1" outlineLevel="1">
      <c r="A3217" s="465" t="s">
        <v>1084</v>
      </c>
      <c r="B3217" s="452">
        <v>74088272</v>
      </c>
      <c r="C3217" s="95">
        <f>+SUMIF('Anlage 2b_Korrekturen'!$B$647:$B$1026,A3217,'Anlage 2b_Korrekturen'!$D$647:$D$1026)</f>
        <v>146532</v>
      </c>
      <c r="D3217" s="145">
        <f t="shared" si="107"/>
        <v>74234804</v>
      </c>
      <c r="E3217" s="143"/>
      <c r="F3217" s="143"/>
      <c r="G3217" s="143"/>
      <c r="H3217" s="143"/>
      <c r="I3217" t="s">
        <v>1085</v>
      </c>
    </row>
    <row r="3218" spans="1:9" hidden="1" outlineLevel="1">
      <c r="A3218" s="465" t="s">
        <v>1086</v>
      </c>
      <c r="B3218" s="452">
        <v>105477836</v>
      </c>
      <c r="C3218" s="95">
        <f>+SUMIF('Anlage 2b_Korrekturen'!$B$647:$B$1026,A3218,'Anlage 2b_Korrekturen'!$D$647:$D$1026)</f>
        <v>385977</v>
      </c>
      <c r="D3218" s="145">
        <f t="shared" si="107"/>
        <v>105863813</v>
      </c>
      <c r="E3218" s="143"/>
      <c r="F3218" s="143"/>
      <c r="G3218" s="143"/>
      <c r="H3218" s="143"/>
      <c r="I3218" t="s">
        <v>1087</v>
      </c>
    </row>
    <row r="3219" spans="1:9" hidden="1" outlineLevel="1">
      <c r="A3219" s="465" t="s">
        <v>1088</v>
      </c>
      <c r="B3219" s="452">
        <v>103999946</v>
      </c>
      <c r="C3219" s="95">
        <f>+SUMIF('Anlage 2b_Korrekturen'!$B$647:$B$1026,A3219,'Anlage 2b_Korrekturen'!$D$647:$D$1026)</f>
        <v>0</v>
      </c>
      <c r="D3219" s="145">
        <f t="shared" si="107"/>
        <v>103999946</v>
      </c>
      <c r="E3219" s="143"/>
      <c r="F3219" s="143"/>
      <c r="G3219" s="143"/>
      <c r="H3219" s="143"/>
      <c r="I3219" t="s">
        <v>1089</v>
      </c>
    </row>
    <row r="3220" spans="1:9" hidden="1" outlineLevel="1">
      <c r="A3220" s="465" t="s">
        <v>1090</v>
      </c>
      <c r="B3220" s="452">
        <v>64382556</v>
      </c>
      <c r="C3220" s="95">
        <f>+SUMIF('Anlage 2b_Korrekturen'!$B$647:$B$1026,A3220,'Anlage 2b_Korrekturen'!$D$647:$D$1026)</f>
        <v>0</v>
      </c>
      <c r="D3220" s="145">
        <f t="shared" si="107"/>
        <v>64382556</v>
      </c>
      <c r="E3220" s="143"/>
      <c r="F3220" s="143"/>
      <c r="G3220" s="143"/>
      <c r="H3220" s="143"/>
      <c r="I3220" t="s">
        <v>1091</v>
      </c>
    </row>
    <row r="3221" spans="1:9" hidden="1" outlineLevel="1">
      <c r="A3221" s="465" t="s">
        <v>1092</v>
      </c>
      <c r="B3221" s="452">
        <v>91722545</v>
      </c>
      <c r="C3221" s="95">
        <f>+SUMIF('Anlage 2b_Korrekturen'!$B$647:$B$1026,A3221,'Anlage 2b_Korrekturen'!$D$647:$D$1026)</f>
        <v>0</v>
      </c>
      <c r="D3221" s="145">
        <f t="shared" ref="D3221:D3284" si="108">B3221+C3221</f>
        <v>91722545</v>
      </c>
      <c r="E3221" s="143"/>
      <c r="F3221" s="143"/>
      <c r="G3221" s="143"/>
      <c r="H3221" s="143"/>
      <c r="I3221" t="s">
        <v>1093</v>
      </c>
    </row>
    <row r="3222" spans="1:9" hidden="1" outlineLevel="1">
      <c r="A3222" s="465" t="s">
        <v>1474</v>
      </c>
      <c r="B3222" s="452">
        <v>116316652</v>
      </c>
      <c r="C3222" s="95">
        <f>+SUMIF('Anlage 2b_Korrekturen'!$B$647:$B$1026,A3222,'Anlage 2b_Korrekturen'!$D$647:$D$1026)</f>
        <v>0</v>
      </c>
      <c r="D3222" s="145">
        <f t="shared" si="108"/>
        <v>116316652</v>
      </c>
      <c r="E3222" s="143"/>
      <c r="F3222" s="143"/>
      <c r="G3222" s="143"/>
      <c r="H3222" s="143"/>
      <c r="I3222" t="s">
        <v>1475</v>
      </c>
    </row>
    <row r="3223" spans="1:9" hidden="1" outlineLevel="1">
      <c r="A3223" s="465" t="s">
        <v>1094</v>
      </c>
      <c r="B3223" s="452">
        <v>63401607</v>
      </c>
      <c r="C3223" s="95">
        <f>+SUMIF('Anlage 2b_Korrekturen'!$B$647:$B$1026,A3223,'Anlage 2b_Korrekturen'!$D$647:$D$1026)</f>
        <v>0</v>
      </c>
      <c r="D3223" s="145">
        <f t="shared" si="108"/>
        <v>63401607</v>
      </c>
      <c r="E3223" s="143"/>
      <c r="F3223" s="143"/>
      <c r="G3223" s="143"/>
      <c r="H3223" s="143"/>
      <c r="I3223" t="s">
        <v>1095</v>
      </c>
    </row>
    <row r="3224" spans="1:9" hidden="1" outlineLevel="1">
      <c r="A3224" s="465" t="s">
        <v>1096</v>
      </c>
      <c r="B3224" s="452">
        <v>28600467</v>
      </c>
      <c r="C3224" s="95">
        <f>+SUMIF('Anlage 2b_Korrekturen'!$B$647:$B$1026,A3224,'Anlage 2b_Korrekturen'!$D$647:$D$1026)</f>
        <v>-36439</v>
      </c>
      <c r="D3224" s="145">
        <f t="shared" si="108"/>
        <v>28564028</v>
      </c>
      <c r="E3224" s="143"/>
      <c r="F3224" s="143"/>
      <c r="G3224" s="143"/>
      <c r="H3224" s="143"/>
      <c r="I3224" t="s">
        <v>1097</v>
      </c>
    </row>
    <row r="3225" spans="1:9" hidden="1" outlineLevel="1">
      <c r="A3225" s="465" t="s">
        <v>1098</v>
      </c>
      <c r="B3225" s="452">
        <v>23839551</v>
      </c>
      <c r="C3225" s="95">
        <f>+SUMIF('Anlage 2b_Korrekturen'!$B$647:$B$1026,A3225,'Anlage 2b_Korrekturen'!$D$647:$D$1026)</f>
        <v>0</v>
      </c>
      <c r="D3225" s="145">
        <f t="shared" si="108"/>
        <v>23839551</v>
      </c>
      <c r="E3225" s="143"/>
      <c r="F3225" s="143"/>
      <c r="G3225" s="143"/>
      <c r="H3225" s="143"/>
      <c r="I3225" t="s">
        <v>1099</v>
      </c>
    </row>
    <row r="3226" spans="1:9" hidden="1" outlineLevel="1">
      <c r="A3226" s="465" t="s">
        <v>1100</v>
      </c>
      <c r="B3226" s="452">
        <v>1060698830</v>
      </c>
      <c r="C3226" s="95">
        <f>+SUMIF('Anlage 2b_Korrekturen'!$B$647:$B$1026,A3226,'Anlage 2b_Korrekturen'!$D$647:$D$1026)</f>
        <v>0</v>
      </c>
      <c r="D3226" s="145">
        <f t="shared" si="108"/>
        <v>1060698830</v>
      </c>
      <c r="E3226" s="143"/>
      <c r="F3226" s="143"/>
      <c r="G3226" s="143"/>
      <c r="H3226" s="143"/>
      <c r="I3226" t="s">
        <v>2115</v>
      </c>
    </row>
    <row r="3227" spans="1:9" hidden="1" outlineLevel="1">
      <c r="A3227" s="465" t="s">
        <v>521</v>
      </c>
      <c r="B3227" s="452">
        <v>21684440.522999998</v>
      </c>
      <c r="C3227" s="95">
        <f>+SUMIF('Anlage 2b_Korrekturen'!$B$647:$B$1026,A3227,'Anlage 2b_Korrekturen'!$D$647:$D$1026)</f>
        <v>0</v>
      </c>
      <c r="D3227" s="145">
        <f t="shared" si="108"/>
        <v>21684440.522999998</v>
      </c>
      <c r="E3227" s="143"/>
      <c r="F3227" s="143"/>
      <c r="G3227" s="143"/>
      <c r="H3227" s="143"/>
      <c r="I3227" t="s">
        <v>522</v>
      </c>
    </row>
    <row r="3228" spans="1:9" hidden="1" outlineLevel="1">
      <c r="A3228" s="465" t="s">
        <v>1102</v>
      </c>
      <c r="B3228" s="452">
        <v>35914118</v>
      </c>
      <c r="C3228" s="95">
        <f>+SUMIF('Anlage 2b_Korrekturen'!$B$647:$B$1026,A3228,'Anlage 2b_Korrekturen'!$D$647:$D$1026)</f>
        <v>0</v>
      </c>
      <c r="D3228" s="145">
        <f t="shared" si="108"/>
        <v>35914118</v>
      </c>
      <c r="E3228" s="143"/>
      <c r="F3228" s="143"/>
      <c r="G3228" s="143"/>
      <c r="H3228" s="143"/>
      <c r="I3228" t="s">
        <v>1103</v>
      </c>
    </row>
    <row r="3229" spans="1:9" hidden="1" outlineLevel="1">
      <c r="A3229" s="465" t="s">
        <v>1104</v>
      </c>
      <c r="B3229" s="452">
        <v>32687853</v>
      </c>
      <c r="C3229" s="95">
        <f>+SUMIF('Anlage 2b_Korrekturen'!$B$647:$B$1026,A3229,'Anlage 2b_Korrekturen'!$D$647:$D$1026)</f>
        <v>0</v>
      </c>
      <c r="D3229" s="145">
        <f t="shared" si="108"/>
        <v>32687853</v>
      </c>
      <c r="E3229" s="143"/>
      <c r="F3229" s="143"/>
      <c r="G3229" s="143"/>
      <c r="H3229" s="143"/>
      <c r="I3229" t="s">
        <v>1105</v>
      </c>
    </row>
    <row r="3230" spans="1:9" hidden="1" outlineLevel="1">
      <c r="A3230" s="465" t="s">
        <v>1106</v>
      </c>
      <c r="B3230" s="452">
        <v>78379318</v>
      </c>
      <c r="C3230" s="95">
        <f>+SUMIF('Anlage 2b_Korrekturen'!$B$647:$B$1026,A3230,'Anlage 2b_Korrekturen'!$D$647:$D$1026)</f>
        <v>-1212123</v>
      </c>
      <c r="D3230" s="145">
        <f t="shared" si="108"/>
        <v>77167195</v>
      </c>
      <c r="E3230" s="143"/>
      <c r="F3230" s="143"/>
      <c r="G3230" s="143"/>
      <c r="H3230" s="143"/>
      <c r="I3230" t="s">
        <v>1107</v>
      </c>
    </row>
    <row r="3231" spans="1:9" hidden="1" outlineLevel="1">
      <c r="A3231" s="465" t="s">
        <v>1108</v>
      </c>
      <c r="B3231" s="452">
        <v>41068479</v>
      </c>
      <c r="C3231" s="95">
        <f>+SUMIF('Anlage 2b_Korrekturen'!$B$647:$B$1026,A3231,'Anlage 2b_Korrekturen'!$D$647:$D$1026)</f>
        <v>0</v>
      </c>
      <c r="D3231" s="145">
        <f t="shared" si="108"/>
        <v>41068479</v>
      </c>
      <c r="E3231" s="143"/>
      <c r="F3231" s="143"/>
      <c r="G3231" s="143"/>
      <c r="H3231" s="143"/>
      <c r="I3231" t="s">
        <v>1109</v>
      </c>
    </row>
    <row r="3232" spans="1:9" hidden="1" outlineLevel="1">
      <c r="A3232" s="465" t="s">
        <v>1110</v>
      </c>
      <c r="B3232" s="452">
        <v>119492791</v>
      </c>
      <c r="C3232" s="95">
        <f>+SUMIF('Anlage 2b_Korrekturen'!$B$647:$B$1026,A3232,'Anlage 2b_Korrekturen'!$D$647:$D$1026)</f>
        <v>0</v>
      </c>
      <c r="D3232" s="145">
        <f t="shared" si="108"/>
        <v>119492791</v>
      </c>
      <c r="E3232" s="143"/>
      <c r="F3232" s="143"/>
      <c r="G3232" s="143"/>
      <c r="H3232" s="143"/>
      <c r="I3232" t="s">
        <v>1111</v>
      </c>
    </row>
    <row r="3233" spans="1:9" hidden="1" outlineLevel="1">
      <c r="A3233" s="465" t="s">
        <v>1112</v>
      </c>
      <c r="B3233" s="452">
        <v>76170999</v>
      </c>
      <c r="C3233" s="95">
        <f>+SUMIF('Anlage 2b_Korrekturen'!$B$647:$B$1026,A3233,'Anlage 2b_Korrekturen'!$D$647:$D$1026)</f>
        <v>0</v>
      </c>
      <c r="D3233" s="145">
        <f t="shared" si="108"/>
        <v>76170999</v>
      </c>
      <c r="E3233" s="143"/>
      <c r="F3233" s="143"/>
      <c r="G3233" s="143"/>
      <c r="H3233" s="143"/>
      <c r="I3233" t="s">
        <v>1113</v>
      </c>
    </row>
    <row r="3234" spans="1:9" hidden="1" outlineLevel="1">
      <c r="A3234" s="465" t="s">
        <v>1114</v>
      </c>
      <c r="B3234" s="452">
        <v>59601375.380000003</v>
      </c>
      <c r="C3234" s="95">
        <f>+SUMIF('Anlage 2b_Korrekturen'!$B$647:$B$1026,A3234,'Anlage 2b_Korrekturen'!$D$647:$D$1026)</f>
        <v>-93991</v>
      </c>
      <c r="D3234" s="145">
        <f t="shared" si="108"/>
        <v>59507384.380000003</v>
      </c>
      <c r="E3234" s="143"/>
      <c r="F3234" s="143"/>
      <c r="G3234" s="143"/>
      <c r="H3234" s="143"/>
      <c r="I3234" t="s">
        <v>1115</v>
      </c>
    </row>
    <row r="3235" spans="1:9" hidden="1" outlineLevel="1">
      <c r="A3235" s="465" t="s">
        <v>1116</v>
      </c>
      <c r="B3235" s="452">
        <v>140314230</v>
      </c>
      <c r="C3235" s="95">
        <f>+SUMIF('Anlage 2b_Korrekturen'!$B$647:$B$1026,A3235,'Anlage 2b_Korrekturen'!$D$647:$D$1026)</f>
        <v>0</v>
      </c>
      <c r="D3235" s="145">
        <f t="shared" si="108"/>
        <v>140314230</v>
      </c>
      <c r="E3235" s="143"/>
      <c r="F3235" s="143"/>
      <c r="G3235" s="143"/>
      <c r="H3235" s="143"/>
      <c r="I3235" t="s">
        <v>1117</v>
      </c>
    </row>
    <row r="3236" spans="1:9" hidden="1" outlineLevel="1">
      <c r="A3236" s="465" t="s">
        <v>1118</v>
      </c>
      <c r="B3236" s="452">
        <v>15878505</v>
      </c>
      <c r="C3236" s="95">
        <f>+SUMIF('Anlage 2b_Korrekturen'!$B$647:$B$1026,A3236,'Anlage 2b_Korrekturen'!$D$647:$D$1026)</f>
        <v>0</v>
      </c>
      <c r="D3236" s="145">
        <f t="shared" si="108"/>
        <v>15878505</v>
      </c>
      <c r="E3236" s="143"/>
      <c r="F3236" s="143"/>
      <c r="G3236" s="143"/>
      <c r="H3236" s="143"/>
      <c r="I3236" t="s">
        <v>1119</v>
      </c>
    </row>
    <row r="3237" spans="1:9" hidden="1" outlineLevel="1">
      <c r="A3237" s="465" t="s">
        <v>1120</v>
      </c>
      <c r="B3237" s="452">
        <v>2622522409</v>
      </c>
      <c r="C3237" s="95">
        <f>+SUMIF('Anlage 2b_Korrekturen'!$B$647:$B$1026,A3237,'Anlage 2b_Korrekturen'!$D$647:$D$1026)</f>
        <v>0</v>
      </c>
      <c r="D3237" s="145">
        <f t="shared" si="108"/>
        <v>2622522409</v>
      </c>
      <c r="E3237" s="143"/>
      <c r="F3237" s="143"/>
      <c r="G3237" s="143"/>
      <c r="H3237" s="143"/>
      <c r="I3237" t="s">
        <v>1121</v>
      </c>
    </row>
    <row r="3238" spans="1:9" hidden="1" outlineLevel="1">
      <c r="A3238" s="1149" t="s">
        <v>1122</v>
      </c>
      <c r="B3238" s="1150">
        <v>253721291.81299999</v>
      </c>
      <c r="C3238" s="1045">
        <f>+SUMIF('Anlage 2b_Korrekturen'!$B$647:$B$1026,A3238,'Anlage 2b_Korrekturen'!$D$647:$D$1026)</f>
        <v>0</v>
      </c>
      <c r="D3238" s="1151">
        <f t="shared" si="108"/>
        <v>253721291.81299999</v>
      </c>
      <c r="E3238" s="143"/>
      <c r="F3238" s="143"/>
      <c r="G3238" s="143"/>
      <c r="H3238" s="143"/>
      <c r="I3238" t="s">
        <v>2116</v>
      </c>
    </row>
    <row r="3239" spans="1:9" hidden="1" outlineLevel="1">
      <c r="A3239" s="1149" t="s">
        <v>1875</v>
      </c>
      <c r="B3239" s="1150">
        <v>2352509</v>
      </c>
      <c r="C3239" s="1045">
        <f>+SUMIF('Anlage 2b_Korrekturen'!$B$647:$B$1026,A3239,'Anlage 2b_Korrekturen'!$D$647:$D$1026)-'Anlage 2b_Korrekturen'!D1022</f>
        <v>-5943</v>
      </c>
      <c r="D3239" s="1151">
        <f t="shared" si="108"/>
        <v>2346566</v>
      </c>
      <c r="E3239" s="143"/>
      <c r="F3239" s="143"/>
      <c r="G3239" s="143"/>
      <c r="H3239" s="143"/>
      <c r="I3239" t="s">
        <v>2117</v>
      </c>
    </row>
    <row r="3240" spans="1:9" hidden="1" outlineLevel="1">
      <c r="A3240" s="1149" t="s">
        <v>1124</v>
      </c>
      <c r="B3240" s="1150">
        <v>33983847.479999997</v>
      </c>
      <c r="C3240" s="1045">
        <f>+SUMIF('Anlage 2b_Korrekturen'!$B$647:$B$1026,A3240,'Anlage 2b_Korrekturen'!$D$647:$D$1026)</f>
        <v>323679.8</v>
      </c>
      <c r="D3240" s="1151">
        <f t="shared" si="108"/>
        <v>34307527.279999994</v>
      </c>
      <c r="E3240" s="143"/>
      <c r="F3240" s="143"/>
      <c r="G3240" s="143"/>
      <c r="H3240" s="143"/>
      <c r="I3240" t="s">
        <v>1125</v>
      </c>
    </row>
    <row r="3241" spans="1:9" hidden="1" outlineLevel="1">
      <c r="A3241" s="465" t="s">
        <v>1126</v>
      </c>
      <c r="B3241" s="452">
        <v>114667043.7</v>
      </c>
      <c r="C3241" s="95">
        <f>+SUMIF('Anlage 2b_Korrekturen'!$B$647:$B$1026,A3241,'Anlage 2b_Korrekturen'!$D$647:$D$1026)</f>
        <v>0</v>
      </c>
      <c r="D3241" s="145">
        <f t="shared" si="108"/>
        <v>114667043.7</v>
      </c>
      <c r="E3241" s="143"/>
      <c r="F3241" s="143"/>
      <c r="G3241" s="143"/>
      <c r="H3241" s="143"/>
      <c r="I3241" t="s">
        <v>1127</v>
      </c>
    </row>
    <row r="3242" spans="1:9" hidden="1" outlineLevel="1">
      <c r="A3242" s="465" t="s">
        <v>1128</v>
      </c>
      <c r="B3242" s="452">
        <v>26477874</v>
      </c>
      <c r="C3242" s="95">
        <f>+SUMIF('Anlage 2b_Korrekturen'!$B$647:$B$1026,A3242,'Anlage 2b_Korrekturen'!$D$647:$D$1026)</f>
        <v>0</v>
      </c>
      <c r="D3242" s="145">
        <f t="shared" si="108"/>
        <v>26477874</v>
      </c>
      <c r="E3242" s="143"/>
      <c r="F3242" s="143"/>
      <c r="G3242" s="143"/>
      <c r="H3242" s="143"/>
      <c r="I3242" t="s">
        <v>1129</v>
      </c>
    </row>
    <row r="3243" spans="1:9" hidden="1" outlineLevel="1">
      <c r="A3243" s="465" t="s">
        <v>1130</v>
      </c>
      <c r="B3243" s="452">
        <v>126065707</v>
      </c>
      <c r="C3243" s="95">
        <f>+SUMIF('Anlage 2b_Korrekturen'!$B$647:$B$1026,A3243,'Anlage 2b_Korrekturen'!$D$647:$D$1026)</f>
        <v>3422333</v>
      </c>
      <c r="D3243" s="145">
        <f t="shared" si="108"/>
        <v>129488040</v>
      </c>
      <c r="E3243" s="143"/>
      <c r="F3243" s="143"/>
      <c r="G3243" s="143"/>
      <c r="H3243" s="143"/>
      <c r="I3243" t="s">
        <v>1131</v>
      </c>
    </row>
    <row r="3244" spans="1:9" hidden="1" outlineLevel="1">
      <c r="A3244" s="465" t="s">
        <v>1132</v>
      </c>
      <c r="B3244" s="452">
        <v>18534759</v>
      </c>
      <c r="C3244" s="95">
        <f>+SUMIF('Anlage 2b_Korrekturen'!$B$647:$B$1026,A3244,'Anlage 2b_Korrekturen'!$D$647:$D$1026)</f>
        <v>0</v>
      </c>
      <c r="D3244" s="145">
        <f t="shared" si="108"/>
        <v>18534759</v>
      </c>
      <c r="E3244" s="143"/>
      <c r="F3244" s="143"/>
      <c r="G3244" s="143"/>
      <c r="H3244" s="143"/>
      <c r="I3244" t="s">
        <v>1133</v>
      </c>
    </row>
    <row r="3245" spans="1:9" hidden="1" outlineLevel="1">
      <c r="A3245" s="465" t="s">
        <v>1134</v>
      </c>
      <c r="B3245" s="452">
        <v>79107870</v>
      </c>
      <c r="C3245" s="95">
        <f>+SUMIF('Anlage 2b_Korrekturen'!$B$647:$B$1026,A3245,'Anlage 2b_Korrekturen'!$D$647:$D$1026)</f>
        <v>52270</v>
      </c>
      <c r="D3245" s="145">
        <f t="shared" si="108"/>
        <v>79160140</v>
      </c>
      <c r="E3245" s="143"/>
      <c r="F3245" s="143"/>
      <c r="G3245" s="143"/>
      <c r="H3245" s="143"/>
      <c r="I3245" t="s">
        <v>1135</v>
      </c>
    </row>
    <row r="3246" spans="1:9" hidden="1" outlineLevel="1">
      <c r="A3246" s="465" t="s">
        <v>1136</v>
      </c>
      <c r="B3246" s="452">
        <v>16340900</v>
      </c>
      <c r="C3246" s="95">
        <f>+SUMIF('Anlage 2b_Korrekturen'!$B$647:$B$1026,A3246,'Anlage 2b_Korrekturen'!$D$647:$D$1026)</f>
        <v>0</v>
      </c>
      <c r="D3246" s="145">
        <f t="shared" si="108"/>
        <v>16340900</v>
      </c>
      <c r="E3246" s="143"/>
      <c r="F3246" s="143"/>
      <c r="G3246" s="143"/>
      <c r="H3246" s="143"/>
      <c r="I3246" t="s">
        <v>1137</v>
      </c>
    </row>
    <row r="3247" spans="1:9" hidden="1" outlineLevel="1">
      <c r="A3247" s="465" t="s">
        <v>1138</v>
      </c>
      <c r="B3247" s="452">
        <v>10491997</v>
      </c>
      <c r="C3247" s="95">
        <f>+SUMIF('Anlage 2b_Korrekturen'!$B$647:$B$1026,A3247,'Anlage 2b_Korrekturen'!$D$647:$D$1026)</f>
        <v>-4388</v>
      </c>
      <c r="D3247" s="145">
        <f t="shared" si="108"/>
        <v>10487609</v>
      </c>
      <c r="E3247" s="143"/>
      <c r="F3247" s="143"/>
      <c r="G3247" s="143"/>
      <c r="H3247" s="143"/>
      <c r="I3247" t="s">
        <v>2118</v>
      </c>
    </row>
    <row r="3248" spans="1:9" hidden="1" outlineLevel="1">
      <c r="A3248" s="465" t="s">
        <v>1140</v>
      </c>
      <c r="B3248" s="452">
        <v>174220522</v>
      </c>
      <c r="C3248" s="95">
        <f>+SUMIF('Anlage 2b_Korrekturen'!$B$647:$B$1026,A3248,'Anlage 2b_Korrekturen'!$D$647:$D$1026)</f>
        <v>-11664161</v>
      </c>
      <c r="D3248" s="145">
        <f t="shared" si="108"/>
        <v>162556361</v>
      </c>
      <c r="E3248" s="143"/>
      <c r="F3248" s="143"/>
      <c r="G3248" s="143"/>
      <c r="H3248" s="143"/>
      <c r="I3248" t="s">
        <v>1141</v>
      </c>
    </row>
    <row r="3249" spans="1:9" hidden="1" outlineLevel="1">
      <c r="A3249" s="465" t="s">
        <v>1142</v>
      </c>
      <c r="B3249" s="452">
        <v>31133382</v>
      </c>
      <c r="C3249" s="95">
        <f>+SUMIF('Anlage 2b_Korrekturen'!$B$647:$B$1026,A3249,'Anlage 2b_Korrekturen'!$D$647:$D$1026)</f>
        <v>0</v>
      </c>
      <c r="D3249" s="145">
        <f t="shared" si="108"/>
        <v>31133382</v>
      </c>
      <c r="E3249" s="143"/>
      <c r="F3249" s="143"/>
      <c r="G3249" s="143"/>
      <c r="H3249" s="143"/>
      <c r="I3249" t="s">
        <v>1143</v>
      </c>
    </row>
    <row r="3250" spans="1:9" hidden="1" outlineLevel="1">
      <c r="A3250" s="465" t="s">
        <v>1144</v>
      </c>
      <c r="B3250" s="452">
        <v>37039641</v>
      </c>
      <c r="C3250" s="95">
        <f>+SUMIF('Anlage 2b_Korrekturen'!$B$647:$B$1026,A3250,'Anlage 2b_Korrekturen'!$D$647:$D$1026)</f>
        <v>0</v>
      </c>
      <c r="D3250" s="145">
        <f t="shared" si="108"/>
        <v>37039641</v>
      </c>
      <c r="E3250" s="143"/>
      <c r="F3250" s="143"/>
      <c r="G3250" s="143"/>
      <c r="H3250" s="143"/>
      <c r="I3250" t="s">
        <v>1145</v>
      </c>
    </row>
    <row r="3251" spans="1:9" hidden="1" outlineLevel="1">
      <c r="A3251" s="465" t="s">
        <v>1146</v>
      </c>
      <c r="B3251" s="452">
        <v>17297214</v>
      </c>
      <c r="C3251" s="95">
        <f>+SUMIF('Anlage 2b_Korrekturen'!$B$647:$B$1026,A3251,'Anlage 2b_Korrekturen'!$D$647:$D$1026)</f>
        <v>393328</v>
      </c>
      <c r="D3251" s="145">
        <f t="shared" si="108"/>
        <v>17690542</v>
      </c>
      <c r="E3251" s="143"/>
      <c r="F3251" s="143"/>
      <c r="G3251" s="143"/>
      <c r="H3251" s="143"/>
      <c r="I3251" t="s">
        <v>1147</v>
      </c>
    </row>
    <row r="3252" spans="1:9" hidden="1" outlineLevel="1">
      <c r="A3252" s="465" t="s">
        <v>1148</v>
      </c>
      <c r="B3252" s="452">
        <v>6055732</v>
      </c>
      <c r="C3252" s="95">
        <f>+SUMIF('Anlage 2b_Korrekturen'!$B$647:$B$1026,A3252,'Anlage 2b_Korrekturen'!$D$647:$D$1026)</f>
        <v>0</v>
      </c>
      <c r="D3252" s="145">
        <f t="shared" si="108"/>
        <v>6055732</v>
      </c>
      <c r="E3252" s="143"/>
      <c r="F3252" s="143"/>
      <c r="G3252" s="143"/>
      <c r="H3252" s="143"/>
      <c r="I3252" t="s">
        <v>1149</v>
      </c>
    </row>
    <row r="3253" spans="1:9" hidden="1" outlineLevel="1">
      <c r="A3253" s="465" t="s">
        <v>1150</v>
      </c>
      <c r="B3253" s="452">
        <v>33879194</v>
      </c>
      <c r="C3253" s="95">
        <f>+SUMIF('Anlage 2b_Korrekturen'!$B$647:$B$1026,A3253,'Anlage 2b_Korrekturen'!$D$647:$D$1026)</f>
        <v>-201688</v>
      </c>
      <c r="D3253" s="145">
        <f t="shared" si="108"/>
        <v>33677506</v>
      </c>
      <c r="E3253" s="143"/>
      <c r="F3253" s="143"/>
      <c r="G3253" s="143"/>
      <c r="H3253" s="143"/>
      <c r="I3253" t="s">
        <v>1151</v>
      </c>
    </row>
    <row r="3254" spans="1:9" hidden="1" outlineLevel="1">
      <c r="A3254" s="465" t="s">
        <v>1152</v>
      </c>
      <c r="B3254" s="452">
        <v>17059007</v>
      </c>
      <c r="C3254" s="95">
        <f>+SUMIF('Anlage 2b_Korrekturen'!$B$647:$B$1026,A3254,'Anlage 2b_Korrekturen'!$D$647:$D$1026)</f>
        <v>0</v>
      </c>
      <c r="D3254" s="145">
        <f t="shared" si="108"/>
        <v>17059007</v>
      </c>
      <c r="E3254" s="143"/>
      <c r="F3254" s="143"/>
      <c r="G3254" s="143"/>
      <c r="H3254" s="143"/>
      <c r="I3254" t="s">
        <v>1153</v>
      </c>
    </row>
    <row r="3255" spans="1:9" hidden="1" outlineLevel="1">
      <c r="A3255" s="465" t="s">
        <v>1154</v>
      </c>
      <c r="B3255" s="452">
        <v>8410100</v>
      </c>
      <c r="C3255" s="95">
        <f>+SUMIF('Anlage 2b_Korrekturen'!$B$647:$B$1026,A3255,'Anlage 2b_Korrekturen'!$D$647:$D$1026)</f>
        <v>-9933</v>
      </c>
      <c r="D3255" s="145">
        <f t="shared" si="108"/>
        <v>8400167</v>
      </c>
      <c r="E3255" s="143"/>
      <c r="F3255" s="143"/>
      <c r="G3255" s="143"/>
      <c r="H3255" s="143"/>
      <c r="I3255" t="s">
        <v>1155</v>
      </c>
    </row>
    <row r="3256" spans="1:9" hidden="1" outlineLevel="1">
      <c r="A3256" s="465" t="s">
        <v>1156</v>
      </c>
      <c r="B3256" s="452">
        <v>28440272</v>
      </c>
      <c r="C3256" s="95">
        <f>+SUMIF('Anlage 2b_Korrekturen'!$B$647:$B$1026,A3256,'Anlage 2b_Korrekturen'!$D$647:$D$1026)</f>
        <v>0</v>
      </c>
      <c r="D3256" s="145">
        <f t="shared" si="108"/>
        <v>28440272</v>
      </c>
      <c r="E3256" s="143"/>
      <c r="F3256" s="143"/>
      <c r="G3256" s="143"/>
      <c r="H3256" s="143"/>
      <c r="I3256" t="s">
        <v>1157</v>
      </c>
    </row>
    <row r="3257" spans="1:9" hidden="1" outlineLevel="1">
      <c r="A3257" s="465" t="s">
        <v>1158</v>
      </c>
      <c r="B3257" s="452">
        <v>20544997</v>
      </c>
      <c r="C3257" s="95">
        <f>+SUMIF('Anlage 2b_Korrekturen'!$B$647:$B$1026,A3257,'Anlage 2b_Korrekturen'!$D$647:$D$1026)</f>
        <v>0</v>
      </c>
      <c r="D3257" s="145">
        <f t="shared" si="108"/>
        <v>20544997</v>
      </c>
      <c r="E3257" s="143"/>
      <c r="F3257" s="143"/>
      <c r="G3257" s="143"/>
      <c r="H3257" s="143"/>
      <c r="I3257" t="s">
        <v>1159</v>
      </c>
    </row>
    <row r="3258" spans="1:9" hidden="1" outlineLevel="1">
      <c r="A3258" s="465" t="s">
        <v>1160</v>
      </c>
      <c r="B3258" s="452">
        <v>378044187.82099998</v>
      </c>
      <c r="C3258" s="95">
        <f>+SUMIF('Anlage 2b_Korrekturen'!$B$647:$B$1026,A3258,'Anlage 2b_Korrekturen'!$D$647:$D$1026)</f>
        <v>-774965.03299999982</v>
      </c>
      <c r="D3258" s="145">
        <f t="shared" si="108"/>
        <v>377269222.78799999</v>
      </c>
      <c r="E3258" s="143"/>
      <c r="F3258" s="143"/>
      <c r="G3258" s="143"/>
      <c r="H3258" s="143"/>
      <c r="I3258" t="s">
        <v>1161</v>
      </c>
    </row>
    <row r="3259" spans="1:9" hidden="1" outlineLevel="1">
      <c r="A3259" s="465" t="s">
        <v>1162</v>
      </c>
      <c r="B3259" s="452">
        <v>81825390</v>
      </c>
      <c r="C3259" s="95">
        <f>+SUMIF('Anlage 2b_Korrekturen'!$B$647:$B$1026,A3259,'Anlage 2b_Korrekturen'!$D$647:$D$1026)</f>
        <v>0</v>
      </c>
      <c r="D3259" s="145">
        <f t="shared" si="108"/>
        <v>81825390</v>
      </c>
      <c r="E3259" s="143"/>
      <c r="F3259" s="143"/>
      <c r="G3259" s="143"/>
      <c r="H3259" s="143"/>
      <c r="I3259" t="s">
        <v>1163</v>
      </c>
    </row>
    <row r="3260" spans="1:9" hidden="1" outlineLevel="1">
      <c r="A3260" s="465" t="s">
        <v>1164</v>
      </c>
      <c r="B3260" s="452">
        <v>129869981</v>
      </c>
      <c r="C3260" s="95">
        <f>+SUMIF('Anlage 2b_Korrekturen'!$B$647:$B$1026,A3260,'Anlage 2b_Korrekturen'!$D$647:$D$1026)</f>
        <v>109077</v>
      </c>
      <c r="D3260" s="145">
        <f t="shared" si="108"/>
        <v>129979058</v>
      </c>
      <c r="E3260" s="143"/>
      <c r="F3260" s="143"/>
      <c r="G3260" s="143"/>
      <c r="H3260" s="143"/>
      <c r="I3260" t="s">
        <v>1165</v>
      </c>
    </row>
    <row r="3261" spans="1:9" hidden="1" outlineLevel="1">
      <c r="A3261" s="465" t="s">
        <v>1166</v>
      </c>
      <c r="B3261" s="452">
        <v>3187305</v>
      </c>
      <c r="C3261" s="95">
        <f>+SUMIF('Anlage 2b_Korrekturen'!$B$647:$B$1026,A3261,'Anlage 2b_Korrekturen'!$D$647:$D$1026)</f>
        <v>0</v>
      </c>
      <c r="D3261" s="145">
        <f t="shared" si="108"/>
        <v>3187305</v>
      </c>
      <c r="E3261" s="143"/>
      <c r="F3261" s="143"/>
      <c r="G3261" s="143"/>
      <c r="H3261" s="143"/>
      <c r="I3261" t="s">
        <v>1167</v>
      </c>
    </row>
    <row r="3262" spans="1:9" hidden="1" outlineLevel="1">
      <c r="A3262" s="465" t="s">
        <v>1168</v>
      </c>
      <c r="B3262" s="452">
        <v>28637241</v>
      </c>
      <c r="C3262" s="95">
        <f>+SUMIF('Anlage 2b_Korrekturen'!$B$647:$B$1026,A3262,'Anlage 2b_Korrekturen'!$D$647:$D$1026)</f>
        <v>0</v>
      </c>
      <c r="D3262" s="145">
        <f t="shared" si="108"/>
        <v>28637241</v>
      </c>
      <c r="E3262" s="143"/>
      <c r="F3262" s="143"/>
      <c r="G3262" s="143"/>
      <c r="H3262" s="143"/>
      <c r="I3262" t="s">
        <v>1169</v>
      </c>
    </row>
    <row r="3263" spans="1:9" hidden="1" outlineLevel="1">
      <c r="A3263" s="465" t="s">
        <v>1170</v>
      </c>
      <c r="B3263" s="452">
        <v>56414596</v>
      </c>
      <c r="C3263" s="95">
        <f>+SUMIF('Anlage 2b_Korrekturen'!$B$647:$B$1026,A3263,'Anlage 2b_Korrekturen'!$D$647:$D$1026)</f>
        <v>-63644</v>
      </c>
      <c r="D3263" s="145">
        <f t="shared" si="108"/>
        <v>56350952</v>
      </c>
      <c r="E3263" s="143"/>
      <c r="F3263" s="143"/>
      <c r="G3263" s="143"/>
      <c r="H3263" s="143"/>
      <c r="I3263" t="s">
        <v>1171</v>
      </c>
    </row>
    <row r="3264" spans="1:9" hidden="1" outlineLevel="1">
      <c r="A3264" s="465" t="s">
        <v>1172</v>
      </c>
      <c r="B3264" s="452">
        <v>37737821</v>
      </c>
      <c r="C3264" s="95">
        <f>+SUMIF('Anlage 2b_Korrekturen'!$B$647:$B$1026,A3264,'Anlage 2b_Korrekturen'!$D$647:$D$1026)</f>
        <v>-7050</v>
      </c>
      <c r="D3264" s="145">
        <f t="shared" si="108"/>
        <v>37730771</v>
      </c>
      <c r="E3264" s="143"/>
      <c r="F3264" s="143"/>
      <c r="G3264" s="143"/>
      <c r="H3264" s="143"/>
      <c r="I3264" t="s">
        <v>1173</v>
      </c>
    </row>
    <row r="3265" spans="1:9" hidden="1" outlineLevel="1">
      <c r="A3265" s="465" t="s">
        <v>1174</v>
      </c>
      <c r="B3265" s="452">
        <v>332411946</v>
      </c>
      <c r="C3265" s="95">
        <f>+SUMIF('Anlage 2b_Korrekturen'!$B$647:$B$1026,A3265,'Anlage 2b_Korrekturen'!$D$647:$D$1026)</f>
        <v>-299265</v>
      </c>
      <c r="D3265" s="145">
        <f t="shared" si="108"/>
        <v>332112681</v>
      </c>
      <c r="E3265" s="143"/>
      <c r="F3265" s="143"/>
      <c r="G3265" s="143"/>
      <c r="H3265" s="143"/>
      <c r="I3265" t="s">
        <v>1175</v>
      </c>
    </row>
    <row r="3266" spans="1:9" hidden="1" outlineLevel="1">
      <c r="A3266" s="465" t="s">
        <v>1176</v>
      </c>
      <c r="B3266" s="452">
        <v>361514643</v>
      </c>
      <c r="C3266" s="95">
        <f>+SUMIF('Anlage 2b_Korrekturen'!$B$647:$B$1026,A3266,'Anlage 2b_Korrekturen'!$D$647:$D$1026)</f>
        <v>1075008.52</v>
      </c>
      <c r="D3266" s="145">
        <f t="shared" si="108"/>
        <v>362589651.51999998</v>
      </c>
      <c r="E3266" s="143"/>
      <c r="F3266" s="143"/>
      <c r="G3266" s="143"/>
      <c r="H3266" s="143"/>
      <c r="I3266" t="s">
        <v>1177</v>
      </c>
    </row>
    <row r="3267" spans="1:9" hidden="1" outlineLevel="1">
      <c r="A3267" s="465" t="s">
        <v>1178</v>
      </c>
      <c r="B3267" s="452">
        <v>17836406</v>
      </c>
      <c r="C3267" s="95">
        <f>+SUMIF('Anlage 2b_Korrekturen'!$B$647:$B$1026,A3267,'Anlage 2b_Korrekturen'!$D$647:$D$1026)</f>
        <v>-363099</v>
      </c>
      <c r="D3267" s="145">
        <f t="shared" si="108"/>
        <v>17473307</v>
      </c>
      <c r="E3267" s="143"/>
      <c r="F3267" s="143"/>
      <c r="G3267" s="143"/>
      <c r="H3267" s="143"/>
      <c r="I3267" t="s">
        <v>1179</v>
      </c>
    </row>
    <row r="3268" spans="1:9" hidden="1" outlineLevel="1">
      <c r="A3268" s="465" t="s">
        <v>1877</v>
      </c>
      <c r="B3268" s="452">
        <v>0</v>
      </c>
      <c r="C3268" s="95">
        <f>+SUMIF('Anlage 2b_Korrekturen'!$B$647:$B$1026,A3268,'Anlage 2b_Korrekturen'!$D$647:$D$1026)</f>
        <v>0</v>
      </c>
      <c r="D3268" s="145">
        <f t="shared" si="108"/>
        <v>0</v>
      </c>
      <c r="E3268" s="143"/>
      <c r="F3268" s="143"/>
      <c r="G3268" s="143"/>
      <c r="H3268" s="143"/>
      <c r="I3268" t="s">
        <v>1878</v>
      </c>
    </row>
    <row r="3269" spans="1:9" hidden="1" outlineLevel="1">
      <c r="A3269" s="465" t="s">
        <v>1180</v>
      </c>
      <c r="B3269" s="452">
        <v>16614843</v>
      </c>
      <c r="C3269" s="95">
        <f>+SUMIF('Anlage 2b_Korrekturen'!$B$647:$B$1026,A3269,'Anlage 2b_Korrekturen'!$D$647:$D$1026)</f>
        <v>0</v>
      </c>
      <c r="D3269" s="145">
        <f t="shared" si="108"/>
        <v>16614843</v>
      </c>
      <c r="E3269" s="143"/>
      <c r="F3269" s="143"/>
      <c r="G3269" s="143"/>
      <c r="H3269" s="143"/>
      <c r="I3269" t="s">
        <v>2119</v>
      </c>
    </row>
    <row r="3270" spans="1:9" hidden="1" outlineLevel="1">
      <c r="A3270" s="465" t="s">
        <v>1182</v>
      </c>
      <c r="B3270" s="452">
        <v>21105358</v>
      </c>
      <c r="C3270" s="95">
        <f>+SUMIF('Anlage 2b_Korrekturen'!$B$647:$B$1026,A3270,'Anlage 2b_Korrekturen'!$D$647:$D$1026)</f>
        <v>53430</v>
      </c>
      <c r="D3270" s="145">
        <f t="shared" si="108"/>
        <v>21158788</v>
      </c>
      <c r="E3270" s="143"/>
      <c r="F3270" s="143"/>
      <c r="G3270" s="143"/>
      <c r="H3270" s="143"/>
      <c r="I3270" t="s">
        <v>1183</v>
      </c>
    </row>
    <row r="3271" spans="1:9" hidden="1" outlineLevel="1">
      <c r="A3271" s="465" t="s">
        <v>1184</v>
      </c>
      <c r="B3271" s="452">
        <v>144084021</v>
      </c>
      <c r="C3271" s="95">
        <f>+SUMIF('Anlage 2b_Korrekturen'!$B$647:$B$1026,A3271,'Anlage 2b_Korrekturen'!$D$647:$D$1026)</f>
        <v>0</v>
      </c>
      <c r="D3271" s="145">
        <f t="shared" si="108"/>
        <v>144084021</v>
      </c>
      <c r="E3271" s="143"/>
      <c r="F3271" s="143"/>
      <c r="G3271" s="143"/>
      <c r="H3271" s="143"/>
      <c r="I3271" t="s">
        <v>1185</v>
      </c>
    </row>
    <row r="3272" spans="1:9" hidden="1" outlineLevel="1">
      <c r="A3272" s="465" t="s">
        <v>1186</v>
      </c>
      <c r="B3272" s="452">
        <v>87563053</v>
      </c>
      <c r="C3272" s="95">
        <f>+SUMIF('Anlage 2b_Korrekturen'!$B$647:$B$1026,A3272,'Anlage 2b_Korrekturen'!$D$647:$D$1026)</f>
        <v>92644</v>
      </c>
      <c r="D3272" s="145">
        <f t="shared" si="108"/>
        <v>87655697</v>
      </c>
      <c r="E3272" s="143"/>
      <c r="F3272" s="143"/>
      <c r="G3272" s="143"/>
      <c r="H3272" s="143"/>
      <c r="I3272" t="s">
        <v>1187</v>
      </c>
    </row>
    <row r="3273" spans="1:9" hidden="1" outlineLevel="1">
      <c r="A3273" s="465" t="s">
        <v>1188</v>
      </c>
      <c r="B3273" s="452">
        <v>24506432</v>
      </c>
      <c r="C3273" s="95">
        <f>+SUMIF('Anlage 2b_Korrekturen'!$B$647:$B$1026,A3273,'Anlage 2b_Korrekturen'!$D$647:$D$1026)</f>
        <v>0</v>
      </c>
      <c r="D3273" s="145">
        <f t="shared" si="108"/>
        <v>24506432</v>
      </c>
      <c r="E3273" s="143"/>
      <c r="F3273" s="143"/>
      <c r="G3273" s="143"/>
      <c r="H3273" s="143"/>
      <c r="I3273" t="s">
        <v>1189</v>
      </c>
    </row>
    <row r="3274" spans="1:9" hidden="1" outlineLevel="1">
      <c r="A3274" s="465" t="s">
        <v>1190</v>
      </c>
      <c r="B3274" s="452">
        <v>87910758.010000005</v>
      </c>
      <c r="C3274" s="95">
        <f>+SUMIF('Anlage 2b_Korrekturen'!$B$647:$B$1026,A3274,'Anlage 2b_Korrekturen'!$D$647:$D$1026)</f>
        <v>-929584</v>
      </c>
      <c r="D3274" s="145">
        <f t="shared" si="108"/>
        <v>86981174.010000005</v>
      </c>
      <c r="E3274" s="143"/>
      <c r="F3274" s="143"/>
      <c r="G3274" s="143"/>
      <c r="H3274" s="143"/>
      <c r="I3274" t="s">
        <v>1191</v>
      </c>
    </row>
    <row r="3275" spans="1:9" hidden="1" outlineLevel="1">
      <c r="A3275" s="465" t="s">
        <v>1192</v>
      </c>
      <c r="B3275" s="452">
        <v>118732096</v>
      </c>
      <c r="C3275" s="95">
        <f>+SUMIF('Anlage 2b_Korrekturen'!$B$647:$B$1026,A3275,'Anlage 2b_Korrekturen'!$D$647:$D$1026)</f>
        <v>0</v>
      </c>
      <c r="D3275" s="145">
        <f t="shared" si="108"/>
        <v>118732096</v>
      </c>
      <c r="E3275" s="143"/>
      <c r="F3275" s="143"/>
      <c r="G3275" s="143"/>
      <c r="H3275" s="143"/>
      <c r="I3275" t="s">
        <v>1193</v>
      </c>
    </row>
    <row r="3276" spans="1:9" hidden="1" outlineLevel="1">
      <c r="A3276" s="465" t="s">
        <v>1194</v>
      </c>
      <c r="B3276" s="452">
        <v>43382932</v>
      </c>
      <c r="C3276" s="95">
        <f>+SUMIF('Anlage 2b_Korrekturen'!$B$647:$B$1026,A3276,'Anlage 2b_Korrekturen'!$D$647:$D$1026)</f>
        <v>-166440</v>
      </c>
      <c r="D3276" s="145">
        <f t="shared" si="108"/>
        <v>43216492</v>
      </c>
      <c r="E3276" s="143"/>
      <c r="F3276" s="143"/>
      <c r="G3276" s="143"/>
      <c r="H3276" s="143"/>
      <c r="I3276" t="s">
        <v>1195</v>
      </c>
    </row>
    <row r="3277" spans="1:9" hidden="1" outlineLevel="1">
      <c r="A3277" s="465" t="s">
        <v>1196</v>
      </c>
      <c r="B3277" s="452">
        <v>96924486</v>
      </c>
      <c r="C3277" s="95">
        <f>+SUMIF('Anlage 2b_Korrekturen'!$B$647:$B$1026,A3277,'Anlage 2b_Korrekturen'!$D$647:$D$1026)</f>
        <v>-498603</v>
      </c>
      <c r="D3277" s="145">
        <f t="shared" si="108"/>
        <v>96425883</v>
      </c>
      <c r="E3277" s="143"/>
      <c r="F3277" s="143"/>
      <c r="G3277" s="143"/>
      <c r="H3277" s="143"/>
      <c r="I3277" t="s">
        <v>1197</v>
      </c>
    </row>
    <row r="3278" spans="1:9" hidden="1" outlineLevel="1">
      <c r="A3278" s="465" t="s">
        <v>1198</v>
      </c>
      <c r="B3278" s="452">
        <v>2067497473</v>
      </c>
      <c r="C3278" s="95">
        <f>+SUMIF('Anlage 2b_Korrekturen'!$B$647:$B$1026,A3278,'Anlage 2b_Korrekturen'!$D$647:$D$1026)</f>
        <v>0</v>
      </c>
      <c r="D3278" s="145">
        <f t="shared" si="108"/>
        <v>2067497473</v>
      </c>
      <c r="E3278" s="143"/>
      <c r="F3278" s="143"/>
      <c r="G3278" s="143"/>
      <c r="H3278" s="143"/>
      <c r="I3278" t="s">
        <v>1199</v>
      </c>
    </row>
    <row r="3279" spans="1:9" hidden="1" outlineLevel="1">
      <c r="A3279" s="465" t="s">
        <v>1200</v>
      </c>
      <c r="B3279" s="452">
        <v>239077408</v>
      </c>
      <c r="C3279" s="95">
        <f>+SUMIF('Anlage 2b_Korrekturen'!$B$647:$B$1026,A3279,'Anlage 2b_Korrekturen'!$D$647:$D$1026)</f>
        <v>27864</v>
      </c>
      <c r="D3279" s="145">
        <f t="shared" si="108"/>
        <v>239105272</v>
      </c>
      <c r="E3279" s="143"/>
      <c r="F3279" s="143"/>
      <c r="G3279" s="143"/>
      <c r="H3279" s="143"/>
      <c r="I3279" t="s">
        <v>1201</v>
      </c>
    </row>
    <row r="3280" spans="1:9" hidden="1" outlineLevel="1">
      <c r="A3280" s="465" t="s">
        <v>1202</v>
      </c>
      <c r="B3280" s="452">
        <v>19412416</v>
      </c>
      <c r="C3280" s="95">
        <f>+SUMIF('Anlage 2b_Korrekturen'!$B$647:$B$1026,A3280,'Anlage 2b_Korrekturen'!$D$647:$D$1026)</f>
        <v>0</v>
      </c>
      <c r="D3280" s="145">
        <f t="shared" si="108"/>
        <v>19412416</v>
      </c>
      <c r="E3280" s="143"/>
      <c r="F3280" s="143"/>
      <c r="G3280" s="143"/>
      <c r="H3280" s="143"/>
      <c r="I3280" t="s">
        <v>1203</v>
      </c>
    </row>
    <row r="3281" spans="1:9" hidden="1" outlineLevel="1">
      <c r="A3281" s="465" t="s">
        <v>1204</v>
      </c>
      <c r="B3281" s="452">
        <v>6359390192</v>
      </c>
      <c r="C3281" s="95">
        <f>+SUMIF('Anlage 2b_Korrekturen'!$B$647:$B$1026,A3281,'Anlage 2b_Korrekturen'!$D$647:$D$1026)</f>
        <v>17014060</v>
      </c>
      <c r="D3281" s="145">
        <f t="shared" si="108"/>
        <v>6376404252</v>
      </c>
      <c r="E3281" s="143"/>
      <c r="F3281" s="143"/>
      <c r="G3281" s="143"/>
      <c r="H3281" s="143"/>
      <c r="I3281" t="s">
        <v>1205</v>
      </c>
    </row>
    <row r="3282" spans="1:9" hidden="1" outlineLevel="1">
      <c r="A3282" s="465" t="s">
        <v>1206</v>
      </c>
      <c r="B3282" s="452">
        <v>83641407</v>
      </c>
      <c r="C3282" s="95">
        <f>+SUMIF('Anlage 2b_Korrekturen'!$B$647:$B$1026,A3282,'Anlage 2b_Korrekturen'!$D$647:$D$1026)</f>
        <v>0</v>
      </c>
      <c r="D3282" s="145">
        <f t="shared" si="108"/>
        <v>83641407</v>
      </c>
      <c r="E3282" s="143"/>
      <c r="F3282" s="143"/>
      <c r="G3282" s="143"/>
      <c r="H3282" s="143"/>
      <c r="I3282" t="s">
        <v>2120</v>
      </c>
    </row>
    <row r="3283" spans="1:9" hidden="1" outlineLevel="1">
      <c r="A3283" s="465" t="s">
        <v>1208</v>
      </c>
      <c r="B3283" s="452">
        <v>53286623</v>
      </c>
      <c r="C3283" s="95">
        <f>+SUMIF('Anlage 2b_Korrekturen'!$B$647:$B$1026,A3283,'Anlage 2b_Korrekturen'!$D$647:$D$1026)</f>
        <v>0</v>
      </c>
      <c r="D3283" s="145">
        <f t="shared" si="108"/>
        <v>53286623</v>
      </c>
      <c r="E3283" s="143"/>
      <c r="F3283" s="143"/>
      <c r="G3283" s="143"/>
      <c r="H3283" s="143"/>
      <c r="I3283" t="s">
        <v>1209</v>
      </c>
    </row>
    <row r="3284" spans="1:9" hidden="1" outlineLevel="1">
      <c r="A3284" s="465" t="s">
        <v>1210</v>
      </c>
      <c r="B3284" s="452">
        <v>1007599312</v>
      </c>
      <c r="C3284" s="95">
        <f>+SUMIF('Anlage 2b_Korrekturen'!$B$647:$B$1026,A3284,'Anlage 2b_Korrekturen'!$D$647:$D$1026)</f>
        <v>0</v>
      </c>
      <c r="D3284" s="145">
        <f t="shared" si="108"/>
        <v>1007599312</v>
      </c>
      <c r="E3284" s="143"/>
      <c r="F3284" s="143"/>
      <c r="G3284" s="143"/>
      <c r="H3284" s="143"/>
      <c r="I3284" t="s">
        <v>2121</v>
      </c>
    </row>
    <row r="3285" spans="1:9" hidden="1" outlineLevel="1">
      <c r="A3285" s="465" t="s">
        <v>1212</v>
      </c>
      <c r="B3285" s="452">
        <v>64524761</v>
      </c>
      <c r="C3285" s="95">
        <f>+SUMIF('Anlage 2b_Korrekturen'!$B$647:$B$1026,A3285,'Anlage 2b_Korrekturen'!$D$647:$D$1026)</f>
        <v>0</v>
      </c>
      <c r="D3285" s="145">
        <f t="shared" ref="D3285:D3348" si="109">B3285+C3285</f>
        <v>64524761</v>
      </c>
      <c r="E3285" s="143"/>
      <c r="F3285" s="143"/>
      <c r="G3285" s="143"/>
      <c r="H3285" s="143"/>
      <c r="I3285" t="s">
        <v>1213</v>
      </c>
    </row>
    <row r="3286" spans="1:9" hidden="1" outlineLevel="1">
      <c r="A3286" s="465" t="s">
        <v>1214</v>
      </c>
      <c r="B3286" s="452">
        <v>26779877.550000001</v>
      </c>
      <c r="C3286" s="95">
        <f>+SUMIF('Anlage 2b_Korrekturen'!$B$647:$B$1026,A3286,'Anlage 2b_Korrekturen'!$D$647:$D$1026)</f>
        <v>0</v>
      </c>
      <c r="D3286" s="145">
        <f t="shared" si="109"/>
        <v>26779877.550000001</v>
      </c>
      <c r="E3286" s="143"/>
      <c r="F3286" s="143"/>
      <c r="G3286" s="143"/>
      <c r="H3286" s="143"/>
      <c r="I3286" t="s">
        <v>1215</v>
      </c>
    </row>
    <row r="3287" spans="1:9" hidden="1" outlineLevel="1">
      <c r="A3287" s="465" t="s">
        <v>1216</v>
      </c>
      <c r="B3287" s="452">
        <v>36641432</v>
      </c>
      <c r="C3287" s="95">
        <f>+SUMIF('Anlage 2b_Korrekturen'!$B$647:$B$1026,A3287,'Anlage 2b_Korrekturen'!$D$647:$D$1026)</f>
        <v>0</v>
      </c>
      <c r="D3287" s="145">
        <f t="shared" si="109"/>
        <v>36641432</v>
      </c>
      <c r="E3287" s="143"/>
      <c r="F3287" s="143"/>
      <c r="G3287" s="143"/>
      <c r="H3287" s="143"/>
      <c r="I3287" t="s">
        <v>1217</v>
      </c>
    </row>
    <row r="3288" spans="1:9" hidden="1" outlineLevel="1">
      <c r="A3288" s="465" t="s">
        <v>1218</v>
      </c>
      <c r="B3288" s="452">
        <v>59847711</v>
      </c>
      <c r="C3288" s="95">
        <f>+SUMIF('Anlage 2b_Korrekturen'!$B$647:$B$1026,A3288,'Anlage 2b_Korrekturen'!$D$647:$D$1026)</f>
        <v>0</v>
      </c>
      <c r="D3288" s="145">
        <f t="shared" si="109"/>
        <v>59847711</v>
      </c>
      <c r="E3288" s="143"/>
      <c r="F3288" s="143"/>
      <c r="G3288" s="143"/>
      <c r="H3288" s="143"/>
      <c r="I3288" t="s">
        <v>1219</v>
      </c>
    </row>
    <row r="3289" spans="1:9" hidden="1" outlineLevel="1">
      <c r="A3289" s="465" t="s">
        <v>1220</v>
      </c>
      <c r="B3289" s="452">
        <v>61824518</v>
      </c>
      <c r="C3289" s="95">
        <f>+SUMIF('Anlage 2b_Korrekturen'!$B$647:$B$1026,A3289,'Anlage 2b_Korrekturen'!$D$647:$D$1026)</f>
        <v>0</v>
      </c>
      <c r="D3289" s="145">
        <f t="shared" si="109"/>
        <v>61824518</v>
      </c>
      <c r="E3289" s="143"/>
      <c r="F3289" s="143"/>
      <c r="G3289" s="143"/>
      <c r="H3289" s="143"/>
      <c r="I3289" t="s">
        <v>1221</v>
      </c>
    </row>
    <row r="3290" spans="1:9" hidden="1" outlineLevel="1">
      <c r="A3290" s="465" t="s">
        <v>1476</v>
      </c>
      <c r="B3290" s="452">
        <v>237071357</v>
      </c>
      <c r="C3290" s="95">
        <f>+SUMIF('Anlage 2b_Korrekturen'!$B$647:$B$1026,A3290,'Anlage 2b_Korrekturen'!$D$647:$D$1026)</f>
        <v>-41478</v>
      </c>
      <c r="D3290" s="145">
        <f t="shared" si="109"/>
        <v>237029879</v>
      </c>
      <c r="E3290" s="143"/>
      <c r="F3290" s="143"/>
      <c r="G3290" s="143"/>
      <c r="H3290" s="143"/>
      <c r="I3290" t="s">
        <v>1477</v>
      </c>
    </row>
    <row r="3291" spans="1:9" hidden="1" outlineLevel="1">
      <c r="A3291" s="465" t="s">
        <v>1222</v>
      </c>
      <c r="B3291" s="452">
        <v>57349763</v>
      </c>
      <c r="C3291" s="95">
        <f>+SUMIF('Anlage 2b_Korrekturen'!$B$647:$B$1026,A3291,'Anlage 2b_Korrekturen'!$D$647:$D$1026)</f>
        <v>0</v>
      </c>
      <c r="D3291" s="145">
        <f t="shared" si="109"/>
        <v>57349763</v>
      </c>
      <c r="E3291" s="143"/>
      <c r="F3291" s="143"/>
      <c r="G3291" s="143"/>
      <c r="H3291" s="143"/>
      <c r="I3291" t="s">
        <v>1223</v>
      </c>
    </row>
    <row r="3292" spans="1:9" hidden="1" outlineLevel="1">
      <c r="A3292" s="465" t="s">
        <v>1224</v>
      </c>
      <c r="B3292" s="452">
        <v>54116170</v>
      </c>
      <c r="C3292" s="95">
        <f>+SUMIF('Anlage 2b_Korrekturen'!$B$647:$B$1026,A3292,'Anlage 2b_Korrekturen'!$D$647:$D$1026)</f>
        <v>0</v>
      </c>
      <c r="D3292" s="145">
        <f t="shared" si="109"/>
        <v>54116170</v>
      </c>
      <c r="E3292" s="143"/>
      <c r="F3292" s="143"/>
      <c r="G3292" s="143"/>
      <c r="H3292" s="143"/>
      <c r="I3292" t="s">
        <v>1225</v>
      </c>
    </row>
    <row r="3293" spans="1:9" hidden="1" outlineLevel="1">
      <c r="A3293" s="465" t="s">
        <v>1226</v>
      </c>
      <c r="B3293" s="452">
        <v>58787734</v>
      </c>
      <c r="C3293" s="95">
        <f>+SUMIF('Anlage 2b_Korrekturen'!$B$647:$B$1026,A3293,'Anlage 2b_Korrekturen'!$D$647:$D$1026)</f>
        <v>0</v>
      </c>
      <c r="D3293" s="145">
        <f t="shared" si="109"/>
        <v>58787734</v>
      </c>
      <c r="E3293" s="143"/>
      <c r="F3293" s="143"/>
      <c r="G3293" s="143"/>
      <c r="H3293" s="143"/>
      <c r="I3293" t="s">
        <v>1227</v>
      </c>
    </row>
    <row r="3294" spans="1:9" hidden="1" outlineLevel="1">
      <c r="A3294" s="465" t="s">
        <v>1228</v>
      </c>
      <c r="B3294" s="452">
        <v>143831363</v>
      </c>
      <c r="C3294" s="95">
        <f>+SUMIF('Anlage 2b_Korrekturen'!$B$647:$B$1026,A3294,'Anlage 2b_Korrekturen'!$D$647:$D$1026)</f>
        <v>-78859</v>
      </c>
      <c r="D3294" s="145">
        <f t="shared" si="109"/>
        <v>143752504</v>
      </c>
      <c r="E3294" s="143"/>
      <c r="F3294" s="143"/>
      <c r="G3294" s="143"/>
      <c r="H3294" s="143"/>
      <c r="I3294" t="s">
        <v>1229</v>
      </c>
    </row>
    <row r="3295" spans="1:9" hidden="1" outlineLevel="1">
      <c r="A3295" s="465" t="s">
        <v>1230</v>
      </c>
      <c r="B3295" s="452">
        <v>52173453</v>
      </c>
      <c r="C3295" s="95">
        <f>+SUMIF('Anlage 2b_Korrekturen'!$B$647:$B$1026,A3295,'Anlage 2b_Korrekturen'!$D$647:$D$1026)</f>
        <v>-1861</v>
      </c>
      <c r="D3295" s="145">
        <f t="shared" si="109"/>
        <v>52171592</v>
      </c>
      <c r="E3295" s="143"/>
      <c r="F3295" s="143"/>
      <c r="G3295" s="143"/>
      <c r="H3295" s="143"/>
      <c r="I3295" t="s">
        <v>1231</v>
      </c>
    </row>
    <row r="3296" spans="1:9" hidden="1" outlineLevel="1">
      <c r="A3296" s="465" t="s">
        <v>1232</v>
      </c>
      <c r="B3296" s="452">
        <v>20294171</v>
      </c>
      <c r="C3296" s="95">
        <f>+SUMIF('Anlage 2b_Korrekturen'!$B$647:$B$1026,A3296,'Anlage 2b_Korrekturen'!$D$647:$D$1026)</f>
        <v>0</v>
      </c>
      <c r="D3296" s="145">
        <f t="shared" si="109"/>
        <v>20294171</v>
      </c>
      <c r="E3296" s="143"/>
      <c r="F3296" s="143"/>
      <c r="G3296" s="143"/>
      <c r="H3296" s="143"/>
      <c r="I3296" t="s">
        <v>2122</v>
      </c>
    </row>
    <row r="3297" spans="1:9" hidden="1" outlineLevel="1">
      <c r="A3297" s="465" t="s">
        <v>1234</v>
      </c>
      <c r="B3297" s="452">
        <v>23696656.870000001</v>
      </c>
      <c r="C3297" s="95">
        <f>+SUMIF('Anlage 2b_Korrekturen'!$B$647:$B$1026,A3297,'Anlage 2b_Korrekturen'!$D$647:$D$1026)</f>
        <v>0</v>
      </c>
      <c r="D3297" s="145">
        <f t="shared" si="109"/>
        <v>23696656.870000001</v>
      </c>
      <c r="E3297" s="143"/>
      <c r="F3297" s="143"/>
      <c r="G3297" s="143"/>
      <c r="H3297" s="143"/>
      <c r="I3297" t="s">
        <v>1235</v>
      </c>
    </row>
    <row r="3298" spans="1:9" hidden="1" outlineLevel="1">
      <c r="A3298" s="465" t="s">
        <v>1236</v>
      </c>
      <c r="B3298" s="452">
        <v>55845024</v>
      </c>
      <c r="C3298" s="95">
        <f>+SUMIF('Anlage 2b_Korrekturen'!$B$647:$B$1026,A3298,'Anlage 2b_Korrekturen'!$D$647:$D$1026)</f>
        <v>0</v>
      </c>
      <c r="D3298" s="145">
        <f t="shared" si="109"/>
        <v>55845024</v>
      </c>
      <c r="E3298" s="143"/>
      <c r="F3298" s="143"/>
      <c r="G3298" s="143"/>
      <c r="H3298" s="143"/>
      <c r="I3298" t="s">
        <v>1237</v>
      </c>
    </row>
    <row r="3299" spans="1:9" hidden="1" outlineLevel="1">
      <c r="A3299" s="465" t="s">
        <v>1238</v>
      </c>
      <c r="B3299" s="452">
        <v>860773647</v>
      </c>
      <c r="C3299" s="95">
        <f>+SUMIF('Anlage 2b_Korrekturen'!$B$647:$B$1026,A3299,'Anlage 2b_Korrekturen'!$D$647:$D$1026)</f>
        <v>0</v>
      </c>
      <c r="D3299" s="145">
        <f t="shared" si="109"/>
        <v>860773647</v>
      </c>
      <c r="E3299" s="143"/>
      <c r="F3299" s="143"/>
      <c r="G3299" s="143"/>
      <c r="H3299" s="143"/>
      <c r="I3299" t="s">
        <v>1239</v>
      </c>
    </row>
    <row r="3300" spans="1:9" hidden="1" outlineLevel="1">
      <c r="A3300" s="465" t="s">
        <v>1879</v>
      </c>
      <c r="B3300" s="452">
        <v>6078622</v>
      </c>
      <c r="C3300" s="95">
        <f>+SUMIF('Anlage 2b_Korrekturen'!$B$647:$B$1026,A3300,'Anlage 2b_Korrekturen'!$D$647:$D$1026)</f>
        <v>0</v>
      </c>
      <c r="D3300" s="145">
        <f t="shared" si="109"/>
        <v>6078622</v>
      </c>
      <c r="E3300" s="143"/>
      <c r="F3300" s="143"/>
      <c r="G3300" s="143"/>
      <c r="H3300" s="143"/>
      <c r="I3300" t="s">
        <v>1880</v>
      </c>
    </row>
    <row r="3301" spans="1:9" hidden="1" outlineLevel="1">
      <c r="A3301" s="465" t="s">
        <v>1240</v>
      </c>
      <c r="B3301" s="452">
        <v>19166246</v>
      </c>
      <c r="C3301" s="95">
        <f>+SUMIF('Anlage 2b_Korrekturen'!$B$647:$B$1026,A3301,'Anlage 2b_Korrekturen'!$D$647:$D$1026)</f>
        <v>191827</v>
      </c>
      <c r="D3301" s="145">
        <f t="shared" si="109"/>
        <v>19358073</v>
      </c>
      <c r="E3301" s="143"/>
      <c r="F3301" s="143"/>
      <c r="G3301" s="143"/>
      <c r="H3301" s="143"/>
      <c r="I3301" t="s">
        <v>1241</v>
      </c>
    </row>
    <row r="3302" spans="1:9" hidden="1" outlineLevel="1">
      <c r="A3302" s="465" t="s">
        <v>1242</v>
      </c>
      <c r="B3302" s="452">
        <v>177702669</v>
      </c>
      <c r="C3302" s="95">
        <f>+SUMIF('Anlage 2b_Korrekturen'!$B$647:$B$1026,A3302,'Anlage 2b_Korrekturen'!$D$647:$D$1026)</f>
        <v>2174242</v>
      </c>
      <c r="D3302" s="145">
        <f t="shared" si="109"/>
        <v>179876911</v>
      </c>
      <c r="E3302" s="143"/>
      <c r="F3302" s="143"/>
      <c r="G3302" s="143"/>
      <c r="H3302" s="143"/>
      <c r="I3302" t="s">
        <v>1243</v>
      </c>
    </row>
    <row r="3303" spans="1:9" hidden="1" outlineLevel="1">
      <c r="A3303" s="465" t="s">
        <v>1244</v>
      </c>
      <c r="B3303" s="452">
        <v>16274583</v>
      </c>
      <c r="C3303" s="95">
        <f>+SUMIF('Anlage 2b_Korrekturen'!$B$647:$B$1026,A3303,'Anlage 2b_Korrekturen'!$D$647:$D$1026)</f>
        <v>0</v>
      </c>
      <c r="D3303" s="145">
        <f t="shared" si="109"/>
        <v>16274583</v>
      </c>
      <c r="E3303" s="143"/>
      <c r="F3303" s="143"/>
      <c r="G3303" s="143"/>
      <c r="H3303" s="143"/>
      <c r="I3303" t="s">
        <v>1245</v>
      </c>
    </row>
    <row r="3304" spans="1:9" hidden="1" outlineLevel="1">
      <c r="A3304" s="465" t="s">
        <v>1246</v>
      </c>
      <c r="B3304" s="452">
        <v>115782685</v>
      </c>
      <c r="C3304" s="95">
        <f>+SUMIF('Anlage 2b_Korrekturen'!$B$647:$B$1026,A3304,'Anlage 2b_Korrekturen'!$D$647:$D$1026)</f>
        <v>924161</v>
      </c>
      <c r="D3304" s="145">
        <f t="shared" si="109"/>
        <v>116706846</v>
      </c>
      <c r="E3304" s="143"/>
      <c r="F3304" s="143"/>
      <c r="G3304" s="143"/>
      <c r="H3304" s="143"/>
      <c r="I3304" t="s">
        <v>1247</v>
      </c>
    </row>
    <row r="3305" spans="1:9" hidden="1" outlineLevel="1">
      <c r="A3305" s="465" t="s">
        <v>1248</v>
      </c>
      <c r="B3305" s="452">
        <v>14683775</v>
      </c>
      <c r="C3305" s="95">
        <f>+SUMIF('Anlage 2b_Korrekturen'!$B$647:$B$1026,A3305,'Anlage 2b_Korrekturen'!$D$647:$D$1026)</f>
        <v>0</v>
      </c>
      <c r="D3305" s="145">
        <f t="shared" si="109"/>
        <v>14683775</v>
      </c>
      <c r="E3305" s="143"/>
      <c r="F3305" s="143"/>
      <c r="G3305" s="143"/>
      <c r="H3305" s="143"/>
      <c r="I3305" t="s">
        <v>1249</v>
      </c>
    </row>
    <row r="3306" spans="1:9" hidden="1" outlineLevel="1">
      <c r="A3306" s="465" t="s">
        <v>1250</v>
      </c>
      <c r="B3306" s="452">
        <v>342918982</v>
      </c>
      <c r="C3306" s="95">
        <f>+SUMIF('Anlage 2b_Korrekturen'!$B$647:$B$1026,A3306,'Anlage 2b_Korrekturen'!$D$647:$D$1026)</f>
        <v>0</v>
      </c>
      <c r="D3306" s="145">
        <f t="shared" si="109"/>
        <v>342918982</v>
      </c>
      <c r="E3306" s="143"/>
      <c r="F3306" s="143"/>
      <c r="G3306" s="143"/>
      <c r="H3306" s="143"/>
      <c r="I3306" t="s">
        <v>1251</v>
      </c>
    </row>
    <row r="3307" spans="1:9" hidden="1" outlineLevel="1">
      <c r="A3307" s="465" t="s">
        <v>1252</v>
      </c>
      <c r="B3307" s="452">
        <v>45607942</v>
      </c>
      <c r="C3307" s="95">
        <f>+SUMIF('Anlage 2b_Korrekturen'!$B$647:$B$1026,A3307,'Anlage 2b_Korrekturen'!$D$647:$D$1026)</f>
        <v>0</v>
      </c>
      <c r="D3307" s="145">
        <f t="shared" si="109"/>
        <v>45607942</v>
      </c>
      <c r="E3307" s="143"/>
      <c r="F3307" s="143"/>
      <c r="G3307" s="143"/>
      <c r="H3307" s="143"/>
      <c r="I3307" t="s">
        <v>1253</v>
      </c>
    </row>
    <row r="3308" spans="1:9" hidden="1" outlineLevel="1">
      <c r="A3308" s="465" t="s">
        <v>1254</v>
      </c>
      <c r="B3308" s="452">
        <v>99293434</v>
      </c>
      <c r="C3308" s="95">
        <f>+SUMIF('Anlage 2b_Korrekturen'!$B$647:$B$1026,A3308,'Anlage 2b_Korrekturen'!$D$647:$D$1026)</f>
        <v>-104552</v>
      </c>
      <c r="D3308" s="145">
        <f t="shared" si="109"/>
        <v>99188882</v>
      </c>
      <c r="E3308" s="143"/>
      <c r="F3308" s="143"/>
      <c r="G3308" s="143"/>
      <c r="H3308" s="143"/>
      <c r="I3308" t="s">
        <v>1255</v>
      </c>
    </row>
    <row r="3309" spans="1:9" hidden="1" outlineLevel="1">
      <c r="A3309" s="465" t="s">
        <v>1256</v>
      </c>
      <c r="B3309" s="452">
        <v>14453637</v>
      </c>
      <c r="C3309" s="95">
        <f>+SUMIF('Anlage 2b_Korrekturen'!$B$647:$B$1026,A3309,'Anlage 2b_Korrekturen'!$D$647:$D$1026)</f>
        <v>-47450</v>
      </c>
      <c r="D3309" s="145">
        <f t="shared" si="109"/>
        <v>14406187</v>
      </c>
      <c r="E3309" s="143"/>
      <c r="F3309" s="143"/>
      <c r="G3309" s="143"/>
      <c r="H3309" s="143"/>
      <c r="I3309" t="s">
        <v>1257</v>
      </c>
    </row>
    <row r="3310" spans="1:9" hidden="1" outlineLevel="1">
      <c r="A3310" s="465" t="s">
        <v>1258</v>
      </c>
      <c r="B3310" s="452">
        <v>18372112</v>
      </c>
      <c r="C3310" s="95">
        <f>+SUMIF('Anlage 2b_Korrekturen'!$B$647:$B$1026,A3310,'Anlage 2b_Korrekturen'!$D$647:$D$1026)</f>
        <v>30422</v>
      </c>
      <c r="D3310" s="145">
        <f t="shared" si="109"/>
        <v>18402534</v>
      </c>
      <c r="E3310" s="143"/>
      <c r="F3310" s="143"/>
      <c r="G3310" s="143"/>
      <c r="H3310" s="143"/>
      <c r="I3310" t="s">
        <v>1259</v>
      </c>
    </row>
    <row r="3311" spans="1:9" hidden="1" outlineLevel="1">
      <c r="A3311" s="465" t="s">
        <v>1260</v>
      </c>
      <c r="B3311" s="452">
        <v>1117032948</v>
      </c>
      <c r="C3311" s="95">
        <f>+SUMIF('Anlage 2b_Korrekturen'!$B$647:$B$1026,A3311,'Anlage 2b_Korrekturen'!$D$647:$D$1026)</f>
        <v>8258591</v>
      </c>
      <c r="D3311" s="145">
        <f t="shared" si="109"/>
        <v>1125291539</v>
      </c>
      <c r="E3311" s="143"/>
      <c r="F3311" s="143"/>
      <c r="G3311" s="143"/>
      <c r="H3311" s="143"/>
      <c r="I3311" t="s">
        <v>1261</v>
      </c>
    </row>
    <row r="3312" spans="1:9" hidden="1" outlineLevel="1">
      <c r="A3312" s="465" t="s">
        <v>1262</v>
      </c>
      <c r="B3312" s="452">
        <v>164340091</v>
      </c>
      <c r="C3312" s="95">
        <f>+SUMIF('Anlage 2b_Korrekturen'!$B$647:$B$1026,A3312,'Anlage 2b_Korrekturen'!$D$647:$D$1026)</f>
        <v>0</v>
      </c>
      <c r="D3312" s="145">
        <f t="shared" si="109"/>
        <v>164340091</v>
      </c>
      <c r="E3312" s="143"/>
      <c r="F3312" s="143"/>
      <c r="G3312" s="143"/>
      <c r="H3312" s="143"/>
      <c r="I3312" t="s">
        <v>1263</v>
      </c>
    </row>
    <row r="3313" spans="1:9" hidden="1" outlineLevel="1">
      <c r="A3313" s="465" t="s">
        <v>1881</v>
      </c>
      <c r="B3313" s="452">
        <v>1726795</v>
      </c>
      <c r="C3313" s="95">
        <f>+SUMIF('Anlage 2b_Korrekturen'!$B$647:$B$1026,A3313,'Anlage 2b_Korrekturen'!$D$647:$D$1026)</f>
        <v>0</v>
      </c>
      <c r="D3313" s="145">
        <f t="shared" si="109"/>
        <v>1726795</v>
      </c>
      <c r="E3313" s="143"/>
      <c r="F3313" s="143"/>
      <c r="G3313" s="143"/>
      <c r="H3313" s="143"/>
      <c r="I3313" t="s">
        <v>1882</v>
      </c>
    </row>
    <row r="3314" spans="1:9" hidden="1" outlineLevel="1">
      <c r="A3314" s="465" t="s">
        <v>1883</v>
      </c>
      <c r="B3314" s="452">
        <v>21827657</v>
      </c>
      <c r="C3314" s="95">
        <f>+SUMIF('Anlage 2b_Korrekturen'!$B$647:$B$1026,A3314,'Anlage 2b_Korrekturen'!$D$647:$D$1026)</f>
        <v>0</v>
      </c>
      <c r="D3314" s="145">
        <f t="shared" si="109"/>
        <v>21827657</v>
      </c>
      <c r="E3314" s="143"/>
      <c r="F3314" s="143"/>
      <c r="G3314" s="143"/>
      <c r="H3314" s="143"/>
      <c r="I3314" t="s">
        <v>1884</v>
      </c>
    </row>
    <row r="3315" spans="1:9" hidden="1" outlineLevel="1">
      <c r="A3315" s="465" t="s">
        <v>1264</v>
      </c>
      <c r="B3315" s="452">
        <v>20979052</v>
      </c>
      <c r="C3315" s="95">
        <f>+SUMIF('Anlage 2b_Korrekturen'!$B$647:$B$1026,A3315,'Anlage 2b_Korrekturen'!$D$647:$D$1026)</f>
        <v>0</v>
      </c>
      <c r="D3315" s="145">
        <f t="shared" si="109"/>
        <v>20979052</v>
      </c>
      <c r="E3315" s="143"/>
      <c r="F3315" s="143"/>
      <c r="G3315" s="143"/>
      <c r="H3315" s="143"/>
      <c r="I3315" t="s">
        <v>1265</v>
      </c>
    </row>
    <row r="3316" spans="1:9" hidden="1" outlineLevel="1">
      <c r="A3316" s="465" t="s">
        <v>1482</v>
      </c>
      <c r="B3316" s="452">
        <v>86774145</v>
      </c>
      <c r="C3316" s="95">
        <f>+SUMIF('Anlage 2b_Korrekturen'!$B$647:$B$1026,A3316,'Anlage 2b_Korrekturen'!$D$647:$D$1026)</f>
        <v>0</v>
      </c>
      <c r="D3316" s="145">
        <f t="shared" si="109"/>
        <v>86774145</v>
      </c>
      <c r="E3316" s="143"/>
      <c r="F3316" s="143"/>
      <c r="G3316" s="143"/>
      <c r="H3316" s="143"/>
      <c r="I3316" t="s">
        <v>1483</v>
      </c>
    </row>
    <row r="3317" spans="1:9" hidden="1" outlineLevel="1">
      <c r="A3317" s="465" t="s">
        <v>1266</v>
      </c>
      <c r="B3317" s="452">
        <v>43572706</v>
      </c>
      <c r="C3317" s="95">
        <f>+SUMIF('Anlage 2b_Korrekturen'!$B$647:$B$1026,A3317,'Anlage 2b_Korrekturen'!$D$647:$D$1026)</f>
        <v>0</v>
      </c>
      <c r="D3317" s="145">
        <f t="shared" si="109"/>
        <v>43572706</v>
      </c>
      <c r="E3317" s="143"/>
      <c r="F3317" s="143"/>
      <c r="G3317" s="143"/>
      <c r="H3317" s="143"/>
      <c r="I3317" t="s">
        <v>1267</v>
      </c>
    </row>
    <row r="3318" spans="1:9" hidden="1" outlineLevel="1">
      <c r="A3318" s="465" t="s">
        <v>1268</v>
      </c>
      <c r="B3318" s="452">
        <v>778392127</v>
      </c>
      <c r="C3318" s="95">
        <f>+SUMIF('Anlage 2b_Korrekturen'!$B$647:$B$1026,A3318,'Anlage 2b_Korrekturen'!$D$647:$D$1026)</f>
        <v>0</v>
      </c>
      <c r="D3318" s="145">
        <f t="shared" si="109"/>
        <v>778392127</v>
      </c>
      <c r="E3318" s="143"/>
      <c r="F3318" s="143"/>
      <c r="G3318" s="143"/>
      <c r="H3318" s="143"/>
      <c r="I3318" t="s">
        <v>2123</v>
      </c>
    </row>
    <row r="3319" spans="1:9" hidden="1" outlineLevel="1">
      <c r="A3319" s="465" t="s">
        <v>1270</v>
      </c>
      <c r="B3319" s="452">
        <v>66536736.799999997</v>
      </c>
      <c r="C3319" s="95">
        <f>+SUMIF('Anlage 2b_Korrekturen'!$B$647:$B$1026,A3319,'Anlage 2b_Korrekturen'!$D$647:$D$1026)</f>
        <v>0</v>
      </c>
      <c r="D3319" s="145">
        <f t="shared" si="109"/>
        <v>66536736.799999997</v>
      </c>
      <c r="E3319" s="143"/>
      <c r="F3319" s="143"/>
      <c r="G3319" s="143"/>
      <c r="H3319" s="143"/>
      <c r="I3319" t="s">
        <v>1271</v>
      </c>
    </row>
    <row r="3320" spans="1:9" hidden="1" outlineLevel="1">
      <c r="A3320" s="465" t="s">
        <v>1272</v>
      </c>
      <c r="B3320" s="452">
        <v>34702805</v>
      </c>
      <c r="C3320" s="95">
        <f>+SUMIF('Anlage 2b_Korrekturen'!$B$647:$B$1026,A3320,'Anlage 2b_Korrekturen'!$D$647:$D$1026)</f>
        <v>-217692</v>
      </c>
      <c r="D3320" s="145">
        <f t="shared" si="109"/>
        <v>34485113</v>
      </c>
      <c r="E3320" s="143"/>
      <c r="F3320" s="143"/>
      <c r="G3320" s="143"/>
      <c r="H3320" s="143"/>
      <c r="I3320" t="s">
        <v>1273</v>
      </c>
    </row>
    <row r="3321" spans="1:9" hidden="1" outlineLevel="1">
      <c r="A3321" s="465" t="s">
        <v>1274</v>
      </c>
      <c r="B3321" s="452">
        <v>140520474</v>
      </c>
      <c r="C3321" s="95">
        <f>+SUMIF('Anlage 2b_Korrekturen'!$B$647:$B$1026,A3321,'Anlage 2b_Korrekturen'!$D$647:$D$1026)</f>
        <v>-1430388</v>
      </c>
      <c r="D3321" s="145">
        <f t="shared" si="109"/>
        <v>139090086</v>
      </c>
      <c r="E3321" s="143"/>
      <c r="F3321" s="143"/>
      <c r="G3321" s="143"/>
      <c r="H3321" s="143"/>
      <c r="I3321" t="s">
        <v>1275</v>
      </c>
    </row>
    <row r="3322" spans="1:9" hidden="1" outlineLevel="1">
      <c r="A3322" s="465" t="s">
        <v>1276</v>
      </c>
      <c r="B3322" s="452">
        <v>69079672</v>
      </c>
      <c r="C3322" s="95">
        <f>+SUMIF('Anlage 2b_Korrekturen'!$B$647:$B$1026,A3322,'Anlage 2b_Korrekturen'!$D$647:$D$1026)</f>
        <v>-1054988</v>
      </c>
      <c r="D3322" s="145">
        <f t="shared" si="109"/>
        <v>68024684</v>
      </c>
      <c r="E3322" s="143"/>
      <c r="F3322" s="143"/>
      <c r="G3322" s="143"/>
      <c r="H3322" s="143"/>
      <c r="I3322" t="s">
        <v>2035</v>
      </c>
    </row>
    <row r="3323" spans="1:9" hidden="1" outlineLevel="1">
      <c r="A3323" s="465" t="s">
        <v>1278</v>
      </c>
      <c r="B3323" s="452">
        <v>33590614</v>
      </c>
      <c r="C3323" s="95">
        <f>+SUMIF('Anlage 2b_Korrekturen'!$B$647:$B$1026,A3323,'Anlage 2b_Korrekturen'!$D$647:$D$1026)</f>
        <v>0</v>
      </c>
      <c r="D3323" s="145">
        <f t="shared" si="109"/>
        <v>33590614</v>
      </c>
      <c r="E3323" s="143"/>
      <c r="F3323" s="143"/>
      <c r="G3323" s="143"/>
      <c r="H3323" s="143"/>
      <c r="I3323" t="s">
        <v>2124</v>
      </c>
    </row>
    <row r="3324" spans="1:9" hidden="1" outlineLevel="1">
      <c r="A3324" s="465" t="s">
        <v>1885</v>
      </c>
      <c r="B3324" s="452">
        <v>11333833</v>
      </c>
      <c r="C3324" s="95">
        <f>+SUMIF('Anlage 2b_Korrekturen'!$B$647:$B$1026,A3324,'Anlage 2b_Korrekturen'!$D$647:$D$1026)</f>
        <v>0</v>
      </c>
      <c r="D3324" s="145">
        <f t="shared" si="109"/>
        <v>11333833</v>
      </c>
      <c r="E3324" s="143"/>
      <c r="F3324" s="143"/>
      <c r="G3324" s="143"/>
      <c r="H3324" s="143"/>
      <c r="I3324" t="s">
        <v>2125</v>
      </c>
    </row>
    <row r="3325" spans="1:9" hidden="1" outlineLevel="1">
      <c r="A3325" s="465" t="s">
        <v>1280</v>
      </c>
      <c r="B3325" s="452">
        <v>47297499</v>
      </c>
      <c r="C3325" s="95">
        <f>+SUMIF('Anlage 2b_Korrekturen'!$B$647:$B$1026,A3325,'Anlage 2b_Korrekturen'!$D$647:$D$1026)</f>
        <v>-52091</v>
      </c>
      <c r="D3325" s="145">
        <f t="shared" si="109"/>
        <v>47245408</v>
      </c>
      <c r="E3325" s="143"/>
      <c r="F3325" s="143"/>
      <c r="G3325" s="143"/>
      <c r="H3325" s="143"/>
      <c r="I3325" t="s">
        <v>1281</v>
      </c>
    </row>
    <row r="3326" spans="1:9" hidden="1" outlineLevel="1">
      <c r="A3326" s="465" t="s">
        <v>1282</v>
      </c>
      <c r="B3326" s="452">
        <v>4447637590</v>
      </c>
      <c r="C3326" s="95">
        <f>+SUMIF('Anlage 2b_Korrekturen'!$B$647:$B$1026,A3326,'Anlage 2b_Korrekturen'!$D$647:$D$1026)</f>
        <v>-95818401</v>
      </c>
      <c r="D3326" s="145">
        <f t="shared" si="109"/>
        <v>4351819189</v>
      </c>
      <c r="E3326" s="143"/>
      <c r="F3326" s="143"/>
      <c r="G3326" s="143"/>
      <c r="H3326" s="143"/>
      <c r="I3326" t="s">
        <v>2036</v>
      </c>
    </row>
    <row r="3327" spans="1:9" hidden="1" outlineLevel="1">
      <c r="A3327" s="465" t="s">
        <v>1284</v>
      </c>
      <c r="B3327" s="452">
        <v>36329473</v>
      </c>
      <c r="C3327" s="95">
        <f>+SUMIF('Anlage 2b_Korrekturen'!$B$647:$B$1026,A3327,'Anlage 2b_Korrekturen'!$D$647:$D$1026)</f>
        <v>13822</v>
      </c>
      <c r="D3327" s="145">
        <f t="shared" si="109"/>
        <v>36343295</v>
      </c>
      <c r="E3327" s="143"/>
      <c r="F3327" s="143"/>
      <c r="G3327" s="143"/>
      <c r="H3327" s="143"/>
      <c r="I3327" t="s">
        <v>1285</v>
      </c>
    </row>
    <row r="3328" spans="1:9" hidden="1" outlineLevel="1">
      <c r="A3328" s="465" t="s">
        <v>1286</v>
      </c>
      <c r="B3328" s="452">
        <v>195967782</v>
      </c>
      <c r="C3328" s="95">
        <f>+SUMIF('Anlage 2b_Korrekturen'!$B$647:$B$1026,A3328,'Anlage 2b_Korrekturen'!$D$647:$D$1026)</f>
        <v>-249410</v>
      </c>
      <c r="D3328" s="145">
        <f t="shared" si="109"/>
        <v>195718372</v>
      </c>
      <c r="E3328" s="143"/>
      <c r="F3328" s="143"/>
      <c r="G3328" s="143"/>
      <c r="H3328" s="143"/>
      <c r="I3328" t="s">
        <v>2126</v>
      </c>
    </row>
    <row r="3329" spans="1:9" hidden="1" outlineLevel="1">
      <c r="A3329" s="465" t="s">
        <v>1887</v>
      </c>
      <c r="B3329" s="452">
        <v>6585130</v>
      </c>
      <c r="C3329" s="95">
        <f>+SUMIF('Anlage 2b_Korrekturen'!$B$647:$B$1026,A3329,'Anlage 2b_Korrekturen'!$D$647:$D$1026)</f>
        <v>0</v>
      </c>
      <c r="D3329" s="145">
        <f t="shared" si="109"/>
        <v>6585130</v>
      </c>
      <c r="E3329" s="143"/>
      <c r="F3329" s="143"/>
      <c r="G3329" s="143"/>
      <c r="H3329" s="143"/>
      <c r="I3329" t="s">
        <v>1888</v>
      </c>
    </row>
    <row r="3330" spans="1:9" hidden="1" outlineLevel="1">
      <c r="A3330" s="465" t="s">
        <v>1288</v>
      </c>
      <c r="B3330" s="452">
        <v>1088036624</v>
      </c>
      <c r="C3330" s="95">
        <f>+SUMIF('Anlage 2b_Korrekturen'!$B$647:$B$1026,A3330,'Anlage 2b_Korrekturen'!$D$647:$D$1026)</f>
        <v>-3501105</v>
      </c>
      <c r="D3330" s="145">
        <f t="shared" si="109"/>
        <v>1084535519</v>
      </c>
      <c r="E3330" s="143"/>
      <c r="F3330" s="143"/>
      <c r="G3330" s="143"/>
      <c r="H3330" s="143"/>
      <c r="I3330" t="s">
        <v>1289</v>
      </c>
    </row>
    <row r="3331" spans="1:9" hidden="1" outlineLevel="1">
      <c r="A3331" s="465" t="s">
        <v>1889</v>
      </c>
      <c r="B3331" s="452">
        <v>6137969</v>
      </c>
      <c r="C3331" s="95">
        <f>+SUMIF('Anlage 2b_Korrekturen'!$B$647:$B$1026,A3331,'Anlage 2b_Korrekturen'!$D$647:$D$1026)</f>
        <v>0</v>
      </c>
      <c r="D3331" s="145">
        <f t="shared" si="109"/>
        <v>6137969</v>
      </c>
      <c r="E3331" s="143"/>
      <c r="F3331" s="143"/>
      <c r="G3331" s="143"/>
      <c r="H3331" s="143"/>
      <c r="I3331" t="s">
        <v>1890</v>
      </c>
    </row>
    <row r="3332" spans="1:9" hidden="1" outlineLevel="1">
      <c r="A3332" s="465" t="s">
        <v>1290</v>
      </c>
      <c r="B3332" s="452">
        <v>58516883</v>
      </c>
      <c r="C3332" s="95">
        <f>+SUMIF('Anlage 2b_Korrekturen'!$B$647:$B$1026,A3332,'Anlage 2b_Korrekturen'!$D$647:$D$1026)</f>
        <v>-55800</v>
      </c>
      <c r="D3332" s="145">
        <f t="shared" si="109"/>
        <v>58461083</v>
      </c>
      <c r="E3332" s="143"/>
      <c r="F3332" s="143"/>
      <c r="G3332" s="143"/>
      <c r="H3332" s="143"/>
      <c r="I3332" t="s">
        <v>1291</v>
      </c>
    </row>
    <row r="3333" spans="1:9" hidden="1" outlineLevel="1">
      <c r="A3333" s="1149" t="s">
        <v>1292</v>
      </c>
      <c r="B3333" s="1150">
        <v>6133872</v>
      </c>
      <c r="C3333" s="1045">
        <f>+SUMIF('Anlage 2b_Korrekturen'!$B$647:$B$1026,A3333,'Anlage 2b_Korrekturen'!$D$647:$D$1026)-'Anlage 2b_Korrekturen'!D1023-'Anlage 2b_Korrekturen'!D1025</f>
        <v>0</v>
      </c>
      <c r="D3333" s="1151">
        <f t="shared" si="109"/>
        <v>6133872</v>
      </c>
      <c r="E3333" s="143"/>
      <c r="F3333" s="143"/>
      <c r="G3333" s="143"/>
      <c r="H3333" s="143"/>
      <c r="I3333" t="s">
        <v>1293</v>
      </c>
    </row>
    <row r="3334" spans="1:9" hidden="1" outlineLevel="1">
      <c r="A3334" s="1149" t="s">
        <v>1294</v>
      </c>
      <c r="B3334" s="1150">
        <v>18197626</v>
      </c>
      <c r="C3334" s="1045">
        <f>+SUMIF('Anlage 2b_Korrekturen'!$B$647:$B$1026,A3334,'Anlage 2b_Korrekturen'!$D$647:$D$1026)</f>
        <v>-41227</v>
      </c>
      <c r="D3334" s="1151">
        <f t="shared" si="109"/>
        <v>18156399</v>
      </c>
      <c r="E3334" s="143"/>
      <c r="F3334" s="143"/>
      <c r="G3334" s="143"/>
      <c r="H3334" s="143"/>
      <c r="I3334" t="s">
        <v>1295</v>
      </c>
    </row>
    <row r="3335" spans="1:9" hidden="1" outlineLevel="1">
      <c r="A3335" s="1149" t="s">
        <v>1296</v>
      </c>
      <c r="B3335" s="1150">
        <v>7737873</v>
      </c>
      <c r="C3335" s="1045">
        <f>+SUMIF('Anlage 2b_Korrekturen'!$B$647:$B$1026,A3335,'Anlage 2b_Korrekturen'!$D$647:$D$1026)</f>
        <v>3858</v>
      </c>
      <c r="D3335" s="1151">
        <f t="shared" si="109"/>
        <v>7741731</v>
      </c>
      <c r="E3335" s="143"/>
      <c r="F3335" s="143"/>
      <c r="G3335" s="143"/>
      <c r="H3335" s="143"/>
      <c r="I3335" t="s">
        <v>1297</v>
      </c>
    </row>
    <row r="3336" spans="1:9" hidden="1" outlineLevel="1">
      <c r="A3336" s="1149" t="s">
        <v>1298</v>
      </c>
      <c r="B3336" s="1150">
        <v>9961572</v>
      </c>
      <c r="C3336" s="1045">
        <f>+SUMIF('Anlage 2b_Korrekturen'!$B$647:$B$1026,A3336,'Anlage 2b_Korrekturen'!$D$647:$D$1026)</f>
        <v>0</v>
      </c>
      <c r="D3336" s="1151">
        <f t="shared" si="109"/>
        <v>9961572</v>
      </c>
      <c r="E3336" s="143"/>
      <c r="F3336" s="143"/>
      <c r="G3336" s="143"/>
      <c r="H3336" s="143"/>
      <c r="I3336" t="s">
        <v>1299</v>
      </c>
    </row>
    <row r="3337" spans="1:9" hidden="1" outlineLevel="1">
      <c r="A3337" s="1149" t="s">
        <v>1300</v>
      </c>
      <c r="B3337" s="1150">
        <v>77093324</v>
      </c>
      <c r="C3337" s="1045">
        <f>+SUMIF('Anlage 2b_Korrekturen'!$B$647:$B$1026,A3337,'Anlage 2b_Korrekturen'!$D$647:$D$1026)</f>
        <v>0</v>
      </c>
      <c r="D3337" s="1151">
        <f t="shared" si="109"/>
        <v>77093324</v>
      </c>
      <c r="E3337" s="143"/>
      <c r="F3337" s="143"/>
      <c r="G3337" s="143"/>
      <c r="H3337" s="143"/>
      <c r="I3337" t="s">
        <v>1301</v>
      </c>
    </row>
    <row r="3338" spans="1:9" hidden="1" outlineLevel="1">
      <c r="A3338" s="1149" t="s">
        <v>1891</v>
      </c>
      <c r="B3338" s="1150">
        <v>16281418</v>
      </c>
      <c r="C3338" s="1045">
        <f>+SUMIF('Anlage 2b_Korrekturen'!$B$647:$B$1026,A3338,'Anlage 2b_Korrekturen'!$D$647:$D$1026)</f>
        <v>-35417</v>
      </c>
      <c r="D3338" s="1151">
        <f t="shared" si="109"/>
        <v>16246001</v>
      </c>
      <c r="E3338" s="143"/>
      <c r="F3338" s="143"/>
      <c r="G3338" s="143"/>
      <c r="H3338" s="143"/>
      <c r="I3338" t="s">
        <v>2127</v>
      </c>
    </row>
    <row r="3339" spans="1:9" hidden="1" outlineLevel="1">
      <c r="A3339" s="1149" t="s">
        <v>1302</v>
      </c>
      <c r="B3339" s="1150">
        <v>26076930</v>
      </c>
      <c r="C3339" s="1045">
        <f>+SUMIF('Anlage 2b_Korrekturen'!$B$647:$B$1026,A3339,'Anlage 2b_Korrekturen'!$D$647:$D$1026)</f>
        <v>-947606</v>
      </c>
      <c r="D3339" s="1151">
        <f t="shared" si="109"/>
        <v>25129324</v>
      </c>
      <c r="E3339" s="143"/>
      <c r="F3339" s="143"/>
      <c r="G3339" s="143"/>
      <c r="H3339" s="143"/>
      <c r="I3339" t="s">
        <v>1303</v>
      </c>
    </row>
    <row r="3340" spans="1:9" hidden="1" outlineLevel="1">
      <c r="A3340" s="1149" t="s">
        <v>1484</v>
      </c>
      <c r="B3340" s="1150">
        <v>35804268</v>
      </c>
      <c r="C3340" s="1045">
        <f>+SUMIF('Anlage 2b_Korrekturen'!$B$647:$B$1026,A3340,'Anlage 2b_Korrekturen'!$D$647:$D$1026)</f>
        <v>0</v>
      </c>
      <c r="D3340" s="1151">
        <f t="shared" si="109"/>
        <v>35804268</v>
      </c>
      <c r="E3340" s="143"/>
      <c r="F3340" s="143"/>
      <c r="G3340" s="143"/>
      <c r="H3340" s="143"/>
      <c r="I3340" t="s">
        <v>1485</v>
      </c>
    </row>
    <row r="3341" spans="1:9" hidden="1" outlineLevel="1">
      <c r="A3341" s="1149" t="s">
        <v>1304</v>
      </c>
      <c r="B3341" s="1150">
        <v>76723338</v>
      </c>
      <c r="C3341" s="1045">
        <f>+SUMIF('Anlage 2b_Korrekturen'!$B$647:$B$1026,A3341,'Anlage 2b_Korrekturen'!$D$647:$D$1026)</f>
        <v>134254</v>
      </c>
      <c r="D3341" s="1151">
        <f t="shared" si="109"/>
        <v>76857592</v>
      </c>
      <c r="E3341" s="143"/>
      <c r="F3341" s="143"/>
      <c r="G3341" s="143"/>
      <c r="H3341" s="143"/>
      <c r="I3341" t="s">
        <v>1305</v>
      </c>
    </row>
    <row r="3342" spans="1:9" hidden="1" outlineLevel="1">
      <c r="A3342" s="1149" t="s">
        <v>1306</v>
      </c>
      <c r="B3342" s="1150">
        <v>45085292.608999997</v>
      </c>
      <c r="C3342" s="1045">
        <f>+SUMIF('Anlage 2b_Korrekturen'!$B$647:$B$1026,A3342,'Anlage 2b_Korrekturen'!$D$647:$D$1026)</f>
        <v>0</v>
      </c>
      <c r="D3342" s="1151">
        <f t="shared" si="109"/>
        <v>45085292.608999997</v>
      </c>
      <c r="E3342" s="143"/>
      <c r="F3342" s="143"/>
      <c r="G3342" s="143"/>
      <c r="H3342" s="143"/>
      <c r="I3342" t="s">
        <v>2128</v>
      </c>
    </row>
    <row r="3343" spans="1:9" hidden="1" outlineLevel="1">
      <c r="A3343" s="1149" t="s">
        <v>1308</v>
      </c>
      <c r="B3343" s="1150">
        <v>72318976</v>
      </c>
      <c r="C3343" s="1045">
        <f>+SUMIF('Anlage 2b_Korrekturen'!$B$647:$B$1026,A3343,'Anlage 2b_Korrekturen'!$D$647:$D$1026)</f>
        <v>0</v>
      </c>
      <c r="D3343" s="1151">
        <f t="shared" si="109"/>
        <v>72318976</v>
      </c>
      <c r="E3343" s="143"/>
      <c r="F3343" s="143"/>
      <c r="G3343" s="143"/>
      <c r="H3343" s="143"/>
      <c r="I3343" t="s">
        <v>2129</v>
      </c>
    </row>
    <row r="3344" spans="1:9" hidden="1" outlineLevel="1">
      <c r="A3344" s="1149" t="s">
        <v>1893</v>
      </c>
      <c r="B3344" s="1150">
        <v>9022417</v>
      </c>
      <c r="C3344" s="1045">
        <f>+SUMIF('Anlage 2b_Korrekturen'!$B$647:$B$1026,A3344,'Anlage 2b_Korrekturen'!$D$647:$D$1026)</f>
        <v>0</v>
      </c>
      <c r="D3344" s="1151">
        <f t="shared" si="109"/>
        <v>9022417</v>
      </c>
      <c r="E3344" s="143"/>
      <c r="F3344" s="143"/>
      <c r="G3344" s="143"/>
      <c r="H3344" s="143"/>
      <c r="I3344" t="s">
        <v>1894</v>
      </c>
    </row>
    <row r="3345" spans="1:9" hidden="1" outlineLevel="1">
      <c r="A3345" s="1149" t="s">
        <v>1310</v>
      </c>
      <c r="B3345" s="1150">
        <v>55633682</v>
      </c>
      <c r="C3345" s="1045">
        <f>+SUMIF('Anlage 2b_Korrekturen'!$B$647:$B$1026,A3345,'Anlage 2b_Korrekturen'!$D$647:$D$1026)</f>
        <v>0</v>
      </c>
      <c r="D3345" s="1151">
        <f t="shared" si="109"/>
        <v>55633682</v>
      </c>
      <c r="E3345" s="143"/>
      <c r="F3345" s="143"/>
      <c r="G3345" s="143"/>
      <c r="H3345" s="143"/>
      <c r="I3345" t="s">
        <v>1311</v>
      </c>
    </row>
    <row r="3346" spans="1:9" hidden="1" outlineLevel="1">
      <c r="A3346" s="1149" t="s">
        <v>1312</v>
      </c>
      <c r="B3346" s="1150">
        <v>148660325</v>
      </c>
      <c r="C3346" s="1045">
        <f>+SUMIF('Anlage 2b_Korrekturen'!$B$647:$B$1026,A3346,'Anlage 2b_Korrekturen'!$D$647:$D$1026)</f>
        <v>3366736</v>
      </c>
      <c r="D3346" s="1151">
        <f t="shared" si="109"/>
        <v>152027061</v>
      </c>
      <c r="E3346" s="143"/>
      <c r="F3346" s="143"/>
      <c r="G3346" s="143"/>
      <c r="H3346" s="143"/>
      <c r="I3346" t="s">
        <v>1313</v>
      </c>
    </row>
    <row r="3347" spans="1:9" hidden="1" outlineLevel="1">
      <c r="A3347" s="1149" t="s">
        <v>1314</v>
      </c>
      <c r="B3347" s="1150">
        <v>51100443</v>
      </c>
      <c r="C3347" s="1045">
        <f>+SUMIF('Anlage 2b_Korrekturen'!$B$647:$B$1026,A3347,'Anlage 2b_Korrekturen'!$D$647:$D$1026)</f>
        <v>0</v>
      </c>
      <c r="D3347" s="1151">
        <f t="shared" si="109"/>
        <v>51100443</v>
      </c>
      <c r="E3347" s="143"/>
      <c r="F3347" s="143"/>
      <c r="G3347" s="143"/>
      <c r="H3347" s="143"/>
      <c r="I3347" t="s">
        <v>2130</v>
      </c>
    </row>
    <row r="3348" spans="1:9" hidden="1" outlineLevel="1">
      <c r="A3348" s="1149" t="s">
        <v>1316</v>
      </c>
      <c r="B3348" s="1150">
        <v>280885824</v>
      </c>
      <c r="C3348" s="1045">
        <f>+SUMIF('Anlage 2b_Korrekturen'!$B$647:$B$1026,A3348,'Anlage 2b_Korrekturen'!$D$647:$D$1026)</f>
        <v>0</v>
      </c>
      <c r="D3348" s="1151">
        <f t="shared" si="109"/>
        <v>280885824</v>
      </c>
      <c r="E3348" s="143"/>
      <c r="F3348" s="143"/>
      <c r="G3348" s="143"/>
      <c r="H3348" s="143"/>
      <c r="I3348" t="s">
        <v>1317</v>
      </c>
    </row>
    <row r="3349" spans="1:9" hidden="1" outlineLevel="1">
      <c r="A3349" s="1149" t="s">
        <v>1318</v>
      </c>
      <c r="B3349" s="1150">
        <v>172831857</v>
      </c>
      <c r="C3349" s="1045">
        <f>+SUMIF('Anlage 2b_Korrekturen'!$B$647:$B$1026,A3349,'Anlage 2b_Korrekturen'!$D$647:$D$1026)</f>
        <v>0</v>
      </c>
      <c r="D3349" s="1151">
        <f t="shared" ref="D3349:D3412" si="110">B3349+C3349</f>
        <v>172831857</v>
      </c>
      <c r="E3349" s="143"/>
      <c r="F3349" s="143"/>
      <c r="G3349" s="143"/>
      <c r="H3349" s="143"/>
      <c r="I3349" t="s">
        <v>1319</v>
      </c>
    </row>
    <row r="3350" spans="1:9" hidden="1" outlineLevel="1">
      <c r="A3350" s="1149" t="s">
        <v>1320</v>
      </c>
      <c r="B3350" s="1150">
        <v>328347596</v>
      </c>
      <c r="C3350" s="1045">
        <f>+SUMIF('Anlage 2b_Korrekturen'!$B$647:$B$1026,A3350,'Anlage 2b_Korrekturen'!$D$647:$D$1026)</f>
        <v>0</v>
      </c>
      <c r="D3350" s="1151">
        <f t="shared" si="110"/>
        <v>328347596</v>
      </c>
      <c r="E3350" s="143"/>
      <c r="F3350" s="143"/>
      <c r="G3350" s="143"/>
      <c r="H3350" s="143"/>
      <c r="I3350" t="s">
        <v>1321</v>
      </c>
    </row>
    <row r="3351" spans="1:9" hidden="1" outlineLevel="1">
      <c r="A3351" s="1149" t="s">
        <v>1322</v>
      </c>
      <c r="B3351" s="1150">
        <v>12743060</v>
      </c>
      <c r="C3351" s="1045">
        <f>+SUMIF('Anlage 2b_Korrekturen'!$B$647:$B$1026,A3351,'Anlage 2b_Korrekturen'!$D$647:$D$1026)</f>
        <v>0</v>
      </c>
      <c r="D3351" s="1151">
        <f t="shared" si="110"/>
        <v>12743060</v>
      </c>
      <c r="E3351" s="143"/>
      <c r="F3351" s="143"/>
      <c r="G3351" s="143"/>
      <c r="H3351" s="143"/>
      <c r="I3351" t="s">
        <v>1323</v>
      </c>
    </row>
    <row r="3352" spans="1:9" hidden="1" outlineLevel="1">
      <c r="A3352" s="1149" t="s">
        <v>1324</v>
      </c>
      <c r="B3352" s="1150">
        <v>14154440</v>
      </c>
      <c r="C3352" s="1045">
        <f>+SUMIF('Anlage 2b_Korrekturen'!$B$647:$B$1026,A3352,'Anlage 2b_Korrekturen'!$D$647:$D$1026)</f>
        <v>0</v>
      </c>
      <c r="D3352" s="1151">
        <f t="shared" si="110"/>
        <v>14154440</v>
      </c>
      <c r="E3352" s="143"/>
      <c r="F3352" s="143"/>
      <c r="G3352" s="143"/>
      <c r="H3352" s="143"/>
      <c r="I3352" t="s">
        <v>1325</v>
      </c>
    </row>
    <row r="3353" spans="1:9" hidden="1" outlineLevel="1">
      <c r="A3353" s="1149" t="s">
        <v>1326</v>
      </c>
      <c r="B3353" s="1150">
        <v>59552914</v>
      </c>
      <c r="C3353" s="1045">
        <f>+SUMIF('Anlage 2b_Korrekturen'!$B$647:$B$1026,A3353,'Anlage 2b_Korrekturen'!$D$647:$D$1026)</f>
        <v>-66020</v>
      </c>
      <c r="D3353" s="1151">
        <f t="shared" si="110"/>
        <v>59486894</v>
      </c>
      <c r="E3353" s="143"/>
      <c r="F3353" s="143"/>
      <c r="G3353" s="143"/>
      <c r="H3353" s="143"/>
      <c r="I3353" t="s">
        <v>1327</v>
      </c>
    </row>
    <row r="3354" spans="1:9" hidden="1" outlineLevel="1">
      <c r="A3354" s="1149" t="s">
        <v>1328</v>
      </c>
      <c r="B3354" s="1150">
        <v>323907805</v>
      </c>
      <c r="C3354" s="1045">
        <f>+SUMIF('Anlage 2b_Korrekturen'!$B$647:$B$1026,A3354,'Anlage 2b_Korrekturen'!$D$647:$D$1026)</f>
        <v>-2178227.7060000002</v>
      </c>
      <c r="D3354" s="1151">
        <f t="shared" si="110"/>
        <v>321729577.29400003</v>
      </c>
      <c r="E3354" s="143"/>
      <c r="F3354" s="143"/>
      <c r="G3354" s="143"/>
      <c r="H3354" s="143"/>
      <c r="I3354" t="s">
        <v>1329</v>
      </c>
    </row>
    <row r="3355" spans="1:9" hidden="1" outlineLevel="1">
      <c r="A3355" s="1149" t="s">
        <v>1330</v>
      </c>
      <c r="B3355" s="1150">
        <v>809431757</v>
      </c>
      <c r="C3355" s="1045">
        <f>+SUMIF('Anlage 2b_Korrekturen'!$B$647:$B$1026,A3355,'Anlage 2b_Korrekturen'!$D$647:$D$1026)</f>
        <v>0</v>
      </c>
      <c r="D3355" s="1151">
        <f t="shared" si="110"/>
        <v>809431757</v>
      </c>
      <c r="E3355" s="143"/>
      <c r="F3355" s="143"/>
      <c r="G3355" s="143"/>
      <c r="H3355" s="143"/>
      <c r="I3355" t="s">
        <v>1331</v>
      </c>
    </row>
    <row r="3356" spans="1:9" hidden="1" outlineLevel="1">
      <c r="A3356" s="1149" t="s">
        <v>1332</v>
      </c>
      <c r="B3356" s="1150">
        <v>579966499.50600004</v>
      </c>
      <c r="C3356" s="1045">
        <f>+SUMIF('Anlage 2b_Korrekturen'!$B$647:$B$1026,A3356,'Anlage 2b_Korrekturen'!$D$647:$D$1026)</f>
        <v>0</v>
      </c>
      <c r="D3356" s="1151">
        <f t="shared" si="110"/>
        <v>579966499.50600004</v>
      </c>
      <c r="E3356" s="143"/>
      <c r="F3356" s="143"/>
      <c r="G3356" s="143"/>
      <c r="H3356" s="143"/>
      <c r="I3356" t="s">
        <v>1333</v>
      </c>
    </row>
    <row r="3357" spans="1:9" hidden="1" outlineLevel="1">
      <c r="A3357" s="1149" t="s">
        <v>499</v>
      </c>
      <c r="B3357" s="1150">
        <v>32900773</v>
      </c>
      <c r="C3357" s="1045">
        <f>+SUMIF('Anlage 2b_Korrekturen'!$B$647:$B$1026,A3357,'Anlage 2b_Korrekturen'!$D$647:$D$1026)</f>
        <v>-62400</v>
      </c>
      <c r="D3357" s="1151">
        <f t="shared" si="110"/>
        <v>32838373</v>
      </c>
      <c r="E3357" s="143"/>
      <c r="F3357" s="143"/>
      <c r="G3357" s="143"/>
      <c r="H3357" s="143"/>
      <c r="I3357" t="s">
        <v>500</v>
      </c>
    </row>
    <row r="3358" spans="1:9" hidden="1" outlineLevel="1">
      <c r="A3358" s="1149" t="s">
        <v>1334</v>
      </c>
      <c r="B3358" s="1150">
        <v>358541203</v>
      </c>
      <c r="C3358" s="1045">
        <f>+SUMIF('Anlage 2b_Korrekturen'!$B$647:$B$1026,A3358,'Anlage 2b_Korrekturen'!$D$647:$D$1026)</f>
        <v>-2190343</v>
      </c>
      <c r="D3358" s="1151">
        <f t="shared" si="110"/>
        <v>356350860</v>
      </c>
      <c r="E3358" s="143"/>
      <c r="F3358" s="143"/>
      <c r="G3358" s="143"/>
      <c r="H3358" s="143"/>
      <c r="I3358" t="s">
        <v>2040</v>
      </c>
    </row>
    <row r="3359" spans="1:9" hidden="1" outlineLevel="1">
      <c r="A3359" s="1149" t="s">
        <v>1336</v>
      </c>
      <c r="B3359" s="1150">
        <v>65689521</v>
      </c>
      <c r="C3359" s="1045">
        <f>+SUMIF('Anlage 2b_Korrekturen'!$B$647:$B$1026,A3359,'Anlage 2b_Korrekturen'!$D$647:$D$1026)</f>
        <v>0</v>
      </c>
      <c r="D3359" s="1151">
        <f t="shared" si="110"/>
        <v>65689521</v>
      </c>
      <c r="E3359" s="143"/>
      <c r="F3359" s="143"/>
      <c r="G3359" s="143"/>
      <c r="H3359" s="143"/>
      <c r="I3359" t="s">
        <v>1337</v>
      </c>
    </row>
    <row r="3360" spans="1:9" hidden="1" outlineLevel="1">
      <c r="A3360" s="1149" t="s">
        <v>1895</v>
      </c>
      <c r="B3360" s="1150">
        <v>11330413</v>
      </c>
      <c r="C3360" s="1045">
        <f>+SUMIF('Anlage 2b_Korrekturen'!$B$647:$B$1026,A3360,'Anlage 2b_Korrekturen'!$D$647:$D$1026)</f>
        <v>0</v>
      </c>
      <c r="D3360" s="1151">
        <f t="shared" si="110"/>
        <v>11330413</v>
      </c>
      <c r="E3360" s="143"/>
      <c r="F3360" s="143"/>
      <c r="G3360" s="143"/>
      <c r="H3360" s="143"/>
      <c r="I3360" t="s">
        <v>1896</v>
      </c>
    </row>
    <row r="3361" spans="1:9" hidden="1" outlineLevel="1">
      <c r="A3361" s="1149" t="s">
        <v>748</v>
      </c>
      <c r="B3361" s="1150">
        <v>71795471</v>
      </c>
      <c r="C3361" s="1045">
        <f>+SUMIF('Anlage 2b_Korrekturen'!$B$647:$B$1026,A3361,'Anlage 2b_Korrekturen'!$D$647:$D$1026)</f>
        <v>140789</v>
      </c>
      <c r="D3361" s="1151">
        <f t="shared" si="110"/>
        <v>71936260</v>
      </c>
      <c r="E3361" s="143"/>
      <c r="F3361" s="143"/>
      <c r="G3361" s="143"/>
      <c r="H3361" s="143"/>
      <c r="I3361" t="s">
        <v>1338</v>
      </c>
    </row>
    <row r="3362" spans="1:9" hidden="1" outlineLevel="1">
      <c r="A3362" s="1149" t="s">
        <v>1339</v>
      </c>
      <c r="B3362" s="1150">
        <v>37875402</v>
      </c>
      <c r="C3362" s="1045">
        <f>+SUMIF('Anlage 2b_Korrekturen'!$B$647:$B$1026,A3362,'Anlage 2b_Korrekturen'!$D$647:$D$1026)</f>
        <v>-251952</v>
      </c>
      <c r="D3362" s="1151">
        <f t="shared" si="110"/>
        <v>37623450</v>
      </c>
      <c r="E3362" s="143"/>
      <c r="F3362" s="143"/>
      <c r="G3362" s="143"/>
      <c r="H3362" s="143"/>
      <c r="I3362" t="s">
        <v>1340</v>
      </c>
    </row>
    <row r="3363" spans="1:9" hidden="1" outlineLevel="1">
      <c r="A3363" s="1149" t="s">
        <v>1341</v>
      </c>
      <c r="B3363" s="1150">
        <v>156187111</v>
      </c>
      <c r="C3363" s="1045">
        <f>+SUMIF('Anlage 2b_Korrekturen'!$B$647:$B$1026,A3363,'Anlage 2b_Korrekturen'!$D$647:$D$1026)</f>
        <v>0</v>
      </c>
      <c r="D3363" s="1151">
        <f t="shared" si="110"/>
        <v>156187111</v>
      </c>
      <c r="E3363" s="143"/>
      <c r="F3363" s="143"/>
      <c r="G3363" s="143"/>
      <c r="H3363" s="143"/>
      <c r="I3363" t="s">
        <v>1342</v>
      </c>
    </row>
    <row r="3364" spans="1:9" hidden="1" outlineLevel="1">
      <c r="A3364" s="1149" t="s">
        <v>1343</v>
      </c>
      <c r="B3364" s="1150">
        <v>59894929</v>
      </c>
      <c r="C3364" s="1045">
        <f>+SUMIF('Anlage 2b_Korrekturen'!$B$647:$B$1026,A3364,'Anlage 2b_Korrekturen'!$D$647:$D$1026)</f>
        <v>0</v>
      </c>
      <c r="D3364" s="1151">
        <f t="shared" si="110"/>
        <v>59894929</v>
      </c>
      <c r="E3364" s="143"/>
      <c r="F3364" s="143"/>
      <c r="G3364" s="143"/>
      <c r="H3364" s="143"/>
      <c r="I3364" t="s">
        <v>1344</v>
      </c>
    </row>
    <row r="3365" spans="1:9" hidden="1" outlineLevel="1">
      <c r="A3365" s="1149" t="s">
        <v>1345</v>
      </c>
      <c r="B3365" s="1150">
        <v>8907613</v>
      </c>
      <c r="C3365" s="1045">
        <f>+SUMIF('Anlage 2b_Korrekturen'!$B$647:$B$1026,A3365,'Anlage 2b_Korrekturen'!$D$647:$D$1026)</f>
        <v>0</v>
      </c>
      <c r="D3365" s="1151">
        <f t="shared" si="110"/>
        <v>8907613</v>
      </c>
      <c r="E3365" s="143"/>
      <c r="F3365" s="143"/>
      <c r="G3365" s="143"/>
      <c r="H3365" s="143"/>
      <c r="I3365" t="s">
        <v>1346</v>
      </c>
    </row>
    <row r="3366" spans="1:9" hidden="1" outlineLevel="1">
      <c r="A3366" s="1149" t="s">
        <v>1347</v>
      </c>
      <c r="B3366" s="1150">
        <v>62665436</v>
      </c>
      <c r="C3366" s="1045">
        <f>+SUMIF('Anlage 2b_Korrekturen'!$B$647:$B$1026,A3366,'Anlage 2b_Korrekturen'!$D$647:$D$1026)</f>
        <v>0</v>
      </c>
      <c r="D3366" s="1151">
        <f t="shared" si="110"/>
        <v>62665436</v>
      </c>
      <c r="E3366" s="143"/>
      <c r="F3366" s="143"/>
      <c r="G3366" s="143"/>
      <c r="H3366" s="143"/>
      <c r="I3366" t="s">
        <v>1348</v>
      </c>
    </row>
    <row r="3367" spans="1:9" hidden="1" outlineLevel="1">
      <c r="A3367" s="1149" t="s">
        <v>1897</v>
      </c>
      <c r="B3367" s="1150">
        <v>5615849</v>
      </c>
      <c r="C3367" s="1045">
        <f>+SUMIF('Anlage 2b_Korrekturen'!$B$647:$B$1026,A3367,'Anlage 2b_Korrekturen'!$D$647:$D$1026)</f>
        <v>37450</v>
      </c>
      <c r="D3367" s="1151">
        <f t="shared" si="110"/>
        <v>5653299</v>
      </c>
      <c r="E3367" s="143"/>
      <c r="F3367" s="143"/>
      <c r="G3367" s="143"/>
      <c r="H3367" s="143"/>
      <c r="I3367" t="s">
        <v>2131</v>
      </c>
    </row>
    <row r="3368" spans="1:9" hidden="1" outlineLevel="1">
      <c r="A3368" s="1149" t="s">
        <v>1349</v>
      </c>
      <c r="B3368" s="1150">
        <v>1571416</v>
      </c>
      <c r="C3368" s="1045">
        <f>+SUMIF('Anlage 2b_Korrekturen'!$B$647:$B$1026,A3368,'Anlage 2b_Korrekturen'!$D$647:$D$1026)</f>
        <v>16015</v>
      </c>
      <c r="D3368" s="1151">
        <f t="shared" si="110"/>
        <v>1587431</v>
      </c>
      <c r="E3368" s="143"/>
      <c r="F3368" s="143"/>
      <c r="G3368" s="143"/>
      <c r="H3368" s="143"/>
      <c r="I3368" t="s">
        <v>1350</v>
      </c>
    </row>
    <row r="3369" spans="1:9" hidden="1" outlineLevel="1">
      <c r="A3369" s="1149" t="s">
        <v>1899</v>
      </c>
      <c r="B3369" s="1150">
        <v>4589495</v>
      </c>
      <c r="C3369" s="1045">
        <f>+SUMIF('Anlage 2b_Korrekturen'!$B$647:$B$1026,A3369,'Anlage 2b_Korrekturen'!$D$647:$D$1026)</f>
        <v>0</v>
      </c>
      <c r="D3369" s="1151">
        <f t="shared" si="110"/>
        <v>4589495</v>
      </c>
      <c r="E3369" s="143"/>
      <c r="F3369" s="143"/>
      <c r="G3369" s="143"/>
      <c r="H3369" s="143"/>
      <c r="I3369" t="s">
        <v>1900</v>
      </c>
    </row>
    <row r="3370" spans="1:9" hidden="1" outlineLevel="1">
      <c r="A3370" s="1149" t="s">
        <v>1351</v>
      </c>
      <c r="B3370" s="1150">
        <v>340726984</v>
      </c>
      <c r="C3370" s="1045">
        <f>+SUMIF('Anlage 2b_Korrekturen'!$B$647:$B$1026,A3370,'Anlage 2b_Korrekturen'!$D$647:$D$1026)</f>
        <v>0</v>
      </c>
      <c r="D3370" s="1151">
        <f t="shared" si="110"/>
        <v>340726984</v>
      </c>
      <c r="E3370" s="143"/>
      <c r="F3370" s="143"/>
      <c r="G3370" s="143"/>
      <c r="H3370" s="143"/>
      <c r="I3370" t="s">
        <v>1352</v>
      </c>
    </row>
    <row r="3371" spans="1:9" hidden="1" outlineLevel="1">
      <c r="A3371" s="1149" t="s">
        <v>1901</v>
      </c>
      <c r="B3371" s="1150">
        <v>0</v>
      </c>
      <c r="C3371" s="1045">
        <f>+SUMIF('Anlage 2b_Korrekturen'!$B$647:$B$1026,A3371,'Anlage 2b_Korrekturen'!$D$647:$D$1026)</f>
        <v>0</v>
      </c>
      <c r="D3371" s="1151">
        <f t="shared" si="110"/>
        <v>0</v>
      </c>
      <c r="E3371" s="143"/>
      <c r="F3371" s="143"/>
      <c r="G3371" s="143"/>
      <c r="H3371" s="143"/>
      <c r="I3371" t="s">
        <v>1902</v>
      </c>
    </row>
    <row r="3372" spans="1:9" hidden="1" outlineLevel="1">
      <c r="A3372" s="1149" t="s">
        <v>1353</v>
      </c>
      <c r="B3372" s="1150">
        <v>43037749</v>
      </c>
      <c r="C3372" s="1045">
        <f>+SUMIF('Anlage 2b_Korrekturen'!$B$647:$B$1026,A3372,'Anlage 2b_Korrekturen'!$D$647:$D$1026)</f>
        <v>0</v>
      </c>
      <c r="D3372" s="1151">
        <f t="shared" si="110"/>
        <v>43037749</v>
      </c>
      <c r="E3372" s="143"/>
      <c r="F3372" s="143"/>
      <c r="G3372" s="143"/>
      <c r="H3372" s="143"/>
      <c r="I3372" t="s">
        <v>1354</v>
      </c>
    </row>
    <row r="3373" spans="1:9" hidden="1" outlineLevel="1">
      <c r="A3373" s="1149" t="s">
        <v>1355</v>
      </c>
      <c r="B3373" s="1150">
        <v>28421915.800000001</v>
      </c>
      <c r="C3373" s="1045">
        <f>+SUMIF('Anlage 2b_Korrekturen'!$B$647:$B$1026,A3373,'Anlage 2b_Korrekturen'!$D$647:$D$1026)</f>
        <v>21349.1</v>
      </c>
      <c r="D3373" s="1151">
        <f t="shared" si="110"/>
        <v>28443264.900000002</v>
      </c>
      <c r="E3373" s="143"/>
      <c r="F3373" s="143"/>
      <c r="G3373" s="143"/>
      <c r="H3373" s="143"/>
      <c r="I3373" t="s">
        <v>1356</v>
      </c>
    </row>
    <row r="3374" spans="1:9" hidden="1" outlineLevel="1">
      <c r="A3374" s="1149" t="s">
        <v>1357</v>
      </c>
      <c r="B3374" s="1150">
        <v>97745222</v>
      </c>
      <c r="C3374" s="1045">
        <f>+SUMIF('Anlage 2b_Korrekturen'!$B$647:$B$1026,A3374,'Anlage 2b_Korrekturen'!$D$647:$D$1026)</f>
        <v>-90060</v>
      </c>
      <c r="D3374" s="1151">
        <f t="shared" si="110"/>
        <v>97655162</v>
      </c>
      <c r="E3374" s="143"/>
      <c r="F3374" s="143"/>
      <c r="G3374" s="143"/>
      <c r="H3374" s="143"/>
      <c r="I3374" t="s">
        <v>1358</v>
      </c>
    </row>
    <row r="3375" spans="1:9" hidden="1" outlineLevel="1">
      <c r="A3375" s="1149" t="s">
        <v>1359</v>
      </c>
      <c r="B3375" s="1150">
        <v>10549397</v>
      </c>
      <c r="C3375" s="1045">
        <f>+SUMIF('Anlage 2b_Korrekturen'!$B$647:$B$1026,A3375,'Anlage 2b_Korrekturen'!$D$647:$D$1026)</f>
        <v>0</v>
      </c>
      <c r="D3375" s="1151">
        <f t="shared" si="110"/>
        <v>10549397</v>
      </c>
      <c r="E3375" s="143"/>
      <c r="F3375" s="143"/>
      <c r="G3375" s="143"/>
      <c r="H3375" s="143"/>
      <c r="I3375" t="s">
        <v>2132</v>
      </c>
    </row>
    <row r="3376" spans="1:9" hidden="1" outlineLevel="1">
      <c r="A3376" s="1149" t="s">
        <v>1903</v>
      </c>
      <c r="B3376" s="1150">
        <v>6136466</v>
      </c>
      <c r="C3376" s="1045">
        <f>+SUMIF('Anlage 2b_Korrekturen'!$B$647:$B$1026,A3376,'Anlage 2b_Korrekturen'!$D$647:$D$1026)</f>
        <v>0</v>
      </c>
      <c r="D3376" s="1151">
        <f t="shared" si="110"/>
        <v>6136466</v>
      </c>
      <c r="E3376" s="143"/>
      <c r="F3376" s="143"/>
      <c r="G3376" s="143"/>
      <c r="H3376" s="143"/>
      <c r="I3376" t="s">
        <v>1904</v>
      </c>
    </row>
    <row r="3377" spans="1:9" hidden="1" outlineLevel="1">
      <c r="A3377" s="1149" t="s">
        <v>1361</v>
      </c>
      <c r="B3377" s="1150">
        <v>109296302</v>
      </c>
      <c r="C3377" s="1045">
        <f>+SUMIF('Anlage 2b_Korrekturen'!$B$647:$B$1026,A3377,'Anlage 2b_Korrekturen'!$D$647:$D$1026)</f>
        <v>0</v>
      </c>
      <c r="D3377" s="1151">
        <f t="shared" si="110"/>
        <v>109296302</v>
      </c>
      <c r="E3377" s="143"/>
      <c r="F3377" s="143"/>
      <c r="G3377" s="143"/>
      <c r="H3377" s="143"/>
      <c r="I3377" t="s">
        <v>1362</v>
      </c>
    </row>
    <row r="3378" spans="1:9" hidden="1" outlineLevel="1">
      <c r="A3378" s="1149" t="s">
        <v>1363</v>
      </c>
      <c r="B3378" s="1150">
        <v>131145954</v>
      </c>
      <c r="C3378" s="1045">
        <f>+SUMIF('Anlage 2b_Korrekturen'!$B$647:$B$1026,A3378,'Anlage 2b_Korrekturen'!$D$647:$D$1026)</f>
        <v>-8538</v>
      </c>
      <c r="D3378" s="1151">
        <f t="shared" si="110"/>
        <v>131137416</v>
      </c>
      <c r="E3378" s="143"/>
      <c r="F3378" s="143"/>
      <c r="G3378" s="143"/>
      <c r="H3378" s="143"/>
      <c r="I3378" t="s">
        <v>1364</v>
      </c>
    </row>
    <row r="3379" spans="1:9" hidden="1" outlineLevel="1">
      <c r="A3379" s="1149" t="s">
        <v>1365</v>
      </c>
      <c r="B3379" s="1150">
        <v>50122504</v>
      </c>
      <c r="C3379" s="1045">
        <f>+SUMIF('Anlage 2b_Korrekturen'!$B$647:$B$1026,A3379,'Anlage 2b_Korrekturen'!$D$647:$D$1026)</f>
        <v>0</v>
      </c>
      <c r="D3379" s="1151">
        <f t="shared" si="110"/>
        <v>50122504</v>
      </c>
      <c r="E3379" s="143"/>
      <c r="F3379" s="143"/>
      <c r="G3379" s="143"/>
      <c r="H3379" s="143"/>
      <c r="I3379" t="s">
        <v>1366</v>
      </c>
    </row>
    <row r="3380" spans="1:9" hidden="1" outlineLevel="1">
      <c r="A3380" s="1149" t="s">
        <v>1367</v>
      </c>
      <c r="B3380" s="1150">
        <v>8042640</v>
      </c>
      <c r="C3380" s="1045">
        <f>+SUMIF('Anlage 2b_Korrekturen'!$B$647:$B$1026,A3380,'Anlage 2b_Korrekturen'!$D$647:$D$1026)</f>
        <v>0</v>
      </c>
      <c r="D3380" s="1151">
        <f t="shared" si="110"/>
        <v>8042640</v>
      </c>
      <c r="E3380" s="143"/>
      <c r="F3380" s="143"/>
      <c r="G3380" s="143"/>
      <c r="H3380" s="143"/>
      <c r="I3380" t="s">
        <v>1368</v>
      </c>
    </row>
    <row r="3381" spans="1:9" hidden="1" outlineLevel="1">
      <c r="A3381" s="1149" t="s">
        <v>1369</v>
      </c>
      <c r="B3381" s="1150">
        <v>10004766</v>
      </c>
      <c r="C3381" s="1045">
        <f>+SUMIF('Anlage 2b_Korrekturen'!$B$647:$B$1026,A3381,'Anlage 2b_Korrekturen'!$D$647:$D$1026)</f>
        <v>0</v>
      </c>
      <c r="D3381" s="1151">
        <f t="shared" si="110"/>
        <v>10004766</v>
      </c>
      <c r="E3381" s="143"/>
      <c r="F3381" s="143"/>
      <c r="G3381" s="143"/>
      <c r="H3381" s="143"/>
      <c r="I3381" t="s">
        <v>1370</v>
      </c>
    </row>
    <row r="3382" spans="1:9" hidden="1" outlineLevel="1">
      <c r="A3382" s="1149" t="s">
        <v>409</v>
      </c>
      <c r="B3382" s="1150">
        <v>53134088</v>
      </c>
      <c r="C3382" s="1045">
        <f>+SUMIF('Anlage 2b_Korrekturen'!$B$647:$B$1026,A3382,'Anlage 2b_Korrekturen'!$D$647:$D$1026)</f>
        <v>0</v>
      </c>
      <c r="D3382" s="1151">
        <f t="shared" si="110"/>
        <v>53134088</v>
      </c>
      <c r="E3382" s="143"/>
      <c r="F3382" s="143"/>
      <c r="G3382" s="143"/>
      <c r="H3382" s="143"/>
      <c r="I3382" t="s">
        <v>2133</v>
      </c>
    </row>
    <row r="3383" spans="1:9" hidden="1" outlineLevel="1">
      <c r="A3383" s="1149" t="s">
        <v>1371</v>
      </c>
      <c r="B3383" s="1150">
        <v>32729201</v>
      </c>
      <c r="C3383" s="1045">
        <f>+SUMIF('Anlage 2b_Korrekturen'!$B$647:$B$1026,A3383,'Anlage 2b_Korrekturen'!$D$647:$D$1026)</f>
        <v>0</v>
      </c>
      <c r="D3383" s="1151">
        <f t="shared" si="110"/>
        <v>32729201</v>
      </c>
      <c r="E3383" s="143"/>
      <c r="F3383" s="143"/>
      <c r="G3383" s="143"/>
      <c r="H3383" s="143"/>
      <c r="I3383" t="s">
        <v>1372</v>
      </c>
    </row>
    <row r="3384" spans="1:9" hidden="1" outlineLevel="1">
      <c r="A3384" s="1149" t="s">
        <v>1478</v>
      </c>
      <c r="B3384" s="1150">
        <v>100931887</v>
      </c>
      <c r="C3384" s="1045">
        <f>+SUMIF('Anlage 2b_Korrekturen'!$B$647:$B$1026,A3384,'Anlage 2b_Korrekturen'!$D$647:$D$1026)</f>
        <v>173367</v>
      </c>
      <c r="D3384" s="1151">
        <f t="shared" si="110"/>
        <v>101105254</v>
      </c>
      <c r="E3384" s="143"/>
      <c r="F3384" s="143"/>
      <c r="G3384" s="143"/>
      <c r="H3384" s="143"/>
      <c r="I3384" t="s">
        <v>1479</v>
      </c>
    </row>
    <row r="3385" spans="1:9" hidden="1" outlineLevel="1">
      <c r="A3385" s="1149" t="s">
        <v>1373</v>
      </c>
      <c r="B3385" s="1150">
        <v>3146062</v>
      </c>
      <c r="C3385" s="1045">
        <f>+SUMIF('Anlage 2b_Korrekturen'!$B$647:$B$1026,A3385,'Anlage 2b_Korrekturen'!$D$647:$D$1026)</f>
        <v>0</v>
      </c>
      <c r="D3385" s="1151">
        <f t="shared" si="110"/>
        <v>3146062</v>
      </c>
      <c r="E3385" s="143"/>
      <c r="F3385" s="143"/>
      <c r="G3385" s="143"/>
      <c r="H3385" s="143"/>
      <c r="I3385" t="s">
        <v>1374</v>
      </c>
    </row>
    <row r="3386" spans="1:9" hidden="1" outlineLevel="1">
      <c r="A3386" s="1149" t="s">
        <v>1905</v>
      </c>
      <c r="B3386" s="1150">
        <v>2897163</v>
      </c>
      <c r="C3386" s="1045">
        <f>+SUMIF('Anlage 2b_Korrekturen'!$B$647:$B$1026,A3386,'Anlage 2b_Korrekturen'!$D$647:$D$1026)</f>
        <v>0</v>
      </c>
      <c r="D3386" s="1151">
        <f t="shared" si="110"/>
        <v>2897163</v>
      </c>
      <c r="E3386" s="143"/>
      <c r="F3386" s="143"/>
      <c r="G3386" s="143"/>
      <c r="H3386" s="143"/>
      <c r="I3386" t="s">
        <v>2134</v>
      </c>
    </row>
    <row r="3387" spans="1:9" hidden="1" outlineLevel="1">
      <c r="A3387" s="1149" t="s">
        <v>1375</v>
      </c>
      <c r="B3387" s="1150">
        <v>372994862</v>
      </c>
      <c r="C3387" s="1045">
        <f>+SUMIF('Anlage 2b_Korrekturen'!$B$647:$B$1026,A3387,'Anlage 2b_Korrekturen'!$D$647:$D$1026)</f>
        <v>4887931</v>
      </c>
      <c r="D3387" s="1151">
        <f t="shared" si="110"/>
        <v>377882793</v>
      </c>
      <c r="E3387" s="143"/>
      <c r="F3387" s="143"/>
      <c r="G3387" s="143"/>
      <c r="H3387" s="143"/>
      <c r="I3387" t="s">
        <v>1376</v>
      </c>
    </row>
    <row r="3388" spans="1:9" hidden="1" outlineLevel="1">
      <c r="A3388" s="1149" t="s">
        <v>86</v>
      </c>
      <c r="B3388" s="1150">
        <v>189240292.34</v>
      </c>
      <c r="C3388" s="1045">
        <f>+SUMIF('Anlage 2b_Korrekturen'!$B$647:$B$1026,A3388,'Anlage 2b_Korrekturen'!$D$647:$D$1026)</f>
        <v>1442797.16</v>
      </c>
      <c r="D3388" s="1151">
        <f t="shared" si="110"/>
        <v>190683089.5</v>
      </c>
      <c r="E3388" s="143"/>
      <c r="F3388" s="143"/>
      <c r="G3388" s="143"/>
      <c r="H3388" s="143"/>
      <c r="I3388" t="s">
        <v>87</v>
      </c>
    </row>
    <row r="3389" spans="1:9" hidden="1" outlineLevel="1">
      <c r="A3389" s="1149" t="s">
        <v>1377</v>
      </c>
      <c r="B3389" s="1150">
        <v>6755606</v>
      </c>
      <c r="C3389" s="1045">
        <f>+SUMIF('Anlage 2b_Korrekturen'!$B$647:$B$1026,A3389,'Anlage 2b_Korrekturen'!$D$647:$D$1026)</f>
        <v>0</v>
      </c>
      <c r="D3389" s="1151">
        <f t="shared" si="110"/>
        <v>6755606</v>
      </c>
      <c r="E3389" s="143"/>
      <c r="F3389" s="143"/>
      <c r="G3389" s="143"/>
      <c r="H3389" s="143"/>
      <c r="I3389" t="s">
        <v>1378</v>
      </c>
    </row>
    <row r="3390" spans="1:9" hidden="1" outlineLevel="1">
      <c r="A3390" s="1149" t="s">
        <v>1907</v>
      </c>
      <c r="B3390" s="1150">
        <v>4904235</v>
      </c>
      <c r="C3390" s="1045">
        <f>+SUMIF('Anlage 2b_Korrekturen'!$B$647:$B$1026,A3390,'Anlage 2b_Korrekturen'!$D$647:$D$1026)-'Anlage 2b_Korrekturen'!D1024-'Anlage 2b_Korrekturen'!D1026</f>
        <v>0</v>
      </c>
      <c r="D3390" s="1151">
        <f t="shared" si="110"/>
        <v>4904235</v>
      </c>
      <c r="E3390" s="143"/>
      <c r="F3390" s="143"/>
      <c r="G3390" s="143"/>
      <c r="H3390" s="143"/>
      <c r="I3390" t="s">
        <v>1908</v>
      </c>
    </row>
    <row r="3391" spans="1:9" hidden="1" outlineLevel="1">
      <c r="A3391" s="1149" t="s">
        <v>1379</v>
      </c>
      <c r="B3391" s="1150">
        <v>9685461</v>
      </c>
      <c r="C3391" s="1045">
        <f>+SUMIF('Anlage 2b_Korrekturen'!$B$647:$B$1026,A3391,'Anlage 2b_Korrekturen'!$D$647:$D$1026)</f>
        <v>0</v>
      </c>
      <c r="D3391" s="1151">
        <f t="shared" si="110"/>
        <v>9685461</v>
      </c>
      <c r="E3391" s="143"/>
      <c r="F3391" s="143"/>
      <c r="G3391" s="143"/>
      <c r="H3391" s="143"/>
      <c r="I3391" t="s">
        <v>1380</v>
      </c>
    </row>
    <row r="3392" spans="1:9" hidden="1" outlineLevel="1">
      <c r="A3392" s="465" t="s">
        <v>1381</v>
      </c>
      <c r="B3392" s="452">
        <v>8908500.5600000005</v>
      </c>
      <c r="C3392" s="95">
        <f>+SUMIF('Anlage 2b_Korrekturen'!$B$647:$B$1026,A3392,'Anlage 2b_Korrekturen'!$D$647:$D$1026)</f>
        <v>-8751</v>
      </c>
      <c r="D3392" s="145">
        <f t="shared" si="110"/>
        <v>8899749.5600000005</v>
      </c>
      <c r="E3392" s="143"/>
      <c r="F3392" s="143"/>
      <c r="G3392" s="143"/>
      <c r="H3392" s="143"/>
      <c r="I3392" t="s">
        <v>1382</v>
      </c>
    </row>
    <row r="3393" spans="1:9" hidden="1" outlineLevel="1">
      <c r="A3393" s="465" t="s">
        <v>1383</v>
      </c>
      <c r="B3393" s="452">
        <v>28397616</v>
      </c>
      <c r="C3393" s="95">
        <f>+SUMIF('Anlage 2b_Korrekturen'!$B$647:$B$1026,A3393,'Anlage 2b_Korrekturen'!$D$647:$D$1026)</f>
        <v>4111375</v>
      </c>
      <c r="D3393" s="145">
        <f t="shared" si="110"/>
        <v>32508991</v>
      </c>
      <c r="E3393" s="143"/>
      <c r="F3393" s="143"/>
      <c r="G3393" s="143"/>
      <c r="H3393" s="143"/>
      <c r="I3393" t="s">
        <v>1384</v>
      </c>
    </row>
    <row r="3394" spans="1:9" hidden="1" outlineLevel="1">
      <c r="A3394" s="465" t="s">
        <v>1909</v>
      </c>
      <c r="B3394" s="452">
        <v>14066802.689999999</v>
      </c>
      <c r="C3394" s="95">
        <f>+SUMIF('Anlage 2b_Korrekturen'!$B$647:$B$1026,A3394,'Anlage 2b_Korrekturen'!$D$647:$D$1026)</f>
        <v>0</v>
      </c>
      <c r="D3394" s="145">
        <f t="shared" si="110"/>
        <v>14066802.689999999</v>
      </c>
      <c r="E3394" s="143"/>
      <c r="F3394" s="143"/>
      <c r="G3394" s="143"/>
      <c r="H3394" s="143"/>
      <c r="I3394" t="s">
        <v>1910</v>
      </c>
    </row>
    <row r="3395" spans="1:9" hidden="1" outlineLevel="1">
      <c r="A3395" s="465" t="s">
        <v>1385</v>
      </c>
      <c r="B3395" s="452">
        <v>47843494</v>
      </c>
      <c r="C3395" s="95">
        <f>+SUMIF('Anlage 2b_Korrekturen'!$B$647:$B$1026,A3395,'Anlage 2b_Korrekturen'!$D$647:$D$1026)</f>
        <v>0</v>
      </c>
      <c r="D3395" s="145">
        <f t="shared" si="110"/>
        <v>47843494</v>
      </c>
      <c r="E3395" s="143"/>
      <c r="F3395" s="143"/>
      <c r="G3395" s="143"/>
      <c r="H3395" s="143"/>
      <c r="I3395" t="s">
        <v>1386</v>
      </c>
    </row>
    <row r="3396" spans="1:9" hidden="1" outlineLevel="1">
      <c r="A3396" s="465" t="s">
        <v>1387</v>
      </c>
      <c r="B3396" s="452">
        <v>126920113</v>
      </c>
      <c r="C3396" s="95">
        <f>+SUMIF('Anlage 2b_Korrekturen'!$B$647:$B$1026,A3396,'Anlage 2b_Korrekturen'!$D$647:$D$1026)</f>
        <v>-572073</v>
      </c>
      <c r="D3396" s="145">
        <f t="shared" si="110"/>
        <v>126348040</v>
      </c>
      <c r="E3396" s="143"/>
      <c r="F3396" s="143"/>
      <c r="G3396" s="143"/>
      <c r="H3396" s="143"/>
      <c r="I3396" t="s">
        <v>2135</v>
      </c>
    </row>
    <row r="3397" spans="1:9" hidden="1" outlineLevel="1">
      <c r="A3397" s="465" t="s">
        <v>1911</v>
      </c>
      <c r="B3397" s="452">
        <v>3566833</v>
      </c>
      <c r="C3397" s="95">
        <f>+SUMIF('Anlage 2b_Korrekturen'!$B$647:$B$1026,A3397,'Anlage 2b_Korrekturen'!$D$647:$D$1026)</f>
        <v>0</v>
      </c>
      <c r="D3397" s="145">
        <f t="shared" si="110"/>
        <v>3566833</v>
      </c>
      <c r="E3397" s="143"/>
      <c r="F3397" s="143"/>
      <c r="G3397" s="143"/>
      <c r="H3397" s="143"/>
      <c r="I3397" t="s">
        <v>1912</v>
      </c>
    </row>
    <row r="3398" spans="1:9" hidden="1" outlineLevel="1">
      <c r="A3398" s="465" t="s">
        <v>1913</v>
      </c>
      <c r="B3398" s="452">
        <v>7537740</v>
      </c>
      <c r="C3398" s="95">
        <f>+SUMIF('Anlage 2b_Korrekturen'!$B$647:$B$1026,A3398,'Anlage 2b_Korrekturen'!$D$647:$D$1026)</f>
        <v>0</v>
      </c>
      <c r="D3398" s="145">
        <f t="shared" si="110"/>
        <v>7537740</v>
      </c>
      <c r="E3398" s="143"/>
      <c r="F3398" s="143"/>
      <c r="G3398" s="143"/>
      <c r="H3398" s="143"/>
      <c r="I3398" t="s">
        <v>1914</v>
      </c>
    </row>
    <row r="3399" spans="1:9" hidden="1" outlineLevel="1">
      <c r="A3399" s="465" t="s">
        <v>1389</v>
      </c>
      <c r="B3399" s="452">
        <v>96964762.349999994</v>
      </c>
      <c r="C3399" s="95">
        <f>+SUMIF('Anlage 2b_Korrekturen'!$B$647:$B$1026,A3399,'Anlage 2b_Korrekturen'!$D$647:$D$1026)</f>
        <v>0</v>
      </c>
      <c r="D3399" s="145">
        <f t="shared" si="110"/>
        <v>96964762.349999994</v>
      </c>
      <c r="E3399" s="143"/>
      <c r="F3399" s="143"/>
      <c r="G3399" s="143"/>
      <c r="H3399" s="143"/>
      <c r="I3399" t="s">
        <v>1390</v>
      </c>
    </row>
    <row r="3400" spans="1:9" hidden="1" outlineLevel="1">
      <c r="A3400" s="465" t="s">
        <v>1915</v>
      </c>
      <c r="B3400" s="452">
        <v>2759715</v>
      </c>
      <c r="C3400" s="95">
        <f>+SUMIF('Anlage 2b_Korrekturen'!$B$647:$B$1026,A3400,'Anlage 2b_Korrekturen'!$D$647:$D$1026)</f>
        <v>-96992</v>
      </c>
      <c r="D3400" s="145">
        <f t="shared" si="110"/>
        <v>2662723</v>
      </c>
      <c r="E3400" s="143"/>
      <c r="F3400" s="143"/>
      <c r="G3400" s="143"/>
      <c r="H3400" s="143"/>
      <c r="I3400" t="s">
        <v>1916</v>
      </c>
    </row>
    <row r="3401" spans="1:9" hidden="1" outlineLevel="1">
      <c r="A3401" s="465" t="s">
        <v>1391</v>
      </c>
      <c r="B3401" s="452">
        <v>256654635</v>
      </c>
      <c r="C3401" s="95">
        <f>+SUMIF('Anlage 2b_Korrekturen'!$B$647:$B$1026,A3401,'Anlage 2b_Korrekturen'!$D$647:$D$1026)</f>
        <v>9594417</v>
      </c>
      <c r="D3401" s="145">
        <f t="shared" si="110"/>
        <v>266249052</v>
      </c>
      <c r="E3401" s="143"/>
      <c r="F3401" s="143"/>
      <c r="G3401" s="143"/>
      <c r="H3401" s="143"/>
      <c r="I3401" t="s">
        <v>2136</v>
      </c>
    </row>
    <row r="3402" spans="1:9" hidden="1" outlineLevel="1">
      <c r="A3402" s="465" t="s">
        <v>194</v>
      </c>
      <c r="B3402" s="452">
        <v>897031446</v>
      </c>
      <c r="C3402" s="95">
        <f>+SUMIF('Anlage 2b_Korrekturen'!$B$647:$B$1026,A3402,'Anlage 2b_Korrekturen'!$D$647:$D$1026)</f>
        <v>0</v>
      </c>
      <c r="D3402" s="145">
        <f t="shared" si="110"/>
        <v>897031446</v>
      </c>
      <c r="E3402" s="143"/>
      <c r="F3402" s="143"/>
      <c r="G3402" s="143"/>
      <c r="H3402" s="143"/>
      <c r="I3402" t="s">
        <v>2137</v>
      </c>
    </row>
    <row r="3403" spans="1:9" hidden="1" outlineLevel="1">
      <c r="A3403" s="465" t="s">
        <v>1917</v>
      </c>
      <c r="B3403" s="452">
        <v>3678811</v>
      </c>
      <c r="C3403" s="95">
        <f>+SUMIF('Anlage 2b_Korrekturen'!$B$647:$B$1026,A3403,'Anlage 2b_Korrekturen'!$D$647:$D$1026)</f>
        <v>0</v>
      </c>
      <c r="D3403" s="145">
        <f t="shared" si="110"/>
        <v>3678811</v>
      </c>
      <c r="E3403" s="143"/>
      <c r="F3403" s="143"/>
      <c r="G3403" s="143"/>
      <c r="H3403" s="143"/>
      <c r="I3403" t="s">
        <v>1918</v>
      </c>
    </row>
    <row r="3404" spans="1:9" hidden="1" outlineLevel="1">
      <c r="A3404" s="465" t="s">
        <v>1393</v>
      </c>
      <c r="B3404" s="452">
        <v>28742898</v>
      </c>
      <c r="C3404" s="95">
        <f>+SUMIF('Anlage 2b_Korrekturen'!$B$647:$B$1026,A3404,'Anlage 2b_Korrekturen'!$D$647:$D$1026)</f>
        <v>0</v>
      </c>
      <c r="D3404" s="145">
        <f t="shared" si="110"/>
        <v>28742898</v>
      </c>
      <c r="E3404" s="143"/>
      <c r="F3404" s="143"/>
      <c r="G3404" s="143"/>
      <c r="H3404" s="143"/>
      <c r="I3404" t="s">
        <v>1394</v>
      </c>
    </row>
    <row r="3405" spans="1:9" hidden="1" outlineLevel="1">
      <c r="A3405" s="465" t="s">
        <v>1395</v>
      </c>
      <c r="B3405" s="452">
        <v>753741678</v>
      </c>
      <c r="C3405" s="95">
        <f>+SUMIF('Anlage 2b_Korrekturen'!$B$647:$B$1026,A3405,'Anlage 2b_Korrekturen'!$D$647:$D$1026)</f>
        <v>15467602</v>
      </c>
      <c r="D3405" s="145">
        <f t="shared" si="110"/>
        <v>769209280</v>
      </c>
      <c r="E3405" s="143"/>
      <c r="F3405" s="143"/>
      <c r="G3405" s="143"/>
      <c r="H3405" s="143"/>
      <c r="I3405" t="s">
        <v>2041</v>
      </c>
    </row>
    <row r="3406" spans="1:9" hidden="1" outlineLevel="1">
      <c r="A3406" s="465" t="s">
        <v>1919</v>
      </c>
      <c r="B3406" s="452">
        <v>2898827</v>
      </c>
      <c r="C3406" s="95">
        <f>+SUMIF('Anlage 2b_Korrekturen'!$B$647:$B$1026,A3406,'Anlage 2b_Korrekturen'!$D$647:$D$1026)</f>
        <v>0</v>
      </c>
      <c r="D3406" s="145">
        <f t="shared" si="110"/>
        <v>2898827</v>
      </c>
      <c r="E3406" s="143"/>
      <c r="F3406" s="143"/>
      <c r="G3406" s="143"/>
      <c r="H3406" s="143"/>
      <c r="I3406" t="s">
        <v>2138</v>
      </c>
    </row>
    <row r="3407" spans="1:9" hidden="1" outlineLevel="1">
      <c r="A3407" s="465" t="s">
        <v>1397</v>
      </c>
      <c r="B3407" s="452">
        <v>172955007</v>
      </c>
      <c r="C3407" s="95">
        <f>+SUMIF('Anlage 2b_Korrekturen'!$B$647:$B$1026,A3407,'Anlage 2b_Korrekturen'!$D$647:$D$1026)</f>
        <v>0</v>
      </c>
      <c r="D3407" s="145">
        <f t="shared" si="110"/>
        <v>172955007</v>
      </c>
      <c r="E3407" s="143"/>
      <c r="F3407" s="143"/>
      <c r="G3407" s="143"/>
      <c r="H3407" s="143"/>
      <c r="I3407" t="s">
        <v>1398</v>
      </c>
    </row>
    <row r="3408" spans="1:9" hidden="1" outlineLevel="1">
      <c r="A3408" s="465" t="s">
        <v>1921</v>
      </c>
      <c r="B3408" s="452">
        <v>70483115</v>
      </c>
      <c r="C3408" s="95">
        <f>+SUMIF('Anlage 2b_Korrekturen'!$B$647:$B$1026,A3408,'Anlage 2b_Korrekturen'!$D$647:$D$1026)</f>
        <v>-2925829</v>
      </c>
      <c r="D3408" s="145">
        <f t="shared" si="110"/>
        <v>67557286</v>
      </c>
      <c r="E3408" s="143"/>
      <c r="F3408" s="143"/>
      <c r="G3408" s="143"/>
      <c r="H3408" s="143"/>
      <c r="I3408" t="s">
        <v>1922</v>
      </c>
    </row>
    <row r="3409" spans="1:9" hidden="1" outlineLevel="1">
      <c r="A3409" s="465" t="s">
        <v>1923</v>
      </c>
      <c r="B3409" s="452">
        <v>2261882</v>
      </c>
      <c r="C3409" s="95">
        <f>+SUMIF('Anlage 2b_Korrekturen'!$B$647:$B$1026,A3409,'Anlage 2b_Korrekturen'!$D$647:$D$1026)</f>
        <v>0</v>
      </c>
      <c r="D3409" s="145">
        <f t="shared" si="110"/>
        <v>2261882</v>
      </c>
      <c r="E3409" s="143"/>
      <c r="F3409" s="143"/>
      <c r="G3409" s="143"/>
      <c r="H3409" s="143"/>
      <c r="I3409" t="s">
        <v>2139</v>
      </c>
    </row>
    <row r="3410" spans="1:9" hidden="1" outlineLevel="1">
      <c r="A3410" s="465" t="s">
        <v>1399</v>
      </c>
      <c r="B3410" s="452">
        <v>1248122432</v>
      </c>
      <c r="C3410" s="95">
        <f>+SUMIF('Anlage 2b_Korrekturen'!$B$647:$B$1026,A3410,'Anlage 2b_Korrekturen'!$D$647:$D$1026)</f>
        <v>0</v>
      </c>
      <c r="D3410" s="145">
        <f t="shared" si="110"/>
        <v>1248122432</v>
      </c>
      <c r="E3410" s="143"/>
      <c r="F3410" s="143"/>
      <c r="G3410" s="143"/>
      <c r="H3410" s="143"/>
      <c r="I3410" t="s">
        <v>1400</v>
      </c>
    </row>
    <row r="3411" spans="1:9" hidden="1" outlineLevel="1">
      <c r="A3411" s="465" t="s">
        <v>1401</v>
      </c>
      <c r="B3411" s="452">
        <v>7598354682</v>
      </c>
      <c r="C3411" s="95">
        <f>+SUMIF('Anlage 2b_Korrekturen'!$B$647:$B$1026,A3411,'Anlage 2b_Korrekturen'!$D$647:$D$1026)</f>
        <v>56197439</v>
      </c>
      <c r="D3411" s="145">
        <f t="shared" si="110"/>
        <v>7654552121</v>
      </c>
      <c r="E3411" s="143"/>
      <c r="F3411" s="143"/>
      <c r="G3411" s="143"/>
      <c r="H3411" s="143"/>
      <c r="I3411" t="s">
        <v>1402</v>
      </c>
    </row>
    <row r="3412" spans="1:9" hidden="1" outlineLevel="1">
      <c r="A3412" s="465" t="s">
        <v>1403</v>
      </c>
      <c r="B3412" s="452">
        <v>24166538</v>
      </c>
      <c r="C3412" s="95">
        <f>+SUMIF('Anlage 2b_Korrekturen'!$B$647:$B$1026,A3412,'Anlage 2b_Korrekturen'!$D$647:$D$1026)</f>
        <v>0</v>
      </c>
      <c r="D3412" s="145">
        <f t="shared" si="110"/>
        <v>24166538</v>
      </c>
      <c r="E3412" s="143"/>
      <c r="F3412" s="143"/>
      <c r="G3412" s="143"/>
      <c r="H3412" s="143"/>
      <c r="I3412" t="s">
        <v>1404</v>
      </c>
    </row>
    <row r="3413" spans="1:9" hidden="1" outlineLevel="1">
      <c r="A3413" s="465" t="s">
        <v>1405</v>
      </c>
      <c r="B3413" s="452">
        <v>16482824922</v>
      </c>
      <c r="C3413" s="95">
        <f>+SUMIF('Anlage 2b_Korrekturen'!$B$647:$B$1026,A3413,'Anlage 2b_Korrekturen'!$D$647:$D$1026)</f>
        <v>-26343875</v>
      </c>
      <c r="D3413" s="145">
        <f t="shared" ref="D3413:D3473" si="111">B3413+C3413</f>
        <v>16456481047</v>
      </c>
      <c r="E3413" s="143"/>
      <c r="F3413" s="143"/>
      <c r="G3413" s="143"/>
      <c r="H3413" s="143"/>
      <c r="I3413" t="s">
        <v>1406</v>
      </c>
    </row>
    <row r="3414" spans="1:9" hidden="1" outlineLevel="1">
      <c r="A3414" s="465" t="s">
        <v>1407</v>
      </c>
      <c r="B3414" s="452">
        <v>3642888520</v>
      </c>
      <c r="C3414" s="95">
        <f>+SUMIF('Anlage 2b_Korrekturen'!$B$647:$B$1026,A3414,'Anlage 2b_Korrekturen'!$D$647:$D$1026)</f>
        <v>-17156259</v>
      </c>
      <c r="D3414" s="145">
        <f t="shared" si="111"/>
        <v>3625732261</v>
      </c>
      <c r="E3414" s="143"/>
      <c r="F3414" s="143"/>
      <c r="G3414" s="143"/>
      <c r="H3414" s="143"/>
      <c r="I3414" t="s">
        <v>2039</v>
      </c>
    </row>
    <row r="3415" spans="1:9" hidden="1" outlineLevel="1">
      <c r="A3415" s="465" t="s">
        <v>1409</v>
      </c>
      <c r="B3415" s="452">
        <v>616675090</v>
      </c>
      <c r="C3415" s="95">
        <f>+SUMIF('Anlage 2b_Korrekturen'!$B$647:$B$1026,A3415,'Anlage 2b_Korrekturen'!$D$647:$D$1026)</f>
        <v>6463054</v>
      </c>
      <c r="D3415" s="145">
        <f t="shared" si="111"/>
        <v>623138144</v>
      </c>
      <c r="E3415" s="143"/>
      <c r="F3415" s="143"/>
      <c r="G3415" s="143"/>
      <c r="H3415" s="143"/>
      <c r="I3415" t="s">
        <v>1410</v>
      </c>
    </row>
    <row r="3416" spans="1:9" hidden="1" outlineLevel="1">
      <c r="A3416" s="465" t="s">
        <v>1925</v>
      </c>
      <c r="B3416" s="452">
        <v>204905293</v>
      </c>
      <c r="C3416" s="95">
        <f>+SUMIF('Anlage 2b_Korrekturen'!$B$647:$B$1026,A3416,'Anlage 2b_Korrekturen'!$D$647:$D$1026)</f>
        <v>0</v>
      </c>
      <c r="D3416" s="145">
        <f t="shared" si="111"/>
        <v>204905293</v>
      </c>
      <c r="E3416" s="143"/>
      <c r="F3416" s="143"/>
      <c r="G3416" s="143"/>
      <c r="H3416" s="143"/>
      <c r="I3416" t="s">
        <v>1926</v>
      </c>
    </row>
    <row r="3417" spans="1:9" hidden="1" outlineLevel="1">
      <c r="A3417" s="465" t="s">
        <v>509</v>
      </c>
      <c r="B3417" s="452">
        <v>3771816165.5500002</v>
      </c>
      <c r="C3417" s="95">
        <f>+SUMIF('Anlage 2b_Korrekturen'!$B$647:$B$1026,A3417,'Anlage 2b_Korrekturen'!$D$647:$D$1026)</f>
        <v>-29993220</v>
      </c>
      <c r="D3417" s="145">
        <f t="shared" si="111"/>
        <v>3741822945.5500002</v>
      </c>
      <c r="E3417" s="143"/>
      <c r="F3417" s="143"/>
      <c r="G3417" s="143"/>
      <c r="H3417" s="143"/>
      <c r="I3417" t="s">
        <v>510</v>
      </c>
    </row>
    <row r="3418" spans="1:9" hidden="1" outlineLevel="1">
      <c r="A3418" s="465" t="s">
        <v>1411</v>
      </c>
      <c r="B3418" s="452">
        <v>70055682</v>
      </c>
      <c r="C3418" s="95">
        <f>+SUMIF('Anlage 2b_Korrekturen'!$B$647:$B$1026,A3418,'Anlage 2b_Korrekturen'!$D$647:$D$1026)</f>
        <v>0</v>
      </c>
      <c r="D3418" s="145">
        <f t="shared" si="111"/>
        <v>70055682</v>
      </c>
      <c r="E3418" s="143"/>
      <c r="F3418" s="143"/>
      <c r="G3418" s="143"/>
      <c r="H3418" s="143"/>
      <c r="I3418" t="s">
        <v>1412</v>
      </c>
    </row>
    <row r="3419" spans="1:9" hidden="1" outlineLevel="1">
      <c r="A3419" s="465" t="s">
        <v>1413</v>
      </c>
      <c r="B3419" s="452">
        <v>4170210979</v>
      </c>
      <c r="C3419" s="95">
        <f>+SUMIF('Anlage 2b_Korrekturen'!$B$647:$B$1026,A3419,'Anlage 2b_Korrekturen'!$D$647:$D$1026)</f>
        <v>0</v>
      </c>
      <c r="D3419" s="145">
        <f t="shared" si="111"/>
        <v>4170210979</v>
      </c>
      <c r="E3419" s="143"/>
      <c r="F3419" s="143"/>
      <c r="G3419" s="143"/>
      <c r="H3419" s="143"/>
      <c r="I3419" t="s">
        <v>1414</v>
      </c>
    </row>
    <row r="3420" spans="1:9" hidden="1" outlineLevel="1">
      <c r="A3420" s="465" t="s">
        <v>388</v>
      </c>
      <c r="B3420" s="452">
        <v>4784898401.6529999</v>
      </c>
      <c r="C3420" s="95">
        <f>+SUMIF('Anlage 2b_Korrekturen'!$B$647:$B$1026,A3420,'Anlage 2b_Korrekturen'!$D$647:$D$1026)</f>
        <v>-14732235.064999999</v>
      </c>
      <c r="D3420" s="145">
        <f t="shared" si="111"/>
        <v>4770166166.5880003</v>
      </c>
      <c r="E3420" s="143"/>
      <c r="F3420" s="143"/>
      <c r="G3420" s="143"/>
      <c r="H3420" s="143"/>
      <c r="I3420" t="s">
        <v>389</v>
      </c>
    </row>
    <row r="3421" spans="1:9" hidden="1" outlineLevel="1">
      <c r="A3421" s="465" t="s">
        <v>724</v>
      </c>
      <c r="B3421" s="452">
        <v>3746722480</v>
      </c>
      <c r="C3421" s="95">
        <f>+SUMIF('Anlage 2b_Korrekturen'!$B$647:$B$1026,A3421,'Anlage 2b_Korrekturen'!$D$647:$D$1026)</f>
        <v>4589267</v>
      </c>
      <c r="D3421" s="145">
        <f t="shared" si="111"/>
        <v>3751311747</v>
      </c>
      <c r="E3421" s="143"/>
      <c r="F3421" s="143"/>
      <c r="G3421" s="143"/>
      <c r="H3421" s="143"/>
      <c r="I3421" t="s">
        <v>725</v>
      </c>
    </row>
    <row r="3422" spans="1:9" hidden="1" outlineLevel="1">
      <c r="A3422" s="465" t="s">
        <v>1927</v>
      </c>
      <c r="B3422" s="452">
        <v>11447776</v>
      </c>
      <c r="C3422" s="95">
        <f>+SUMIF('Anlage 2b_Korrekturen'!$B$647:$B$1026,A3422,'Anlage 2b_Korrekturen'!$D$647:$D$1026)</f>
        <v>0</v>
      </c>
      <c r="D3422" s="145">
        <f t="shared" si="111"/>
        <v>11447776</v>
      </c>
      <c r="E3422" s="143"/>
      <c r="F3422" s="143"/>
      <c r="G3422" s="143"/>
      <c r="H3422" s="143"/>
      <c r="I3422" t="s">
        <v>1928</v>
      </c>
    </row>
    <row r="3423" spans="1:9" hidden="1" outlineLevel="1">
      <c r="A3423" s="465" t="s">
        <v>1415</v>
      </c>
      <c r="B3423" s="452">
        <v>3708408</v>
      </c>
      <c r="C3423" s="95">
        <f>+SUMIF('Anlage 2b_Korrekturen'!$B$647:$B$1026,A3423,'Anlage 2b_Korrekturen'!$D$647:$D$1026)</f>
        <v>0</v>
      </c>
      <c r="D3423" s="145">
        <f t="shared" si="111"/>
        <v>3708408</v>
      </c>
      <c r="E3423" s="143"/>
      <c r="F3423" s="143"/>
      <c r="G3423" s="143"/>
      <c r="H3423" s="143"/>
      <c r="I3423" t="s">
        <v>1416</v>
      </c>
    </row>
    <row r="3424" spans="1:9" hidden="1" outlineLevel="1">
      <c r="A3424" s="465" t="s">
        <v>1929</v>
      </c>
      <c r="B3424" s="452">
        <v>6665779</v>
      </c>
      <c r="C3424" s="95">
        <f>+SUMIF('Anlage 2b_Korrekturen'!$B$647:$B$1026,A3424,'Anlage 2b_Korrekturen'!$D$647:$D$1026)</f>
        <v>0</v>
      </c>
      <c r="D3424" s="145">
        <f t="shared" si="111"/>
        <v>6665779</v>
      </c>
      <c r="E3424" s="143"/>
      <c r="F3424" s="143"/>
      <c r="G3424" s="143"/>
      <c r="H3424" s="143"/>
      <c r="I3424" t="s">
        <v>2140</v>
      </c>
    </row>
    <row r="3425" spans="1:9" hidden="1" outlineLevel="1">
      <c r="A3425" s="465" t="s">
        <v>1931</v>
      </c>
      <c r="B3425" s="452">
        <v>398738</v>
      </c>
      <c r="C3425" s="95">
        <f>+SUMIF('Anlage 2b_Korrekturen'!$B$647:$B$1026,A3425,'Anlage 2b_Korrekturen'!$D$647:$D$1026)</f>
        <v>0</v>
      </c>
      <c r="D3425" s="145">
        <f t="shared" si="111"/>
        <v>398738</v>
      </c>
      <c r="E3425" s="143"/>
      <c r="F3425" s="143"/>
      <c r="G3425" s="143"/>
      <c r="H3425" s="143"/>
      <c r="I3425" t="s">
        <v>1932</v>
      </c>
    </row>
    <row r="3426" spans="1:9" hidden="1" outlineLevel="1">
      <c r="A3426" s="465" t="s">
        <v>1417</v>
      </c>
      <c r="B3426" s="452">
        <v>118240727</v>
      </c>
      <c r="C3426" s="95">
        <f>+SUMIF('Anlage 2b_Korrekturen'!$B$647:$B$1026,A3426,'Anlage 2b_Korrekturen'!$D$647:$D$1026)</f>
        <v>-2319310.63</v>
      </c>
      <c r="D3426" s="145">
        <f t="shared" si="111"/>
        <v>115921416.37</v>
      </c>
      <c r="E3426" s="143"/>
      <c r="F3426" s="143"/>
      <c r="G3426" s="143"/>
      <c r="H3426" s="143"/>
      <c r="I3426" t="s">
        <v>1418</v>
      </c>
    </row>
    <row r="3427" spans="1:9" hidden="1" outlineLevel="1">
      <c r="A3427" s="465" t="s">
        <v>1419</v>
      </c>
      <c r="B3427" s="452">
        <v>89417686</v>
      </c>
      <c r="C3427" s="95">
        <f>+SUMIF('Anlage 2b_Korrekturen'!$B$647:$B$1026,A3427,'Anlage 2b_Korrekturen'!$D$647:$D$1026)</f>
        <v>-372908</v>
      </c>
      <c r="D3427" s="145">
        <f t="shared" si="111"/>
        <v>89044778</v>
      </c>
      <c r="E3427" s="143"/>
      <c r="F3427" s="143"/>
      <c r="G3427" s="143"/>
      <c r="H3427" s="143"/>
      <c r="I3427" t="s">
        <v>1420</v>
      </c>
    </row>
    <row r="3428" spans="1:9" hidden="1" outlineLevel="1">
      <c r="A3428" s="465" t="s">
        <v>1421</v>
      </c>
      <c r="B3428" s="452">
        <v>72727367</v>
      </c>
      <c r="C3428" s="95">
        <f>+SUMIF('Anlage 2b_Korrekturen'!$B$647:$B$1026,A3428,'Anlage 2b_Korrekturen'!$D$647:$D$1026)</f>
        <v>0</v>
      </c>
      <c r="D3428" s="145">
        <f t="shared" si="111"/>
        <v>72727367</v>
      </c>
      <c r="E3428" s="143"/>
      <c r="F3428" s="143"/>
      <c r="G3428" s="143"/>
      <c r="H3428" s="143"/>
      <c r="I3428" t="s">
        <v>1422</v>
      </c>
    </row>
    <row r="3429" spans="1:9" hidden="1" outlineLevel="1">
      <c r="A3429" s="465" t="s">
        <v>1933</v>
      </c>
      <c r="B3429" s="452">
        <v>60000</v>
      </c>
      <c r="C3429" s="95">
        <f>+SUMIF('Anlage 2b_Korrekturen'!$B$647:$B$1026,A3429,'Anlage 2b_Korrekturen'!$D$647:$D$1026)</f>
        <v>0</v>
      </c>
      <c r="D3429" s="145">
        <f t="shared" si="111"/>
        <v>60000</v>
      </c>
      <c r="E3429" s="143"/>
      <c r="F3429" s="143"/>
      <c r="G3429" s="143"/>
      <c r="H3429" s="143"/>
      <c r="I3429" t="s">
        <v>1934</v>
      </c>
    </row>
    <row r="3430" spans="1:9" hidden="1" outlineLevel="1">
      <c r="A3430" s="465" t="s">
        <v>1423</v>
      </c>
      <c r="B3430" s="452">
        <v>91584037</v>
      </c>
      <c r="C3430" s="95">
        <f>+SUMIF('Anlage 2b_Korrekturen'!$B$647:$B$1026,A3430,'Anlage 2b_Korrekturen'!$D$647:$D$1026)</f>
        <v>0</v>
      </c>
      <c r="D3430" s="145">
        <f t="shared" si="111"/>
        <v>91584037</v>
      </c>
      <c r="E3430" s="143"/>
      <c r="F3430" s="143"/>
      <c r="G3430" s="143"/>
      <c r="H3430" s="143"/>
      <c r="I3430" t="s">
        <v>2141</v>
      </c>
    </row>
    <row r="3431" spans="1:9" hidden="1" outlineLevel="1">
      <c r="A3431" s="465" t="s">
        <v>1425</v>
      </c>
      <c r="B3431" s="452">
        <v>316409794</v>
      </c>
      <c r="C3431" s="95">
        <f>+SUMIF('Anlage 2b_Korrekturen'!$B$647:$B$1026,A3431,'Anlage 2b_Korrekturen'!$D$647:$D$1026)</f>
        <v>396000</v>
      </c>
      <c r="D3431" s="145">
        <f t="shared" si="111"/>
        <v>316805794</v>
      </c>
      <c r="E3431" s="143"/>
      <c r="F3431" s="143"/>
      <c r="G3431" s="143"/>
      <c r="H3431" s="143"/>
      <c r="I3431" t="s">
        <v>1424</v>
      </c>
    </row>
    <row r="3432" spans="1:9" hidden="1" outlineLevel="1">
      <c r="A3432" s="465" t="s">
        <v>429</v>
      </c>
      <c r="B3432" s="452">
        <v>20831998</v>
      </c>
      <c r="C3432" s="95">
        <f>+SUMIF('Anlage 2b_Korrekturen'!$B$647:$B$1026,A3432,'Anlage 2b_Korrekturen'!$D$647:$D$1026)</f>
        <v>167404</v>
      </c>
      <c r="D3432" s="145">
        <f t="shared" si="111"/>
        <v>20999402</v>
      </c>
      <c r="E3432" s="143"/>
      <c r="F3432" s="143"/>
      <c r="G3432" s="143"/>
      <c r="H3432" s="143"/>
      <c r="I3432" t="s">
        <v>1426</v>
      </c>
    </row>
    <row r="3433" spans="1:9" hidden="1" outlineLevel="1">
      <c r="A3433" s="465" t="s">
        <v>360</v>
      </c>
      <c r="B3433" s="452">
        <v>12815881</v>
      </c>
      <c r="C3433" s="95">
        <f>+SUMIF('Anlage 2b_Korrekturen'!$B$647:$B$1026,A3433,'Anlage 2b_Korrekturen'!$D$647:$D$1026)</f>
        <v>0</v>
      </c>
      <c r="D3433" s="145">
        <f t="shared" si="111"/>
        <v>12815881</v>
      </c>
      <c r="E3433" s="143"/>
      <c r="F3433" s="143"/>
      <c r="G3433" s="143"/>
      <c r="H3433" s="143"/>
      <c r="I3433" t="s">
        <v>430</v>
      </c>
    </row>
    <row r="3434" spans="1:9" hidden="1" outlineLevel="1">
      <c r="A3434" s="465" t="s">
        <v>1427</v>
      </c>
      <c r="B3434" s="452">
        <v>279768824</v>
      </c>
      <c r="C3434" s="95">
        <f>+SUMIF('Anlage 2b_Korrekturen'!$B$647:$B$1026,A3434,'Anlage 2b_Korrekturen'!$D$647:$D$1026)</f>
        <v>0</v>
      </c>
      <c r="D3434" s="145">
        <f t="shared" si="111"/>
        <v>279768824</v>
      </c>
      <c r="E3434" s="143"/>
      <c r="F3434" s="143"/>
      <c r="G3434" s="143"/>
      <c r="H3434" s="143"/>
      <c r="I3434" t="s">
        <v>361</v>
      </c>
    </row>
    <row r="3435" spans="1:9" hidden="1" outlineLevel="1">
      <c r="A3435" s="465" t="s">
        <v>1429</v>
      </c>
      <c r="B3435" s="452">
        <v>29425483</v>
      </c>
      <c r="C3435" s="95">
        <f>+SUMIF('Anlage 2b_Korrekturen'!$B$647:$B$1026,A3435,'Anlage 2b_Korrekturen'!$D$647:$D$1026)</f>
        <v>-60697</v>
      </c>
      <c r="D3435" s="145">
        <f t="shared" si="111"/>
        <v>29364786</v>
      </c>
      <c r="E3435" s="143"/>
      <c r="F3435" s="143"/>
      <c r="G3435" s="143"/>
      <c r="H3435" s="143"/>
      <c r="I3435" t="s">
        <v>1428</v>
      </c>
    </row>
    <row r="3436" spans="1:9" hidden="1" outlineLevel="1">
      <c r="A3436" s="465" t="s">
        <v>1935</v>
      </c>
      <c r="B3436" s="452">
        <v>5627561.2319999998</v>
      </c>
      <c r="C3436" s="95">
        <f>+SUMIF('Anlage 2b_Korrekturen'!$B$647:$B$1026,A3436,'Anlage 2b_Korrekturen'!$D$647:$D$1026)</f>
        <v>0</v>
      </c>
      <c r="D3436" s="145">
        <f t="shared" si="111"/>
        <v>5627561.2319999998</v>
      </c>
      <c r="E3436" s="143"/>
      <c r="F3436" s="143"/>
      <c r="G3436" s="143"/>
      <c r="H3436" s="143"/>
      <c r="I3436" t="s">
        <v>1430</v>
      </c>
    </row>
    <row r="3437" spans="1:9" hidden="1" outlineLevel="1">
      <c r="A3437" s="465" t="s">
        <v>1431</v>
      </c>
      <c r="B3437" s="452">
        <v>90257243</v>
      </c>
      <c r="C3437" s="95">
        <f>+SUMIF('Anlage 2b_Korrekturen'!$B$647:$B$1026,A3437,'Anlage 2b_Korrekturen'!$D$647:$D$1026)</f>
        <v>-273017</v>
      </c>
      <c r="D3437" s="145">
        <f t="shared" si="111"/>
        <v>89984226</v>
      </c>
      <c r="E3437" s="143"/>
      <c r="F3437" s="143"/>
      <c r="G3437" s="143"/>
      <c r="H3437" s="143"/>
      <c r="I3437" t="s">
        <v>1936</v>
      </c>
    </row>
    <row r="3438" spans="1:9" hidden="1" outlineLevel="1">
      <c r="A3438" s="465" t="s">
        <v>1433</v>
      </c>
      <c r="B3438" s="452">
        <v>91205960</v>
      </c>
      <c r="C3438" s="95">
        <f>+SUMIF('Anlage 2b_Korrekturen'!$B$647:$B$1026,A3438,'Anlage 2b_Korrekturen'!$D$647:$D$1026)</f>
        <v>0</v>
      </c>
      <c r="D3438" s="145">
        <f t="shared" si="111"/>
        <v>91205960</v>
      </c>
      <c r="E3438" s="143"/>
      <c r="F3438" s="143"/>
      <c r="G3438" s="143"/>
      <c r="H3438" s="143"/>
      <c r="I3438" t="s">
        <v>1432</v>
      </c>
    </row>
    <row r="3439" spans="1:9" hidden="1" outlineLevel="1">
      <c r="A3439" s="465" t="s">
        <v>577</v>
      </c>
      <c r="B3439" s="452">
        <v>5121845066</v>
      </c>
      <c r="C3439" s="95">
        <f>+SUMIF('Anlage 2b_Korrekturen'!$B$647:$B$1026,A3439,'Anlage 2b_Korrekturen'!$D$647:$D$1026)</f>
        <v>12357326</v>
      </c>
      <c r="D3439" s="145">
        <f t="shared" si="111"/>
        <v>5134202392</v>
      </c>
      <c r="E3439" s="143"/>
      <c r="F3439" s="143"/>
      <c r="G3439" s="143"/>
      <c r="H3439" s="143"/>
      <c r="I3439" t="s">
        <v>1434</v>
      </c>
    </row>
    <row r="3440" spans="1:9" hidden="1" outlineLevel="1">
      <c r="A3440" s="465" t="s">
        <v>680</v>
      </c>
      <c r="B3440" s="452">
        <v>280646125</v>
      </c>
      <c r="C3440" s="95">
        <f>+SUMIF('Anlage 2b_Korrekturen'!$B$647:$B$1026,A3440,'Anlage 2b_Korrekturen'!$D$647:$D$1026)</f>
        <v>0</v>
      </c>
      <c r="D3440" s="145">
        <f t="shared" si="111"/>
        <v>280646125</v>
      </c>
      <c r="E3440" s="143"/>
      <c r="F3440" s="143"/>
      <c r="G3440" s="143"/>
      <c r="H3440" s="143"/>
      <c r="I3440" t="s">
        <v>578</v>
      </c>
    </row>
    <row r="3441" spans="1:9" hidden="1" outlineLevel="1">
      <c r="A3441" s="465" t="s">
        <v>1435</v>
      </c>
      <c r="B3441" s="452">
        <v>64618358</v>
      </c>
      <c r="C3441" s="95">
        <f>+SUMIF('Anlage 2b_Korrekturen'!$B$647:$B$1026,A3441,'Anlage 2b_Korrekturen'!$D$647:$D$1026)</f>
        <v>-163641</v>
      </c>
      <c r="D3441" s="145">
        <f t="shared" si="111"/>
        <v>64454717</v>
      </c>
      <c r="E3441" s="143"/>
      <c r="F3441" s="143"/>
      <c r="G3441" s="143"/>
      <c r="H3441" s="143"/>
      <c r="I3441" t="s">
        <v>681</v>
      </c>
    </row>
    <row r="3442" spans="1:9" hidden="1" outlineLevel="1">
      <c r="A3442" s="465" t="s">
        <v>1937</v>
      </c>
      <c r="B3442" s="452">
        <v>7393984</v>
      </c>
      <c r="C3442" s="95">
        <f>+SUMIF('Anlage 2b_Korrekturen'!$B$647:$B$1026,A3442,'Anlage 2b_Korrekturen'!$D$647:$D$1026)</f>
        <v>0</v>
      </c>
      <c r="D3442" s="145">
        <f t="shared" si="111"/>
        <v>7393984</v>
      </c>
      <c r="E3442" s="143"/>
      <c r="F3442" s="143"/>
      <c r="G3442" s="143"/>
      <c r="H3442" s="143"/>
      <c r="I3442" t="s">
        <v>2037</v>
      </c>
    </row>
    <row r="3443" spans="1:9" hidden="1" outlineLevel="1">
      <c r="A3443" s="465" t="s">
        <v>664</v>
      </c>
      <c r="B3443" s="452">
        <v>67564345</v>
      </c>
      <c r="C3443" s="95">
        <f>+SUMIF('Anlage 2b_Korrekturen'!$B$647:$B$1026,A3443,'Anlage 2b_Korrekturen'!$D$647:$D$1026)</f>
        <v>175863</v>
      </c>
      <c r="D3443" s="145">
        <f t="shared" si="111"/>
        <v>67740208</v>
      </c>
      <c r="E3443" s="143"/>
      <c r="F3443" s="143"/>
      <c r="G3443" s="143"/>
      <c r="H3443" s="143"/>
      <c r="I3443" t="s">
        <v>1938</v>
      </c>
    </row>
    <row r="3444" spans="1:9" hidden="1" outlineLevel="1">
      <c r="A3444" s="465" t="s">
        <v>1939</v>
      </c>
      <c r="B3444" s="452">
        <v>5216791</v>
      </c>
      <c r="C3444" s="95">
        <f>+SUMIF('Anlage 2b_Korrekturen'!$B$647:$B$1026,A3444,'Anlage 2b_Korrekturen'!$D$647:$D$1026)</f>
        <v>0</v>
      </c>
      <c r="D3444" s="145">
        <f t="shared" si="111"/>
        <v>5216791</v>
      </c>
      <c r="E3444" s="143"/>
      <c r="F3444" s="143"/>
      <c r="G3444" s="143"/>
      <c r="H3444" s="143"/>
      <c r="I3444" t="s">
        <v>665</v>
      </c>
    </row>
    <row r="3445" spans="1:9" hidden="1" outlineLevel="1">
      <c r="A3445" s="465" t="s">
        <v>469</v>
      </c>
      <c r="B3445" s="452">
        <v>205996219</v>
      </c>
      <c r="C3445" s="95">
        <f>+SUMIF('Anlage 2b_Korrekturen'!$B$647:$B$1026,A3445,'Anlage 2b_Korrekturen'!$D$647:$D$1026)</f>
        <v>-4732753</v>
      </c>
      <c r="D3445" s="145">
        <f t="shared" si="111"/>
        <v>201263466</v>
      </c>
      <c r="E3445" s="143"/>
      <c r="F3445" s="143"/>
      <c r="G3445" s="143"/>
      <c r="H3445" s="143"/>
      <c r="I3445" t="s">
        <v>1940</v>
      </c>
    </row>
    <row r="3446" spans="1:9" hidden="1" outlineLevel="1">
      <c r="A3446" s="465" t="s">
        <v>1438</v>
      </c>
      <c r="B3446" s="452">
        <v>139689389</v>
      </c>
      <c r="C3446" s="95">
        <f>+SUMIF('Anlage 2b_Korrekturen'!$B$647:$B$1026,A3446,'Anlage 2b_Korrekturen'!$D$647:$D$1026)</f>
        <v>-167166</v>
      </c>
      <c r="D3446" s="145">
        <f t="shared" si="111"/>
        <v>139522223</v>
      </c>
      <c r="E3446" s="143"/>
      <c r="F3446" s="143"/>
      <c r="G3446" s="143"/>
      <c r="H3446" s="143"/>
      <c r="I3446" t="s">
        <v>1437</v>
      </c>
    </row>
    <row r="3447" spans="1:9" hidden="1" outlineLevel="1">
      <c r="A3447" s="465" t="s">
        <v>1440</v>
      </c>
      <c r="B3447" s="452">
        <v>11806198</v>
      </c>
      <c r="C3447" s="95">
        <f>+SUMIF('Anlage 2b_Korrekturen'!$B$647:$B$1026,A3447,'Anlage 2b_Korrekturen'!$D$647:$D$1026)</f>
        <v>0</v>
      </c>
      <c r="D3447" s="145">
        <f t="shared" si="111"/>
        <v>11806198</v>
      </c>
      <c r="E3447" s="143"/>
      <c r="F3447" s="143"/>
      <c r="G3447" s="143"/>
      <c r="H3447" s="143"/>
      <c r="I3447" t="s">
        <v>1439</v>
      </c>
    </row>
    <row r="3448" spans="1:9" hidden="1" outlineLevel="1">
      <c r="A3448" s="465" t="s">
        <v>1442</v>
      </c>
      <c r="B3448" s="452">
        <v>110182640</v>
      </c>
      <c r="C3448" s="95">
        <f>+SUMIF('Anlage 2b_Korrekturen'!$B$647:$B$1026,A3448,'Anlage 2b_Korrekturen'!$D$647:$D$1026)</f>
        <v>0</v>
      </c>
      <c r="D3448" s="145">
        <f t="shared" si="111"/>
        <v>110182640</v>
      </c>
      <c r="E3448" s="143"/>
      <c r="F3448" s="143"/>
      <c r="G3448" s="143"/>
      <c r="H3448" s="143"/>
      <c r="I3448" t="s">
        <v>1441</v>
      </c>
    </row>
    <row r="3449" spans="1:9" hidden="1" outlineLevel="1">
      <c r="A3449" s="465" t="s">
        <v>1444</v>
      </c>
      <c r="B3449" s="452">
        <v>143891268</v>
      </c>
      <c r="C3449" s="95">
        <f>+SUMIF('Anlage 2b_Korrekturen'!$B$647:$B$1026,A3449,'Anlage 2b_Korrekturen'!$D$647:$D$1026)</f>
        <v>-1159434</v>
      </c>
      <c r="D3449" s="145">
        <f t="shared" si="111"/>
        <v>142731834</v>
      </c>
      <c r="E3449" s="143"/>
      <c r="F3449" s="143"/>
      <c r="G3449" s="143"/>
      <c r="H3449" s="143"/>
      <c r="I3449" t="s">
        <v>1443</v>
      </c>
    </row>
    <row r="3450" spans="1:9" hidden="1" outlineLevel="1">
      <c r="A3450" s="465" t="s">
        <v>1446</v>
      </c>
      <c r="B3450" s="452">
        <v>168988780</v>
      </c>
      <c r="C3450" s="95">
        <f>+SUMIF('Anlage 2b_Korrekturen'!$B$647:$B$1026,A3450,'Anlage 2b_Korrekturen'!$D$647:$D$1026)</f>
        <v>-590183</v>
      </c>
      <c r="D3450" s="145">
        <f t="shared" si="111"/>
        <v>168398597</v>
      </c>
      <c r="E3450" s="143"/>
      <c r="F3450" s="143"/>
      <c r="G3450" s="143"/>
      <c r="H3450" s="143"/>
      <c r="I3450" t="s">
        <v>1445</v>
      </c>
    </row>
    <row r="3451" spans="1:9" hidden="1" outlineLevel="1">
      <c r="A3451" s="465" t="s">
        <v>1448</v>
      </c>
      <c r="B3451" s="452">
        <v>17536514</v>
      </c>
      <c r="C3451" s="95">
        <f>+SUMIF('Anlage 2b_Korrekturen'!$B$647:$B$1026,A3451,'Anlage 2b_Korrekturen'!$D$647:$D$1026)</f>
        <v>0</v>
      </c>
      <c r="D3451" s="145">
        <f t="shared" si="111"/>
        <v>17536514</v>
      </c>
      <c r="E3451" s="143"/>
      <c r="F3451" s="143"/>
      <c r="G3451" s="143"/>
      <c r="H3451" s="143"/>
      <c r="I3451" t="s">
        <v>1447</v>
      </c>
    </row>
    <row r="3452" spans="1:9" hidden="1" outlineLevel="1">
      <c r="A3452" s="465" t="s">
        <v>1450</v>
      </c>
      <c r="B3452" s="452">
        <v>40766977</v>
      </c>
      <c r="C3452" s="95">
        <f>+SUMIF('Anlage 2b_Korrekturen'!$B$647:$B$1026,A3452,'Anlage 2b_Korrekturen'!$D$647:$D$1026)</f>
        <v>0</v>
      </c>
      <c r="D3452" s="145">
        <f t="shared" si="111"/>
        <v>40766977</v>
      </c>
      <c r="E3452" s="143"/>
      <c r="F3452" s="143"/>
      <c r="G3452" s="143"/>
      <c r="H3452" s="143"/>
      <c r="I3452" t="s">
        <v>1449</v>
      </c>
    </row>
    <row r="3453" spans="1:9" hidden="1" outlineLevel="1">
      <c r="A3453" s="465" t="s">
        <v>1941</v>
      </c>
      <c r="B3453" s="452">
        <v>16520431</v>
      </c>
      <c r="C3453" s="95">
        <f>+SUMIF('Anlage 2b_Korrekturen'!$B$647:$B$1026,A3453,'Anlage 2b_Korrekturen'!$D$647:$D$1026)</f>
        <v>0</v>
      </c>
      <c r="D3453" s="145">
        <f t="shared" si="111"/>
        <v>16520431</v>
      </c>
      <c r="E3453" s="143"/>
      <c r="F3453" s="143"/>
      <c r="G3453" s="143"/>
      <c r="H3453" s="143"/>
      <c r="I3453" t="s">
        <v>1451</v>
      </c>
    </row>
    <row r="3454" spans="1:9" hidden="1" outlineLevel="1">
      <c r="A3454" s="465" t="s">
        <v>1452</v>
      </c>
      <c r="B3454" s="452">
        <v>111425093</v>
      </c>
      <c r="C3454" s="95">
        <f>+SUMIF('Anlage 2b_Korrekturen'!$B$647:$B$1026,A3454,'Anlage 2b_Korrekturen'!$D$647:$D$1026)</f>
        <v>0</v>
      </c>
      <c r="D3454" s="145">
        <f t="shared" si="111"/>
        <v>111425093</v>
      </c>
      <c r="E3454" s="143"/>
      <c r="F3454" s="143"/>
      <c r="G3454" s="143"/>
      <c r="H3454" s="143"/>
      <c r="I3454" t="s">
        <v>1942</v>
      </c>
    </row>
    <row r="3455" spans="1:9" hidden="1" outlineLevel="1">
      <c r="A3455" s="465" t="s">
        <v>1943</v>
      </c>
      <c r="B3455" s="452">
        <v>88641171</v>
      </c>
      <c r="C3455" s="95">
        <f>+SUMIF('Anlage 2b_Korrekturen'!$B$647:$B$1026,A3455,'Anlage 2b_Korrekturen'!$D$647:$D$1026)</f>
        <v>0</v>
      </c>
      <c r="D3455" s="145">
        <f t="shared" si="111"/>
        <v>88641171</v>
      </c>
      <c r="E3455" s="143"/>
      <c r="F3455" s="143"/>
      <c r="G3455" s="143"/>
      <c r="H3455" s="143"/>
      <c r="I3455" t="s">
        <v>1453</v>
      </c>
    </row>
    <row r="3456" spans="1:9" hidden="1" outlineLevel="1">
      <c r="A3456" s="465" t="s">
        <v>1454</v>
      </c>
      <c r="B3456" s="452">
        <v>5661320</v>
      </c>
      <c r="C3456" s="95">
        <f>+SUMIF('Anlage 2b_Korrekturen'!$B$647:$B$1026,A3456,'Anlage 2b_Korrekturen'!$D$647:$D$1026)</f>
        <v>0</v>
      </c>
      <c r="D3456" s="145">
        <f t="shared" si="111"/>
        <v>5661320</v>
      </c>
      <c r="E3456" s="143"/>
      <c r="F3456" s="143"/>
      <c r="G3456" s="143"/>
      <c r="H3456" s="143"/>
      <c r="I3456" t="s">
        <v>1944</v>
      </c>
    </row>
    <row r="3457" spans="1:9" hidden="1" outlineLevel="1">
      <c r="A3457" s="465" t="s">
        <v>1480</v>
      </c>
      <c r="B3457" s="452">
        <v>149381074</v>
      </c>
      <c r="C3457" s="95">
        <f>+SUMIF('Anlage 2b_Korrekturen'!$B$647:$B$1026,A3457,'Anlage 2b_Korrekturen'!$D$647:$D$1026)</f>
        <v>-812669</v>
      </c>
      <c r="D3457" s="145">
        <f t="shared" si="111"/>
        <v>148568405</v>
      </c>
      <c r="E3457" s="143"/>
      <c r="F3457" s="143"/>
      <c r="G3457" s="143"/>
      <c r="H3457" s="143"/>
      <c r="I3457" t="s">
        <v>1455</v>
      </c>
    </row>
    <row r="3458" spans="1:9" hidden="1" outlineLevel="1">
      <c r="A3458" s="465" t="s">
        <v>1456</v>
      </c>
      <c r="B3458" s="452">
        <v>291432030</v>
      </c>
      <c r="C3458" s="95">
        <f>+SUMIF('Anlage 2b_Korrekturen'!$B$647:$B$1026,A3458,'Anlage 2b_Korrekturen'!$D$647:$D$1026)</f>
        <v>-3110155</v>
      </c>
      <c r="D3458" s="145">
        <f t="shared" si="111"/>
        <v>288321875</v>
      </c>
      <c r="E3458" s="143"/>
      <c r="F3458" s="143"/>
      <c r="G3458" s="143"/>
      <c r="H3458" s="143"/>
      <c r="I3458" t="s">
        <v>1481</v>
      </c>
    </row>
    <row r="3459" spans="1:9" hidden="1" outlineLevel="1">
      <c r="A3459" s="465" t="s">
        <v>1458</v>
      </c>
      <c r="B3459" s="452">
        <v>69194748</v>
      </c>
      <c r="C3459" s="95">
        <f>+SUMIF('Anlage 2b_Korrekturen'!$B$647:$B$1026,A3459,'Anlage 2b_Korrekturen'!$D$647:$D$1026)</f>
        <v>-295544</v>
      </c>
      <c r="D3459" s="145">
        <f t="shared" si="111"/>
        <v>68899204</v>
      </c>
      <c r="E3459" s="143"/>
      <c r="F3459" s="143"/>
      <c r="G3459" s="143"/>
      <c r="H3459" s="143"/>
      <c r="I3459" t="s">
        <v>1457</v>
      </c>
    </row>
    <row r="3460" spans="1:9" hidden="1" outlineLevel="1">
      <c r="A3460" s="465" t="s">
        <v>172</v>
      </c>
      <c r="B3460" s="452">
        <v>0</v>
      </c>
      <c r="C3460" s="95">
        <f>+SUMIF('Anlage 2b_Korrekturen'!$B$647:$B$1026,A3460,'Anlage 2b_Korrekturen'!$D$647:$D$1026)</f>
        <v>13103</v>
      </c>
      <c r="D3460" s="145">
        <f t="shared" si="111"/>
        <v>13103</v>
      </c>
      <c r="E3460" s="143"/>
      <c r="F3460" s="143"/>
      <c r="G3460" s="143"/>
      <c r="H3460" s="143"/>
      <c r="I3460" t="s">
        <v>2142</v>
      </c>
    </row>
    <row r="3461" spans="1:9" hidden="1" outlineLevel="1">
      <c r="A3461" s="465" t="s">
        <v>1945</v>
      </c>
      <c r="B3461" s="452">
        <v>55744249</v>
      </c>
      <c r="C3461" s="95">
        <f>+SUMIF('Anlage 2b_Korrekturen'!$B$647:$B$1026,A3461,'Anlage 2b_Korrekturen'!$D$647:$D$1026)</f>
        <v>-884276.09100000001</v>
      </c>
      <c r="D3461" s="145">
        <f t="shared" si="111"/>
        <v>54859972.909000002</v>
      </c>
      <c r="E3461" s="143"/>
      <c r="F3461" s="143"/>
      <c r="G3461" s="143"/>
      <c r="H3461" s="143"/>
      <c r="I3461" t="s">
        <v>1459</v>
      </c>
    </row>
    <row r="3462" spans="1:9" hidden="1" outlineLevel="1">
      <c r="A3462" s="465" t="s">
        <v>356</v>
      </c>
      <c r="B3462" s="452">
        <v>34668252</v>
      </c>
      <c r="C3462" s="95">
        <f>+SUMIF('Anlage 2b_Korrekturen'!$B$647:$B$1026,A3462,'Anlage 2b_Korrekturen'!$D$647:$D$1026)</f>
        <v>9448681</v>
      </c>
      <c r="D3462" s="145">
        <f t="shared" si="111"/>
        <v>44116933</v>
      </c>
      <c r="E3462" s="143"/>
      <c r="F3462" s="143"/>
      <c r="G3462" s="143"/>
      <c r="H3462" s="143"/>
      <c r="I3462" t="s">
        <v>173</v>
      </c>
    </row>
    <row r="3463" spans="1:9" hidden="1" outlineLevel="1">
      <c r="A3463" s="465" t="s">
        <v>1460</v>
      </c>
      <c r="B3463" s="452">
        <v>22871439</v>
      </c>
      <c r="C3463" s="95">
        <f>+SUMIF('Anlage 2b_Korrekturen'!$B$647:$B$1026,A3463,'Anlage 2b_Korrekturen'!$D$647:$D$1026)</f>
        <v>294779</v>
      </c>
      <c r="D3463" s="145">
        <f t="shared" si="111"/>
        <v>23166218</v>
      </c>
      <c r="E3463" s="143"/>
      <c r="F3463" s="143"/>
      <c r="G3463" s="143"/>
      <c r="H3463" s="143"/>
      <c r="I3463" t="s">
        <v>1946</v>
      </c>
    </row>
    <row r="3464" spans="1:9" hidden="1" outlineLevel="1">
      <c r="A3464" s="465" t="s">
        <v>1462</v>
      </c>
      <c r="B3464" s="452">
        <v>291037911</v>
      </c>
      <c r="C3464" s="95">
        <f>+SUMIF('Anlage 2b_Korrekturen'!$B$647:$B$1026,A3464,'Anlage 2b_Korrekturen'!$D$647:$D$1026)</f>
        <v>-1466870</v>
      </c>
      <c r="D3464" s="145">
        <f t="shared" si="111"/>
        <v>289571041</v>
      </c>
      <c r="E3464" s="143"/>
      <c r="F3464" s="143"/>
      <c r="G3464" s="143"/>
      <c r="H3464" s="143"/>
      <c r="I3464" t="s">
        <v>357</v>
      </c>
    </row>
    <row r="3465" spans="1:9" hidden="1" outlineLevel="1">
      <c r="A3465" s="465" t="s">
        <v>1464</v>
      </c>
      <c r="B3465" s="452">
        <v>68077084.167999998</v>
      </c>
      <c r="C3465" s="95">
        <f>+SUMIF('Anlage 2b_Korrekturen'!$B$647:$B$1026,A3465,'Anlage 2b_Korrekturen'!$D$647:$D$1026)</f>
        <v>-4497427.6550000003</v>
      </c>
      <c r="D3465" s="145">
        <f t="shared" si="111"/>
        <v>63579656.512999997</v>
      </c>
      <c r="E3465" s="143"/>
      <c r="F3465" s="143"/>
      <c r="G3465" s="143"/>
      <c r="H3465" s="143"/>
      <c r="I3465" t="s">
        <v>1461</v>
      </c>
    </row>
    <row r="3466" spans="1:9" hidden="1" outlineLevel="1">
      <c r="A3466" s="465" t="s">
        <v>1466</v>
      </c>
      <c r="B3466" s="452">
        <v>68057647</v>
      </c>
      <c r="C3466" s="95">
        <f>+SUMIF('Anlage 2b_Korrekturen'!$B$647:$B$1026,A3466,'Anlage 2b_Korrekturen'!$D$647:$D$1026)</f>
        <v>-1521774.91</v>
      </c>
      <c r="D3466" s="145">
        <f t="shared" si="111"/>
        <v>66535872.090000004</v>
      </c>
      <c r="E3466" s="143"/>
      <c r="F3466" s="143"/>
      <c r="G3466" s="143"/>
      <c r="H3466" s="143"/>
      <c r="I3466" t="s">
        <v>1463</v>
      </c>
    </row>
    <row r="3467" spans="1:9" hidden="1" outlineLevel="1">
      <c r="A3467" s="465" t="s">
        <v>1468</v>
      </c>
      <c r="B3467" s="452">
        <v>72907543.189999998</v>
      </c>
      <c r="C3467" s="95">
        <f>+SUMIF('Anlage 2b_Korrekturen'!$B$647:$B$1026,A3467,'Anlage 2b_Korrekturen'!$D$647:$D$1026)</f>
        <v>-973197.54999999993</v>
      </c>
      <c r="D3467" s="145">
        <f t="shared" si="111"/>
        <v>71934345.640000001</v>
      </c>
      <c r="E3467" s="143"/>
      <c r="F3467" s="143"/>
      <c r="G3467" s="143"/>
      <c r="H3467" s="143"/>
      <c r="I3467" t="s">
        <v>1465</v>
      </c>
    </row>
    <row r="3468" spans="1:9" hidden="1" outlineLevel="1">
      <c r="A3468" s="465" t="s">
        <v>1470</v>
      </c>
      <c r="B3468" s="452">
        <v>24775584</v>
      </c>
      <c r="C3468" s="95">
        <f>+SUMIF('Anlage 2b_Korrekturen'!$B$647:$B$1026,A3468,'Anlage 2b_Korrekturen'!$D$647:$D$1026)</f>
        <v>0</v>
      </c>
      <c r="D3468" s="145">
        <f t="shared" si="111"/>
        <v>24775584</v>
      </c>
      <c r="E3468" s="143"/>
      <c r="F3468" s="143"/>
      <c r="G3468" s="143"/>
      <c r="H3468" s="143"/>
      <c r="I3468" t="s">
        <v>1467</v>
      </c>
    </row>
    <row r="3469" spans="1:9" hidden="1" outlineLevel="1">
      <c r="A3469" s="465" t="s">
        <v>1472</v>
      </c>
      <c r="B3469" s="452">
        <v>56276850</v>
      </c>
      <c r="C3469" s="95">
        <f>+SUMIF('Anlage 2b_Korrekturen'!$B$647:$B$1026,A3469,'Anlage 2b_Korrekturen'!$D$647:$D$1026)</f>
        <v>78514</v>
      </c>
      <c r="D3469" s="145">
        <f t="shared" si="111"/>
        <v>56355364</v>
      </c>
      <c r="E3469" s="143"/>
      <c r="F3469" s="143"/>
      <c r="G3469" s="143"/>
      <c r="H3469" s="143"/>
      <c r="I3469" t="s">
        <v>1469</v>
      </c>
    </row>
    <row r="3470" spans="1:9" hidden="1" outlineLevel="1">
      <c r="A3470" s="465" t="s">
        <v>398</v>
      </c>
      <c r="B3470" s="452">
        <v>20025169.5</v>
      </c>
      <c r="C3470" s="95">
        <f>+SUMIF('Anlage 2b_Korrekturen'!$B$647:$B$1026,A3470,'Anlage 2b_Korrekturen'!$D$647:$D$1026)</f>
        <v>111648.58</v>
      </c>
      <c r="D3470" s="145">
        <f t="shared" si="111"/>
        <v>20136818.079999998</v>
      </c>
      <c r="E3470" s="143"/>
      <c r="F3470" s="143"/>
      <c r="G3470" s="143"/>
      <c r="H3470" s="143"/>
      <c r="I3470" t="s">
        <v>1471</v>
      </c>
    </row>
    <row r="3471" spans="1:9" hidden="1" outlineLevel="1">
      <c r="A3471" s="465" t="s">
        <v>1947</v>
      </c>
      <c r="B3471" s="452">
        <v>8752730.8499999996</v>
      </c>
      <c r="C3471" s="95">
        <f>+SUMIF('Anlage 2b_Korrekturen'!$B$647:$B$1026,A3471,'Anlage 2b_Korrekturen'!$D$647:$D$1026)</f>
        <v>0</v>
      </c>
      <c r="D3471" s="145">
        <f t="shared" si="111"/>
        <v>8752730.8499999996</v>
      </c>
      <c r="E3471" s="143"/>
      <c r="F3471" s="143"/>
      <c r="G3471" s="143"/>
      <c r="H3471" s="143"/>
      <c r="I3471" t="s">
        <v>1473</v>
      </c>
    </row>
    <row r="3472" spans="1:9" hidden="1" outlineLevel="1">
      <c r="A3472" s="465" t="s">
        <v>1949</v>
      </c>
      <c r="B3472" s="452">
        <v>30452984</v>
      </c>
      <c r="C3472" s="95">
        <f>+SUMIF('Anlage 2b_Korrekturen'!$B$647:$B$1026,A3472,'Anlage 2b_Korrekturen'!$D$647:$D$1026)</f>
        <v>0</v>
      </c>
      <c r="D3472" s="145">
        <f t="shared" si="111"/>
        <v>30452984</v>
      </c>
      <c r="E3472" s="143"/>
      <c r="F3472" s="143"/>
      <c r="G3472" s="143"/>
      <c r="H3472" s="143"/>
      <c r="I3472" t="s">
        <v>399</v>
      </c>
    </row>
    <row r="3473" spans="1:9" hidden="1" outlineLevel="1">
      <c r="A3473" s="465" t="s">
        <v>1951</v>
      </c>
      <c r="B3473" s="452">
        <v>3512322.2</v>
      </c>
      <c r="C3473" s="95">
        <f>+SUMIF('Anlage 2b_Korrekturen'!$B$647:$B$1026,A3473,'Anlage 2b_Korrekturen'!$D$647:$D$1026)</f>
        <v>-26198</v>
      </c>
      <c r="D3473" s="145">
        <f t="shared" si="111"/>
        <v>3486124.2</v>
      </c>
      <c r="E3473" s="143"/>
      <c r="F3473" s="143"/>
      <c r="G3473" s="143"/>
      <c r="H3473" s="143"/>
      <c r="I3473" t="s">
        <v>1950</v>
      </c>
    </row>
    <row r="3474" spans="1:9" hidden="1" outlineLevel="1">
      <c r="A3474" s="465"/>
      <c r="B3474" s="452"/>
      <c r="C3474" s="95"/>
      <c r="D3474" s="145"/>
      <c r="E3474" s="143"/>
      <c r="F3474" s="143"/>
      <c r="G3474" s="143"/>
      <c r="H3474" s="143"/>
      <c r="I3474" t="s">
        <v>1952</v>
      </c>
    </row>
    <row r="3475" spans="1:9" ht="13.5" collapsed="1" thickBot="1">
      <c r="A3475" s="466" t="str">
        <f>A743</f>
        <v>Regelzone TransnetBW (gesamt)</v>
      </c>
      <c r="B3475" s="459">
        <f>SUM(B3476:B3613)</f>
        <v>47677236564</v>
      </c>
      <c r="C3475" s="1098">
        <f>SUM(C3476:C3613)</f>
        <v>104136053</v>
      </c>
      <c r="D3475" s="154">
        <f>B3475+C3475</f>
        <v>47781372617</v>
      </c>
      <c r="E3475" s="143"/>
      <c r="F3475" s="143"/>
      <c r="G3475" s="143"/>
      <c r="H3475" s="143"/>
    </row>
    <row r="3476" spans="1:9" hidden="1" outlineLevel="1">
      <c r="A3476" s="465" t="s">
        <v>1487</v>
      </c>
      <c r="B3476" s="452">
        <v>222707661</v>
      </c>
      <c r="C3476" s="95">
        <v>0</v>
      </c>
      <c r="D3476" s="145">
        <v>222707661</v>
      </c>
      <c r="E3476" s="143"/>
      <c r="F3476" s="143"/>
      <c r="G3476" s="143"/>
      <c r="H3476" s="143"/>
      <c r="I3476" t="s">
        <v>1488</v>
      </c>
    </row>
    <row r="3477" spans="1:9" hidden="1" outlineLevel="1">
      <c r="A3477" s="465" t="s">
        <v>1489</v>
      </c>
      <c r="B3477" s="452">
        <v>452208137</v>
      </c>
      <c r="C3477" s="95">
        <v>-3234251</v>
      </c>
      <c r="D3477" s="145">
        <v>448973886</v>
      </c>
      <c r="E3477" s="143"/>
      <c r="F3477" s="143"/>
      <c r="G3477" s="143"/>
      <c r="H3477" s="143"/>
      <c r="I3477" t="s">
        <v>1490</v>
      </c>
    </row>
    <row r="3478" spans="1:9" hidden="1" outlineLevel="1">
      <c r="A3478" s="465" t="s">
        <v>1491</v>
      </c>
      <c r="B3478" s="452">
        <v>1245441114</v>
      </c>
      <c r="C3478" s="95">
        <v>0</v>
      </c>
      <c r="D3478" s="145">
        <v>1245441114</v>
      </c>
      <c r="E3478" s="143"/>
      <c r="F3478" s="143"/>
      <c r="G3478" s="143"/>
      <c r="H3478" s="143"/>
      <c r="I3478" t="s">
        <v>1492</v>
      </c>
    </row>
    <row r="3479" spans="1:9" hidden="1" outlineLevel="1">
      <c r="A3479" s="465" t="s">
        <v>1953</v>
      </c>
      <c r="B3479" s="452">
        <v>11201472</v>
      </c>
      <c r="C3479" s="95">
        <v>0</v>
      </c>
      <c r="D3479" s="145">
        <v>11201472</v>
      </c>
      <c r="E3479" s="143"/>
      <c r="F3479" s="143"/>
      <c r="G3479" s="143"/>
      <c r="H3479" s="143"/>
      <c r="I3479" t="s">
        <v>1954</v>
      </c>
    </row>
    <row r="3480" spans="1:9" hidden="1" outlineLevel="1">
      <c r="A3480" s="465" t="s">
        <v>655</v>
      </c>
      <c r="B3480" s="452">
        <v>1906517082</v>
      </c>
      <c r="C3480" s="95">
        <v>1443721</v>
      </c>
      <c r="D3480" s="145">
        <v>1907960803</v>
      </c>
      <c r="E3480" s="143"/>
      <c r="F3480" s="143"/>
      <c r="G3480" s="143"/>
      <c r="H3480" s="143"/>
      <c r="I3480" t="s">
        <v>578</v>
      </c>
    </row>
    <row r="3481" spans="1:9" hidden="1" outlineLevel="1">
      <c r="A3481" s="465" t="s">
        <v>1493</v>
      </c>
      <c r="B3481" s="452">
        <v>130265756</v>
      </c>
      <c r="C3481" s="95">
        <v>-3062077</v>
      </c>
      <c r="D3481" s="145">
        <v>127203679</v>
      </c>
      <c r="E3481" s="143"/>
      <c r="F3481" s="143"/>
      <c r="G3481" s="143"/>
      <c r="H3481" s="143"/>
      <c r="I3481" t="s">
        <v>1494</v>
      </c>
    </row>
    <row r="3482" spans="1:9" hidden="1" outlineLevel="1">
      <c r="A3482" s="465" t="s">
        <v>429</v>
      </c>
      <c r="B3482" s="452">
        <v>5435745</v>
      </c>
      <c r="C3482" s="95">
        <v>0</v>
      </c>
      <c r="D3482" s="145">
        <v>5435745</v>
      </c>
      <c r="E3482" s="143"/>
      <c r="F3482" s="143"/>
      <c r="G3482" s="143"/>
      <c r="H3482" s="143"/>
      <c r="I3482" t="s">
        <v>430</v>
      </c>
    </row>
    <row r="3483" spans="1:9" hidden="1" outlineLevel="1">
      <c r="A3483" s="465" t="s">
        <v>172</v>
      </c>
      <c r="B3483" s="452">
        <v>1928511</v>
      </c>
      <c r="C3483" s="95">
        <v>85120</v>
      </c>
      <c r="D3483" s="145">
        <v>2013631</v>
      </c>
      <c r="E3483" s="143"/>
      <c r="F3483" s="143"/>
      <c r="G3483" s="143"/>
      <c r="H3483" s="143"/>
      <c r="I3483" t="s">
        <v>173</v>
      </c>
    </row>
    <row r="3484" spans="1:9" hidden="1" outlineLevel="1">
      <c r="A3484" s="465" t="s">
        <v>1495</v>
      </c>
      <c r="B3484" s="452">
        <v>153980138</v>
      </c>
      <c r="C3484" s="95">
        <v>-16483383</v>
      </c>
      <c r="D3484" s="145">
        <v>137496755</v>
      </c>
      <c r="E3484" s="143"/>
      <c r="F3484" s="143"/>
      <c r="G3484" s="143"/>
      <c r="H3484" s="143"/>
      <c r="I3484" t="s">
        <v>1496</v>
      </c>
    </row>
    <row r="3485" spans="1:9" hidden="1" outlineLevel="1">
      <c r="A3485" s="465" t="s">
        <v>1497</v>
      </c>
      <c r="B3485" s="452">
        <v>80700224</v>
      </c>
      <c r="C3485" s="95">
        <v>-106973</v>
      </c>
      <c r="D3485" s="145">
        <v>80593251</v>
      </c>
      <c r="E3485" s="143"/>
      <c r="F3485" s="143"/>
      <c r="G3485" s="143"/>
      <c r="H3485" s="143"/>
      <c r="I3485" t="s">
        <v>1498</v>
      </c>
    </row>
    <row r="3486" spans="1:9" hidden="1" outlineLevel="1">
      <c r="A3486" s="465" t="s">
        <v>1499</v>
      </c>
      <c r="B3486" s="452">
        <v>17210356</v>
      </c>
      <c r="C3486" s="95">
        <v>-1327</v>
      </c>
      <c r="D3486" s="145">
        <v>17209029</v>
      </c>
      <c r="E3486" s="143"/>
      <c r="F3486" s="143"/>
      <c r="G3486" s="143"/>
      <c r="H3486" s="143"/>
      <c r="I3486" t="s">
        <v>1500</v>
      </c>
    </row>
    <row r="3487" spans="1:9" hidden="1" outlineLevel="1">
      <c r="A3487" s="465" t="s">
        <v>1501</v>
      </c>
      <c r="B3487" s="452">
        <v>36195357</v>
      </c>
      <c r="C3487" s="95">
        <v>0</v>
      </c>
      <c r="D3487" s="145">
        <v>36195357</v>
      </c>
      <c r="E3487" s="143"/>
      <c r="F3487" s="143"/>
      <c r="G3487" s="143"/>
      <c r="H3487" s="143"/>
      <c r="I3487" t="s">
        <v>1502</v>
      </c>
    </row>
    <row r="3488" spans="1:9" hidden="1" outlineLevel="1">
      <c r="A3488" s="465" t="s">
        <v>1503</v>
      </c>
      <c r="B3488" s="452">
        <v>152330803</v>
      </c>
      <c r="C3488" s="95">
        <v>-129748</v>
      </c>
      <c r="D3488" s="145">
        <v>152201055</v>
      </c>
      <c r="E3488" s="143"/>
      <c r="F3488" s="143"/>
      <c r="G3488" s="143"/>
      <c r="H3488" s="143"/>
      <c r="I3488" t="s">
        <v>1504</v>
      </c>
    </row>
    <row r="3489" spans="1:9" hidden="1" outlineLevel="1">
      <c r="A3489" s="465" t="s">
        <v>1505</v>
      </c>
      <c r="B3489" s="452">
        <v>40457161</v>
      </c>
      <c r="C3489" s="95">
        <v>3387093</v>
      </c>
      <c r="D3489" s="145">
        <v>43844254</v>
      </c>
      <c r="E3489" s="143"/>
      <c r="F3489" s="143"/>
      <c r="G3489" s="143"/>
      <c r="H3489" s="143"/>
      <c r="I3489" t="s">
        <v>1506</v>
      </c>
    </row>
    <row r="3490" spans="1:9" hidden="1" outlineLevel="1">
      <c r="A3490" s="465" t="s">
        <v>1955</v>
      </c>
      <c r="B3490" s="452">
        <v>9552022</v>
      </c>
      <c r="C3490" s="95">
        <v>0</v>
      </c>
      <c r="D3490" s="145">
        <v>9552022</v>
      </c>
      <c r="E3490" s="143"/>
      <c r="F3490" s="143"/>
      <c r="G3490" s="143"/>
      <c r="H3490" s="143"/>
      <c r="I3490" t="s">
        <v>1956</v>
      </c>
    </row>
    <row r="3491" spans="1:9" hidden="1" outlineLevel="1">
      <c r="A3491" s="465" t="s">
        <v>1507</v>
      </c>
      <c r="B3491" s="452">
        <v>40990892</v>
      </c>
      <c r="C3491" s="95">
        <v>0</v>
      </c>
      <c r="D3491" s="145">
        <v>40990892</v>
      </c>
      <c r="E3491" s="143"/>
      <c r="F3491" s="143"/>
      <c r="G3491" s="143"/>
      <c r="H3491" s="143"/>
      <c r="I3491" t="s">
        <v>1508</v>
      </c>
    </row>
    <row r="3492" spans="1:9" hidden="1" outlineLevel="1">
      <c r="A3492" s="465" t="s">
        <v>1509</v>
      </c>
      <c r="B3492" s="452">
        <v>35377818</v>
      </c>
      <c r="C3492" s="95">
        <v>0</v>
      </c>
      <c r="D3492" s="145">
        <v>35377818</v>
      </c>
      <c r="E3492" s="143"/>
      <c r="F3492" s="143"/>
      <c r="G3492" s="143"/>
      <c r="H3492" s="143"/>
      <c r="I3492" t="s">
        <v>1510</v>
      </c>
    </row>
    <row r="3493" spans="1:9" hidden="1" outlineLevel="1">
      <c r="A3493" s="465" t="s">
        <v>1511</v>
      </c>
      <c r="B3493" s="452">
        <v>80966732</v>
      </c>
      <c r="C3493" s="95">
        <v>745843</v>
      </c>
      <c r="D3493" s="145">
        <v>81712575</v>
      </c>
      <c r="E3493" s="143"/>
      <c r="F3493" s="143"/>
      <c r="G3493" s="143"/>
      <c r="H3493" s="143"/>
      <c r="I3493" t="s">
        <v>1512</v>
      </c>
    </row>
    <row r="3494" spans="1:9" hidden="1" outlineLevel="1">
      <c r="A3494" s="465" t="s">
        <v>1513</v>
      </c>
      <c r="B3494" s="452">
        <v>249129348</v>
      </c>
      <c r="C3494" s="95">
        <v>-2024827</v>
      </c>
      <c r="D3494" s="145">
        <v>247104521</v>
      </c>
      <c r="E3494" s="143"/>
      <c r="F3494" s="143"/>
      <c r="G3494" s="143"/>
      <c r="H3494" s="143"/>
      <c r="I3494" t="s">
        <v>1514</v>
      </c>
    </row>
    <row r="3495" spans="1:9" hidden="1" outlineLevel="1">
      <c r="A3495" s="465" t="s">
        <v>1515</v>
      </c>
      <c r="B3495" s="452">
        <v>24628851</v>
      </c>
      <c r="C3495" s="95">
        <v>0</v>
      </c>
      <c r="D3495" s="145">
        <v>24628851</v>
      </c>
      <c r="E3495" s="143"/>
      <c r="F3495" s="143"/>
      <c r="G3495" s="143"/>
      <c r="H3495" s="143"/>
      <c r="I3495" t="s">
        <v>1516</v>
      </c>
    </row>
    <row r="3496" spans="1:9" hidden="1" outlineLevel="1">
      <c r="A3496" s="465" t="s">
        <v>1517</v>
      </c>
      <c r="B3496" s="452">
        <v>222367642</v>
      </c>
      <c r="C3496" s="95">
        <v>973161</v>
      </c>
      <c r="D3496" s="145">
        <v>223340803</v>
      </c>
      <c r="E3496" s="143"/>
      <c r="F3496" s="143"/>
      <c r="G3496" s="143"/>
      <c r="H3496" s="143"/>
      <c r="I3496" t="s">
        <v>1518</v>
      </c>
    </row>
    <row r="3497" spans="1:9" hidden="1" outlineLevel="1">
      <c r="A3497" s="465" t="s">
        <v>1519</v>
      </c>
      <c r="B3497" s="452">
        <v>62406842</v>
      </c>
      <c r="C3497" s="95">
        <v>-264169</v>
      </c>
      <c r="D3497" s="145">
        <v>62142673</v>
      </c>
      <c r="E3497" s="143"/>
      <c r="F3497" s="143"/>
      <c r="G3497" s="143"/>
      <c r="H3497" s="143"/>
      <c r="I3497" t="s">
        <v>1520</v>
      </c>
    </row>
    <row r="3498" spans="1:9" hidden="1" outlineLevel="1">
      <c r="A3498" s="465" t="s">
        <v>1521</v>
      </c>
      <c r="B3498" s="452">
        <v>120358455</v>
      </c>
      <c r="C3498" s="95">
        <v>-820535</v>
      </c>
      <c r="D3498" s="145">
        <v>119537920</v>
      </c>
      <c r="E3498" s="143"/>
      <c r="F3498" s="143"/>
      <c r="G3498" s="143"/>
      <c r="H3498" s="143"/>
      <c r="I3498" t="s">
        <v>1522</v>
      </c>
    </row>
    <row r="3499" spans="1:9" hidden="1" outlineLevel="1">
      <c r="A3499" s="465" t="s">
        <v>1523</v>
      </c>
      <c r="B3499" s="452">
        <v>126694150</v>
      </c>
      <c r="C3499" s="95">
        <v>701900</v>
      </c>
      <c r="D3499" s="145">
        <v>127396050</v>
      </c>
      <c r="E3499" s="143"/>
      <c r="F3499" s="143"/>
      <c r="G3499" s="143"/>
      <c r="H3499" s="143"/>
      <c r="I3499" t="s">
        <v>1524</v>
      </c>
    </row>
    <row r="3500" spans="1:9" hidden="1" outlineLevel="1">
      <c r="A3500" s="465" t="s">
        <v>1525</v>
      </c>
      <c r="B3500" s="452">
        <v>40582774</v>
      </c>
      <c r="C3500" s="95">
        <v>0</v>
      </c>
      <c r="D3500" s="145">
        <v>40582774</v>
      </c>
      <c r="E3500" s="143"/>
      <c r="F3500" s="143"/>
      <c r="G3500" s="143"/>
      <c r="H3500" s="143"/>
      <c r="I3500" t="s">
        <v>1526</v>
      </c>
    </row>
    <row r="3501" spans="1:9" hidden="1" outlineLevel="1">
      <c r="A3501" s="465" t="s">
        <v>1527</v>
      </c>
      <c r="B3501" s="452">
        <v>53669452</v>
      </c>
      <c r="C3501" s="95">
        <v>0</v>
      </c>
      <c r="D3501" s="145">
        <v>53669452</v>
      </c>
      <c r="E3501" s="143"/>
      <c r="F3501" s="143"/>
      <c r="G3501" s="143"/>
      <c r="H3501" s="143"/>
      <c r="I3501" t="s">
        <v>1528</v>
      </c>
    </row>
    <row r="3502" spans="1:9" hidden="1" outlineLevel="1">
      <c r="A3502" s="465" t="s">
        <v>1529</v>
      </c>
      <c r="B3502" s="452">
        <v>196458423</v>
      </c>
      <c r="C3502" s="95">
        <v>4530981</v>
      </c>
      <c r="D3502" s="145">
        <v>200989404</v>
      </c>
      <c r="E3502" s="143"/>
      <c r="F3502" s="143"/>
      <c r="G3502" s="143"/>
      <c r="H3502" s="143"/>
      <c r="I3502" t="s">
        <v>1530</v>
      </c>
    </row>
    <row r="3503" spans="1:9" hidden="1" outlineLevel="1">
      <c r="A3503" s="465" t="s">
        <v>1531</v>
      </c>
      <c r="B3503" s="452">
        <v>17507009</v>
      </c>
      <c r="C3503" s="95">
        <v>0</v>
      </c>
      <c r="D3503" s="145">
        <v>17507009</v>
      </c>
      <c r="E3503" s="143"/>
      <c r="F3503" s="143"/>
      <c r="G3503" s="143"/>
      <c r="H3503" s="143"/>
      <c r="I3503" t="s">
        <v>1532</v>
      </c>
    </row>
    <row r="3504" spans="1:9" hidden="1" outlineLevel="1">
      <c r="A3504" s="465" t="s">
        <v>1533</v>
      </c>
      <c r="B3504" s="452">
        <v>924268549</v>
      </c>
      <c r="C3504" s="95">
        <v>259346</v>
      </c>
      <c r="D3504" s="145">
        <v>924527895</v>
      </c>
      <c r="E3504" s="143"/>
      <c r="F3504" s="143"/>
      <c r="G3504" s="143"/>
      <c r="H3504" s="143"/>
      <c r="I3504" t="s">
        <v>1534</v>
      </c>
    </row>
    <row r="3505" spans="1:9" hidden="1" outlineLevel="1">
      <c r="A3505" s="465" t="s">
        <v>1957</v>
      </c>
      <c r="B3505" s="452">
        <v>51655896</v>
      </c>
      <c r="C3505" s="95">
        <v>0</v>
      </c>
      <c r="D3505" s="145">
        <v>51655896</v>
      </c>
      <c r="E3505" s="143"/>
      <c r="F3505" s="143"/>
      <c r="G3505" s="143"/>
      <c r="H3505" s="143"/>
      <c r="I3505" t="s">
        <v>1958</v>
      </c>
    </row>
    <row r="3506" spans="1:9" hidden="1" outlineLevel="1">
      <c r="A3506" s="465" t="s">
        <v>1959</v>
      </c>
      <c r="B3506" s="452">
        <v>48938230</v>
      </c>
      <c r="C3506" s="95">
        <v>0</v>
      </c>
      <c r="D3506" s="145">
        <v>48938230</v>
      </c>
      <c r="E3506" s="143"/>
      <c r="F3506" s="143"/>
      <c r="G3506" s="143"/>
      <c r="H3506" s="143"/>
      <c r="I3506" t="s">
        <v>1960</v>
      </c>
    </row>
    <row r="3507" spans="1:9" hidden="1" outlineLevel="1">
      <c r="A3507" s="465" t="s">
        <v>1961</v>
      </c>
      <c r="B3507" s="452">
        <v>23486416</v>
      </c>
      <c r="C3507" s="95">
        <v>-3105</v>
      </c>
      <c r="D3507" s="145">
        <v>23483311</v>
      </c>
      <c r="E3507" s="143"/>
      <c r="F3507" s="143"/>
      <c r="G3507" s="143"/>
      <c r="H3507" s="143"/>
      <c r="I3507" t="s">
        <v>1962</v>
      </c>
    </row>
    <row r="3508" spans="1:9" hidden="1" outlineLevel="1">
      <c r="A3508" s="465" t="s">
        <v>1535</v>
      </c>
      <c r="B3508" s="452">
        <v>10819072</v>
      </c>
      <c r="C3508" s="95">
        <v>0</v>
      </c>
      <c r="D3508" s="145">
        <v>10819072</v>
      </c>
      <c r="E3508" s="143"/>
      <c r="F3508" s="143"/>
      <c r="G3508" s="143"/>
      <c r="H3508" s="143"/>
      <c r="I3508" t="s">
        <v>1536</v>
      </c>
    </row>
    <row r="3509" spans="1:9" hidden="1" outlineLevel="1">
      <c r="A3509" s="465" t="s">
        <v>1537</v>
      </c>
      <c r="B3509" s="452">
        <v>43828330</v>
      </c>
      <c r="C3509" s="95">
        <v>-37374</v>
      </c>
      <c r="D3509" s="145">
        <v>43790956</v>
      </c>
      <c r="E3509" s="143"/>
      <c r="F3509" s="143"/>
      <c r="G3509" s="143"/>
      <c r="H3509" s="143"/>
      <c r="I3509" t="s">
        <v>1538</v>
      </c>
    </row>
    <row r="3510" spans="1:9" hidden="1" outlineLevel="1">
      <c r="A3510" s="465" t="s">
        <v>1539</v>
      </c>
      <c r="B3510" s="452">
        <v>26599665</v>
      </c>
      <c r="C3510" s="95">
        <v>0</v>
      </c>
      <c r="D3510" s="145">
        <v>26599665</v>
      </c>
      <c r="E3510" s="143"/>
      <c r="F3510" s="143"/>
      <c r="G3510" s="143"/>
      <c r="H3510" s="143"/>
      <c r="I3510" t="s">
        <v>1540</v>
      </c>
    </row>
    <row r="3511" spans="1:9" hidden="1" outlineLevel="1">
      <c r="A3511" s="465" t="s">
        <v>1541</v>
      </c>
      <c r="B3511" s="452">
        <v>50916391</v>
      </c>
      <c r="C3511" s="95">
        <v>0</v>
      </c>
      <c r="D3511" s="145">
        <v>50916391</v>
      </c>
      <c r="E3511" s="143"/>
      <c r="F3511" s="143"/>
      <c r="G3511" s="143"/>
      <c r="H3511" s="143"/>
      <c r="I3511" t="s">
        <v>1542</v>
      </c>
    </row>
    <row r="3512" spans="1:9" hidden="1" outlineLevel="1">
      <c r="A3512" s="465" t="s">
        <v>1543</v>
      </c>
      <c r="B3512" s="452">
        <v>22633807</v>
      </c>
      <c r="C3512" s="95">
        <v>0</v>
      </c>
      <c r="D3512" s="145">
        <v>22633807</v>
      </c>
      <c r="E3512" s="143"/>
      <c r="F3512" s="143"/>
      <c r="G3512" s="143"/>
      <c r="H3512" s="143"/>
      <c r="I3512" t="s">
        <v>1544</v>
      </c>
    </row>
    <row r="3513" spans="1:9" hidden="1" outlineLevel="1">
      <c r="A3513" s="465" t="s">
        <v>1545</v>
      </c>
      <c r="B3513" s="452">
        <v>19060914</v>
      </c>
      <c r="C3513" s="95">
        <v>0</v>
      </c>
      <c r="D3513" s="145">
        <v>19060914</v>
      </c>
      <c r="E3513" s="143"/>
      <c r="F3513" s="143"/>
      <c r="G3513" s="143"/>
      <c r="H3513" s="143"/>
      <c r="I3513" t="s">
        <v>1546</v>
      </c>
    </row>
    <row r="3514" spans="1:9" hidden="1" outlineLevel="1">
      <c r="A3514" s="465" t="s">
        <v>86</v>
      </c>
      <c r="B3514" s="452">
        <v>41351682</v>
      </c>
      <c r="C3514" s="95">
        <v>429608</v>
      </c>
      <c r="D3514" s="145">
        <v>41781290</v>
      </c>
      <c r="E3514" s="143"/>
      <c r="F3514" s="143"/>
      <c r="G3514" s="143"/>
      <c r="H3514" s="143"/>
      <c r="I3514" t="s">
        <v>87</v>
      </c>
    </row>
    <row r="3515" spans="1:9" hidden="1" outlineLevel="1">
      <c r="A3515" s="465" t="s">
        <v>398</v>
      </c>
      <c r="B3515" s="452">
        <v>7234078</v>
      </c>
      <c r="C3515" s="95">
        <v>4851</v>
      </c>
      <c r="D3515" s="145">
        <v>7238929</v>
      </c>
      <c r="E3515" s="143"/>
      <c r="F3515" s="143"/>
      <c r="G3515" s="143"/>
      <c r="H3515" s="143"/>
      <c r="I3515" t="s">
        <v>399</v>
      </c>
    </row>
    <row r="3516" spans="1:9" hidden="1" outlineLevel="1">
      <c r="A3516" s="465" t="s">
        <v>1547</v>
      </c>
      <c r="B3516" s="452">
        <v>4826400</v>
      </c>
      <c r="C3516" s="95">
        <v>1272</v>
      </c>
      <c r="D3516" s="145">
        <v>4827672</v>
      </c>
      <c r="E3516" s="143"/>
      <c r="F3516" s="143"/>
      <c r="G3516" s="143"/>
      <c r="H3516" s="143"/>
      <c r="I3516" t="s">
        <v>1548</v>
      </c>
    </row>
    <row r="3517" spans="1:9" hidden="1" outlineLevel="1">
      <c r="A3517" s="465" t="s">
        <v>1549</v>
      </c>
      <c r="B3517" s="452">
        <v>25230810</v>
      </c>
      <c r="C3517" s="95">
        <v>0</v>
      </c>
      <c r="D3517" s="145">
        <v>25230810</v>
      </c>
      <c r="E3517" s="143"/>
      <c r="F3517" s="143"/>
      <c r="G3517" s="143"/>
      <c r="H3517" s="143"/>
      <c r="I3517" t="s">
        <v>1550</v>
      </c>
    </row>
    <row r="3518" spans="1:9" hidden="1" outlineLevel="1">
      <c r="A3518" s="465" t="s">
        <v>1963</v>
      </c>
      <c r="B3518" s="452">
        <v>1701090</v>
      </c>
      <c r="C3518" s="95">
        <v>0</v>
      </c>
      <c r="D3518" s="145">
        <v>1701090</v>
      </c>
      <c r="E3518" s="143"/>
      <c r="F3518" s="143"/>
      <c r="G3518" s="143"/>
      <c r="H3518" s="143"/>
      <c r="I3518" t="s">
        <v>1964</v>
      </c>
    </row>
    <row r="3519" spans="1:9" hidden="1" outlineLevel="1">
      <c r="A3519" s="465" t="s">
        <v>1551</v>
      </c>
      <c r="B3519" s="452">
        <v>173852706</v>
      </c>
      <c r="C3519" s="95">
        <v>0</v>
      </c>
      <c r="D3519" s="145">
        <v>173852706</v>
      </c>
      <c r="E3519" s="143"/>
      <c r="F3519" s="143"/>
      <c r="G3519" s="143"/>
      <c r="H3519" s="143"/>
      <c r="I3519" t="s">
        <v>1552</v>
      </c>
    </row>
    <row r="3520" spans="1:9" hidden="1" outlineLevel="1">
      <c r="A3520" s="465" t="s">
        <v>1965</v>
      </c>
      <c r="B3520" s="452">
        <v>1376030</v>
      </c>
      <c r="C3520" s="95">
        <v>0</v>
      </c>
      <c r="D3520" s="145">
        <v>1376030</v>
      </c>
      <c r="E3520" s="143"/>
      <c r="F3520" s="143"/>
      <c r="G3520" s="143"/>
      <c r="H3520" s="143"/>
      <c r="I3520" t="s">
        <v>1966</v>
      </c>
    </row>
    <row r="3521" spans="1:9" hidden="1" outlineLevel="1">
      <c r="A3521" s="465" t="s">
        <v>1967</v>
      </c>
      <c r="B3521" s="452">
        <v>2132576</v>
      </c>
      <c r="C3521" s="95">
        <v>0</v>
      </c>
      <c r="D3521" s="145">
        <v>2132576</v>
      </c>
      <c r="E3521" s="143"/>
      <c r="F3521" s="143"/>
      <c r="G3521" s="143"/>
      <c r="H3521" s="143"/>
      <c r="I3521" t="s">
        <v>1968</v>
      </c>
    </row>
    <row r="3522" spans="1:9" hidden="1" outlineLevel="1">
      <c r="A3522" s="465" t="s">
        <v>1553</v>
      </c>
      <c r="B3522" s="452">
        <v>108707777</v>
      </c>
      <c r="C3522" s="95">
        <v>0</v>
      </c>
      <c r="D3522" s="145">
        <v>108707777</v>
      </c>
      <c r="E3522" s="143"/>
      <c r="F3522" s="143"/>
      <c r="G3522" s="143"/>
      <c r="H3522" s="143"/>
      <c r="I3522" t="s">
        <v>1554</v>
      </c>
    </row>
    <row r="3523" spans="1:9" hidden="1" outlineLevel="1">
      <c r="A3523" s="465" t="s">
        <v>1555</v>
      </c>
      <c r="B3523" s="452">
        <v>5520226</v>
      </c>
      <c r="C3523" s="95">
        <v>0</v>
      </c>
      <c r="D3523" s="145">
        <v>5520226</v>
      </c>
      <c r="E3523" s="143"/>
      <c r="F3523" s="143"/>
      <c r="G3523" s="143"/>
      <c r="H3523" s="143"/>
      <c r="I3523" t="s">
        <v>1556</v>
      </c>
    </row>
    <row r="3524" spans="1:9" hidden="1" outlineLevel="1">
      <c r="A3524" s="465" t="s">
        <v>1557</v>
      </c>
      <c r="B3524" s="452">
        <v>1273844</v>
      </c>
      <c r="C3524" s="95">
        <v>0</v>
      </c>
      <c r="D3524" s="145">
        <v>1273844</v>
      </c>
      <c r="E3524" s="143"/>
      <c r="F3524" s="143"/>
      <c r="G3524" s="143"/>
      <c r="H3524" s="143"/>
      <c r="I3524" t="s">
        <v>1558</v>
      </c>
    </row>
    <row r="3525" spans="1:9" hidden="1" outlineLevel="1">
      <c r="A3525" s="465" t="s">
        <v>585</v>
      </c>
      <c r="B3525" s="452">
        <v>410439</v>
      </c>
      <c r="C3525" s="95">
        <v>0</v>
      </c>
      <c r="D3525" s="145">
        <v>410439</v>
      </c>
      <c r="E3525" s="143"/>
      <c r="F3525" s="143"/>
      <c r="G3525" s="143"/>
      <c r="H3525" s="143"/>
      <c r="I3525" t="s">
        <v>1969</v>
      </c>
    </row>
    <row r="3526" spans="1:9" hidden="1" outlineLevel="1">
      <c r="A3526" s="465" t="s">
        <v>1559</v>
      </c>
      <c r="B3526" s="452">
        <v>1549112213</v>
      </c>
      <c r="C3526" s="95">
        <v>2035700</v>
      </c>
      <c r="D3526" s="145">
        <v>1551147913</v>
      </c>
      <c r="E3526" s="143"/>
      <c r="F3526" s="143"/>
      <c r="G3526" s="143"/>
      <c r="H3526" s="143"/>
      <c r="I3526" t="s">
        <v>1560</v>
      </c>
    </row>
    <row r="3527" spans="1:9" hidden="1" outlineLevel="1">
      <c r="A3527" s="465" t="s">
        <v>1561</v>
      </c>
      <c r="B3527" s="452">
        <v>1678464281</v>
      </c>
      <c r="C3527" s="95">
        <v>25165836</v>
      </c>
      <c r="D3527" s="145">
        <v>1703630117</v>
      </c>
      <c r="E3527" s="143"/>
      <c r="F3527" s="143"/>
      <c r="G3527" s="143"/>
      <c r="H3527" s="143"/>
      <c r="I3527" t="s">
        <v>1562</v>
      </c>
    </row>
    <row r="3528" spans="1:9" hidden="1" outlineLevel="1">
      <c r="A3528" s="465" t="s">
        <v>1413</v>
      </c>
      <c r="B3528" s="452">
        <v>176056817</v>
      </c>
      <c r="C3528" s="95">
        <v>0</v>
      </c>
      <c r="D3528" s="145">
        <v>176056817</v>
      </c>
      <c r="E3528" s="143"/>
      <c r="F3528" s="143"/>
      <c r="G3528" s="143"/>
      <c r="H3528" s="143"/>
      <c r="I3528" t="s">
        <v>1414</v>
      </c>
    </row>
    <row r="3529" spans="1:9" hidden="1" outlineLevel="1">
      <c r="A3529" s="465" t="s">
        <v>1563</v>
      </c>
      <c r="B3529" s="452">
        <v>30128801</v>
      </c>
      <c r="C3529" s="95">
        <v>0</v>
      </c>
      <c r="D3529" s="145">
        <v>30128801</v>
      </c>
      <c r="E3529" s="143"/>
      <c r="F3529" s="143"/>
      <c r="G3529" s="143"/>
      <c r="H3529" s="143"/>
      <c r="I3529" t="s">
        <v>1564</v>
      </c>
    </row>
    <row r="3530" spans="1:9" hidden="1" outlineLevel="1">
      <c r="A3530" s="465" t="s">
        <v>613</v>
      </c>
      <c r="B3530" s="452">
        <v>16020248709</v>
      </c>
      <c r="C3530" s="95">
        <v>60633580</v>
      </c>
      <c r="D3530" s="145">
        <v>16080882289</v>
      </c>
      <c r="E3530" s="143"/>
      <c r="F3530" s="143"/>
      <c r="G3530" s="143"/>
      <c r="H3530" s="143"/>
      <c r="I3530" t="s">
        <v>614</v>
      </c>
    </row>
    <row r="3531" spans="1:9" hidden="1" outlineLevel="1">
      <c r="A3531" s="465" t="s">
        <v>1565</v>
      </c>
      <c r="B3531" s="452">
        <v>85516437</v>
      </c>
      <c r="C3531" s="95">
        <v>0</v>
      </c>
      <c r="D3531" s="145">
        <v>85516437</v>
      </c>
      <c r="E3531" s="143"/>
      <c r="F3531" s="143"/>
      <c r="G3531" s="143"/>
      <c r="H3531" s="143"/>
      <c r="I3531" t="s">
        <v>1566</v>
      </c>
    </row>
    <row r="3532" spans="1:9" hidden="1" outlineLevel="1">
      <c r="A3532" s="465" t="s">
        <v>1567</v>
      </c>
      <c r="B3532" s="452">
        <v>111135905</v>
      </c>
      <c r="C3532" s="95">
        <v>1067033</v>
      </c>
      <c r="D3532" s="145">
        <v>112202938</v>
      </c>
      <c r="E3532" s="143"/>
      <c r="F3532" s="143"/>
      <c r="G3532" s="143"/>
      <c r="H3532" s="143"/>
      <c r="I3532" t="s">
        <v>1568</v>
      </c>
    </row>
    <row r="3533" spans="1:9" hidden="1" outlineLevel="1">
      <c r="A3533" s="465" t="s">
        <v>1569</v>
      </c>
      <c r="B3533" s="452">
        <v>1871982854</v>
      </c>
      <c r="C3533" s="95">
        <v>1645192</v>
      </c>
      <c r="D3533" s="145">
        <v>1873628046</v>
      </c>
      <c r="E3533" s="143"/>
      <c r="F3533" s="143"/>
      <c r="G3533" s="143"/>
      <c r="H3533" s="143"/>
      <c r="I3533" t="s">
        <v>1570</v>
      </c>
    </row>
    <row r="3534" spans="1:9" hidden="1" outlineLevel="1">
      <c r="A3534" s="465" t="s">
        <v>1571</v>
      </c>
      <c r="B3534" s="452">
        <v>616460549</v>
      </c>
      <c r="C3534" s="95">
        <v>0</v>
      </c>
      <c r="D3534" s="145">
        <v>616460549</v>
      </c>
      <c r="E3534" s="143"/>
      <c r="F3534" s="143"/>
      <c r="G3534" s="143"/>
      <c r="H3534" s="143"/>
      <c r="I3534" t="s">
        <v>1572</v>
      </c>
    </row>
    <row r="3535" spans="1:9" hidden="1" outlineLevel="1">
      <c r="A3535" s="465" t="s">
        <v>1573</v>
      </c>
      <c r="B3535" s="452">
        <v>14724486</v>
      </c>
      <c r="C3535" s="95">
        <v>0</v>
      </c>
      <c r="D3535" s="145">
        <v>14724486</v>
      </c>
      <c r="E3535" s="143"/>
      <c r="F3535" s="143"/>
      <c r="G3535" s="143"/>
      <c r="H3535" s="143"/>
      <c r="I3535" t="s">
        <v>1574</v>
      </c>
    </row>
    <row r="3536" spans="1:9" hidden="1" outlineLevel="1">
      <c r="A3536" s="465" t="s">
        <v>1970</v>
      </c>
      <c r="B3536" s="452">
        <v>103029314</v>
      </c>
      <c r="C3536" s="95">
        <v>0</v>
      </c>
      <c r="D3536" s="145">
        <v>103029314</v>
      </c>
      <c r="E3536" s="143"/>
      <c r="F3536" s="143"/>
      <c r="G3536" s="143"/>
      <c r="H3536" s="143"/>
      <c r="I3536" t="s">
        <v>1971</v>
      </c>
    </row>
    <row r="3537" spans="1:9" hidden="1" outlineLevel="1">
      <c r="A3537" s="465" t="s">
        <v>1575</v>
      </c>
      <c r="B3537" s="452">
        <v>73221496</v>
      </c>
      <c r="C3537" s="95">
        <v>0</v>
      </c>
      <c r="D3537" s="145">
        <v>73221496</v>
      </c>
      <c r="E3537" s="143"/>
      <c r="F3537" s="143"/>
      <c r="G3537" s="143"/>
      <c r="H3537" s="143"/>
      <c r="I3537" t="s">
        <v>1576</v>
      </c>
    </row>
    <row r="3538" spans="1:9" hidden="1" outlineLevel="1">
      <c r="A3538" s="465" t="s">
        <v>1577</v>
      </c>
      <c r="B3538" s="452">
        <v>213773757</v>
      </c>
      <c r="C3538" s="95">
        <v>-289531</v>
      </c>
      <c r="D3538" s="145">
        <v>213484226</v>
      </c>
      <c r="E3538" s="143"/>
      <c r="F3538" s="143"/>
      <c r="G3538" s="143"/>
      <c r="H3538" s="143"/>
      <c r="I3538" t="s">
        <v>1578</v>
      </c>
    </row>
    <row r="3539" spans="1:9" hidden="1" outlineLevel="1">
      <c r="A3539" s="465" t="s">
        <v>1579</v>
      </c>
      <c r="B3539" s="452">
        <v>146490234</v>
      </c>
      <c r="C3539" s="95">
        <v>-717800</v>
      </c>
      <c r="D3539" s="145">
        <v>145772434</v>
      </c>
      <c r="E3539" s="143"/>
      <c r="F3539" s="143"/>
      <c r="G3539" s="143"/>
      <c r="H3539" s="143"/>
      <c r="I3539" t="s">
        <v>1580</v>
      </c>
    </row>
    <row r="3540" spans="1:9" hidden="1" outlineLevel="1">
      <c r="A3540" s="465" t="s">
        <v>1581</v>
      </c>
      <c r="B3540" s="452">
        <v>421073914</v>
      </c>
      <c r="C3540" s="95">
        <v>-1202111</v>
      </c>
      <c r="D3540" s="145">
        <v>419871803</v>
      </c>
      <c r="E3540" s="143"/>
      <c r="F3540" s="143"/>
      <c r="G3540" s="143"/>
      <c r="H3540" s="143"/>
      <c r="I3540" t="s">
        <v>1582</v>
      </c>
    </row>
    <row r="3541" spans="1:9" hidden="1" outlineLevel="1">
      <c r="A3541" s="465" t="s">
        <v>1583</v>
      </c>
      <c r="B3541" s="452">
        <v>91603876</v>
      </c>
      <c r="C3541" s="95">
        <v>0</v>
      </c>
      <c r="D3541" s="145">
        <v>91603876</v>
      </c>
      <c r="E3541" s="143"/>
      <c r="F3541" s="143"/>
      <c r="G3541" s="143"/>
      <c r="H3541" s="143"/>
      <c r="I3541" t="s">
        <v>1584</v>
      </c>
    </row>
    <row r="3542" spans="1:9" hidden="1" outlineLevel="1">
      <c r="A3542" s="465" t="s">
        <v>1585</v>
      </c>
      <c r="B3542" s="452">
        <v>181124793</v>
      </c>
      <c r="C3542" s="95">
        <v>30494603</v>
      </c>
      <c r="D3542" s="145">
        <v>211619396</v>
      </c>
      <c r="E3542" s="143"/>
      <c r="F3542" s="143"/>
      <c r="G3542" s="143"/>
      <c r="H3542" s="143"/>
      <c r="I3542" t="s">
        <v>1586</v>
      </c>
    </row>
    <row r="3543" spans="1:9" hidden="1" outlineLevel="1">
      <c r="A3543" s="465" t="s">
        <v>1587</v>
      </c>
      <c r="B3543" s="452">
        <v>41405250</v>
      </c>
      <c r="C3543" s="95">
        <v>-13833</v>
      </c>
      <c r="D3543" s="145">
        <v>41391417</v>
      </c>
      <c r="E3543" s="143"/>
      <c r="F3543" s="143"/>
      <c r="G3543" s="143"/>
      <c r="H3543" s="143"/>
      <c r="I3543" t="s">
        <v>1588</v>
      </c>
    </row>
    <row r="3544" spans="1:9" hidden="1" outlineLevel="1">
      <c r="A3544" s="465" t="s">
        <v>1589</v>
      </c>
      <c r="B3544" s="452">
        <v>19751721</v>
      </c>
      <c r="C3544" s="95">
        <v>0</v>
      </c>
      <c r="D3544" s="145">
        <v>19751721</v>
      </c>
      <c r="E3544" s="143"/>
      <c r="F3544" s="143"/>
      <c r="G3544" s="143"/>
      <c r="H3544" s="143"/>
      <c r="I3544" t="s">
        <v>1590</v>
      </c>
    </row>
    <row r="3545" spans="1:9" hidden="1" outlineLevel="1">
      <c r="A3545" s="465" t="s">
        <v>1591</v>
      </c>
      <c r="B3545" s="452">
        <v>73936635</v>
      </c>
      <c r="C3545" s="95">
        <v>0</v>
      </c>
      <c r="D3545" s="145">
        <v>73936635</v>
      </c>
      <c r="E3545" s="143"/>
      <c r="F3545" s="143"/>
      <c r="G3545" s="143"/>
      <c r="H3545" s="143"/>
      <c r="I3545" t="s">
        <v>1592</v>
      </c>
    </row>
    <row r="3546" spans="1:9" hidden="1" outlineLevel="1">
      <c r="A3546" s="465" t="s">
        <v>1593</v>
      </c>
      <c r="B3546" s="452">
        <v>58414654</v>
      </c>
      <c r="C3546" s="95">
        <v>-123771</v>
      </c>
      <c r="D3546" s="145">
        <v>58290883</v>
      </c>
      <c r="E3546" s="143"/>
      <c r="F3546" s="143"/>
      <c r="G3546" s="143"/>
      <c r="H3546" s="143"/>
      <c r="I3546" t="s">
        <v>1594</v>
      </c>
    </row>
    <row r="3547" spans="1:9" hidden="1" outlineLevel="1">
      <c r="A3547" s="465" t="s">
        <v>1595</v>
      </c>
      <c r="B3547" s="452">
        <v>37049231</v>
      </c>
      <c r="C3547" s="95">
        <v>0</v>
      </c>
      <c r="D3547" s="145">
        <v>37049231</v>
      </c>
      <c r="E3547" s="143"/>
      <c r="F3547" s="143"/>
      <c r="G3547" s="143"/>
      <c r="H3547" s="143"/>
      <c r="I3547" t="s">
        <v>1596</v>
      </c>
    </row>
    <row r="3548" spans="1:9" hidden="1" outlineLevel="1">
      <c r="A3548" s="465" t="s">
        <v>1597</v>
      </c>
      <c r="B3548" s="452">
        <v>218454060</v>
      </c>
      <c r="C3548" s="95">
        <v>0</v>
      </c>
      <c r="D3548" s="145">
        <v>218454060</v>
      </c>
      <c r="E3548" s="143"/>
      <c r="F3548" s="143"/>
      <c r="G3548" s="143"/>
      <c r="H3548" s="143"/>
      <c r="I3548" t="s">
        <v>1598</v>
      </c>
    </row>
    <row r="3549" spans="1:9" hidden="1" outlineLevel="1">
      <c r="A3549" s="465" t="s">
        <v>1599</v>
      </c>
      <c r="B3549" s="452">
        <v>130304078</v>
      </c>
      <c r="C3549" s="95">
        <v>0</v>
      </c>
      <c r="D3549" s="145">
        <v>130304078</v>
      </c>
      <c r="E3549" s="143"/>
      <c r="F3549" s="143"/>
      <c r="G3549" s="143"/>
      <c r="H3549" s="143"/>
      <c r="I3549" t="s">
        <v>1600</v>
      </c>
    </row>
    <row r="3550" spans="1:9" hidden="1" outlineLevel="1">
      <c r="A3550" s="465" t="s">
        <v>1601</v>
      </c>
      <c r="B3550" s="452">
        <v>196075373</v>
      </c>
      <c r="C3550" s="95">
        <v>14172804</v>
      </c>
      <c r="D3550" s="145">
        <v>210248177</v>
      </c>
      <c r="E3550" s="143"/>
      <c r="F3550" s="143"/>
      <c r="G3550" s="143"/>
      <c r="H3550" s="143"/>
      <c r="I3550" t="s">
        <v>1602</v>
      </c>
    </row>
    <row r="3551" spans="1:9" hidden="1" outlineLevel="1">
      <c r="A3551" s="465" t="s">
        <v>1603</v>
      </c>
      <c r="B3551" s="452">
        <v>135979488</v>
      </c>
      <c r="C3551" s="95">
        <v>0</v>
      </c>
      <c r="D3551" s="145">
        <v>135979488</v>
      </c>
      <c r="E3551" s="143"/>
      <c r="F3551" s="143"/>
      <c r="G3551" s="143"/>
      <c r="H3551" s="143"/>
      <c r="I3551" t="s">
        <v>1604</v>
      </c>
    </row>
    <row r="3552" spans="1:9" hidden="1" outlineLevel="1">
      <c r="A3552" s="465" t="s">
        <v>1605</v>
      </c>
      <c r="B3552" s="452">
        <v>53652564</v>
      </c>
      <c r="C3552" s="95">
        <v>18819</v>
      </c>
      <c r="D3552" s="145">
        <v>53671383</v>
      </c>
      <c r="E3552" s="143"/>
      <c r="F3552" s="143"/>
      <c r="G3552" s="143"/>
      <c r="H3552" s="143"/>
      <c r="I3552" t="s">
        <v>1606</v>
      </c>
    </row>
    <row r="3553" spans="1:9" hidden="1" outlineLevel="1">
      <c r="A3553" s="465" t="s">
        <v>1607</v>
      </c>
      <c r="B3553" s="452">
        <v>203093381</v>
      </c>
      <c r="C3553" s="95">
        <v>0</v>
      </c>
      <c r="D3553" s="145">
        <v>203093381</v>
      </c>
      <c r="E3553" s="143"/>
      <c r="F3553" s="143"/>
      <c r="G3553" s="143"/>
      <c r="H3553" s="143"/>
      <c r="I3553" t="s">
        <v>1608</v>
      </c>
    </row>
    <row r="3554" spans="1:9" hidden="1" outlineLevel="1">
      <c r="A3554" s="465" t="s">
        <v>1609</v>
      </c>
      <c r="B3554" s="452">
        <v>216313439</v>
      </c>
      <c r="C3554" s="95">
        <v>-1454801</v>
      </c>
      <c r="D3554" s="145">
        <v>214858638</v>
      </c>
      <c r="E3554" s="143"/>
      <c r="F3554" s="143"/>
      <c r="G3554" s="143"/>
      <c r="H3554" s="143"/>
      <c r="I3554" t="s">
        <v>1610</v>
      </c>
    </row>
    <row r="3555" spans="1:9" hidden="1" outlineLevel="1">
      <c r="A3555" s="465" t="s">
        <v>1611</v>
      </c>
      <c r="B3555" s="452">
        <v>140031298</v>
      </c>
      <c r="C3555" s="95">
        <v>-448464</v>
      </c>
      <c r="D3555" s="145">
        <v>139582834</v>
      </c>
      <c r="E3555" s="143"/>
      <c r="F3555" s="143"/>
      <c r="G3555" s="143"/>
      <c r="H3555" s="143"/>
      <c r="I3555" t="s">
        <v>1612</v>
      </c>
    </row>
    <row r="3556" spans="1:9" hidden="1" outlineLevel="1">
      <c r="A3556" s="465" t="s">
        <v>1613</v>
      </c>
      <c r="B3556" s="452">
        <v>55768869</v>
      </c>
      <c r="C3556" s="95">
        <v>-203662</v>
      </c>
      <c r="D3556" s="145">
        <v>55565207</v>
      </c>
      <c r="E3556" s="143"/>
      <c r="F3556" s="143"/>
      <c r="G3556" s="143"/>
      <c r="H3556" s="143"/>
      <c r="I3556" t="s">
        <v>1614</v>
      </c>
    </row>
    <row r="3557" spans="1:9" hidden="1" outlineLevel="1">
      <c r="A3557" s="465" t="s">
        <v>1615</v>
      </c>
      <c r="B3557" s="452">
        <v>110620941</v>
      </c>
      <c r="C3557" s="95">
        <v>0</v>
      </c>
      <c r="D3557" s="145">
        <v>110620941</v>
      </c>
      <c r="E3557" s="143"/>
      <c r="F3557" s="143"/>
      <c r="G3557" s="143"/>
      <c r="H3557" s="143"/>
      <c r="I3557" t="s">
        <v>1616</v>
      </c>
    </row>
    <row r="3558" spans="1:9" hidden="1" outlineLevel="1">
      <c r="A3558" s="465" t="s">
        <v>1617</v>
      </c>
      <c r="B3558" s="452">
        <v>33647770</v>
      </c>
      <c r="C3558" s="95">
        <v>0</v>
      </c>
      <c r="D3558" s="145">
        <v>33647770</v>
      </c>
      <c r="E3558" s="143"/>
      <c r="F3558" s="143"/>
      <c r="G3558" s="143"/>
      <c r="H3558" s="143"/>
      <c r="I3558" t="s">
        <v>1618</v>
      </c>
    </row>
    <row r="3559" spans="1:9" hidden="1" outlineLevel="1">
      <c r="A3559" s="465" t="s">
        <v>1619</v>
      </c>
      <c r="B3559" s="452">
        <v>162790645</v>
      </c>
      <c r="C3559" s="95">
        <v>0</v>
      </c>
      <c r="D3559" s="145">
        <v>162790645</v>
      </c>
      <c r="E3559" s="143"/>
      <c r="F3559" s="143"/>
      <c r="G3559" s="143"/>
      <c r="H3559" s="143"/>
      <c r="I3559" t="s">
        <v>1620</v>
      </c>
    </row>
    <row r="3560" spans="1:9" hidden="1" outlineLevel="1">
      <c r="A3560" s="465" t="s">
        <v>1621</v>
      </c>
      <c r="B3560" s="452">
        <v>126830342</v>
      </c>
      <c r="C3560" s="95">
        <v>-76959</v>
      </c>
      <c r="D3560" s="145">
        <v>126753383</v>
      </c>
      <c r="E3560" s="143"/>
      <c r="F3560" s="143"/>
      <c r="G3560" s="143"/>
      <c r="H3560" s="143"/>
      <c r="I3560" t="s">
        <v>1622</v>
      </c>
    </row>
    <row r="3561" spans="1:9" hidden="1" outlineLevel="1">
      <c r="A3561" s="465" t="s">
        <v>1623</v>
      </c>
      <c r="B3561" s="452">
        <v>95924550</v>
      </c>
      <c r="C3561" s="95">
        <v>-522904</v>
      </c>
      <c r="D3561" s="145">
        <v>95401646</v>
      </c>
      <c r="E3561" s="143"/>
      <c r="F3561" s="143"/>
      <c r="G3561" s="143"/>
      <c r="H3561" s="143"/>
      <c r="I3561" t="s">
        <v>1624</v>
      </c>
    </row>
    <row r="3562" spans="1:9" hidden="1" outlineLevel="1">
      <c r="A3562" s="465" t="s">
        <v>1625</v>
      </c>
      <c r="B3562" s="452">
        <v>23671232</v>
      </c>
      <c r="C3562" s="95">
        <v>-85265</v>
      </c>
      <c r="D3562" s="145">
        <v>23585967</v>
      </c>
      <c r="E3562" s="143"/>
      <c r="F3562" s="143"/>
      <c r="G3562" s="143"/>
      <c r="H3562" s="143"/>
      <c r="I3562" t="s">
        <v>1626</v>
      </c>
    </row>
    <row r="3563" spans="1:9" hidden="1" outlineLevel="1">
      <c r="A3563" s="465" t="s">
        <v>1627</v>
      </c>
      <c r="B3563" s="452">
        <v>36797686</v>
      </c>
      <c r="C3563" s="95">
        <v>0</v>
      </c>
      <c r="D3563" s="145">
        <v>36797686</v>
      </c>
      <c r="E3563" s="143"/>
      <c r="F3563" s="143"/>
      <c r="G3563" s="143"/>
      <c r="H3563" s="143"/>
      <c r="I3563" t="s">
        <v>1628</v>
      </c>
    </row>
    <row r="3564" spans="1:9" hidden="1" outlineLevel="1">
      <c r="A3564" s="465" t="s">
        <v>1629</v>
      </c>
      <c r="B3564" s="452">
        <v>771351211</v>
      </c>
      <c r="C3564" s="95">
        <v>-6115163</v>
      </c>
      <c r="D3564" s="145">
        <v>765236048</v>
      </c>
      <c r="E3564" s="143"/>
      <c r="F3564" s="143"/>
      <c r="G3564" s="143"/>
      <c r="H3564" s="143"/>
      <c r="I3564" t="s">
        <v>1630</v>
      </c>
    </row>
    <row r="3565" spans="1:9" hidden="1" outlineLevel="1">
      <c r="A3565" s="465" t="s">
        <v>1631</v>
      </c>
      <c r="B3565" s="452">
        <v>79591213</v>
      </c>
      <c r="C3565" s="95">
        <v>253525</v>
      </c>
      <c r="D3565" s="145">
        <v>79844738</v>
      </c>
      <c r="E3565" s="143"/>
      <c r="F3565" s="143"/>
      <c r="G3565" s="143"/>
      <c r="H3565" s="143"/>
      <c r="I3565" t="s">
        <v>1632</v>
      </c>
    </row>
    <row r="3566" spans="1:9" hidden="1" outlineLevel="1">
      <c r="A3566" s="465" t="s">
        <v>1633</v>
      </c>
      <c r="B3566" s="452">
        <v>1295397337</v>
      </c>
      <c r="C3566" s="95">
        <v>-7958863</v>
      </c>
      <c r="D3566" s="145">
        <v>1287438474</v>
      </c>
      <c r="E3566" s="143"/>
      <c r="F3566" s="143"/>
      <c r="G3566" s="143"/>
      <c r="H3566" s="143"/>
      <c r="I3566" t="s">
        <v>1634</v>
      </c>
    </row>
    <row r="3567" spans="1:9" hidden="1" outlineLevel="1">
      <c r="A3567" s="465" t="s">
        <v>1635</v>
      </c>
      <c r="B3567" s="452">
        <v>255337905</v>
      </c>
      <c r="C3567" s="95">
        <v>74019</v>
      </c>
      <c r="D3567" s="145">
        <v>255411924</v>
      </c>
      <c r="E3567" s="143"/>
      <c r="F3567" s="143"/>
      <c r="G3567" s="143"/>
      <c r="H3567" s="143"/>
      <c r="I3567" t="s">
        <v>1636</v>
      </c>
    </row>
    <row r="3568" spans="1:9" hidden="1" outlineLevel="1">
      <c r="A3568" s="465" t="s">
        <v>1637</v>
      </c>
      <c r="B3568" s="452">
        <v>139467912</v>
      </c>
      <c r="C3568" s="95">
        <v>319540</v>
      </c>
      <c r="D3568" s="145">
        <v>139787452</v>
      </c>
      <c r="E3568" s="143"/>
      <c r="F3568" s="143"/>
      <c r="G3568" s="143"/>
      <c r="H3568" s="143"/>
      <c r="I3568" t="s">
        <v>1638</v>
      </c>
    </row>
    <row r="3569" spans="1:9" hidden="1" outlineLevel="1">
      <c r="A3569" s="465" t="s">
        <v>767</v>
      </c>
      <c r="B3569" s="452">
        <v>382669090</v>
      </c>
      <c r="C3569" s="95">
        <v>0</v>
      </c>
      <c r="D3569" s="145">
        <v>382669090</v>
      </c>
      <c r="E3569" s="143"/>
      <c r="F3569" s="143"/>
      <c r="G3569" s="143"/>
      <c r="H3569" s="143"/>
      <c r="I3569" t="s">
        <v>768</v>
      </c>
    </row>
    <row r="3570" spans="1:9" hidden="1" outlineLevel="1">
      <c r="A3570" s="465" t="s">
        <v>1639</v>
      </c>
      <c r="B3570" s="452">
        <v>38457146</v>
      </c>
      <c r="C3570" s="95">
        <v>0</v>
      </c>
      <c r="D3570" s="145">
        <v>38457146</v>
      </c>
      <c r="E3570" s="143"/>
      <c r="F3570" s="143"/>
      <c r="G3570" s="143"/>
      <c r="H3570" s="143"/>
      <c r="I3570" t="s">
        <v>1640</v>
      </c>
    </row>
    <row r="3571" spans="1:9" hidden="1" outlineLevel="1">
      <c r="A3571" s="465" t="s">
        <v>1641</v>
      </c>
      <c r="B3571" s="452">
        <v>84757662</v>
      </c>
      <c r="C3571" s="95">
        <v>0</v>
      </c>
      <c r="D3571" s="145">
        <v>84757662</v>
      </c>
      <c r="E3571" s="143"/>
      <c r="F3571" s="143"/>
      <c r="G3571" s="143"/>
      <c r="H3571" s="143"/>
      <c r="I3571" t="s">
        <v>1642</v>
      </c>
    </row>
    <row r="3572" spans="1:9" hidden="1" outlineLevel="1">
      <c r="A3572" s="465" t="s">
        <v>1643</v>
      </c>
      <c r="B3572" s="452">
        <v>114674006</v>
      </c>
      <c r="C3572" s="95">
        <v>0</v>
      </c>
      <c r="D3572" s="145">
        <v>114674006</v>
      </c>
      <c r="E3572" s="143"/>
      <c r="F3572" s="143"/>
      <c r="G3572" s="143"/>
      <c r="H3572" s="143"/>
      <c r="I3572" t="s">
        <v>1644</v>
      </c>
    </row>
    <row r="3573" spans="1:9" hidden="1" outlineLevel="1">
      <c r="A3573" s="465" t="s">
        <v>1645</v>
      </c>
      <c r="B3573" s="452">
        <v>52926833</v>
      </c>
      <c r="C3573" s="95">
        <v>-336801</v>
      </c>
      <c r="D3573" s="145">
        <v>52590032</v>
      </c>
      <c r="E3573" s="143"/>
      <c r="F3573" s="143"/>
      <c r="G3573" s="143"/>
      <c r="H3573" s="143"/>
      <c r="I3573" t="s">
        <v>1646</v>
      </c>
    </row>
    <row r="3574" spans="1:9" hidden="1" outlineLevel="1">
      <c r="A3574" s="465" t="s">
        <v>1647</v>
      </c>
      <c r="B3574" s="452">
        <v>81667115</v>
      </c>
      <c r="C3574" s="95">
        <v>-312544</v>
      </c>
      <c r="D3574" s="145">
        <v>81354571</v>
      </c>
      <c r="E3574" s="143"/>
      <c r="F3574" s="143"/>
      <c r="G3574" s="143"/>
      <c r="H3574" s="143"/>
      <c r="I3574" t="s">
        <v>1648</v>
      </c>
    </row>
    <row r="3575" spans="1:9" hidden="1" outlineLevel="1">
      <c r="A3575" s="465" t="s">
        <v>1649</v>
      </c>
      <c r="B3575" s="452">
        <v>25930437</v>
      </c>
      <c r="C3575" s="95">
        <v>-40096</v>
      </c>
      <c r="D3575" s="145">
        <v>25877995</v>
      </c>
      <c r="E3575" s="143"/>
      <c r="F3575" s="143"/>
      <c r="G3575" s="143"/>
      <c r="H3575" s="143"/>
      <c r="I3575" t="s">
        <v>1650</v>
      </c>
    </row>
    <row r="3576" spans="1:9" hidden="1" outlineLevel="1">
      <c r="A3576" s="465" t="s">
        <v>1651</v>
      </c>
      <c r="B3576" s="452">
        <v>128590648</v>
      </c>
      <c r="C3576" s="95">
        <v>2305574</v>
      </c>
      <c r="D3576" s="145">
        <v>128911675</v>
      </c>
      <c r="E3576" s="143"/>
      <c r="F3576" s="143"/>
      <c r="G3576" s="143"/>
      <c r="H3576" s="143"/>
      <c r="I3576" t="s">
        <v>1652</v>
      </c>
    </row>
    <row r="3577" spans="1:9" hidden="1" outlineLevel="1">
      <c r="A3577" s="465" t="s">
        <v>1653</v>
      </c>
      <c r="B3577" s="452">
        <v>54350261</v>
      </c>
      <c r="C3577" s="95">
        <v>0</v>
      </c>
      <c r="D3577" s="145">
        <v>54350261</v>
      </c>
      <c r="E3577" s="143"/>
      <c r="F3577" s="143"/>
      <c r="G3577" s="143"/>
      <c r="H3577" s="143"/>
      <c r="I3577" t="s">
        <v>1654</v>
      </c>
    </row>
    <row r="3578" spans="1:9" hidden="1" outlineLevel="1">
      <c r="A3578" s="465" t="s">
        <v>1655</v>
      </c>
      <c r="B3578" s="452">
        <v>106991905</v>
      </c>
      <c r="C3578" s="95">
        <v>2995648</v>
      </c>
      <c r="D3578" s="145">
        <v>109987553</v>
      </c>
      <c r="E3578" s="143"/>
      <c r="F3578" s="143"/>
      <c r="G3578" s="143"/>
      <c r="H3578" s="143"/>
      <c r="I3578" t="s">
        <v>1656</v>
      </c>
    </row>
    <row r="3579" spans="1:9" hidden="1" outlineLevel="1">
      <c r="A3579" s="465" t="s">
        <v>1657</v>
      </c>
      <c r="B3579" s="452">
        <v>154278523</v>
      </c>
      <c r="C3579" s="95">
        <v>292248</v>
      </c>
      <c r="D3579" s="145">
        <v>154570771</v>
      </c>
      <c r="E3579" s="143"/>
      <c r="F3579" s="143"/>
      <c r="G3579" s="143"/>
      <c r="H3579" s="143"/>
      <c r="I3579" t="s">
        <v>1658</v>
      </c>
    </row>
    <row r="3580" spans="1:9" hidden="1" outlineLevel="1">
      <c r="A3580" s="465" t="s">
        <v>1659</v>
      </c>
      <c r="B3580" s="452">
        <v>92696274</v>
      </c>
      <c r="C3580" s="95">
        <v>-4081710</v>
      </c>
      <c r="D3580" s="145">
        <v>88614564</v>
      </c>
      <c r="E3580" s="143"/>
      <c r="F3580" s="143"/>
      <c r="G3580" s="143"/>
      <c r="H3580" s="143"/>
      <c r="I3580" t="s">
        <v>1660</v>
      </c>
    </row>
    <row r="3581" spans="1:9" hidden="1" outlineLevel="1">
      <c r="A3581" s="465" t="s">
        <v>1661</v>
      </c>
      <c r="B3581" s="452">
        <v>146766357</v>
      </c>
      <c r="C3581" s="95">
        <v>0</v>
      </c>
      <c r="D3581" s="145">
        <v>146766357</v>
      </c>
      <c r="E3581" s="143"/>
      <c r="F3581" s="143"/>
      <c r="G3581" s="143"/>
      <c r="H3581" s="143"/>
      <c r="I3581" t="s">
        <v>1662</v>
      </c>
    </row>
    <row r="3582" spans="1:9" hidden="1" outlineLevel="1">
      <c r="A3582" s="465" t="s">
        <v>1663</v>
      </c>
      <c r="B3582" s="452">
        <v>307952593</v>
      </c>
      <c r="C3582" s="95">
        <v>0</v>
      </c>
      <c r="D3582" s="145">
        <v>436498209</v>
      </c>
      <c r="E3582" s="143"/>
      <c r="F3582" s="143"/>
      <c r="G3582" s="143"/>
      <c r="H3582" s="143"/>
      <c r="I3582" t="s">
        <v>1664</v>
      </c>
    </row>
    <row r="3583" spans="1:9" hidden="1" outlineLevel="1">
      <c r="A3583" s="465" t="s">
        <v>789</v>
      </c>
      <c r="B3583" s="452">
        <v>243598516</v>
      </c>
      <c r="C3583" s="95">
        <v>-1053465</v>
      </c>
      <c r="D3583" s="145">
        <v>242545051</v>
      </c>
      <c r="E3583" s="143"/>
      <c r="F3583" s="143"/>
      <c r="G3583" s="143"/>
      <c r="H3583" s="143"/>
      <c r="I3583" t="s">
        <v>790</v>
      </c>
    </row>
    <row r="3584" spans="1:9" hidden="1" outlineLevel="1">
      <c r="A3584" s="465" t="s">
        <v>1665</v>
      </c>
      <c r="B3584" s="452">
        <v>72504526</v>
      </c>
      <c r="C3584" s="95">
        <v>0</v>
      </c>
      <c r="D3584" s="145">
        <v>72504526</v>
      </c>
      <c r="E3584" s="143"/>
      <c r="F3584" s="143"/>
      <c r="G3584" s="143"/>
      <c r="H3584" s="143"/>
      <c r="I3584" t="s">
        <v>1666</v>
      </c>
    </row>
    <row r="3585" spans="1:9" hidden="1" outlineLevel="1">
      <c r="A3585" s="465" t="s">
        <v>1667</v>
      </c>
      <c r="B3585" s="452">
        <v>211727823</v>
      </c>
      <c r="C3585" s="95">
        <v>0</v>
      </c>
      <c r="D3585" s="145">
        <v>211727823</v>
      </c>
      <c r="E3585" s="143"/>
      <c r="F3585" s="143"/>
      <c r="G3585" s="143"/>
      <c r="H3585" s="143"/>
      <c r="I3585" t="s">
        <v>1668</v>
      </c>
    </row>
    <row r="3586" spans="1:9" hidden="1" outlineLevel="1">
      <c r="A3586" s="465" t="s">
        <v>1669</v>
      </c>
      <c r="B3586" s="452">
        <v>65033473</v>
      </c>
      <c r="C3586" s="95">
        <v>0</v>
      </c>
      <c r="D3586" s="145">
        <v>65033473</v>
      </c>
      <c r="E3586" s="143"/>
      <c r="F3586" s="143"/>
      <c r="G3586" s="143"/>
      <c r="H3586" s="143"/>
      <c r="I3586" t="s">
        <v>1670</v>
      </c>
    </row>
    <row r="3587" spans="1:9" hidden="1" outlineLevel="1">
      <c r="A3587" s="465" t="s">
        <v>1671</v>
      </c>
      <c r="B3587" s="452">
        <v>433848103</v>
      </c>
      <c r="C3587" s="95">
        <v>0</v>
      </c>
      <c r="D3587" s="145">
        <v>433848103</v>
      </c>
      <c r="E3587" s="143"/>
      <c r="F3587" s="143"/>
      <c r="G3587" s="143"/>
      <c r="H3587" s="143"/>
      <c r="I3587" t="s">
        <v>1672</v>
      </c>
    </row>
    <row r="3588" spans="1:9" hidden="1" outlineLevel="1">
      <c r="A3588" s="465" t="s">
        <v>1673</v>
      </c>
      <c r="B3588" s="452">
        <v>210276775</v>
      </c>
      <c r="C3588" s="95">
        <v>-1373081</v>
      </c>
      <c r="D3588" s="145">
        <v>208903694</v>
      </c>
      <c r="E3588" s="143"/>
      <c r="F3588" s="143"/>
      <c r="G3588" s="143"/>
      <c r="H3588" s="143"/>
      <c r="I3588" t="s">
        <v>1674</v>
      </c>
    </row>
    <row r="3589" spans="1:9" hidden="1" outlineLevel="1">
      <c r="A3589" s="465" t="s">
        <v>543</v>
      </c>
      <c r="B3589" s="452">
        <v>837381679</v>
      </c>
      <c r="C3589" s="95">
        <v>0</v>
      </c>
      <c r="D3589" s="145">
        <v>837381679</v>
      </c>
      <c r="E3589" s="143"/>
      <c r="F3589" s="143"/>
      <c r="G3589" s="143"/>
      <c r="H3589" s="143"/>
      <c r="I3589" t="s">
        <v>544</v>
      </c>
    </row>
    <row r="3590" spans="1:9" hidden="1" outlineLevel="1">
      <c r="A3590" s="465" t="s">
        <v>1675</v>
      </c>
      <c r="B3590" s="452">
        <v>95636214</v>
      </c>
      <c r="C3590" s="95">
        <v>0</v>
      </c>
      <c r="D3590" s="145">
        <v>95636214</v>
      </c>
      <c r="E3590" s="143"/>
      <c r="F3590" s="143"/>
      <c r="G3590" s="143"/>
      <c r="H3590" s="143"/>
      <c r="I3590" t="s">
        <v>1676</v>
      </c>
    </row>
    <row r="3591" spans="1:9" hidden="1" outlineLevel="1">
      <c r="A3591" s="465" t="s">
        <v>1677</v>
      </c>
      <c r="B3591" s="452">
        <v>360311408</v>
      </c>
      <c r="C3591" s="95">
        <v>-544078</v>
      </c>
      <c r="D3591" s="145">
        <v>359797981</v>
      </c>
      <c r="E3591" s="143"/>
      <c r="F3591" s="143"/>
      <c r="G3591" s="143"/>
      <c r="H3591" s="143"/>
      <c r="I3591" t="s">
        <v>1678</v>
      </c>
    </row>
    <row r="3592" spans="1:9" hidden="1" outlineLevel="1">
      <c r="A3592" s="465" t="s">
        <v>1679</v>
      </c>
      <c r="B3592" s="452">
        <v>85884666</v>
      </c>
      <c r="C3592" s="95">
        <v>0</v>
      </c>
      <c r="D3592" s="145">
        <v>85884666</v>
      </c>
      <c r="E3592" s="143"/>
      <c r="F3592" s="143"/>
      <c r="G3592" s="143"/>
      <c r="H3592" s="143"/>
      <c r="I3592" t="s">
        <v>1680</v>
      </c>
    </row>
    <row r="3593" spans="1:9" hidden="1" outlineLevel="1">
      <c r="A3593" s="465" t="s">
        <v>1681</v>
      </c>
      <c r="B3593" s="452">
        <v>84393763</v>
      </c>
      <c r="C3593" s="95">
        <v>0</v>
      </c>
      <c r="D3593" s="145">
        <v>84393763</v>
      </c>
      <c r="E3593" s="143"/>
      <c r="F3593" s="143"/>
      <c r="G3593" s="143"/>
      <c r="H3593" s="143"/>
      <c r="I3593" t="s">
        <v>1682</v>
      </c>
    </row>
    <row r="3594" spans="1:9" hidden="1" outlineLevel="1">
      <c r="A3594" s="465" t="s">
        <v>1683</v>
      </c>
      <c r="B3594" s="452">
        <v>59380888</v>
      </c>
      <c r="C3594" s="95">
        <v>310411</v>
      </c>
      <c r="D3594" s="145">
        <v>59691299</v>
      </c>
      <c r="E3594" s="143"/>
      <c r="F3594" s="143"/>
      <c r="G3594" s="143"/>
      <c r="H3594" s="143"/>
      <c r="I3594" t="s">
        <v>1684</v>
      </c>
    </row>
    <row r="3595" spans="1:9" hidden="1" outlineLevel="1">
      <c r="A3595" s="465" t="s">
        <v>1685</v>
      </c>
      <c r="B3595" s="452">
        <v>58103663</v>
      </c>
      <c r="C3595" s="95">
        <v>0</v>
      </c>
      <c r="D3595" s="145">
        <v>58103663</v>
      </c>
      <c r="E3595" s="143"/>
      <c r="F3595" s="143"/>
      <c r="G3595" s="143"/>
      <c r="H3595" s="143"/>
      <c r="I3595" t="s">
        <v>1686</v>
      </c>
    </row>
    <row r="3596" spans="1:9" hidden="1" outlineLevel="1">
      <c r="A3596" s="465" t="s">
        <v>1687</v>
      </c>
      <c r="B3596" s="452">
        <v>180812263</v>
      </c>
      <c r="C3596" s="95">
        <v>1014802</v>
      </c>
      <c r="D3596" s="145">
        <v>181827065</v>
      </c>
      <c r="E3596" s="143"/>
      <c r="F3596" s="143"/>
      <c r="G3596" s="143"/>
      <c r="H3596" s="143"/>
      <c r="I3596" t="s">
        <v>1688</v>
      </c>
    </row>
    <row r="3597" spans="1:9" hidden="1" outlineLevel="1">
      <c r="A3597" s="465" t="s">
        <v>1132</v>
      </c>
      <c r="B3597" s="452">
        <v>135537157</v>
      </c>
      <c r="C3597" s="95">
        <v>0</v>
      </c>
      <c r="D3597" s="145">
        <v>135537157</v>
      </c>
      <c r="E3597" s="143"/>
      <c r="F3597" s="143"/>
      <c r="G3597" s="143"/>
      <c r="H3597" s="143"/>
      <c r="I3597" t="s">
        <v>1133</v>
      </c>
    </row>
    <row r="3598" spans="1:9" hidden="1" outlineLevel="1">
      <c r="A3598" s="465" t="s">
        <v>1689</v>
      </c>
      <c r="B3598" s="452">
        <v>95963618</v>
      </c>
      <c r="C3598" s="95">
        <v>114724</v>
      </c>
      <c r="D3598" s="145">
        <v>96078342</v>
      </c>
      <c r="E3598" s="143"/>
      <c r="F3598" s="143"/>
      <c r="G3598" s="143"/>
      <c r="H3598" s="143"/>
      <c r="I3598" t="s">
        <v>1690</v>
      </c>
    </row>
    <row r="3599" spans="1:9" hidden="1" outlineLevel="1">
      <c r="A3599" s="465" t="s">
        <v>1691</v>
      </c>
      <c r="B3599" s="452">
        <v>100337208</v>
      </c>
      <c r="C3599" s="95">
        <v>531800</v>
      </c>
      <c r="D3599" s="145">
        <v>100869008</v>
      </c>
      <c r="E3599" s="143"/>
      <c r="F3599" s="143"/>
      <c r="G3599" s="143"/>
      <c r="H3599" s="143"/>
      <c r="I3599" t="s">
        <v>1692</v>
      </c>
    </row>
    <row r="3600" spans="1:9" hidden="1" outlineLevel="1">
      <c r="A3600" s="465" t="s">
        <v>1693</v>
      </c>
      <c r="B3600" s="452">
        <v>36612535</v>
      </c>
      <c r="C3600" s="95">
        <v>0</v>
      </c>
      <c r="D3600" s="145">
        <v>36612535</v>
      </c>
      <c r="E3600" s="143"/>
      <c r="F3600" s="143"/>
      <c r="G3600" s="143"/>
      <c r="H3600" s="143"/>
      <c r="I3600" t="s">
        <v>1694</v>
      </c>
    </row>
    <row r="3601" spans="1:10" hidden="1" outlineLevel="1">
      <c r="A3601" s="465" t="s">
        <v>1695</v>
      </c>
      <c r="B3601" s="452">
        <v>2904739021</v>
      </c>
      <c r="C3601" s="95">
        <v>20124826</v>
      </c>
      <c r="D3601" s="145">
        <v>2924863847</v>
      </c>
      <c r="E3601" s="143"/>
      <c r="F3601" s="143"/>
      <c r="G3601" s="143"/>
      <c r="H3601" s="143"/>
      <c r="I3601" t="s">
        <v>1696</v>
      </c>
    </row>
    <row r="3602" spans="1:10" hidden="1" outlineLevel="1">
      <c r="A3602" s="465" t="s">
        <v>1697</v>
      </c>
      <c r="B3602" s="452">
        <v>143693325</v>
      </c>
      <c r="C3602" s="95">
        <v>0</v>
      </c>
      <c r="D3602" s="145">
        <v>143693325</v>
      </c>
      <c r="E3602" s="143"/>
      <c r="F3602" s="143"/>
      <c r="G3602" s="143"/>
      <c r="H3602" s="143"/>
      <c r="I3602" t="s">
        <v>1698</v>
      </c>
    </row>
    <row r="3603" spans="1:10" hidden="1" outlineLevel="1">
      <c r="A3603" s="465" t="s">
        <v>1699</v>
      </c>
      <c r="B3603" s="452">
        <v>573273312</v>
      </c>
      <c r="C3603" s="95">
        <v>-5720547</v>
      </c>
      <c r="D3603" s="145">
        <v>567552765</v>
      </c>
      <c r="E3603" s="143"/>
      <c r="F3603" s="143"/>
      <c r="G3603" s="143"/>
      <c r="H3603" s="143"/>
      <c r="I3603" t="s">
        <v>1700</v>
      </c>
    </row>
    <row r="3604" spans="1:10" hidden="1" outlineLevel="1">
      <c r="A3604" s="465" t="s">
        <v>449</v>
      </c>
      <c r="B3604" s="452">
        <v>282888008</v>
      </c>
      <c r="C3604" s="95">
        <v>4111024</v>
      </c>
      <c r="D3604" s="145">
        <v>286999032</v>
      </c>
      <c r="E3604" s="143"/>
      <c r="F3604" s="143"/>
      <c r="G3604" s="143"/>
      <c r="H3604" s="143"/>
      <c r="I3604" t="s">
        <v>450</v>
      </c>
    </row>
    <row r="3605" spans="1:10" hidden="1" outlineLevel="1">
      <c r="A3605" s="465" t="s">
        <v>1701</v>
      </c>
      <c r="B3605" s="452">
        <v>4293533</v>
      </c>
      <c r="C3605" s="95">
        <v>0</v>
      </c>
      <c r="D3605" s="145">
        <v>4293533</v>
      </c>
      <c r="E3605" s="143"/>
      <c r="F3605" s="143"/>
      <c r="G3605" s="143"/>
      <c r="H3605" s="143"/>
      <c r="I3605" t="s">
        <v>1702</v>
      </c>
    </row>
    <row r="3606" spans="1:10" hidden="1" outlineLevel="1">
      <c r="A3606" s="465" t="s">
        <v>837</v>
      </c>
      <c r="B3606" s="452">
        <v>241118471</v>
      </c>
      <c r="C3606" s="95">
        <v>0</v>
      </c>
      <c r="D3606" s="145">
        <v>241118471</v>
      </c>
      <c r="E3606" s="143"/>
      <c r="F3606" s="143"/>
      <c r="G3606" s="143"/>
      <c r="H3606" s="143"/>
      <c r="I3606" t="s">
        <v>838</v>
      </c>
    </row>
    <row r="3607" spans="1:10" hidden="1" outlineLevel="1">
      <c r="A3607" s="465" t="s">
        <v>1703</v>
      </c>
      <c r="B3607" s="452">
        <v>893316426</v>
      </c>
      <c r="C3607" s="95">
        <v>0</v>
      </c>
      <c r="D3607" s="145">
        <v>893316426</v>
      </c>
      <c r="E3607" s="143"/>
      <c r="F3607" s="143"/>
      <c r="G3607" s="143"/>
      <c r="H3607" s="143"/>
      <c r="I3607" t="s">
        <v>1704</v>
      </c>
    </row>
    <row r="3608" spans="1:10" hidden="1" outlineLevel="1">
      <c r="A3608" s="465" t="s">
        <v>1705</v>
      </c>
      <c r="B3608" s="452">
        <v>320695522</v>
      </c>
      <c r="C3608" s="95">
        <v>1498017</v>
      </c>
      <c r="D3608" s="145">
        <v>322193539</v>
      </c>
      <c r="E3608" s="143"/>
      <c r="F3608" s="143"/>
      <c r="G3608" s="143"/>
      <c r="H3608" s="143"/>
      <c r="I3608" t="s">
        <v>1706</v>
      </c>
    </row>
    <row r="3609" spans="1:10" hidden="1" outlineLevel="1">
      <c r="A3609" s="465" t="s">
        <v>1707</v>
      </c>
      <c r="B3609" s="452">
        <v>38232926</v>
      </c>
      <c r="C3609" s="95">
        <v>0</v>
      </c>
      <c r="D3609" s="145">
        <v>38232926</v>
      </c>
      <c r="E3609" s="143"/>
      <c r="F3609" s="143"/>
      <c r="G3609" s="143"/>
      <c r="H3609" s="143"/>
      <c r="I3609" t="s">
        <v>1708</v>
      </c>
    </row>
    <row r="3610" spans="1:10" hidden="1" outlineLevel="1">
      <c r="A3610" s="465" t="s">
        <v>1709</v>
      </c>
      <c r="B3610" s="452">
        <v>1654647451</v>
      </c>
      <c r="C3610" s="95">
        <v>-18770927</v>
      </c>
      <c r="D3610" s="145">
        <v>1635876524</v>
      </c>
      <c r="E3610" s="143"/>
      <c r="F3610" s="143"/>
      <c r="G3610" s="143"/>
      <c r="H3610" s="143"/>
      <c r="I3610" t="s">
        <v>1710</v>
      </c>
    </row>
    <row r="3611" spans="1:10" hidden="1" outlineLevel="1">
      <c r="A3611" s="465" t="s">
        <v>1972</v>
      </c>
      <c r="B3611" s="452">
        <v>4400277</v>
      </c>
      <c r="C3611" s="95">
        <v>0</v>
      </c>
      <c r="D3611" s="145">
        <v>4400277</v>
      </c>
      <c r="E3611" s="143"/>
      <c r="F3611" s="143"/>
      <c r="G3611" s="143"/>
      <c r="H3611" s="143"/>
      <c r="I3611" t="s">
        <v>1973</v>
      </c>
    </row>
    <row r="3612" spans="1:10" hidden="1" outlineLevel="1">
      <c r="A3612" s="465" t="s">
        <v>1711</v>
      </c>
      <c r="B3612" s="452">
        <v>42732828</v>
      </c>
      <c r="C3612" s="95">
        <v>0</v>
      </c>
      <c r="D3612" s="145">
        <v>42732828</v>
      </c>
      <c r="E3612" s="143"/>
      <c r="F3612" s="143"/>
      <c r="G3612" s="143"/>
      <c r="H3612" s="143"/>
      <c r="I3612" t="s">
        <v>1712</v>
      </c>
    </row>
    <row r="3613" spans="1:10" hidden="1" outlineLevel="1">
      <c r="A3613" s="465" t="s">
        <v>1713</v>
      </c>
      <c r="B3613" s="452">
        <v>4250260</v>
      </c>
      <c r="C3613" s="95">
        <v>7577</v>
      </c>
      <c r="D3613" s="145">
        <v>4257837</v>
      </c>
      <c r="E3613" s="143"/>
      <c r="F3613" s="143"/>
      <c r="G3613" s="143"/>
      <c r="H3613" s="143"/>
      <c r="I3613" t="s">
        <v>1714</v>
      </c>
    </row>
    <row r="3614" spans="1:10" ht="13.5" collapsed="1" thickBot="1">
      <c r="A3614" s="456" t="s">
        <v>1715</v>
      </c>
      <c r="B3614" s="453">
        <f>B2688+B2858+B3093+B3475</f>
        <v>333141485688.5</v>
      </c>
      <c r="C3614" s="146">
        <f>C2688+C2858+C3093+C3475</f>
        <v>-6768509.6969999969</v>
      </c>
      <c r="D3614" s="147">
        <f>D2688+D2858+D3093+D3475</f>
        <v>333134717178.80298</v>
      </c>
      <c r="E3614" s="10"/>
      <c r="F3614" s="10"/>
      <c r="G3614" s="10"/>
      <c r="H3614" s="10"/>
    </row>
    <row r="3616" spans="1:10" s="8" customFormat="1">
      <c r="B3616" s="203"/>
      <c r="C3616" s="203"/>
      <c r="D3616" s="203"/>
      <c r="E3616" s="203"/>
      <c r="F3616" s="203"/>
      <c r="G3616" s="203"/>
      <c r="H3616" s="203"/>
      <c r="I3616" s="203"/>
      <c r="J3616" s="203"/>
    </row>
    <row r="3617" spans="1:11" s="8" customFormat="1">
      <c r="A3617" s="35" t="s">
        <v>2143</v>
      </c>
      <c r="B3617" s="203"/>
      <c r="C3617" s="203"/>
      <c r="D3617" s="203"/>
      <c r="E3617" s="203"/>
      <c r="F3617" s="203"/>
      <c r="G3617" s="203"/>
      <c r="H3617" s="203"/>
      <c r="I3617" s="203"/>
      <c r="J3617" s="203"/>
    </row>
    <row r="3618" spans="1:11" s="8" customFormat="1" ht="13.5" thickBot="1">
      <c r="B3618" s="203"/>
      <c r="C3618" s="203"/>
      <c r="D3618" s="203"/>
      <c r="E3618" s="203"/>
      <c r="F3618" s="203"/>
      <c r="G3618" s="203"/>
      <c r="H3618" s="203"/>
      <c r="I3618" s="203"/>
      <c r="J3618" s="203"/>
    </row>
    <row r="3619" spans="1:11" s="8" customFormat="1" ht="88.5" customHeight="1">
      <c r="A3619" s="1021"/>
      <c r="B3619" s="1022" t="s">
        <v>2144</v>
      </c>
      <c r="C3619" s="1023" t="s">
        <v>2145</v>
      </c>
      <c r="D3619" s="972" t="s">
        <v>2146</v>
      </c>
      <c r="E3619" s="1024" t="s">
        <v>2147</v>
      </c>
      <c r="F3619" s="1023" t="s">
        <v>2148</v>
      </c>
      <c r="G3619" s="1024" t="s">
        <v>2149</v>
      </c>
      <c r="H3619" s="1025" t="s">
        <v>2150</v>
      </c>
      <c r="J3619" s="347"/>
    </row>
    <row r="3620" spans="1:11" s="8" customFormat="1" ht="13.5" thickBot="1">
      <c r="A3620" s="985"/>
      <c r="B3620" s="581" t="s">
        <v>84</v>
      </c>
      <c r="C3620" s="580" t="s">
        <v>1722</v>
      </c>
      <c r="D3620" s="580" t="s">
        <v>1722</v>
      </c>
      <c r="E3620" s="580" t="s">
        <v>84</v>
      </c>
      <c r="F3620" s="580" t="s">
        <v>1722</v>
      </c>
      <c r="G3620" s="580" t="s">
        <v>84</v>
      </c>
      <c r="H3620" s="999" t="s">
        <v>1722</v>
      </c>
    </row>
    <row r="3621" spans="1:11" s="8" customFormat="1">
      <c r="A3621" s="975" t="str">
        <f>'Anlage 2a_Letztverbrauch'!A2877</f>
        <v>Regelzone 50Hertz (gesamt)</v>
      </c>
      <c r="B3621" s="1013">
        <f>'Anlage 2a_Letztverbrauch'!B2877</f>
        <v>21755888411</v>
      </c>
      <c r="C3621" s="1014">
        <f>'Anlage 2a_Letztverbrauch'!C2877+'Anlage 2a_Letztverbrauch'!C2921+'Anlage 2a_Letztverbrauch'!F2921+'Anlage 2a_Letztverbrauch'!I2921</f>
        <v>9191102.5899999999</v>
      </c>
      <c r="D3621" s="1014">
        <f>'Anlage 2a_Letztverbrauch'!C2934+'Anlage 2a_Letztverbrauch'!F2934</f>
        <v>22277.17</v>
      </c>
      <c r="E3621" s="1014">
        <f>'Anlage 2b_Korrekturen'!D1227</f>
        <v>37355964</v>
      </c>
      <c r="F3621" s="1014">
        <f>'Anlage 2b_Korrekturen'!E1227</f>
        <v>23177.08</v>
      </c>
      <c r="G3621" s="1014">
        <f>B3621+E3621</f>
        <v>21793244375</v>
      </c>
      <c r="H3621" s="1015">
        <f>C3621+F3621+D3621</f>
        <v>9236556.8399999999</v>
      </c>
      <c r="J3621" s="342"/>
    </row>
    <row r="3622" spans="1:11" s="8" customFormat="1">
      <c r="A3622" s="977" t="str">
        <f>'Anlage 2a_Letztverbrauch'!A2878</f>
        <v>Regelzone Amprion (gesamt)</v>
      </c>
      <c r="B3622" s="1016">
        <f>'Anlage 2a_Letztverbrauch'!B2878</f>
        <v>42383808632</v>
      </c>
      <c r="C3622" s="364">
        <f>'Anlage 2a_Letztverbrauch'!C2878+'Anlage 2a_Letztverbrauch'!C2922+'Anlage 2a_Letztverbrauch'!F2922+'Anlage 2a_Letztverbrauch'!I2922</f>
        <v>17216593.909999996</v>
      </c>
      <c r="D3622" s="364">
        <f>'Anlage 2a_Letztverbrauch'!C2935+'Anlage 2a_Letztverbrauch'!F2935</f>
        <v>34749.269999999997</v>
      </c>
      <c r="E3622" s="364">
        <f>'Anlage 2b_Korrekturen'!D1231</f>
        <v>45025348</v>
      </c>
      <c r="F3622" s="364">
        <f>'Anlage 2b_Korrekturen'!E1231</f>
        <v>53707.810000000005</v>
      </c>
      <c r="G3622" s="364">
        <f>B3622+E3622</f>
        <v>42428833980</v>
      </c>
      <c r="H3622" s="1017">
        <f t="shared" ref="H3622:H3624" si="112">C3622+F3622+D3622</f>
        <v>17305050.989999995</v>
      </c>
      <c r="J3622" s="342"/>
    </row>
    <row r="3623" spans="1:11" s="8" customFormat="1">
      <c r="A3623" s="977" t="str">
        <f>'Anlage 2a_Letztverbrauch'!A2879</f>
        <v>Regelzone TenneT (gesamt)</v>
      </c>
      <c r="B3623" s="1016">
        <f>'Anlage 2a_Letztverbrauch'!B2879</f>
        <v>25368573984</v>
      </c>
      <c r="C3623" s="364">
        <f>'Anlage 2a_Letztverbrauch'!C2879+'Anlage 2a_Letztverbrauch'!C2923+'Anlage 2a_Letztverbrauch'!F2923+'Anlage 2a_Letztverbrauch'!I2923</f>
        <v>11387341</v>
      </c>
      <c r="D3623" s="364">
        <f>'Anlage 2a_Letztverbrauch'!C2936+'Anlage 2a_Letztverbrauch'!F2936</f>
        <v>1922048</v>
      </c>
      <c r="E3623" s="364">
        <f>'Anlage 2b_Korrekturen'!D1237</f>
        <v>-2915653</v>
      </c>
      <c r="F3623" s="364">
        <f>'Anlage 2b_Korrekturen'!E1237</f>
        <v>-62</v>
      </c>
      <c r="G3623" s="364">
        <f>B3623+E3623</f>
        <v>25365658331</v>
      </c>
      <c r="H3623" s="1017">
        <f t="shared" si="112"/>
        <v>13309327</v>
      </c>
      <c r="J3623" s="342"/>
    </row>
    <row r="3624" spans="1:11" s="8" customFormat="1" ht="13.5" thickBot="1">
      <c r="A3624" s="979" t="str">
        <f>'Anlage 2a_Letztverbrauch'!A2880</f>
        <v>Regelzone TransnetBW (gesamt)</v>
      </c>
      <c r="B3624" s="1018">
        <f>'Anlage 2a_Letztverbrauch'!B2880</f>
        <v>7594825476</v>
      </c>
      <c r="C3624" s="1019">
        <f>'Anlage 2a_Letztverbrauch'!C2880+'Anlage 2a_Letztverbrauch'!C2924+'Anlage 2a_Letztverbrauch'!F2924+'Anlage 2a_Letztverbrauch'!I2924</f>
        <v>3872437.0900000003</v>
      </c>
      <c r="D3624" s="1019">
        <f>'Anlage 2a_Letztverbrauch'!C2937+'Anlage 2a_Letztverbrauch'!F2937</f>
        <v>86088.38</v>
      </c>
      <c r="E3624" s="1019">
        <f>'Anlage 2b_Korrekturen'!D1242</f>
        <v>-26142556</v>
      </c>
      <c r="F3624" s="1019">
        <f>'Anlage 2b_Korrekturen'!E1242</f>
        <v>-20192.900000000001</v>
      </c>
      <c r="G3624" s="1019">
        <f>B3624+E3624</f>
        <v>7568682920</v>
      </c>
      <c r="H3624" s="1020">
        <f t="shared" si="112"/>
        <v>3938332.5700000003</v>
      </c>
      <c r="J3624" s="342"/>
    </row>
    <row r="3625" spans="1:11" s="8" customFormat="1" ht="15.75" thickBot="1">
      <c r="A3625" s="981" t="s">
        <v>1715</v>
      </c>
      <c r="B3625" s="1026">
        <f>SUM(B3621:B3624)</f>
        <v>97103096503</v>
      </c>
      <c r="C3625" s="1006">
        <f t="shared" ref="C3625:D3625" si="113">SUM(C3621:C3624)</f>
        <v>41667474.590000004</v>
      </c>
      <c r="D3625" s="1006">
        <f t="shared" si="113"/>
        <v>2065162.8199999998</v>
      </c>
      <c r="E3625" s="1006">
        <f>SUM(E3621:E3624)</f>
        <v>53323103</v>
      </c>
      <c r="F3625" s="1006">
        <f>SUM(F3621:F3624)</f>
        <v>56629.990000000013</v>
      </c>
      <c r="G3625" s="1006">
        <f>SUM(G3621:G3624)</f>
        <v>97156419606</v>
      </c>
      <c r="H3625" s="1027">
        <f>SUM(H3621:H3624)</f>
        <v>43789267.399999999</v>
      </c>
      <c r="J3625" s="348"/>
    </row>
    <row r="3626" spans="1:11" s="8" customFormat="1">
      <c r="B3626" s="203"/>
      <c r="C3626" s="203"/>
      <c r="D3626" s="203"/>
      <c r="E3626" s="203"/>
      <c r="F3626" s="203"/>
      <c r="G3626" s="203"/>
      <c r="H3626" s="203"/>
      <c r="I3626" s="203"/>
      <c r="J3626" s="203"/>
    </row>
    <row r="3627" spans="1:11" s="8" customFormat="1">
      <c r="A3627" s="35" t="s">
        <v>2151</v>
      </c>
      <c r="B3627" s="203"/>
      <c r="C3627" s="203"/>
      <c r="D3627" s="203"/>
      <c r="E3627" s="203"/>
      <c r="F3627" s="203"/>
      <c r="G3627" s="203"/>
      <c r="H3627" s="203"/>
      <c r="I3627" s="203"/>
      <c r="J3627" s="203"/>
    </row>
    <row r="3628" spans="1:11" s="8" customFormat="1" ht="13.5" thickBot="1">
      <c r="B3628" s="203"/>
      <c r="C3628" s="203"/>
      <c r="D3628" s="203"/>
      <c r="E3628" s="203"/>
      <c r="F3628" s="203"/>
      <c r="G3628" s="203"/>
      <c r="H3628" s="203"/>
      <c r="I3628" s="203"/>
      <c r="J3628" s="203"/>
    </row>
    <row r="3629" spans="1:11" s="86" customFormat="1" ht="114.75" customHeight="1">
      <c r="A3629" s="468"/>
      <c r="B3629" s="546" t="s">
        <v>2152</v>
      </c>
      <c r="C3629" s="108" t="s">
        <v>2153</v>
      </c>
      <c r="D3629" s="233" t="s">
        <v>2154</v>
      </c>
      <c r="E3629" s="234" t="s">
        <v>2155</v>
      </c>
      <c r="F3629" s="233" t="s">
        <v>2156</v>
      </c>
      <c r="G3629" s="235" t="s">
        <v>2157</v>
      </c>
      <c r="H3629" s="97"/>
      <c r="I3629" s="97"/>
      <c r="J3629" s="97"/>
      <c r="K3629" s="3"/>
    </row>
    <row r="3630" spans="1:11" s="8" customFormat="1" ht="13.5" thickBot="1">
      <c r="A3630" s="541"/>
      <c r="B3630" s="581" t="s">
        <v>84</v>
      </c>
      <c r="C3630" s="580" t="s">
        <v>1722</v>
      </c>
      <c r="D3630" s="580" t="s">
        <v>84</v>
      </c>
      <c r="E3630" s="580" t="s">
        <v>1722</v>
      </c>
      <c r="F3630" s="580" t="s">
        <v>84</v>
      </c>
      <c r="G3630" s="586" t="s">
        <v>1722</v>
      </c>
      <c r="H3630" s="10"/>
    </row>
    <row r="3631" spans="1:11" s="8" customFormat="1" ht="15" customHeight="1">
      <c r="A3631" s="462" t="str">
        <f>'Anlage 2a_Letztverbrauch'!A2887</f>
        <v>Regelzone 50Hertz (gesamt)</v>
      </c>
      <c r="B3631" s="1013">
        <f>'Anlage 2a_Letztverbrauch'!I2887</f>
        <v>432919484</v>
      </c>
      <c r="C3631" s="1014">
        <f>'Anlage 2a_Letztverbrauch'!I2898</f>
        <v>1190528.76</v>
      </c>
      <c r="D3631" s="1014">
        <f>'Anlage 2b_Korrekturen'!D1271</f>
        <v>-50289026</v>
      </c>
      <c r="E3631" s="1014">
        <f>'Anlage 2b_Korrekturen'!E1271</f>
        <v>-168565.37000000002</v>
      </c>
      <c r="F3631" s="1014">
        <f>B3631+D3631</f>
        <v>382630458</v>
      </c>
      <c r="G3631" s="1015">
        <f>C3631+E3631</f>
        <v>1021963.39</v>
      </c>
      <c r="H3631" s="342"/>
      <c r="I3631" s="342"/>
      <c r="J3631" s="342"/>
      <c r="K3631" s="18"/>
    </row>
    <row r="3632" spans="1:11" s="8" customFormat="1">
      <c r="A3632" s="418" t="str">
        <f>'Anlage 2a_Letztverbrauch'!A2888</f>
        <v>Regelzone Amprion (gesamt)</v>
      </c>
      <c r="B3632" s="1016">
        <f>'Anlage 2a_Letztverbrauch'!I2888</f>
        <v>1107311118</v>
      </c>
      <c r="C3632" s="364">
        <f>'Anlage 2a_Letztverbrauch'!I2899</f>
        <v>3045105.57</v>
      </c>
      <c r="D3632" s="364">
        <f>'Anlage 2b_Korrekturen'!D1309</f>
        <v>-128973805</v>
      </c>
      <c r="E3632" s="364">
        <f>'Anlage 2b_Korrekturen'!E1309</f>
        <v>-422731.56000000006</v>
      </c>
      <c r="F3632" s="364">
        <f t="shared" ref="F3632:G3634" si="114">B3632+D3632</f>
        <v>978337313</v>
      </c>
      <c r="G3632" s="1017">
        <f t="shared" si="114"/>
        <v>2622374.0099999998</v>
      </c>
      <c r="H3632" s="342"/>
      <c r="I3632" s="342"/>
      <c r="J3632" s="342"/>
      <c r="K3632" s="18"/>
    </row>
    <row r="3633" spans="1:11" s="8" customFormat="1">
      <c r="A3633" s="418" t="str">
        <f>'Anlage 2a_Letztverbrauch'!A2889</f>
        <v>Regelzone TenneT (gesamt)</v>
      </c>
      <c r="B3633" s="1016">
        <f>'Anlage 2a_Letztverbrauch'!I2889</f>
        <v>773172258</v>
      </c>
      <c r="C3633" s="364">
        <f>'Anlage 2a_Letztverbrauch'!I2900</f>
        <v>2126223.71</v>
      </c>
      <c r="D3633" s="364">
        <f>'Anlage 2b_Korrekturen'!D1337</f>
        <v>6355891</v>
      </c>
      <c r="E3633" s="364">
        <f>'Anlage 2b_Korrekturen'!E1337</f>
        <v>18847</v>
      </c>
      <c r="F3633" s="364">
        <f t="shared" si="114"/>
        <v>779528149</v>
      </c>
      <c r="G3633" s="1017">
        <f t="shared" si="114"/>
        <v>2145070.71</v>
      </c>
      <c r="H3633" s="342"/>
      <c r="I3633" s="342"/>
      <c r="J3633" s="342"/>
      <c r="K3633" s="18"/>
    </row>
    <row r="3634" spans="1:11" s="8" customFormat="1" ht="13.5" thickBot="1">
      <c r="A3634" s="449" t="str">
        <f>'Anlage 2a_Letztverbrauch'!A2890</f>
        <v>Regelzone TransnetBW (gesamt)</v>
      </c>
      <c r="B3634" s="1018">
        <f>'Anlage 2a_Letztverbrauch'!I2890</f>
        <v>169798571</v>
      </c>
      <c r="C3634" s="1019">
        <f>'Anlage 2a_Letztverbrauch'!I2901</f>
        <v>466946.07</v>
      </c>
      <c r="D3634" s="1019">
        <f>'Anlage 2b_Korrekturen'!D1360</f>
        <v>-58813</v>
      </c>
      <c r="E3634" s="1019">
        <f>'Anlage 2b_Korrekturen'!E1360</f>
        <v>-210</v>
      </c>
      <c r="F3634" s="1019">
        <f t="shared" si="114"/>
        <v>169739758</v>
      </c>
      <c r="G3634" s="1020">
        <f t="shared" si="114"/>
        <v>466736.07</v>
      </c>
      <c r="H3634" s="342"/>
      <c r="I3634" s="342"/>
      <c r="J3634" s="342"/>
      <c r="K3634" s="18"/>
    </row>
    <row r="3635" spans="1:11" s="8" customFormat="1" ht="15.75" thickBot="1">
      <c r="A3635" s="447" t="s">
        <v>1715</v>
      </c>
      <c r="B3635" s="1012">
        <f t="shared" ref="B3635:C3635" si="115">SUM(B3631:B3634)</f>
        <v>2483201431</v>
      </c>
      <c r="C3635" s="965">
        <f t="shared" si="115"/>
        <v>6828804.1100000003</v>
      </c>
      <c r="D3635" s="965">
        <f t="shared" ref="D3635:G3635" si="116">SUM(D3631:D3634)</f>
        <v>-172965753</v>
      </c>
      <c r="E3635" s="965">
        <f t="shared" si="116"/>
        <v>-572659.93000000005</v>
      </c>
      <c r="F3635" s="965">
        <f t="shared" si="116"/>
        <v>2310235678</v>
      </c>
      <c r="G3635" s="966">
        <f t="shared" si="116"/>
        <v>6256144.1799999997</v>
      </c>
      <c r="H3635" s="343"/>
      <c r="I3635" s="343"/>
      <c r="J3635" s="343"/>
      <c r="K3635" s="10"/>
    </row>
    <row r="3636" spans="1:11" s="8" customFormat="1">
      <c r="B3636" s="203"/>
      <c r="C3636" s="203"/>
      <c r="D3636" s="203"/>
      <c r="E3636" s="203"/>
      <c r="F3636" s="203"/>
      <c r="G3636" s="203"/>
      <c r="H3636" s="203"/>
      <c r="I3636" s="203"/>
      <c r="J3636" s="203"/>
    </row>
    <row r="3637" spans="1:11" s="8" customFormat="1"/>
    <row r="3638" spans="1:11" s="8" customFormat="1">
      <c r="B3638" s="203"/>
      <c r="C3638" s="203"/>
      <c r="D3638" s="203"/>
      <c r="E3638" s="203"/>
      <c r="F3638" s="203"/>
      <c r="G3638" s="203"/>
      <c r="H3638" s="203"/>
      <c r="I3638" s="203"/>
      <c r="J3638" s="203"/>
    </row>
  </sheetData>
  <pageMargins left="0.23622047244094491" right="0.70866141732283472" top="1.1023622047244095" bottom="0.74803149606299213" header="0.31496062992125984" footer="0.31496062992125984"/>
  <pageSetup paperSize="9" scale="52" fitToHeight="2" orientation="landscape" r:id="rId1"/>
  <headerFooter scaleWithDoc="0">
    <oddHeader>&amp;L&amp;G</oddHeader>
    <oddFooter>&amp;R&amp;UAnlage 3a&amp;U
Seite &amp;P</oddFooter>
  </headerFooter>
  <rowBreaks count="1" manualBreakCount="1">
    <brk id="1750" max="16383" man="1"/>
  </rowBreaks>
  <ignoredErrors>
    <ignoredError sqref="E2159:E2542 E1926:E2128 I405 I167:I300 I349:I403 D301:I348 D404:I404 D349:H403 D167:H300 D406:I743 D405:H405 E1757:E1922 E1755:E1756 E1923:E1925" formula="1"/>
  </ignoredErrors>
  <legacy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9974A-79F5-4C59-A2B2-FBEA23EDDDB2}">
  <sheetPr codeName="Tabelle11">
    <pageSetUpPr fitToPage="1"/>
  </sheetPr>
  <dimension ref="A1:K2770"/>
  <sheetViews>
    <sheetView view="pageLayout" zoomScale="80" zoomScaleNormal="90" zoomScalePageLayoutView="80" workbookViewId="0">
      <selection activeCell="H937" sqref="H937"/>
    </sheetView>
  </sheetViews>
  <sheetFormatPr baseColWidth="10" defaultColWidth="8.140625" defaultRowHeight="12.75" outlineLevelRow="2"/>
  <cols>
    <col min="1" max="1" width="30" customWidth="1"/>
    <col min="2" max="2" width="22" customWidth="1"/>
    <col min="3" max="3" width="31.5703125" customWidth="1"/>
    <col min="4" max="4" width="17.5703125" customWidth="1"/>
    <col min="5" max="5" width="18.7109375" customWidth="1"/>
    <col min="6" max="6" width="18.42578125" bestFit="1" customWidth="1"/>
    <col min="7" max="7" width="18.28515625" customWidth="1"/>
    <col min="8" max="8" width="16.42578125" customWidth="1"/>
    <col min="9" max="9" width="15.7109375" customWidth="1"/>
    <col min="10" max="10" width="14.85546875" customWidth="1"/>
  </cols>
  <sheetData>
    <row r="1" spans="1:9" ht="18">
      <c r="A1" s="136" t="s">
        <v>2158</v>
      </c>
    </row>
    <row r="2" spans="1:9">
      <c r="A2" s="13"/>
      <c r="D2" s="29"/>
      <c r="G2" s="29"/>
      <c r="I2" s="21"/>
    </row>
    <row r="3" spans="1:9">
      <c r="I3" s="29">
        <f>'Anlage 1a_Zuschlagszahlungen_NB'!E1</f>
        <v>45915</v>
      </c>
    </row>
    <row r="4" spans="1:9">
      <c r="A4" s="390" t="s">
        <v>2159</v>
      </c>
      <c r="B4" s="96"/>
      <c r="C4" s="96"/>
      <c r="D4" s="96"/>
      <c r="E4" s="96"/>
      <c r="F4" s="96"/>
      <c r="G4" s="96"/>
    </row>
    <row r="5" spans="1:9" ht="13.5" thickBot="1">
      <c r="B5" s="96"/>
      <c r="C5" s="96"/>
      <c r="D5" s="96"/>
      <c r="E5" s="96"/>
      <c r="F5" s="96"/>
      <c r="G5" s="96"/>
    </row>
    <row r="6" spans="1:9" ht="67.5" customHeight="1">
      <c r="A6" s="982"/>
      <c r="B6" s="546" t="s">
        <v>2078</v>
      </c>
      <c r="C6" s="108" t="s">
        <v>2160</v>
      </c>
      <c r="D6" s="108" t="s">
        <v>2161</v>
      </c>
      <c r="E6" s="108" t="s">
        <v>2162</v>
      </c>
      <c r="F6" s="109" t="s">
        <v>2163</v>
      </c>
      <c r="G6" s="1092" t="s">
        <v>2083</v>
      </c>
    </row>
    <row r="7" spans="1:9" s="8" customFormat="1" ht="13.5" thickBot="1">
      <c r="A7" s="985"/>
      <c r="B7" s="581" t="s">
        <v>1722</v>
      </c>
      <c r="C7" s="580" t="s">
        <v>1722</v>
      </c>
      <c r="D7" s="580" t="s">
        <v>1722</v>
      </c>
      <c r="E7" s="580" t="s">
        <v>1722</v>
      </c>
      <c r="F7" s="586" t="s">
        <v>1722</v>
      </c>
      <c r="G7" s="1093" t="s">
        <v>1722</v>
      </c>
    </row>
    <row r="8" spans="1:9">
      <c r="A8" s="986" t="s">
        <v>85</v>
      </c>
      <c r="B8" s="547">
        <f t="shared" ref="B8:G8" si="0">+SUM(B9:B177)</f>
        <v>425043716.71999991</v>
      </c>
      <c r="C8" s="458">
        <f t="shared" si="0"/>
        <v>-29256584.739999998</v>
      </c>
      <c r="D8" s="458">
        <f t="shared" si="0"/>
        <v>0</v>
      </c>
      <c r="E8" s="458">
        <f t="shared" si="0"/>
        <v>395787131.98000002</v>
      </c>
      <c r="F8" s="1096">
        <f t="shared" si="0"/>
        <v>676264.90999999968</v>
      </c>
      <c r="G8" s="1000">
        <f t="shared" si="0"/>
        <v>396463396.89000005</v>
      </c>
    </row>
    <row r="9" spans="1:9" hidden="1" outlineLevel="1">
      <c r="A9" s="988" t="str">
        <f>+'Anlage 3a_Zusammenfassung_KWKG'!A1756</f>
        <v>SNB901665585874</v>
      </c>
      <c r="B9" s="544">
        <v>479802.53</v>
      </c>
      <c r="C9" s="95">
        <f>+IF(ISNA(VLOOKUP(A9,'Anlage 2a_Letztverbrauch'!$A$2810:$D$2819,4,0)),0,VLOOKUP(A9,'Anlage 2a_Letztverbrauch'!$A$2810:$D$2819,4,0))</f>
        <v>0</v>
      </c>
      <c r="D9" s="95">
        <v>0</v>
      </c>
      <c r="E9" s="95">
        <f t="shared" ref="E9:E72" si="1">B9+C9+D9</f>
        <v>479802.53</v>
      </c>
      <c r="F9" s="145">
        <f>+SUMIF('Anlage 2b_Korrekturen'!$B$8:$B$202,A9,'Anlage 2b_Korrekturen'!$F$8:$F$202)</f>
        <v>54.339999999999975</v>
      </c>
      <c r="G9" s="1094">
        <f t="shared" ref="G9:G72" si="2">E9+F9</f>
        <v>479856.87000000005</v>
      </c>
      <c r="H9" s="24"/>
      <c r="I9" s="24"/>
    </row>
    <row r="10" spans="1:9" hidden="1" outlineLevel="1">
      <c r="A10" s="988" t="str">
        <f>+'Anlage 3a_Zusammenfassung_KWKG'!A1757</f>
        <v>SNB910474681448</v>
      </c>
      <c r="B10" s="544">
        <v>506315.19</v>
      </c>
      <c r="C10" s="95">
        <f>+IF(ISNA(VLOOKUP(A10,'Anlage 2a_Letztverbrauch'!$A$2810:$D$2819,4,0)),0,VLOOKUP(A10,'Anlage 2a_Letztverbrauch'!$A$2810:$D$2819,4,0))</f>
        <v>0</v>
      </c>
      <c r="D10" s="95">
        <v>0</v>
      </c>
      <c r="E10" s="95">
        <f t="shared" si="1"/>
        <v>506315.19</v>
      </c>
      <c r="F10" s="145">
        <f>+SUMIF('Anlage 2b_Korrekturen'!$B$8:$B$202,A10,'Anlage 2b_Korrekturen'!$F$8:$F$202)</f>
        <v>-751.75000000000011</v>
      </c>
      <c r="G10" s="1094">
        <f t="shared" si="2"/>
        <v>505563.44</v>
      </c>
      <c r="H10" s="24"/>
      <c r="I10" s="24"/>
    </row>
    <row r="11" spans="1:9" hidden="1" outlineLevel="1">
      <c r="A11" s="988" t="str">
        <f>+'Anlage 3a_Zusammenfassung_KWKG'!A1758</f>
        <v>SNB911159111601</v>
      </c>
      <c r="B11" s="544">
        <v>1303588.44</v>
      </c>
      <c r="C11" s="95">
        <f>+IF(ISNA(VLOOKUP(A11,'Anlage 2a_Letztverbrauch'!$A$2810:$D$2819,4,0)),0,VLOOKUP(A11,'Anlage 2a_Letztverbrauch'!$A$2810:$D$2819,4,0))</f>
        <v>0</v>
      </c>
      <c r="D11" s="95">
        <v>0</v>
      </c>
      <c r="E11" s="95">
        <f t="shared" si="1"/>
        <v>1303588.44</v>
      </c>
      <c r="F11" s="145">
        <f>+SUMIF('Anlage 2b_Korrekturen'!$B$8:$B$202,A11,'Anlage 2b_Korrekturen'!$F$8:$F$202)</f>
        <v>0</v>
      </c>
      <c r="G11" s="1094">
        <f t="shared" si="2"/>
        <v>1303588.44</v>
      </c>
      <c r="H11" s="24"/>
      <c r="I11" s="24"/>
    </row>
    <row r="12" spans="1:9" hidden="1" outlineLevel="1">
      <c r="A12" s="988" t="str">
        <f>+'Anlage 3a_Zusammenfassung_KWKG'!A1759</f>
        <v>SNB912218404412</v>
      </c>
      <c r="B12" s="544">
        <v>378730.42</v>
      </c>
      <c r="C12" s="95">
        <f>+IF(ISNA(VLOOKUP(A12,'Anlage 2a_Letztverbrauch'!$A$2810:$D$2819,4,0)),0,VLOOKUP(A12,'Anlage 2a_Letztverbrauch'!$A$2810:$D$2819,4,0))</f>
        <v>0</v>
      </c>
      <c r="D12" s="95">
        <v>0</v>
      </c>
      <c r="E12" s="95">
        <f t="shared" si="1"/>
        <v>378730.42</v>
      </c>
      <c r="F12" s="145">
        <f>+SUMIF('Anlage 2b_Korrekturen'!$B$8:$B$202,A12,'Anlage 2b_Korrekturen'!$F$8:$F$202)</f>
        <v>-1172.31</v>
      </c>
      <c r="G12" s="1094">
        <f t="shared" si="2"/>
        <v>377558.11</v>
      </c>
      <c r="H12" s="24"/>
      <c r="I12" s="24"/>
    </row>
    <row r="13" spans="1:9" hidden="1" outlineLevel="1">
      <c r="A13" s="988" t="str">
        <f>+'Anlage 3a_Zusammenfassung_KWKG'!A1760</f>
        <v>SNB913006238462</v>
      </c>
      <c r="B13" s="544">
        <v>529221.89</v>
      </c>
      <c r="C13" s="95">
        <f>+IF(ISNA(VLOOKUP(A13,'Anlage 2a_Letztverbrauch'!$A$2810:$D$2819,4,0)),0,VLOOKUP(A13,'Anlage 2a_Letztverbrauch'!$A$2810:$D$2819,4,0))</f>
        <v>0</v>
      </c>
      <c r="D13" s="95">
        <v>0</v>
      </c>
      <c r="E13" s="95">
        <f t="shared" si="1"/>
        <v>529221.89</v>
      </c>
      <c r="F13" s="145">
        <f>+SUMIF('Anlage 2b_Korrekturen'!$B$8:$B$202,A13,'Anlage 2b_Korrekturen'!$F$8:$F$202)</f>
        <v>789.15</v>
      </c>
      <c r="G13" s="1094">
        <f t="shared" si="2"/>
        <v>530011.04</v>
      </c>
      <c r="H13" s="24"/>
      <c r="I13" s="24"/>
    </row>
    <row r="14" spans="1:9" hidden="1" outlineLevel="1">
      <c r="A14" s="988" t="str">
        <f>+'Anlage 3a_Zusammenfassung_KWKG'!A1761</f>
        <v>SNB913130054136</v>
      </c>
      <c r="B14" s="544">
        <v>1966857.44</v>
      </c>
      <c r="C14" s="95">
        <f>+IF(ISNA(VLOOKUP(A14,'Anlage 2a_Letztverbrauch'!$A$2810:$D$2819,4,0)),0,VLOOKUP(A14,'Anlage 2a_Letztverbrauch'!$A$2810:$D$2819,4,0))</f>
        <v>0</v>
      </c>
      <c r="D14" s="95">
        <v>0</v>
      </c>
      <c r="E14" s="95">
        <f t="shared" si="1"/>
        <v>1966857.44</v>
      </c>
      <c r="F14" s="145">
        <f>+SUMIF('Anlage 2b_Korrekturen'!$B$8:$B$202,A14,'Anlage 2b_Korrekturen'!$F$8:$F$202)</f>
        <v>0</v>
      </c>
      <c r="G14" s="1094">
        <f t="shared" si="2"/>
        <v>1966857.44</v>
      </c>
      <c r="H14" s="23"/>
      <c r="I14" s="24"/>
    </row>
    <row r="15" spans="1:9" hidden="1" outlineLevel="1">
      <c r="A15" s="988" t="str">
        <f>+'Anlage 3a_Zusammenfassung_KWKG'!A1762</f>
        <v>SNB913280322543</v>
      </c>
      <c r="B15" s="544">
        <v>529103.31000000006</v>
      </c>
      <c r="C15" s="95">
        <f>+IF(ISNA(VLOOKUP(A15,'Anlage 2a_Letztverbrauch'!$A$2810:$D$2819,4,0)),0,VLOOKUP(A15,'Anlage 2a_Letztverbrauch'!$A$2810:$D$2819,4,0))</f>
        <v>0</v>
      </c>
      <c r="D15" s="95">
        <v>0</v>
      </c>
      <c r="E15" s="95">
        <f t="shared" si="1"/>
        <v>529103.31000000006</v>
      </c>
      <c r="F15" s="145">
        <f>+SUMIF('Anlage 2b_Korrekturen'!$B$8:$B$202,A15,'Anlage 2b_Korrekturen'!$F$8:$F$202)</f>
        <v>0</v>
      </c>
      <c r="G15" s="1094">
        <f t="shared" si="2"/>
        <v>529103.31000000006</v>
      </c>
      <c r="H15" s="23"/>
      <c r="I15" s="24"/>
    </row>
    <row r="16" spans="1:9" hidden="1" outlineLevel="1">
      <c r="A16" s="988" t="str">
        <f>+'Anlage 3a_Zusammenfassung_KWKG'!A1763</f>
        <v>SNB913563830420</v>
      </c>
      <c r="B16" s="544">
        <v>617055.48</v>
      </c>
      <c r="C16" s="95">
        <f>+IF(ISNA(VLOOKUP(A16,'Anlage 2a_Letztverbrauch'!$A$2810:$D$2819,4,0)),0,VLOOKUP(A16,'Anlage 2a_Letztverbrauch'!$A$2810:$D$2819,4,0))</f>
        <v>0</v>
      </c>
      <c r="D16" s="95">
        <v>0</v>
      </c>
      <c r="E16" s="95">
        <f t="shared" si="1"/>
        <v>617055.48</v>
      </c>
      <c r="F16" s="145">
        <f>+SUMIF('Anlage 2b_Korrekturen'!$B$8:$B$202,A16,'Anlage 2b_Korrekturen'!$F$8:$F$202)</f>
        <v>2045.58</v>
      </c>
      <c r="G16" s="1094">
        <f t="shared" si="2"/>
        <v>619101.05999999994</v>
      </c>
    </row>
    <row r="17" spans="1:7" hidden="1" outlineLevel="1">
      <c r="A17" s="988" t="str">
        <f>+'Anlage 3a_Zusammenfassung_KWKG'!A1764</f>
        <v>SNB913768089142</v>
      </c>
      <c r="B17" s="544">
        <v>44520.57</v>
      </c>
      <c r="C17" s="95">
        <f>+IF(ISNA(VLOOKUP(A17,'Anlage 2a_Letztverbrauch'!$A$2810:$D$2819,4,0)),0,VLOOKUP(A17,'Anlage 2a_Letztverbrauch'!$A$2810:$D$2819,4,0))</f>
        <v>0</v>
      </c>
      <c r="D17" s="95">
        <v>0</v>
      </c>
      <c r="E17" s="95">
        <f t="shared" si="1"/>
        <v>44520.57</v>
      </c>
      <c r="F17" s="145">
        <f>+SUMIF('Anlage 2b_Korrekturen'!$B$8:$B$202,A17,'Anlage 2b_Korrekturen'!$F$8:$F$202)</f>
        <v>0</v>
      </c>
      <c r="G17" s="1094">
        <f t="shared" si="2"/>
        <v>44520.57</v>
      </c>
    </row>
    <row r="18" spans="1:7" hidden="1" outlineLevel="1">
      <c r="A18" s="988" t="str">
        <f>+'Anlage 3a_Zusammenfassung_KWKG'!A1765</f>
        <v>SNB914103081760</v>
      </c>
      <c r="B18" s="544">
        <v>540868.81000000006</v>
      </c>
      <c r="C18" s="95">
        <f>+IF(ISNA(VLOOKUP(A18,'Anlage 2a_Letztverbrauch'!$A$2810:$D$2819,4,0)),0,VLOOKUP(A18,'Anlage 2a_Letztverbrauch'!$A$2810:$D$2819,4,0))</f>
        <v>0</v>
      </c>
      <c r="D18" s="95">
        <v>0</v>
      </c>
      <c r="E18" s="95">
        <f t="shared" si="1"/>
        <v>540868.81000000006</v>
      </c>
      <c r="F18" s="145">
        <f>+SUMIF('Anlage 2b_Korrekturen'!$B$8:$B$202,A18,'Anlage 2b_Korrekturen'!$F$8:$F$202)</f>
        <v>0</v>
      </c>
      <c r="G18" s="1094">
        <f t="shared" si="2"/>
        <v>540868.81000000006</v>
      </c>
    </row>
    <row r="19" spans="1:7" hidden="1" outlineLevel="1">
      <c r="A19" s="988" t="str">
        <f>+'Anlage 3a_Zusammenfassung_KWKG'!A1766</f>
        <v>SNB914630088973</v>
      </c>
      <c r="B19" s="544">
        <v>354519.74</v>
      </c>
      <c r="C19" s="95">
        <f>+IF(ISNA(VLOOKUP(A19,'Anlage 2a_Letztverbrauch'!$A$2810:$D$2819,4,0)),0,VLOOKUP(A19,'Anlage 2a_Letztverbrauch'!$A$2810:$D$2819,4,0))</f>
        <v>0</v>
      </c>
      <c r="D19" s="95">
        <v>0</v>
      </c>
      <c r="E19" s="95">
        <f t="shared" si="1"/>
        <v>354519.74</v>
      </c>
      <c r="F19" s="145">
        <f>+SUMIF('Anlage 2b_Korrekturen'!$B$8:$B$202,A19,'Anlage 2b_Korrekturen'!$F$8:$F$202)</f>
        <v>0</v>
      </c>
      <c r="G19" s="1094">
        <f t="shared" si="2"/>
        <v>354519.74</v>
      </c>
    </row>
    <row r="20" spans="1:7" hidden="1" outlineLevel="1">
      <c r="A20" s="988" t="str">
        <f>+'Anlage 3a_Zusammenfassung_KWKG'!A1767</f>
        <v>SNB914879260819</v>
      </c>
      <c r="B20" s="544">
        <v>953547.52</v>
      </c>
      <c r="C20" s="95">
        <f>+IF(ISNA(VLOOKUP(A20,'Anlage 2a_Letztverbrauch'!$A$2810:$D$2819,4,0)),0,VLOOKUP(A20,'Anlage 2a_Letztverbrauch'!$A$2810:$D$2819,4,0))</f>
        <v>0</v>
      </c>
      <c r="D20" s="95">
        <v>0</v>
      </c>
      <c r="E20" s="95">
        <f t="shared" si="1"/>
        <v>953547.52</v>
      </c>
      <c r="F20" s="145">
        <f>+SUMIF('Anlage 2b_Korrekturen'!$B$8:$B$202,A20,'Anlage 2b_Korrekturen'!$F$8:$F$202)</f>
        <v>0</v>
      </c>
      <c r="G20" s="1094">
        <f t="shared" si="2"/>
        <v>953547.52</v>
      </c>
    </row>
    <row r="21" spans="1:7" hidden="1" outlineLevel="1">
      <c r="A21" s="988" t="str">
        <f>+'Anlage 3a_Zusammenfassung_KWKG'!A1768</f>
        <v>SNB915186313908</v>
      </c>
      <c r="B21" s="544">
        <v>264679.26</v>
      </c>
      <c r="C21" s="95">
        <f>+IF(ISNA(VLOOKUP(A21,'Anlage 2a_Letztverbrauch'!$A$2810:$D$2819,4,0)),0,VLOOKUP(A21,'Anlage 2a_Letztverbrauch'!$A$2810:$D$2819,4,0))</f>
        <v>0</v>
      </c>
      <c r="D21" s="95">
        <v>0</v>
      </c>
      <c r="E21" s="95">
        <f t="shared" si="1"/>
        <v>264679.26</v>
      </c>
      <c r="F21" s="145">
        <f>+SUMIF('Anlage 2b_Korrekturen'!$B$8:$B$202,A21,'Anlage 2b_Korrekturen'!$F$8:$F$202)</f>
        <v>0</v>
      </c>
      <c r="G21" s="1094">
        <f t="shared" si="2"/>
        <v>264679.26</v>
      </c>
    </row>
    <row r="22" spans="1:7" hidden="1" outlineLevel="1">
      <c r="A22" s="988" t="str">
        <f>+'Anlage 3a_Zusammenfassung_KWKG'!A1769</f>
        <v>SNB915358347793</v>
      </c>
      <c r="B22" s="544">
        <v>160220.57999999999</v>
      </c>
      <c r="C22" s="95">
        <f>+IF(ISNA(VLOOKUP(A22,'Anlage 2a_Letztverbrauch'!$A$2810:$D$2819,4,0)),0,VLOOKUP(A22,'Anlage 2a_Letztverbrauch'!$A$2810:$D$2819,4,0))</f>
        <v>0</v>
      </c>
      <c r="D22" s="95">
        <v>0</v>
      </c>
      <c r="E22" s="95">
        <f t="shared" si="1"/>
        <v>160220.57999999999</v>
      </c>
      <c r="F22" s="145">
        <f>+SUMIF('Anlage 2b_Korrekturen'!$B$8:$B$202,A22,'Anlage 2b_Korrekturen'!$F$8:$F$202)</f>
        <v>0</v>
      </c>
      <c r="G22" s="1094">
        <f t="shared" si="2"/>
        <v>160220.57999999999</v>
      </c>
    </row>
    <row r="23" spans="1:7" hidden="1" outlineLevel="1">
      <c r="A23" s="988" t="str">
        <f>+'Anlage 3a_Zusammenfassung_KWKG'!A1770</f>
        <v>SNB915638224585</v>
      </c>
      <c r="B23" s="544">
        <v>1163520.8899999999</v>
      </c>
      <c r="C23" s="95">
        <f>+IF(ISNA(VLOOKUP(A23,'Anlage 2a_Letztverbrauch'!$A$2810:$D$2819,4,0)),0,VLOOKUP(A23,'Anlage 2a_Letztverbrauch'!$A$2810:$D$2819,4,0))</f>
        <v>0</v>
      </c>
      <c r="D23" s="95">
        <v>0</v>
      </c>
      <c r="E23" s="95">
        <f t="shared" si="1"/>
        <v>1163520.8899999999</v>
      </c>
      <c r="F23" s="145">
        <f>+SUMIF('Anlage 2b_Korrekturen'!$B$8:$B$202,A23,'Anlage 2b_Korrekturen'!$F$8:$F$202)</f>
        <v>0</v>
      </c>
      <c r="G23" s="1094">
        <f t="shared" si="2"/>
        <v>1163520.8899999999</v>
      </c>
    </row>
    <row r="24" spans="1:7" hidden="1" outlineLevel="1">
      <c r="A24" s="988" t="str">
        <f>+'Anlage 3a_Zusammenfassung_KWKG'!A1771</f>
        <v>SNB916269213931</v>
      </c>
      <c r="B24" s="544">
        <v>50874740.399999999</v>
      </c>
      <c r="C24" s="95">
        <f>+IF(ISNA(VLOOKUP(A24,'Anlage 2a_Letztverbrauch'!$A$2810:$D$2819,4,0)),0,VLOOKUP(A24,'Anlage 2a_Letztverbrauch'!$A$2810:$D$2819,4,0))</f>
        <v>0</v>
      </c>
      <c r="D24" s="95">
        <v>0</v>
      </c>
      <c r="E24" s="95">
        <f t="shared" si="1"/>
        <v>50874740.399999999</v>
      </c>
      <c r="F24" s="145">
        <f>+SUMIF('Anlage 2b_Korrekturen'!$B$8:$B$202,A24,'Anlage 2b_Korrekturen'!$F$8:$F$202)</f>
        <v>-357579.25</v>
      </c>
      <c r="G24" s="1094">
        <f t="shared" si="2"/>
        <v>50517161.149999999</v>
      </c>
    </row>
    <row r="25" spans="1:7" hidden="1" outlineLevel="1">
      <c r="A25" s="988" t="str">
        <f>+'Anlage 3a_Zusammenfassung_KWKG'!A1772</f>
        <v>SNB916663914472</v>
      </c>
      <c r="B25" s="544">
        <v>4343388.1399999997</v>
      </c>
      <c r="C25" s="95">
        <f>+IF(ISNA(VLOOKUP(A25,'Anlage 2a_Letztverbrauch'!$A$2810:$D$2819,4,0)),0,VLOOKUP(A25,'Anlage 2a_Letztverbrauch'!$A$2810:$D$2819,4,0))</f>
        <v>-31936.27</v>
      </c>
      <c r="D25" s="95">
        <v>0</v>
      </c>
      <c r="E25" s="95">
        <f t="shared" si="1"/>
        <v>4311451.87</v>
      </c>
      <c r="F25" s="145">
        <f>+SUMIF('Anlage 2b_Korrekturen'!$B$8:$B$202,A25,'Anlage 2b_Korrekturen'!$F$8:$F$202)</f>
        <v>0</v>
      </c>
      <c r="G25" s="1094">
        <f t="shared" si="2"/>
        <v>4311451.87</v>
      </c>
    </row>
    <row r="26" spans="1:7" hidden="1" outlineLevel="1">
      <c r="A26" s="988" t="str">
        <f>+'Anlage 3a_Zusammenfassung_KWKG'!A1773</f>
        <v>SNB917314328846</v>
      </c>
      <c r="B26" s="544">
        <v>670174.13</v>
      </c>
      <c r="C26" s="95">
        <f>+IF(ISNA(VLOOKUP(A26,'Anlage 2a_Letztverbrauch'!$A$2810:$D$2819,4,0)),0,VLOOKUP(A26,'Anlage 2a_Letztverbrauch'!$A$2810:$D$2819,4,0))</f>
        <v>0</v>
      </c>
      <c r="D26" s="95">
        <v>0</v>
      </c>
      <c r="E26" s="95">
        <f t="shared" si="1"/>
        <v>670174.13</v>
      </c>
      <c r="F26" s="145">
        <f>+SUMIF('Anlage 2b_Korrekturen'!$B$8:$B$202,A26,'Anlage 2b_Korrekturen'!$F$8:$F$202)</f>
        <v>0</v>
      </c>
      <c r="G26" s="1094">
        <f t="shared" si="2"/>
        <v>670174.13</v>
      </c>
    </row>
    <row r="27" spans="1:7" hidden="1" outlineLevel="1">
      <c r="A27" s="988" t="str">
        <f>+'Anlage 3a_Zusammenfassung_KWKG'!A1774</f>
        <v>SNB917432806905</v>
      </c>
      <c r="B27" s="544">
        <v>221855.72</v>
      </c>
      <c r="C27" s="95">
        <f>+IF(ISNA(VLOOKUP(A27,'Anlage 2a_Letztverbrauch'!$A$2810:$D$2819,4,0)),0,VLOOKUP(A27,'Anlage 2a_Letztverbrauch'!$A$2810:$D$2819,4,0))</f>
        <v>0</v>
      </c>
      <c r="D27" s="95">
        <v>0</v>
      </c>
      <c r="E27" s="95">
        <f t="shared" si="1"/>
        <v>221855.72</v>
      </c>
      <c r="F27" s="145">
        <f>+SUMIF('Anlage 2b_Korrekturen'!$B$8:$B$202,A27,'Anlage 2b_Korrekturen'!$F$8:$F$202)</f>
        <v>2075.3199999999997</v>
      </c>
      <c r="G27" s="1094">
        <f t="shared" si="2"/>
        <v>223931.04</v>
      </c>
    </row>
    <row r="28" spans="1:7" hidden="1" outlineLevel="1">
      <c r="A28" s="988" t="str">
        <f>+'Anlage 3a_Zusammenfassung_KWKG'!A1775</f>
        <v>SNB918070278383</v>
      </c>
      <c r="B28" s="544">
        <v>418024.66</v>
      </c>
      <c r="C28" s="95">
        <f>+IF(ISNA(VLOOKUP(A28,'Anlage 2a_Letztverbrauch'!$A$2810:$D$2819,4,0)),0,VLOOKUP(A28,'Anlage 2a_Letztverbrauch'!$A$2810:$D$2819,4,0))</f>
        <v>0</v>
      </c>
      <c r="D28" s="95">
        <v>0</v>
      </c>
      <c r="E28" s="95">
        <f t="shared" si="1"/>
        <v>418024.66</v>
      </c>
      <c r="F28" s="145">
        <f>+SUMIF('Anlage 2b_Korrekturen'!$B$8:$B$202,A28,'Anlage 2b_Korrekturen'!$F$8:$F$202)</f>
        <v>0</v>
      </c>
      <c r="G28" s="1094">
        <f t="shared" si="2"/>
        <v>418024.66</v>
      </c>
    </row>
    <row r="29" spans="1:7" hidden="1" outlineLevel="1">
      <c r="A29" s="988" t="str">
        <f>+'Anlage 3a_Zusammenfassung_KWKG'!A1776</f>
        <v>SNB918084816830</v>
      </c>
      <c r="B29" s="544">
        <v>223745.03</v>
      </c>
      <c r="C29" s="95">
        <f>+IF(ISNA(VLOOKUP(A29,'Anlage 2a_Letztverbrauch'!$A$2810:$D$2819,4,0)),0,VLOOKUP(A29,'Anlage 2a_Letztverbrauch'!$A$2810:$D$2819,4,0))</f>
        <v>0</v>
      </c>
      <c r="D29" s="95">
        <v>0</v>
      </c>
      <c r="E29" s="95">
        <f t="shared" si="1"/>
        <v>223745.03</v>
      </c>
      <c r="F29" s="145">
        <f>+SUMIF('Anlage 2b_Korrekturen'!$B$8:$B$202,A29,'Anlage 2b_Korrekturen'!$F$8:$F$202)</f>
        <v>-947</v>
      </c>
      <c r="G29" s="1094">
        <f t="shared" si="2"/>
        <v>222798.03</v>
      </c>
    </row>
    <row r="30" spans="1:7" hidden="1" outlineLevel="1">
      <c r="A30" s="988" t="str">
        <f>+'Anlage 3a_Zusammenfassung_KWKG'!A1777</f>
        <v>SNB918100919279</v>
      </c>
      <c r="B30" s="544">
        <v>116375.03999999999</v>
      </c>
      <c r="C30" s="95">
        <f>+IF(ISNA(VLOOKUP(A30,'Anlage 2a_Letztverbrauch'!$A$2810:$D$2819,4,0)),0,VLOOKUP(A30,'Anlage 2a_Letztverbrauch'!$A$2810:$D$2819,4,0))</f>
        <v>0</v>
      </c>
      <c r="D30" s="95">
        <v>0</v>
      </c>
      <c r="E30" s="95">
        <f t="shared" si="1"/>
        <v>116375.03999999999</v>
      </c>
      <c r="F30" s="145">
        <f>+SUMIF('Anlage 2b_Korrekturen'!$B$8:$B$202,A30,'Anlage 2b_Korrekturen'!$F$8:$F$202)</f>
        <v>0</v>
      </c>
      <c r="G30" s="1094">
        <f t="shared" si="2"/>
        <v>116375.03999999999</v>
      </c>
    </row>
    <row r="31" spans="1:7" hidden="1" outlineLevel="1">
      <c r="A31" s="988" t="str">
        <f>+'Anlage 3a_Zusammenfassung_KWKG'!A1778</f>
        <v>SNB918539636471</v>
      </c>
      <c r="B31" s="544">
        <v>348394.04</v>
      </c>
      <c r="C31" s="95">
        <f>+IF(ISNA(VLOOKUP(A31,'Anlage 2a_Letztverbrauch'!$A$2810:$D$2819,4,0)),0,VLOOKUP(A31,'Anlage 2a_Letztverbrauch'!$A$2810:$D$2819,4,0))</f>
        <v>0</v>
      </c>
      <c r="D31" s="95">
        <v>0</v>
      </c>
      <c r="E31" s="95">
        <f t="shared" si="1"/>
        <v>348394.04</v>
      </c>
      <c r="F31" s="145">
        <f>+SUMIF('Anlage 2b_Korrekturen'!$B$8:$B$202,A31,'Anlage 2b_Korrekturen'!$F$8:$F$202)</f>
        <v>0</v>
      </c>
      <c r="G31" s="1094">
        <f t="shared" si="2"/>
        <v>348394.04</v>
      </c>
    </row>
    <row r="32" spans="1:7" hidden="1" outlineLevel="1">
      <c r="A32" s="988" t="str">
        <f>+'Anlage 3a_Zusammenfassung_KWKG'!A1779</f>
        <v>SNB918620072652</v>
      </c>
      <c r="B32" s="544">
        <v>399577.22</v>
      </c>
      <c r="C32" s="95">
        <f>+IF(ISNA(VLOOKUP(A32,'Anlage 2a_Letztverbrauch'!$A$2810:$D$2819,4,0)),0,VLOOKUP(A32,'Anlage 2a_Letztverbrauch'!$A$2810:$D$2819,4,0))</f>
        <v>0</v>
      </c>
      <c r="D32" s="95">
        <v>0</v>
      </c>
      <c r="E32" s="95">
        <f t="shared" si="1"/>
        <v>399577.22</v>
      </c>
      <c r="F32" s="145">
        <f>+SUMIF('Anlage 2b_Korrekturen'!$B$8:$B$202,A32,'Anlage 2b_Korrekturen'!$F$8:$F$202)</f>
        <v>-544.91000000000008</v>
      </c>
      <c r="G32" s="1094">
        <f t="shared" si="2"/>
        <v>399032.31</v>
      </c>
    </row>
    <row r="33" spans="1:7" hidden="1" outlineLevel="1">
      <c r="A33" s="988" t="str">
        <f>+'Anlage 3a_Zusammenfassung_KWKG'!A1780</f>
        <v>SNB919654931526</v>
      </c>
      <c r="B33" s="544">
        <v>210112.8</v>
      </c>
      <c r="C33" s="95">
        <f>+IF(ISNA(VLOOKUP(A33,'Anlage 2a_Letztverbrauch'!$A$2810:$D$2819,4,0)),0,VLOOKUP(A33,'Anlage 2a_Letztverbrauch'!$A$2810:$D$2819,4,0))</f>
        <v>0</v>
      </c>
      <c r="D33" s="95">
        <v>0</v>
      </c>
      <c r="E33" s="95">
        <f t="shared" si="1"/>
        <v>210112.8</v>
      </c>
      <c r="F33" s="145">
        <f>+SUMIF('Anlage 2b_Korrekturen'!$B$8:$B$202,A33,'Anlage 2b_Korrekturen'!$F$8:$F$202)</f>
        <v>0</v>
      </c>
      <c r="G33" s="1094">
        <f t="shared" si="2"/>
        <v>210112.8</v>
      </c>
    </row>
    <row r="34" spans="1:7" hidden="1" outlineLevel="1">
      <c r="A34" s="988" t="str">
        <f>+'Anlage 3a_Zusammenfassung_KWKG'!A1781</f>
        <v>SNB919657321775</v>
      </c>
      <c r="B34" s="544">
        <v>573397.35</v>
      </c>
      <c r="C34" s="95">
        <f>+IF(ISNA(VLOOKUP(A34,'Anlage 2a_Letztverbrauch'!$A$2810:$D$2819,4,0)),0,VLOOKUP(A34,'Anlage 2a_Letztverbrauch'!$A$2810:$D$2819,4,0))</f>
        <v>0</v>
      </c>
      <c r="D34" s="95">
        <v>0</v>
      </c>
      <c r="E34" s="95">
        <f t="shared" si="1"/>
        <v>573397.35</v>
      </c>
      <c r="F34" s="145">
        <f>+SUMIF('Anlage 2b_Korrekturen'!$B$8:$B$202,A34,'Anlage 2b_Korrekturen'!$F$8:$F$202)</f>
        <v>-146.9</v>
      </c>
      <c r="G34" s="1094">
        <f t="shared" si="2"/>
        <v>573250.44999999995</v>
      </c>
    </row>
    <row r="35" spans="1:7" hidden="1" outlineLevel="1">
      <c r="A35" s="988" t="str">
        <f>+'Anlage 3a_Zusammenfassung_KWKG'!A1782</f>
        <v>SNB919985327685</v>
      </c>
      <c r="B35" s="544">
        <v>126164.92</v>
      </c>
      <c r="C35" s="95">
        <f>+IF(ISNA(VLOOKUP(A35,'Anlage 2a_Letztverbrauch'!$A$2810:$D$2819,4,0)),0,VLOOKUP(A35,'Anlage 2a_Letztverbrauch'!$A$2810:$D$2819,4,0))</f>
        <v>0</v>
      </c>
      <c r="D35" s="95">
        <v>0</v>
      </c>
      <c r="E35" s="95">
        <f t="shared" si="1"/>
        <v>126164.92</v>
      </c>
      <c r="F35" s="145">
        <f>+SUMIF('Anlage 2b_Korrekturen'!$B$8:$B$202,A35,'Anlage 2b_Korrekturen'!$F$8:$F$202)</f>
        <v>537.23</v>
      </c>
      <c r="G35" s="1094">
        <f t="shared" si="2"/>
        <v>126702.15</v>
      </c>
    </row>
    <row r="36" spans="1:7" hidden="1" outlineLevel="1">
      <c r="A36" s="988" t="str">
        <f>+'Anlage 3a_Zusammenfassung_KWKG'!A1783</f>
        <v>SNB920348005966</v>
      </c>
      <c r="B36" s="544">
        <v>592884.02</v>
      </c>
      <c r="C36" s="95">
        <f>+IF(ISNA(VLOOKUP(A36,'Anlage 2a_Letztverbrauch'!$A$2810:$D$2819,4,0)),0,VLOOKUP(A36,'Anlage 2a_Letztverbrauch'!$A$2810:$D$2819,4,0))</f>
        <v>0</v>
      </c>
      <c r="D36" s="95">
        <v>0</v>
      </c>
      <c r="E36" s="95">
        <f t="shared" si="1"/>
        <v>592884.02</v>
      </c>
      <c r="F36" s="145">
        <f>+SUMIF('Anlage 2b_Korrekturen'!$B$8:$B$202,A36,'Anlage 2b_Korrekturen'!$F$8:$F$202)</f>
        <v>-783.68999999999994</v>
      </c>
      <c r="G36" s="1094">
        <f t="shared" si="2"/>
        <v>592100.33000000007</v>
      </c>
    </row>
    <row r="37" spans="1:7" hidden="1" outlineLevel="1">
      <c r="A37" s="988" t="str">
        <f>+'Anlage 3a_Zusammenfassung_KWKG'!A1784</f>
        <v>SNB920699937404</v>
      </c>
      <c r="B37" s="544">
        <v>1104136.92</v>
      </c>
      <c r="C37" s="95">
        <f>+IF(ISNA(VLOOKUP(A37,'Anlage 2a_Letztverbrauch'!$A$2810:$D$2819,4,0)),0,VLOOKUP(A37,'Anlage 2a_Letztverbrauch'!$A$2810:$D$2819,4,0))</f>
        <v>0</v>
      </c>
      <c r="D37" s="95">
        <v>0</v>
      </c>
      <c r="E37" s="95">
        <f t="shared" si="1"/>
        <v>1104136.92</v>
      </c>
      <c r="F37" s="145">
        <f>+SUMIF('Anlage 2b_Korrekturen'!$B$8:$B$202,A37,'Anlage 2b_Korrekturen'!$F$8:$F$202)</f>
        <v>7943.41</v>
      </c>
      <c r="G37" s="1094">
        <f t="shared" si="2"/>
        <v>1112080.3299999998</v>
      </c>
    </row>
    <row r="38" spans="1:7" hidden="1" outlineLevel="1">
      <c r="A38" s="988" t="str">
        <f>+'Anlage 3a_Zusammenfassung_KWKG'!A1785</f>
        <v>SNB921629791202</v>
      </c>
      <c r="B38" s="544">
        <v>39459.58</v>
      </c>
      <c r="C38" s="95">
        <f>+IF(ISNA(VLOOKUP(A38,'Anlage 2a_Letztverbrauch'!$A$2810:$D$2819,4,0)),0,VLOOKUP(A38,'Anlage 2a_Letztverbrauch'!$A$2810:$D$2819,4,0))</f>
        <v>0</v>
      </c>
      <c r="D38" s="95">
        <v>0</v>
      </c>
      <c r="E38" s="95">
        <f t="shared" si="1"/>
        <v>39459.58</v>
      </c>
      <c r="F38" s="145">
        <f>+SUMIF('Anlage 2b_Korrekturen'!$B$8:$B$202,A38,'Anlage 2b_Korrekturen'!$F$8:$F$202)</f>
        <v>0</v>
      </c>
      <c r="G38" s="1094">
        <f t="shared" si="2"/>
        <v>39459.58</v>
      </c>
    </row>
    <row r="39" spans="1:7" hidden="1" outlineLevel="1">
      <c r="A39" s="988" t="str">
        <f>+'Anlage 3a_Zusammenfassung_KWKG'!A1786</f>
        <v>SNB922055731633</v>
      </c>
      <c r="B39" s="544">
        <v>274288.28999999998</v>
      </c>
      <c r="C39" s="95">
        <f>+IF(ISNA(VLOOKUP(A39,'Anlage 2a_Letztverbrauch'!$A$2810:$D$2819,4,0)),0,VLOOKUP(A39,'Anlage 2a_Letztverbrauch'!$A$2810:$D$2819,4,0))</f>
        <v>0</v>
      </c>
      <c r="D39" s="95">
        <v>0</v>
      </c>
      <c r="E39" s="95">
        <f t="shared" si="1"/>
        <v>274288.28999999998</v>
      </c>
      <c r="F39" s="145">
        <f>+SUMIF('Anlage 2b_Korrekturen'!$B$8:$B$202,A39,'Anlage 2b_Korrekturen'!$F$8:$F$202)</f>
        <v>31993</v>
      </c>
      <c r="G39" s="1094">
        <f t="shared" si="2"/>
        <v>306281.28999999998</v>
      </c>
    </row>
    <row r="40" spans="1:7" hidden="1" outlineLevel="1">
      <c r="A40" s="988" t="str">
        <f>+'Anlage 3a_Zusammenfassung_KWKG'!A1787</f>
        <v>SNB922354559020</v>
      </c>
      <c r="B40" s="544">
        <v>180830.95</v>
      </c>
      <c r="C40" s="95">
        <f>+IF(ISNA(VLOOKUP(A40,'Anlage 2a_Letztverbrauch'!$A$2810:$D$2819,4,0)),0,VLOOKUP(A40,'Anlage 2a_Letztverbrauch'!$A$2810:$D$2819,4,0))</f>
        <v>0</v>
      </c>
      <c r="D40" s="95">
        <v>0</v>
      </c>
      <c r="E40" s="95">
        <f t="shared" si="1"/>
        <v>180830.95</v>
      </c>
      <c r="F40" s="145">
        <f>+SUMIF('Anlage 2b_Korrekturen'!$B$8:$B$202,A40,'Anlage 2b_Korrekturen'!$F$8:$F$202)</f>
        <v>0</v>
      </c>
      <c r="G40" s="1094">
        <f t="shared" si="2"/>
        <v>180830.95</v>
      </c>
    </row>
    <row r="41" spans="1:7" hidden="1" outlineLevel="1">
      <c r="A41" s="988" t="str">
        <f>+'Anlage 3a_Zusammenfassung_KWKG'!A1788</f>
        <v>SNB922689183730</v>
      </c>
      <c r="B41" s="544">
        <v>651568.35</v>
      </c>
      <c r="C41" s="95">
        <f>+IF(ISNA(VLOOKUP(A41,'Anlage 2a_Letztverbrauch'!$A$2810:$D$2819,4,0)),0,VLOOKUP(A41,'Anlage 2a_Letztverbrauch'!$A$2810:$D$2819,4,0))</f>
        <v>0</v>
      </c>
      <c r="D41" s="95">
        <v>0</v>
      </c>
      <c r="E41" s="95">
        <f t="shared" si="1"/>
        <v>651568.35</v>
      </c>
      <c r="F41" s="145">
        <f>+SUMIF('Anlage 2b_Korrekturen'!$B$8:$B$202,A41,'Anlage 2b_Korrekturen'!$F$8:$F$202)</f>
        <v>1519.5900000000001</v>
      </c>
      <c r="G41" s="1094">
        <f t="shared" si="2"/>
        <v>653087.93999999994</v>
      </c>
    </row>
    <row r="42" spans="1:7" hidden="1" outlineLevel="1">
      <c r="A42" s="988" t="str">
        <f>+'Anlage 3a_Zusammenfassung_KWKG'!A1789</f>
        <v>SNB922861338965</v>
      </c>
      <c r="B42" s="544">
        <v>511515.34</v>
      </c>
      <c r="C42" s="95">
        <f>+IF(ISNA(VLOOKUP(A42,'Anlage 2a_Letztverbrauch'!$A$2810:$D$2819,4,0)),0,VLOOKUP(A42,'Anlage 2a_Letztverbrauch'!$A$2810:$D$2819,4,0))</f>
        <v>0</v>
      </c>
      <c r="D42" s="95">
        <v>0</v>
      </c>
      <c r="E42" s="95">
        <f t="shared" si="1"/>
        <v>511515.34</v>
      </c>
      <c r="F42" s="145">
        <f>+SUMIF('Anlage 2b_Korrekturen'!$B$8:$B$202,A42,'Anlage 2b_Korrekturen'!$F$8:$F$202)</f>
        <v>0</v>
      </c>
      <c r="G42" s="1094">
        <f t="shared" si="2"/>
        <v>511515.34</v>
      </c>
    </row>
    <row r="43" spans="1:7" hidden="1" outlineLevel="1">
      <c r="A43" s="988" t="str">
        <f>+'Anlage 3a_Zusammenfassung_KWKG'!A1790</f>
        <v>SNB925823629552</v>
      </c>
      <c r="B43" s="544">
        <v>1664399.43</v>
      </c>
      <c r="C43" s="95">
        <f>+IF(ISNA(VLOOKUP(A43,'Anlage 2a_Letztverbrauch'!$A$2810:$D$2819,4,0)),0,VLOOKUP(A43,'Anlage 2a_Letztverbrauch'!$A$2810:$D$2819,4,0))</f>
        <v>0</v>
      </c>
      <c r="D43" s="95">
        <v>0</v>
      </c>
      <c r="E43" s="95">
        <f t="shared" si="1"/>
        <v>1664399.43</v>
      </c>
      <c r="F43" s="145">
        <f>+SUMIF('Anlage 2b_Korrekturen'!$B$8:$B$202,A43,'Anlage 2b_Korrekturen'!$F$8:$F$202)</f>
        <v>0</v>
      </c>
      <c r="G43" s="1094">
        <f t="shared" si="2"/>
        <v>1664399.43</v>
      </c>
    </row>
    <row r="44" spans="1:7" hidden="1" outlineLevel="1">
      <c r="A44" s="988" t="str">
        <f>+'Anlage 3a_Zusammenfassung_KWKG'!A1791</f>
        <v>SNB925883927308</v>
      </c>
      <c r="B44" s="544">
        <v>515790.83</v>
      </c>
      <c r="C44" s="95">
        <f>+IF(ISNA(VLOOKUP(A44,'Anlage 2a_Letztverbrauch'!$A$2810:$D$2819,4,0)),0,VLOOKUP(A44,'Anlage 2a_Letztverbrauch'!$A$2810:$D$2819,4,0))</f>
        <v>0</v>
      </c>
      <c r="D44" s="95">
        <v>0</v>
      </c>
      <c r="E44" s="95">
        <f t="shared" si="1"/>
        <v>515790.83</v>
      </c>
      <c r="F44" s="145">
        <f>+SUMIF('Anlage 2b_Korrekturen'!$B$8:$B$202,A44,'Anlage 2b_Korrekturen'!$F$8:$F$202)</f>
        <v>10462.790000000001</v>
      </c>
      <c r="G44" s="1094">
        <f t="shared" si="2"/>
        <v>526253.62</v>
      </c>
    </row>
    <row r="45" spans="1:7" hidden="1" outlineLevel="1">
      <c r="A45" s="988" t="str">
        <f>+'Anlage 3a_Zusammenfassung_KWKG'!A1792</f>
        <v>SNB926394976090</v>
      </c>
      <c r="B45" s="544">
        <v>384857.74</v>
      </c>
      <c r="C45" s="95">
        <f>+IF(ISNA(VLOOKUP(A45,'Anlage 2a_Letztverbrauch'!$A$2810:$D$2819,4,0)),0,VLOOKUP(A45,'Anlage 2a_Letztverbrauch'!$A$2810:$D$2819,4,0))</f>
        <v>0</v>
      </c>
      <c r="D45" s="95">
        <v>0</v>
      </c>
      <c r="E45" s="95">
        <f t="shared" si="1"/>
        <v>384857.74</v>
      </c>
      <c r="F45" s="145">
        <f>+SUMIF('Anlage 2b_Korrekturen'!$B$8:$B$202,A45,'Anlage 2b_Korrekturen'!$F$8:$F$202)</f>
        <v>0</v>
      </c>
      <c r="G45" s="1094">
        <f t="shared" si="2"/>
        <v>384857.74</v>
      </c>
    </row>
    <row r="46" spans="1:7" hidden="1" outlineLevel="1">
      <c r="A46" s="988" t="str">
        <f>+'Anlage 3a_Zusammenfassung_KWKG'!A1793</f>
        <v>SNB926442995943</v>
      </c>
      <c r="B46" s="544">
        <v>1240278.8</v>
      </c>
      <c r="C46" s="95">
        <f>+IF(ISNA(VLOOKUP(A46,'Anlage 2a_Letztverbrauch'!$A$2810:$D$2819,4,0)),0,VLOOKUP(A46,'Anlage 2a_Letztverbrauch'!$A$2810:$D$2819,4,0))</f>
        <v>0</v>
      </c>
      <c r="D46" s="95">
        <v>0</v>
      </c>
      <c r="E46" s="95">
        <f t="shared" si="1"/>
        <v>1240278.8</v>
      </c>
      <c r="F46" s="145">
        <f>+SUMIF('Anlage 2b_Korrekturen'!$B$8:$B$202,A46,'Anlage 2b_Korrekturen'!$F$8:$F$202)</f>
        <v>-5863.95</v>
      </c>
      <c r="G46" s="1094">
        <f t="shared" si="2"/>
        <v>1234414.8500000001</v>
      </c>
    </row>
    <row r="47" spans="1:7" hidden="1" outlineLevel="1">
      <c r="A47" s="988" t="str">
        <f>+'Anlage 3a_Zusammenfassung_KWKG'!A1794</f>
        <v>SNB926470799582</v>
      </c>
      <c r="B47" s="544">
        <v>265224.25</v>
      </c>
      <c r="C47" s="95">
        <f>+IF(ISNA(VLOOKUP(A47,'Anlage 2a_Letztverbrauch'!$A$2810:$D$2819,4,0)),0,VLOOKUP(A47,'Anlage 2a_Letztverbrauch'!$A$2810:$D$2819,4,0))</f>
        <v>0</v>
      </c>
      <c r="D47" s="95">
        <v>0</v>
      </c>
      <c r="E47" s="95">
        <f t="shared" si="1"/>
        <v>265224.25</v>
      </c>
      <c r="F47" s="145">
        <f>+SUMIF('Anlage 2b_Korrekturen'!$B$8:$B$202,A47,'Anlage 2b_Korrekturen'!$F$8:$F$202)</f>
        <v>0</v>
      </c>
      <c r="G47" s="1094">
        <f t="shared" si="2"/>
        <v>265224.25</v>
      </c>
    </row>
    <row r="48" spans="1:7" hidden="1" outlineLevel="1">
      <c r="A48" s="988" t="str">
        <f>+'Anlage 3a_Zusammenfassung_KWKG'!A1795</f>
        <v>SNB927160517950</v>
      </c>
      <c r="B48" s="544">
        <v>541846.78</v>
      </c>
      <c r="C48" s="95">
        <f>+IF(ISNA(VLOOKUP(A48,'Anlage 2a_Letztverbrauch'!$A$2810:$D$2819,4,0)),0,VLOOKUP(A48,'Anlage 2a_Letztverbrauch'!$A$2810:$D$2819,4,0))</f>
        <v>0</v>
      </c>
      <c r="D48" s="95">
        <v>0</v>
      </c>
      <c r="E48" s="95">
        <f t="shared" si="1"/>
        <v>541846.78</v>
      </c>
      <c r="F48" s="145">
        <f>+SUMIF('Anlage 2b_Korrekturen'!$B$8:$B$202,A48,'Anlage 2b_Korrekturen'!$F$8:$F$202)</f>
        <v>-3477.0099999999998</v>
      </c>
      <c r="G48" s="1094">
        <f t="shared" si="2"/>
        <v>538369.77</v>
      </c>
    </row>
    <row r="49" spans="1:7" hidden="1" outlineLevel="1">
      <c r="A49" s="988" t="str">
        <f>+'Anlage 3a_Zusammenfassung_KWKG'!A1796</f>
        <v>SNB927925826730</v>
      </c>
      <c r="B49" s="544">
        <v>747538.75</v>
      </c>
      <c r="C49" s="95">
        <f>+IF(ISNA(VLOOKUP(A49,'Anlage 2a_Letztverbrauch'!$A$2810:$D$2819,4,0)),0,VLOOKUP(A49,'Anlage 2a_Letztverbrauch'!$A$2810:$D$2819,4,0))</f>
        <v>0</v>
      </c>
      <c r="D49" s="95">
        <v>0</v>
      </c>
      <c r="E49" s="95">
        <f t="shared" si="1"/>
        <v>747538.75</v>
      </c>
      <c r="F49" s="145">
        <f>+SUMIF('Anlage 2b_Korrekturen'!$B$8:$B$202,A49,'Anlage 2b_Korrekturen'!$F$8:$F$202)</f>
        <v>432.9</v>
      </c>
      <c r="G49" s="1094">
        <f t="shared" si="2"/>
        <v>747971.65</v>
      </c>
    </row>
    <row r="50" spans="1:7" hidden="1" outlineLevel="1">
      <c r="A50" s="988" t="str">
        <f>+'Anlage 3a_Zusammenfassung_KWKG'!A1797</f>
        <v>SNB928200943784</v>
      </c>
      <c r="B50" s="544">
        <v>240699.47</v>
      </c>
      <c r="C50" s="95">
        <f>+IF(ISNA(VLOOKUP(A50,'Anlage 2a_Letztverbrauch'!$A$2810:$D$2819,4,0)),0,VLOOKUP(A50,'Anlage 2a_Letztverbrauch'!$A$2810:$D$2819,4,0))</f>
        <v>0</v>
      </c>
      <c r="D50" s="95">
        <v>0</v>
      </c>
      <c r="E50" s="95">
        <f t="shared" si="1"/>
        <v>240699.47</v>
      </c>
      <c r="F50" s="145">
        <f>+SUMIF('Anlage 2b_Korrekturen'!$B$8:$B$202,A50,'Anlage 2b_Korrekturen'!$F$8:$F$202)</f>
        <v>-770.56999999999994</v>
      </c>
      <c r="G50" s="1094">
        <f t="shared" si="2"/>
        <v>239928.9</v>
      </c>
    </row>
    <row r="51" spans="1:7" hidden="1" outlineLevel="1">
      <c r="A51" s="988" t="str">
        <f>+'Anlage 3a_Zusammenfassung_KWKG'!A1798</f>
        <v>SNB928602915495</v>
      </c>
      <c r="B51" s="544">
        <v>222198.86</v>
      </c>
      <c r="C51" s="95">
        <f>+IF(ISNA(VLOOKUP(A51,'Anlage 2a_Letztverbrauch'!$A$2810:$D$2819,4,0)),0,VLOOKUP(A51,'Anlage 2a_Letztverbrauch'!$A$2810:$D$2819,4,0))</f>
        <v>0</v>
      </c>
      <c r="D51" s="95">
        <v>0</v>
      </c>
      <c r="E51" s="95">
        <f t="shared" si="1"/>
        <v>222198.86</v>
      </c>
      <c r="F51" s="145">
        <f>+SUMIF('Anlage 2b_Korrekturen'!$B$8:$B$202,A51,'Anlage 2b_Korrekturen'!$F$8:$F$202)</f>
        <v>0</v>
      </c>
      <c r="G51" s="1094">
        <f t="shared" si="2"/>
        <v>222198.86</v>
      </c>
    </row>
    <row r="52" spans="1:7" hidden="1" outlineLevel="1">
      <c r="A52" s="988" t="str">
        <f>+'Anlage 3a_Zusammenfassung_KWKG'!A1799</f>
        <v>SNB928759560869</v>
      </c>
      <c r="B52" s="544">
        <v>5971457.1699999999</v>
      </c>
      <c r="C52" s="95">
        <f>+IF(ISNA(VLOOKUP(A52,'Anlage 2a_Letztverbrauch'!$A$2810:$D$2819,4,0)),0,VLOOKUP(A52,'Anlage 2a_Letztverbrauch'!$A$2810:$D$2819,4,0))</f>
        <v>0</v>
      </c>
      <c r="D52" s="95">
        <v>0</v>
      </c>
      <c r="E52" s="95">
        <f t="shared" si="1"/>
        <v>5971457.1699999999</v>
      </c>
      <c r="F52" s="145">
        <f>+SUMIF('Anlage 2b_Korrekturen'!$B$8:$B$202,A52,'Anlage 2b_Korrekturen'!$F$8:$F$202)</f>
        <v>-192860.03999999998</v>
      </c>
      <c r="G52" s="1094">
        <f t="shared" si="2"/>
        <v>5778597.1299999999</v>
      </c>
    </row>
    <row r="53" spans="1:7" hidden="1" outlineLevel="1">
      <c r="A53" s="988" t="str">
        <f>+'Anlage 3a_Zusammenfassung_KWKG'!A1800</f>
        <v>SNB929027950139</v>
      </c>
      <c r="B53" s="544">
        <v>3359544.08</v>
      </c>
      <c r="C53" s="95">
        <f>+IF(ISNA(VLOOKUP(A53,'Anlage 2a_Letztverbrauch'!$A$2810:$D$2819,4,0)),0,VLOOKUP(A53,'Anlage 2a_Letztverbrauch'!$A$2810:$D$2819,4,0))</f>
        <v>0</v>
      </c>
      <c r="D53" s="95">
        <v>0</v>
      </c>
      <c r="E53" s="95">
        <f t="shared" si="1"/>
        <v>3359544.08</v>
      </c>
      <c r="F53" s="145">
        <f>+SUMIF('Anlage 2b_Korrekturen'!$B$8:$B$202,A53,'Anlage 2b_Korrekturen'!$F$8:$F$202)</f>
        <v>2230.42</v>
      </c>
      <c r="G53" s="1094">
        <f t="shared" si="2"/>
        <v>3361774.5</v>
      </c>
    </row>
    <row r="54" spans="1:7" hidden="1" outlineLevel="1">
      <c r="A54" s="988" t="str">
        <f>+'Anlage 3a_Zusammenfassung_KWKG'!A1801</f>
        <v>SNB930067626847</v>
      </c>
      <c r="B54" s="544">
        <v>340749.75</v>
      </c>
      <c r="C54" s="95">
        <f>+IF(ISNA(VLOOKUP(A54,'Anlage 2a_Letztverbrauch'!$A$2810:$D$2819,4,0)),0,VLOOKUP(A54,'Anlage 2a_Letztverbrauch'!$A$2810:$D$2819,4,0))</f>
        <v>0</v>
      </c>
      <c r="D54" s="95">
        <v>0</v>
      </c>
      <c r="E54" s="95">
        <f t="shared" si="1"/>
        <v>340749.75</v>
      </c>
      <c r="F54" s="145">
        <f>+SUMIF('Anlage 2b_Korrekturen'!$B$8:$B$202,A54,'Anlage 2b_Korrekturen'!$F$8:$F$202)</f>
        <v>117.42999999999999</v>
      </c>
      <c r="G54" s="1094">
        <f t="shared" si="2"/>
        <v>340867.18</v>
      </c>
    </row>
    <row r="55" spans="1:7" hidden="1" outlineLevel="1">
      <c r="A55" s="988" t="str">
        <f>+'Anlage 3a_Zusammenfassung_KWKG'!A1802</f>
        <v>SNB930525911119</v>
      </c>
      <c r="B55" s="544">
        <v>12072.26</v>
      </c>
      <c r="C55" s="95">
        <f>+IF(ISNA(VLOOKUP(A55,'Anlage 2a_Letztverbrauch'!$A$2810:$D$2819,4,0)),0,VLOOKUP(A55,'Anlage 2a_Letztverbrauch'!$A$2810:$D$2819,4,0))</f>
        <v>0</v>
      </c>
      <c r="D55" s="95">
        <v>0</v>
      </c>
      <c r="E55" s="95">
        <f t="shared" si="1"/>
        <v>12072.26</v>
      </c>
      <c r="F55" s="145">
        <f>+SUMIF('Anlage 2b_Korrekturen'!$B$8:$B$202,A55,'Anlage 2b_Korrekturen'!$F$8:$F$202)</f>
        <v>141.36000000000001</v>
      </c>
      <c r="G55" s="1094">
        <f t="shared" si="2"/>
        <v>12213.62</v>
      </c>
    </row>
    <row r="56" spans="1:7" hidden="1" outlineLevel="1">
      <c r="A56" s="988" t="str">
        <f>+'Anlage 3a_Zusammenfassung_KWKG'!A1803</f>
        <v>SNB931294328658</v>
      </c>
      <c r="B56" s="544">
        <v>203722.87</v>
      </c>
      <c r="C56" s="95">
        <f>+IF(ISNA(VLOOKUP(A56,'Anlage 2a_Letztverbrauch'!$A$2810:$D$2819,4,0)),0,VLOOKUP(A56,'Anlage 2a_Letztverbrauch'!$A$2810:$D$2819,4,0))</f>
        <v>0</v>
      </c>
      <c r="D56" s="95">
        <v>0</v>
      </c>
      <c r="E56" s="95">
        <f t="shared" si="1"/>
        <v>203722.87</v>
      </c>
      <c r="F56" s="145">
        <f>+SUMIF('Anlage 2b_Korrekturen'!$B$8:$B$202,A56,'Anlage 2b_Korrekturen'!$F$8:$F$202)</f>
        <v>0</v>
      </c>
      <c r="G56" s="1094">
        <f t="shared" si="2"/>
        <v>203722.87</v>
      </c>
    </row>
    <row r="57" spans="1:7" hidden="1" outlineLevel="1">
      <c r="A57" s="988" t="str">
        <f>+'Anlage 3a_Zusammenfassung_KWKG'!A1804</f>
        <v>SNB931431136771</v>
      </c>
      <c r="B57" s="544">
        <v>1503595.09</v>
      </c>
      <c r="C57" s="95">
        <f>+IF(ISNA(VLOOKUP(A57,'Anlage 2a_Letztverbrauch'!$A$2810:$D$2819,4,0)),0,VLOOKUP(A57,'Anlage 2a_Letztverbrauch'!$A$2810:$D$2819,4,0))</f>
        <v>0</v>
      </c>
      <c r="D57" s="95">
        <v>0</v>
      </c>
      <c r="E57" s="95">
        <f t="shared" si="1"/>
        <v>1503595.09</v>
      </c>
      <c r="F57" s="145">
        <f>+SUMIF('Anlage 2b_Korrekturen'!$B$8:$B$202,A57,'Anlage 2b_Korrekturen'!$F$8:$F$202)</f>
        <v>0</v>
      </c>
      <c r="G57" s="1094">
        <f t="shared" si="2"/>
        <v>1503595.09</v>
      </c>
    </row>
    <row r="58" spans="1:7" hidden="1" outlineLevel="1">
      <c r="A58" s="988" t="str">
        <f>+'Anlage 3a_Zusammenfassung_KWKG'!A1805</f>
        <v>SNB931986174853</v>
      </c>
      <c r="B58" s="544">
        <v>643013.02</v>
      </c>
      <c r="C58" s="95">
        <f>+IF(ISNA(VLOOKUP(A58,'Anlage 2a_Letztverbrauch'!$A$2810:$D$2819,4,0)),0,VLOOKUP(A58,'Anlage 2a_Letztverbrauch'!$A$2810:$D$2819,4,0))</f>
        <v>0</v>
      </c>
      <c r="D58" s="95">
        <v>0</v>
      </c>
      <c r="E58" s="95">
        <f t="shared" si="1"/>
        <v>643013.02</v>
      </c>
      <c r="F58" s="145">
        <f>+SUMIF('Anlage 2b_Korrekturen'!$B$8:$B$202,A58,'Anlage 2b_Korrekturen'!$F$8:$F$202)</f>
        <v>0</v>
      </c>
      <c r="G58" s="1094">
        <f t="shared" si="2"/>
        <v>643013.02</v>
      </c>
    </row>
    <row r="59" spans="1:7" hidden="1" outlineLevel="1">
      <c r="A59" s="988" t="str">
        <f>+'Anlage 3a_Zusammenfassung_KWKG'!A1806</f>
        <v>SNB932006596143</v>
      </c>
      <c r="B59" s="544">
        <v>282850.46999999997</v>
      </c>
      <c r="C59" s="95">
        <f>+IF(ISNA(VLOOKUP(A59,'Anlage 2a_Letztverbrauch'!$A$2810:$D$2819,4,0)),0,VLOOKUP(A59,'Anlage 2a_Letztverbrauch'!$A$2810:$D$2819,4,0))</f>
        <v>0</v>
      </c>
      <c r="D59" s="95">
        <v>0</v>
      </c>
      <c r="E59" s="95">
        <f t="shared" si="1"/>
        <v>282850.46999999997</v>
      </c>
      <c r="F59" s="145">
        <f>+SUMIF('Anlage 2b_Korrekturen'!$B$8:$B$202,A59,'Anlage 2b_Korrekturen'!$F$8:$F$202)</f>
        <v>0</v>
      </c>
      <c r="G59" s="1094">
        <f t="shared" si="2"/>
        <v>282850.46999999997</v>
      </c>
    </row>
    <row r="60" spans="1:7" hidden="1" outlineLevel="1">
      <c r="A60" s="988" t="str">
        <f>+'Anlage 3a_Zusammenfassung_KWKG'!A1807</f>
        <v>SNB932107297727</v>
      </c>
      <c r="B60" s="544">
        <v>1451506.28</v>
      </c>
      <c r="C60" s="95">
        <f>+IF(ISNA(VLOOKUP(A60,'Anlage 2a_Letztverbrauch'!$A$2810:$D$2819,4,0)),0,VLOOKUP(A60,'Anlage 2a_Letztverbrauch'!$A$2810:$D$2819,4,0))</f>
        <v>0</v>
      </c>
      <c r="D60" s="95">
        <v>0</v>
      </c>
      <c r="E60" s="95">
        <f t="shared" si="1"/>
        <v>1451506.28</v>
      </c>
      <c r="F60" s="145">
        <f>+SUMIF('Anlage 2b_Korrekturen'!$B$8:$B$202,A60,'Anlage 2b_Korrekturen'!$F$8:$F$202)</f>
        <v>-11571.6</v>
      </c>
      <c r="G60" s="1094">
        <f t="shared" si="2"/>
        <v>1439934.68</v>
      </c>
    </row>
    <row r="61" spans="1:7" hidden="1" outlineLevel="1">
      <c r="A61" s="988" t="str">
        <f>+'Anlage 3a_Zusammenfassung_KWKG'!A1808</f>
        <v>SNB932509765411</v>
      </c>
      <c r="B61" s="544">
        <v>228426.68</v>
      </c>
      <c r="C61" s="95">
        <f>+IF(ISNA(VLOOKUP(A61,'Anlage 2a_Letztverbrauch'!$A$2810:$D$2819,4,0)),0,VLOOKUP(A61,'Anlage 2a_Letztverbrauch'!$A$2810:$D$2819,4,0))</f>
        <v>0</v>
      </c>
      <c r="D61" s="95">
        <v>0</v>
      </c>
      <c r="E61" s="95">
        <f t="shared" si="1"/>
        <v>228426.68</v>
      </c>
      <c r="F61" s="145">
        <f>+SUMIF('Anlage 2b_Korrekturen'!$B$8:$B$202,A61,'Anlage 2b_Korrekturen'!$F$8:$F$202)</f>
        <v>0</v>
      </c>
      <c r="G61" s="1094">
        <f t="shared" si="2"/>
        <v>228426.68</v>
      </c>
    </row>
    <row r="62" spans="1:7" hidden="1" outlineLevel="1">
      <c r="A62" s="988" t="str">
        <f>+'Anlage 3a_Zusammenfassung_KWKG'!A1809</f>
        <v>SNB933235634552</v>
      </c>
      <c r="B62" s="544">
        <v>408309.9</v>
      </c>
      <c r="C62" s="95">
        <f>+IF(ISNA(VLOOKUP(A62,'Anlage 2a_Letztverbrauch'!$A$2810:$D$2819,4,0)),0,VLOOKUP(A62,'Anlage 2a_Letztverbrauch'!$A$2810:$D$2819,4,0))</f>
        <v>0</v>
      </c>
      <c r="D62" s="95">
        <v>0</v>
      </c>
      <c r="E62" s="95">
        <f t="shared" si="1"/>
        <v>408309.9</v>
      </c>
      <c r="F62" s="145">
        <f>+SUMIF('Anlage 2b_Korrekturen'!$B$8:$B$202,A62,'Anlage 2b_Korrekturen'!$F$8:$F$202)</f>
        <v>0</v>
      </c>
      <c r="G62" s="1094">
        <f t="shared" si="2"/>
        <v>408309.9</v>
      </c>
    </row>
    <row r="63" spans="1:7" hidden="1" outlineLevel="1">
      <c r="A63" s="988" t="str">
        <f>+'Anlage 3a_Zusammenfassung_KWKG'!A1810</f>
        <v>SNB933274941888</v>
      </c>
      <c r="B63" s="544">
        <v>595574.67000000004</v>
      </c>
      <c r="C63" s="95">
        <f>+IF(ISNA(VLOOKUP(A63,'Anlage 2a_Letztverbrauch'!$A$2810:$D$2819,4,0)),0,VLOOKUP(A63,'Anlage 2a_Letztverbrauch'!$A$2810:$D$2819,4,0))</f>
        <v>0</v>
      </c>
      <c r="D63" s="95">
        <v>0</v>
      </c>
      <c r="E63" s="95">
        <f t="shared" si="1"/>
        <v>595574.67000000004</v>
      </c>
      <c r="F63" s="145">
        <f>+SUMIF('Anlage 2b_Korrekturen'!$B$8:$B$202,A63,'Anlage 2b_Korrekturen'!$F$8:$F$202)</f>
        <v>-2654.97</v>
      </c>
      <c r="G63" s="1094">
        <f t="shared" si="2"/>
        <v>592919.70000000007</v>
      </c>
    </row>
    <row r="64" spans="1:7" hidden="1" outlineLevel="1">
      <c r="A64" s="988" t="str">
        <f>+'Anlage 3a_Zusammenfassung_KWKG'!A1811</f>
        <v>SNB933459598975</v>
      </c>
      <c r="B64" s="544">
        <v>4840547.04</v>
      </c>
      <c r="C64" s="95">
        <f>+IF(ISNA(VLOOKUP(A64,'Anlage 2a_Letztverbrauch'!$A$2810:$D$2819,4,0)),0,VLOOKUP(A64,'Anlage 2a_Letztverbrauch'!$A$2810:$D$2819,4,0))</f>
        <v>0</v>
      </c>
      <c r="D64" s="95">
        <v>0</v>
      </c>
      <c r="E64" s="95">
        <f t="shared" si="1"/>
        <v>4840547.04</v>
      </c>
      <c r="F64" s="145">
        <f>+SUMIF('Anlage 2b_Korrekturen'!$B$8:$B$202,A64,'Anlage 2b_Korrekturen'!$F$8:$F$202)</f>
        <v>-914.91000000000008</v>
      </c>
      <c r="G64" s="1094">
        <f t="shared" si="2"/>
        <v>4839632.13</v>
      </c>
    </row>
    <row r="65" spans="1:7" hidden="1" outlineLevel="1">
      <c r="A65" s="988" t="str">
        <f>+'Anlage 3a_Zusammenfassung_KWKG'!A1812</f>
        <v>SNB933869654360</v>
      </c>
      <c r="B65" s="544">
        <v>339767.75</v>
      </c>
      <c r="C65" s="95">
        <f>+IF(ISNA(VLOOKUP(A65,'Anlage 2a_Letztverbrauch'!$A$2810:$D$2819,4,0)),0,VLOOKUP(A65,'Anlage 2a_Letztverbrauch'!$A$2810:$D$2819,4,0))</f>
        <v>0</v>
      </c>
      <c r="D65" s="95">
        <v>0</v>
      </c>
      <c r="E65" s="95">
        <f t="shared" si="1"/>
        <v>339767.75</v>
      </c>
      <c r="F65" s="145">
        <f>+SUMIF('Anlage 2b_Korrekturen'!$B$8:$B$202,A65,'Anlage 2b_Korrekturen'!$F$8:$F$202)</f>
        <v>-86834.6</v>
      </c>
      <c r="G65" s="1094">
        <f t="shared" si="2"/>
        <v>252933.15</v>
      </c>
    </row>
    <row r="66" spans="1:7" hidden="1" outlineLevel="1">
      <c r="A66" s="988" t="str">
        <f>+'Anlage 3a_Zusammenfassung_KWKG'!A1813</f>
        <v>SNB934071779865</v>
      </c>
      <c r="B66" s="544">
        <v>108858.57</v>
      </c>
      <c r="C66" s="95">
        <f>+IF(ISNA(VLOOKUP(A66,'Anlage 2a_Letztverbrauch'!$A$2810:$D$2819,4,0)),0,VLOOKUP(A66,'Anlage 2a_Letztverbrauch'!$A$2810:$D$2819,4,0))</f>
        <v>0</v>
      </c>
      <c r="D66" s="95">
        <v>0</v>
      </c>
      <c r="E66" s="95">
        <f t="shared" si="1"/>
        <v>108858.57</v>
      </c>
      <c r="F66" s="145">
        <f>+SUMIF('Anlage 2b_Korrekturen'!$B$8:$B$202,A66,'Anlage 2b_Korrekturen'!$F$8:$F$202)</f>
        <v>0</v>
      </c>
      <c r="G66" s="1094">
        <f t="shared" si="2"/>
        <v>108858.57</v>
      </c>
    </row>
    <row r="67" spans="1:7" hidden="1" outlineLevel="1">
      <c r="A67" s="988" t="str">
        <f>+'Anlage 3a_Zusammenfassung_KWKG'!A1814</f>
        <v>SNB934355412402</v>
      </c>
      <c r="B67" s="544">
        <v>169799.43</v>
      </c>
      <c r="C67" s="95">
        <f>+IF(ISNA(VLOOKUP(A67,'Anlage 2a_Letztverbrauch'!$A$2810:$D$2819,4,0)),0,VLOOKUP(A67,'Anlage 2a_Letztverbrauch'!$A$2810:$D$2819,4,0))</f>
        <v>0</v>
      </c>
      <c r="D67" s="95">
        <v>0</v>
      </c>
      <c r="E67" s="95">
        <f t="shared" si="1"/>
        <v>169799.43</v>
      </c>
      <c r="F67" s="145">
        <f>+SUMIF('Anlage 2b_Korrekturen'!$B$8:$B$202,A67,'Anlage 2b_Korrekturen'!$F$8:$F$202)</f>
        <v>-36.1</v>
      </c>
      <c r="G67" s="1094">
        <f t="shared" si="2"/>
        <v>169763.33</v>
      </c>
    </row>
    <row r="68" spans="1:7" hidden="1" outlineLevel="1">
      <c r="A68" s="988" t="str">
        <f>+'Anlage 3a_Zusammenfassung_KWKG'!A1815</f>
        <v>SNB934514392514</v>
      </c>
      <c r="B68" s="544">
        <v>551993.21</v>
      </c>
      <c r="C68" s="95">
        <f>+IF(ISNA(VLOOKUP(A68,'Anlage 2a_Letztverbrauch'!$A$2810:$D$2819,4,0)),0,VLOOKUP(A68,'Anlage 2a_Letztverbrauch'!$A$2810:$D$2819,4,0))</f>
        <v>0</v>
      </c>
      <c r="D68" s="95">
        <v>0</v>
      </c>
      <c r="E68" s="95">
        <f t="shared" si="1"/>
        <v>551993.21</v>
      </c>
      <c r="F68" s="145">
        <f>+SUMIF('Anlage 2b_Korrekturen'!$B$8:$B$202,A68,'Anlage 2b_Korrekturen'!$F$8:$F$202)</f>
        <v>0</v>
      </c>
      <c r="G68" s="1094">
        <f t="shared" si="2"/>
        <v>551993.21</v>
      </c>
    </row>
    <row r="69" spans="1:7" hidden="1" outlineLevel="1">
      <c r="A69" s="988" t="str">
        <f>+'Anlage 3a_Zusammenfassung_KWKG'!A1816</f>
        <v>SNB934984130722</v>
      </c>
      <c r="B69" s="544">
        <v>260413.11</v>
      </c>
      <c r="C69" s="95">
        <f>+IF(ISNA(VLOOKUP(A69,'Anlage 2a_Letztverbrauch'!$A$2810:$D$2819,4,0)),0,VLOOKUP(A69,'Anlage 2a_Letztverbrauch'!$A$2810:$D$2819,4,0))</f>
        <v>0</v>
      </c>
      <c r="D69" s="95">
        <v>0</v>
      </c>
      <c r="E69" s="95">
        <f t="shared" si="1"/>
        <v>260413.11</v>
      </c>
      <c r="F69" s="145">
        <f>+SUMIF('Anlage 2b_Korrekturen'!$B$8:$B$202,A69,'Anlage 2b_Korrekturen'!$F$8:$F$202)</f>
        <v>-1120.76</v>
      </c>
      <c r="G69" s="1094">
        <f t="shared" si="2"/>
        <v>259292.34999999998</v>
      </c>
    </row>
    <row r="70" spans="1:7" hidden="1" outlineLevel="1">
      <c r="A70" s="988" t="str">
        <f>+'Anlage 3a_Zusammenfassung_KWKG'!A1817</f>
        <v>SNB935760057516</v>
      </c>
      <c r="B70" s="544">
        <v>1077191.81</v>
      </c>
      <c r="C70" s="95">
        <f>+IF(ISNA(VLOOKUP(A70,'Anlage 2a_Letztverbrauch'!$A$2810:$D$2819,4,0)),0,VLOOKUP(A70,'Anlage 2a_Letztverbrauch'!$A$2810:$D$2819,4,0))</f>
        <v>0</v>
      </c>
      <c r="D70" s="95">
        <v>0</v>
      </c>
      <c r="E70" s="95">
        <f t="shared" si="1"/>
        <v>1077191.81</v>
      </c>
      <c r="F70" s="145">
        <f>+SUMIF('Anlage 2b_Korrekturen'!$B$8:$B$202,A70,'Anlage 2b_Korrekturen'!$F$8:$F$202)</f>
        <v>0</v>
      </c>
      <c r="G70" s="1094">
        <f t="shared" si="2"/>
        <v>1077191.81</v>
      </c>
    </row>
    <row r="71" spans="1:7" hidden="1" outlineLevel="1">
      <c r="A71" s="988" t="str">
        <f>+'Anlage 3a_Zusammenfassung_KWKG'!A1818</f>
        <v>SNB936461984224</v>
      </c>
      <c r="B71" s="544">
        <v>796212.19</v>
      </c>
      <c r="C71" s="95">
        <f>+IF(ISNA(VLOOKUP(A71,'Anlage 2a_Letztverbrauch'!$A$2810:$D$2819,4,0)),0,VLOOKUP(A71,'Anlage 2a_Letztverbrauch'!$A$2810:$D$2819,4,0))</f>
        <v>0</v>
      </c>
      <c r="D71" s="95">
        <v>0</v>
      </c>
      <c r="E71" s="95">
        <f t="shared" si="1"/>
        <v>796212.19</v>
      </c>
      <c r="F71" s="145">
        <f>+SUMIF('Anlage 2b_Korrekturen'!$B$8:$B$202,A71,'Anlage 2b_Korrekturen'!$F$8:$F$202)</f>
        <v>-1064.1499999999999</v>
      </c>
      <c r="G71" s="1094">
        <f t="shared" si="2"/>
        <v>795148.03999999992</v>
      </c>
    </row>
    <row r="72" spans="1:7" hidden="1" outlineLevel="1">
      <c r="A72" s="988" t="str">
        <f>+'Anlage 3a_Zusammenfassung_KWKG'!A1819</f>
        <v>SNB936480897581</v>
      </c>
      <c r="B72" s="544">
        <v>5086.99</v>
      </c>
      <c r="C72" s="95">
        <f>+IF(ISNA(VLOOKUP(A72,'Anlage 2a_Letztverbrauch'!$A$2810:$D$2819,4,0)),0,VLOOKUP(A72,'Anlage 2a_Letztverbrauch'!$A$2810:$D$2819,4,0))</f>
        <v>0</v>
      </c>
      <c r="D72" s="95">
        <v>0</v>
      </c>
      <c r="E72" s="95">
        <f t="shared" si="1"/>
        <v>5086.99</v>
      </c>
      <c r="F72" s="145">
        <f>+SUMIF('Anlage 2b_Korrekturen'!$B$8:$B$202,A72,'Anlage 2b_Korrekturen'!$F$8:$F$202)</f>
        <v>0</v>
      </c>
      <c r="G72" s="1094">
        <f t="shared" si="2"/>
        <v>5086.99</v>
      </c>
    </row>
    <row r="73" spans="1:7" hidden="1" outlineLevel="1">
      <c r="A73" s="988" t="str">
        <f>+'Anlage 3a_Zusammenfassung_KWKG'!A1820</f>
        <v>SNB936769439815</v>
      </c>
      <c r="B73" s="544">
        <v>609392.22</v>
      </c>
      <c r="C73" s="95">
        <f>+IF(ISNA(VLOOKUP(A73,'Anlage 2a_Letztverbrauch'!$A$2810:$D$2819,4,0)),0,VLOOKUP(A73,'Anlage 2a_Letztverbrauch'!$A$2810:$D$2819,4,0))</f>
        <v>0</v>
      </c>
      <c r="D73" s="95">
        <v>0</v>
      </c>
      <c r="E73" s="95">
        <f t="shared" ref="E73:E136" si="3">B73+C73+D73</f>
        <v>609392.22</v>
      </c>
      <c r="F73" s="145">
        <f>+SUMIF('Anlage 2b_Korrekturen'!$B$8:$B$202,A73,'Anlage 2b_Korrekturen'!$F$8:$F$202)</f>
        <v>0</v>
      </c>
      <c r="G73" s="1094">
        <f t="shared" ref="G73:G136" si="4">E73+F73</f>
        <v>609392.22</v>
      </c>
    </row>
    <row r="74" spans="1:7" hidden="1" outlineLevel="1">
      <c r="A74" s="988" t="str">
        <f>+'Anlage 3a_Zusammenfassung_KWKG'!A1821</f>
        <v>SNB936940951426</v>
      </c>
      <c r="B74" s="544">
        <v>380833.17</v>
      </c>
      <c r="C74" s="95">
        <f>+IF(ISNA(VLOOKUP(A74,'Anlage 2a_Letztverbrauch'!$A$2810:$D$2819,4,0)),0,VLOOKUP(A74,'Anlage 2a_Letztverbrauch'!$A$2810:$D$2819,4,0))</f>
        <v>0</v>
      </c>
      <c r="D74" s="95">
        <v>0</v>
      </c>
      <c r="E74" s="95">
        <f t="shared" si="3"/>
        <v>380833.17</v>
      </c>
      <c r="F74" s="145">
        <f>+SUMIF('Anlage 2b_Korrekturen'!$B$8:$B$202,A74,'Anlage 2b_Korrekturen'!$F$8:$F$202)</f>
        <v>0</v>
      </c>
      <c r="G74" s="1094">
        <f t="shared" si="4"/>
        <v>380833.17</v>
      </c>
    </row>
    <row r="75" spans="1:7" hidden="1" outlineLevel="1">
      <c r="A75" s="988" t="str">
        <f>+'Anlage 3a_Zusammenfassung_KWKG'!A1822</f>
        <v>SNB937001443546</v>
      </c>
      <c r="B75" s="544">
        <v>416193.93</v>
      </c>
      <c r="C75" s="95">
        <f>+IF(ISNA(VLOOKUP(A75,'Anlage 2a_Letztverbrauch'!$A$2810:$D$2819,4,0)),0,VLOOKUP(A75,'Anlage 2a_Letztverbrauch'!$A$2810:$D$2819,4,0))</f>
        <v>0</v>
      </c>
      <c r="D75" s="95">
        <v>0</v>
      </c>
      <c r="E75" s="95">
        <f t="shared" si="3"/>
        <v>416193.93</v>
      </c>
      <c r="F75" s="145">
        <f>+SUMIF('Anlage 2b_Korrekturen'!$B$8:$B$202,A75,'Anlage 2b_Korrekturen'!$F$8:$F$202)</f>
        <v>618.36999999999989</v>
      </c>
      <c r="G75" s="1094">
        <f t="shared" si="4"/>
        <v>416812.3</v>
      </c>
    </row>
    <row r="76" spans="1:7" hidden="1" outlineLevel="1">
      <c r="A76" s="988" t="str">
        <f>+'Anlage 3a_Zusammenfassung_KWKG'!A1823</f>
        <v>SNB938672757734</v>
      </c>
      <c r="B76" s="544">
        <v>762402.66</v>
      </c>
      <c r="C76" s="95">
        <f>+IF(ISNA(VLOOKUP(A76,'Anlage 2a_Letztverbrauch'!$A$2810:$D$2819,4,0)),0,VLOOKUP(A76,'Anlage 2a_Letztverbrauch'!$A$2810:$D$2819,4,0))</f>
        <v>0</v>
      </c>
      <c r="D76" s="95">
        <v>0</v>
      </c>
      <c r="E76" s="95">
        <f t="shared" si="3"/>
        <v>762402.66</v>
      </c>
      <c r="F76" s="145">
        <f>+SUMIF('Anlage 2b_Korrekturen'!$B$8:$B$202,A76,'Anlage 2b_Korrekturen'!$F$8:$F$202)</f>
        <v>-48.95</v>
      </c>
      <c r="G76" s="1094">
        <f t="shared" si="4"/>
        <v>762353.71000000008</v>
      </c>
    </row>
    <row r="77" spans="1:7" hidden="1" outlineLevel="1">
      <c r="A77" s="988" t="str">
        <f>+'Anlage 3a_Zusammenfassung_KWKG'!A1824</f>
        <v>SNB939517994215</v>
      </c>
      <c r="B77" s="544">
        <v>338877.57</v>
      </c>
      <c r="C77" s="95">
        <f>+IF(ISNA(VLOOKUP(A77,'Anlage 2a_Letztverbrauch'!$A$2810:$D$2819,4,0)),0,VLOOKUP(A77,'Anlage 2a_Letztverbrauch'!$A$2810:$D$2819,4,0))</f>
        <v>0</v>
      </c>
      <c r="D77" s="95">
        <v>0</v>
      </c>
      <c r="E77" s="95">
        <f t="shared" si="3"/>
        <v>338877.57</v>
      </c>
      <c r="F77" s="145">
        <f>+SUMIF('Anlage 2b_Korrekturen'!$B$8:$B$202,A77,'Anlage 2b_Korrekturen'!$F$8:$F$202)</f>
        <v>-280.61</v>
      </c>
      <c r="G77" s="1094">
        <f t="shared" si="4"/>
        <v>338596.96</v>
      </c>
    </row>
    <row r="78" spans="1:7" hidden="1" outlineLevel="1">
      <c r="A78" s="988" t="str">
        <f>+'Anlage 3a_Zusammenfassung_KWKG'!A1825</f>
        <v>SNB939548785561</v>
      </c>
      <c r="B78" s="544">
        <v>680246.19</v>
      </c>
      <c r="C78" s="95">
        <f>+IF(ISNA(VLOOKUP(A78,'Anlage 2a_Letztverbrauch'!$A$2810:$D$2819,4,0)),0,VLOOKUP(A78,'Anlage 2a_Letztverbrauch'!$A$2810:$D$2819,4,0))</f>
        <v>0</v>
      </c>
      <c r="D78" s="95">
        <v>0</v>
      </c>
      <c r="E78" s="95">
        <f t="shared" si="3"/>
        <v>680246.19</v>
      </c>
      <c r="F78" s="145">
        <f>+SUMIF('Anlage 2b_Korrekturen'!$B$8:$B$202,A78,'Anlage 2b_Korrekturen'!$F$8:$F$202)</f>
        <v>33597.839999999997</v>
      </c>
      <c r="G78" s="1094">
        <f t="shared" si="4"/>
        <v>713844.02999999991</v>
      </c>
    </row>
    <row r="79" spans="1:7" hidden="1" outlineLevel="1">
      <c r="A79" s="988" t="str">
        <f>+'Anlage 3a_Zusammenfassung_KWKG'!A1826</f>
        <v>SNB939624707241</v>
      </c>
      <c r="B79" s="544">
        <v>1222212.43</v>
      </c>
      <c r="C79" s="95">
        <f>+IF(ISNA(VLOOKUP(A79,'Anlage 2a_Letztverbrauch'!$A$2810:$D$2819,4,0)),0,VLOOKUP(A79,'Anlage 2a_Letztverbrauch'!$A$2810:$D$2819,4,0))</f>
        <v>0</v>
      </c>
      <c r="D79" s="95">
        <v>0</v>
      </c>
      <c r="E79" s="95">
        <f t="shared" si="3"/>
        <v>1222212.43</v>
      </c>
      <c r="F79" s="145">
        <f>+SUMIF('Anlage 2b_Korrekturen'!$B$8:$B$202,A79,'Anlage 2b_Korrekturen'!$F$8:$F$202)</f>
        <v>0</v>
      </c>
      <c r="G79" s="1094">
        <f t="shared" si="4"/>
        <v>1222212.43</v>
      </c>
    </row>
    <row r="80" spans="1:7" hidden="1" outlineLevel="1">
      <c r="A80" s="988" t="str">
        <f>+'Anlage 3a_Zusammenfassung_KWKG'!A1827</f>
        <v>SNB939724292715</v>
      </c>
      <c r="B80" s="544">
        <v>4249349.22</v>
      </c>
      <c r="C80" s="95">
        <f>+IF(ISNA(VLOOKUP(A80,'Anlage 2a_Letztverbrauch'!$A$2810:$D$2819,4,0)),0,VLOOKUP(A80,'Anlage 2a_Letztverbrauch'!$A$2810:$D$2819,4,0))</f>
        <v>0</v>
      </c>
      <c r="D80" s="95">
        <v>0</v>
      </c>
      <c r="E80" s="95">
        <f t="shared" si="3"/>
        <v>4249349.22</v>
      </c>
      <c r="F80" s="145">
        <f>+SUMIF('Anlage 2b_Korrekturen'!$B$8:$B$202,A80,'Anlage 2b_Korrekturen'!$F$8:$F$202)</f>
        <v>3483.37</v>
      </c>
      <c r="G80" s="1094">
        <f t="shared" si="4"/>
        <v>4252832.59</v>
      </c>
    </row>
    <row r="81" spans="1:7" hidden="1" outlineLevel="1">
      <c r="A81" s="988" t="str">
        <f>+'Anlage 3a_Zusammenfassung_KWKG'!A1828</f>
        <v>SNB941081544895</v>
      </c>
      <c r="B81" s="544">
        <v>338297.13</v>
      </c>
      <c r="C81" s="95">
        <f>+IF(ISNA(VLOOKUP(A81,'Anlage 2a_Letztverbrauch'!$A$2810:$D$2819,4,0)),0,VLOOKUP(A81,'Anlage 2a_Letztverbrauch'!$A$2810:$D$2819,4,0))</f>
        <v>0</v>
      </c>
      <c r="D81" s="95">
        <v>0</v>
      </c>
      <c r="E81" s="95">
        <f t="shared" si="3"/>
        <v>338297.13</v>
      </c>
      <c r="F81" s="145">
        <f>+SUMIF('Anlage 2b_Korrekturen'!$B$8:$B$202,A81,'Anlage 2b_Korrekturen'!$F$8:$F$202)</f>
        <v>0</v>
      </c>
      <c r="G81" s="1094">
        <f t="shared" si="4"/>
        <v>338297.13</v>
      </c>
    </row>
    <row r="82" spans="1:7" hidden="1" outlineLevel="1">
      <c r="A82" s="988" t="str">
        <f>+'Anlage 3a_Zusammenfassung_KWKG'!A1829</f>
        <v>SNB941283828373</v>
      </c>
      <c r="B82" s="544">
        <v>373282</v>
      </c>
      <c r="C82" s="95">
        <f>+IF(ISNA(VLOOKUP(A82,'Anlage 2a_Letztverbrauch'!$A$2810:$D$2819,4,0)),0,VLOOKUP(A82,'Anlage 2a_Letztverbrauch'!$A$2810:$D$2819,4,0))</f>
        <v>0</v>
      </c>
      <c r="D82" s="95">
        <v>0</v>
      </c>
      <c r="E82" s="95">
        <f t="shared" si="3"/>
        <v>373282</v>
      </c>
      <c r="F82" s="145">
        <f>+SUMIF('Anlage 2b_Korrekturen'!$B$8:$B$202,A82,'Anlage 2b_Korrekturen'!$F$8:$F$202)</f>
        <v>0</v>
      </c>
      <c r="G82" s="1094">
        <f t="shared" si="4"/>
        <v>373282</v>
      </c>
    </row>
    <row r="83" spans="1:7" hidden="1" outlineLevel="1">
      <c r="A83" s="988" t="str">
        <f>+'Anlage 3a_Zusammenfassung_KWKG'!A1830</f>
        <v>SNB941314694489</v>
      </c>
      <c r="B83" s="544">
        <v>218307.37</v>
      </c>
      <c r="C83" s="95">
        <f>+IF(ISNA(VLOOKUP(A83,'Anlage 2a_Letztverbrauch'!$A$2810:$D$2819,4,0)),0,VLOOKUP(A83,'Anlage 2a_Letztverbrauch'!$A$2810:$D$2819,4,0))</f>
        <v>0</v>
      </c>
      <c r="D83" s="95">
        <v>0</v>
      </c>
      <c r="E83" s="95">
        <f t="shared" si="3"/>
        <v>218307.37</v>
      </c>
      <c r="F83" s="145">
        <f>+SUMIF('Anlage 2b_Korrekturen'!$B$8:$B$202,A83,'Anlage 2b_Korrekturen'!$F$8:$F$202)</f>
        <v>-366.68</v>
      </c>
      <c r="G83" s="1094">
        <f t="shared" si="4"/>
        <v>217940.69</v>
      </c>
    </row>
    <row r="84" spans="1:7" hidden="1" outlineLevel="1">
      <c r="A84" s="988" t="str">
        <f>+'Anlage 3a_Zusammenfassung_KWKG'!A1831</f>
        <v>SNB941690671609</v>
      </c>
      <c r="B84" s="544">
        <v>45040602.139999993</v>
      </c>
      <c r="C84" s="95">
        <f>+IF(ISNA(VLOOKUP(A84,'Anlage 2a_Letztverbrauch'!$A$2810:$D$2819,4,0)),0,VLOOKUP(A84,'Anlage 2a_Letztverbrauch'!$A$2810:$D$2819,4,0))</f>
        <v>-2996.37</v>
      </c>
      <c r="D84" s="95">
        <v>0</v>
      </c>
      <c r="E84" s="95">
        <f t="shared" si="3"/>
        <v>45037605.769999996</v>
      </c>
      <c r="F84" s="145">
        <f>+SUMIF('Anlage 2b_Korrekturen'!$B$8:$B$202,A84,'Anlage 2b_Korrekturen'!$F$8:$F$202)</f>
        <v>-284766.39</v>
      </c>
      <c r="G84" s="1094">
        <f t="shared" si="4"/>
        <v>44752839.379999995</v>
      </c>
    </row>
    <row r="85" spans="1:7" hidden="1" outlineLevel="1">
      <c r="A85" s="988" t="str">
        <f>+'Anlage 3a_Zusammenfassung_KWKG'!A1832</f>
        <v>SNB942159258331</v>
      </c>
      <c r="B85" s="544">
        <v>580596.44999999995</v>
      </c>
      <c r="C85" s="95">
        <f>+IF(ISNA(VLOOKUP(A85,'Anlage 2a_Letztverbrauch'!$A$2810:$D$2819,4,0)),0,VLOOKUP(A85,'Anlage 2a_Letztverbrauch'!$A$2810:$D$2819,4,0))</f>
        <v>0</v>
      </c>
      <c r="D85" s="95">
        <v>0</v>
      </c>
      <c r="E85" s="95">
        <f t="shared" si="3"/>
        <v>580596.44999999995</v>
      </c>
      <c r="F85" s="145">
        <f>+SUMIF('Anlage 2b_Korrekturen'!$B$8:$B$202,A85,'Anlage 2b_Korrekturen'!$F$8:$F$202)</f>
        <v>2883.84</v>
      </c>
      <c r="G85" s="1094">
        <f t="shared" si="4"/>
        <v>583480.28999999992</v>
      </c>
    </row>
    <row r="86" spans="1:7" hidden="1" outlineLevel="1">
      <c r="A86" s="988" t="str">
        <f>+'Anlage 3a_Zusammenfassung_KWKG'!A1833</f>
        <v>SNB942182027607</v>
      </c>
      <c r="B86" s="544">
        <v>3329044.4299999997</v>
      </c>
      <c r="C86" s="95">
        <f>+IF(ISNA(VLOOKUP(A86,'Anlage 2a_Letztverbrauch'!$A$2810:$D$2819,4,0)),0,VLOOKUP(A86,'Anlage 2a_Letztverbrauch'!$A$2810:$D$2819,4,0))</f>
        <v>0</v>
      </c>
      <c r="D86" s="95">
        <v>0</v>
      </c>
      <c r="E86" s="95">
        <f t="shared" si="3"/>
        <v>3329044.4299999997</v>
      </c>
      <c r="F86" s="145">
        <f>+SUMIF('Anlage 2b_Korrekturen'!$B$8:$B$202,A86,'Anlage 2b_Korrekturen'!$F$8:$F$202)</f>
        <v>3907.62</v>
      </c>
      <c r="G86" s="1094">
        <f t="shared" si="4"/>
        <v>3332952.05</v>
      </c>
    </row>
    <row r="87" spans="1:7" hidden="1" outlineLevel="1">
      <c r="A87" s="988" t="str">
        <f>+'Anlage 3a_Zusammenfassung_KWKG'!A1834</f>
        <v>SNB943531720705</v>
      </c>
      <c r="B87" s="544">
        <v>403112.87</v>
      </c>
      <c r="C87" s="95">
        <f>+IF(ISNA(VLOOKUP(A87,'Anlage 2a_Letztverbrauch'!$A$2810:$D$2819,4,0)),0,VLOOKUP(A87,'Anlage 2a_Letztverbrauch'!$A$2810:$D$2819,4,0))</f>
        <v>0</v>
      </c>
      <c r="D87" s="95">
        <v>0</v>
      </c>
      <c r="E87" s="95">
        <f t="shared" si="3"/>
        <v>403112.87</v>
      </c>
      <c r="F87" s="145">
        <f>+SUMIF('Anlage 2b_Korrekturen'!$B$8:$B$202,A87,'Anlage 2b_Korrekturen'!$F$8:$F$202)</f>
        <v>0</v>
      </c>
      <c r="G87" s="1094">
        <f t="shared" si="4"/>
        <v>403112.87</v>
      </c>
    </row>
    <row r="88" spans="1:7" hidden="1" outlineLevel="1">
      <c r="A88" s="988" t="str">
        <f>+'Anlage 3a_Zusammenfassung_KWKG'!A1835</f>
        <v>SNB943962034624</v>
      </c>
      <c r="B88" s="544">
        <v>799327.07</v>
      </c>
      <c r="C88" s="95">
        <f>+IF(ISNA(VLOOKUP(A88,'Anlage 2a_Letztverbrauch'!$A$2810:$D$2819,4,0)),0,VLOOKUP(A88,'Anlage 2a_Letztverbrauch'!$A$2810:$D$2819,4,0))</f>
        <v>0</v>
      </c>
      <c r="D88" s="95">
        <v>0</v>
      </c>
      <c r="E88" s="95">
        <f t="shared" si="3"/>
        <v>799327.07</v>
      </c>
      <c r="F88" s="145">
        <f>+SUMIF('Anlage 2b_Korrekturen'!$B$8:$B$202,A88,'Anlage 2b_Korrekturen'!$F$8:$F$202)</f>
        <v>3796.7200000000003</v>
      </c>
      <c r="G88" s="1094">
        <f t="shared" si="4"/>
        <v>803123.78999999992</v>
      </c>
    </row>
    <row r="89" spans="1:7" hidden="1" outlineLevel="1">
      <c r="A89" s="988" t="str">
        <f>+'Anlage 3a_Zusammenfassung_KWKG'!A1836</f>
        <v>SNB944962954653</v>
      </c>
      <c r="B89" s="544">
        <v>180866.17</v>
      </c>
      <c r="C89" s="95">
        <f>+IF(ISNA(VLOOKUP(A89,'Anlage 2a_Letztverbrauch'!$A$2810:$D$2819,4,0)),0,VLOOKUP(A89,'Anlage 2a_Letztverbrauch'!$A$2810:$D$2819,4,0))</f>
        <v>0</v>
      </c>
      <c r="D89" s="95">
        <v>0</v>
      </c>
      <c r="E89" s="95">
        <f t="shared" si="3"/>
        <v>180866.17</v>
      </c>
      <c r="F89" s="145">
        <f>+SUMIF('Anlage 2b_Korrekturen'!$B$8:$B$202,A89,'Anlage 2b_Korrekturen'!$F$8:$F$202)</f>
        <v>0</v>
      </c>
      <c r="G89" s="1094">
        <f t="shared" si="4"/>
        <v>180866.17</v>
      </c>
    </row>
    <row r="90" spans="1:7" hidden="1" outlineLevel="1">
      <c r="A90" s="988" t="str">
        <f>+'Anlage 3a_Zusammenfassung_KWKG'!A1837</f>
        <v>SNB945861817537</v>
      </c>
      <c r="B90" s="544">
        <v>3983417.19</v>
      </c>
      <c r="C90" s="95">
        <f>+IF(ISNA(VLOOKUP(A90,'Anlage 2a_Letztverbrauch'!$A$2810:$D$2819,4,0)),0,VLOOKUP(A90,'Anlage 2a_Letztverbrauch'!$A$2810:$D$2819,4,0))</f>
        <v>0</v>
      </c>
      <c r="D90" s="95">
        <v>0</v>
      </c>
      <c r="E90" s="95">
        <f t="shared" si="3"/>
        <v>3983417.19</v>
      </c>
      <c r="F90" s="145">
        <f>+SUMIF('Anlage 2b_Korrekturen'!$B$8:$B$202,A90,'Anlage 2b_Korrekturen'!$F$8:$F$202)</f>
        <v>1088.9100000000001</v>
      </c>
      <c r="G90" s="1094">
        <f t="shared" si="4"/>
        <v>3984506.1</v>
      </c>
    </row>
    <row r="91" spans="1:7" hidden="1" outlineLevel="1">
      <c r="A91" s="988" t="str">
        <f>+'Anlage 3a_Zusammenfassung_KWKG'!A1838</f>
        <v>SNB946013720880</v>
      </c>
      <c r="B91" s="544">
        <v>260440.17</v>
      </c>
      <c r="C91" s="95">
        <f>+IF(ISNA(VLOOKUP(A91,'Anlage 2a_Letztverbrauch'!$A$2810:$D$2819,4,0)),0,VLOOKUP(A91,'Anlage 2a_Letztverbrauch'!$A$2810:$D$2819,4,0))</f>
        <v>0</v>
      </c>
      <c r="D91" s="95">
        <v>0</v>
      </c>
      <c r="E91" s="95">
        <f t="shared" si="3"/>
        <v>260440.17</v>
      </c>
      <c r="F91" s="145">
        <f>+SUMIF('Anlage 2b_Korrekturen'!$B$8:$B$202,A91,'Anlage 2b_Korrekturen'!$F$8:$F$202)</f>
        <v>270.33000000000004</v>
      </c>
      <c r="G91" s="1094">
        <f t="shared" si="4"/>
        <v>260710.5</v>
      </c>
    </row>
    <row r="92" spans="1:7" hidden="1" outlineLevel="1">
      <c r="A92" s="988" t="str">
        <f>+'Anlage 3a_Zusammenfassung_KWKG'!A1839</f>
        <v>SNB946425570127</v>
      </c>
      <c r="B92" s="544">
        <v>773800.83</v>
      </c>
      <c r="C92" s="95">
        <f>+IF(ISNA(VLOOKUP(A92,'Anlage 2a_Letztverbrauch'!$A$2810:$D$2819,4,0)),0,VLOOKUP(A92,'Anlage 2a_Letztverbrauch'!$A$2810:$D$2819,4,0))</f>
        <v>0</v>
      </c>
      <c r="D92" s="95">
        <v>0</v>
      </c>
      <c r="E92" s="95">
        <f t="shared" si="3"/>
        <v>773800.83</v>
      </c>
      <c r="F92" s="145">
        <f>+SUMIF('Anlage 2b_Korrekturen'!$B$8:$B$202,A92,'Anlage 2b_Korrekturen'!$F$8:$F$202)</f>
        <v>-4369.03</v>
      </c>
      <c r="G92" s="1094">
        <f t="shared" si="4"/>
        <v>769431.79999999993</v>
      </c>
    </row>
    <row r="93" spans="1:7" hidden="1" outlineLevel="1">
      <c r="A93" s="988" t="str">
        <f>+'Anlage 3a_Zusammenfassung_KWKG'!A1840</f>
        <v>SNB946612539746</v>
      </c>
      <c r="B93" s="544">
        <v>530585.81999999995</v>
      </c>
      <c r="C93" s="95">
        <f>+IF(ISNA(VLOOKUP(A93,'Anlage 2a_Letztverbrauch'!$A$2810:$D$2819,4,0)),0,VLOOKUP(A93,'Anlage 2a_Letztverbrauch'!$A$2810:$D$2819,4,0))</f>
        <v>0</v>
      </c>
      <c r="D93" s="95">
        <v>0</v>
      </c>
      <c r="E93" s="95">
        <f t="shared" si="3"/>
        <v>530585.81999999995</v>
      </c>
      <c r="F93" s="145">
        <f>+SUMIF('Anlage 2b_Korrekturen'!$B$8:$B$202,A93,'Anlage 2b_Korrekturen'!$F$8:$F$202)</f>
        <v>-8295.7400000000016</v>
      </c>
      <c r="G93" s="1094">
        <f t="shared" si="4"/>
        <v>522290.07999999996</v>
      </c>
    </row>
    <row r="94" spans="1:7" hidden="1" outlineLevel="1">
      <c r="A94" s="988" t="str">
        <f>+'Anlage 3a_Zusammenfassung_KWKG'!A1841</f>
        <v>SNB948470226516</v>
      </c>
      <c r="B94" s="544">
        <v>127860.59</v>
      </c>
      <c r="C94" s="95">
        <f>+IF(ISNA(VLOOKUP(A94,'Anlage 2a_Letztverbrauch'!$A$2810:$D$2819,4,0)),0,VLOOKUP(A94,'Anlage 2a_Letztverbrauch'!$A$2810:$D$2819,4,0))</f>
        <v>0</v>
      </c>
      <c r="D94" s="95">
        <v>0</v>
      </c>
      <c r="E94" s="95">
        <f t="shared" si="3"/>
        <v>127860.59</v>
      </c>
      <c r="F94" s="145">
        <f>+SUMIF('Anlage 2b_Korrekturen'!$B$8:$B$202,A94,'Anlage 2b_Korrekturen'!$F$8:$F$202)</f>
        <v>0</v>
      </c>
      <c r="G94" s="1094">
        <f t="shared" si="4"/>
        <v>127860.59</v>
      </c>
    </row>
    <row r="95" spans="1:7" hidden="1" outlineLevel="1">
      <c r="A95" s="988" t="str">
        <f>+'Anlage 3a_Zusammenfassung_KWKG'!A1842</f>
        <v>SNB948816192529</v>
      </c>
      <c r="B95" s="544">
        <v>1749068.1900000002</v>
      </c>
      <c r="C95" s="95">
        <f>+IF(ISNA(VLOOKUP(A95,'Anlage 2a_Letztverbrauch'!$A$2810:$D$2819,4,0)),0,VLOOKUP(A95,'Anlage 2a_Letztverbrauch'!$A$2810:$D$2819,4,0))</f>
        <v>-2080.4499999999998</v>
      </c>
      <c r="D95" s="95">
        <v>0</v>
      </c>
      <c r="E95" s="95">
        <f t="shared" si="3"/>
        <v>1746987.7400000002</v>
      </c>
      <c r="F95" s="145">
        <f>+SUMIF('Anlage 2b_Korrekturen'!$B$8:$B$202,A95,'Anlage 2b_Korrekturen'!$F$8:$F$202)</f>
        <v>3475.4399999999996</v>
      </c>
      <c r="G95" s="1094">
        <f t="shared" si="4"/>
        <v>1750463.1800000002</v>
      </c>
    </row>
    <row r="96" spans="1:7" hidden="1" outlineLevel="1">
      <c r="A96" s="988" t="str">
        <f>+'Anlage 3a_Zusammenfassung_KWKG'!A1843</f>
        <v>SNB948859455841</v>
      </c>
      <c r="B96" s="544">
        <v>10641074.939999999</v>
      </c>
      <c r="C96" s="95">
        <f>+IF(ISNA(VLOOKUP(A96,'Anlage 2a_Letztverbrauch'!$A$2810:$D$2819,4,0)),0,VLOOKUP(A96,'Anlage 2a_Letztverbrauch'!$A$2810:$D$2819,4,0))</f>
        <v>0</v>
      </c>
      <c r="D96" s="95">
        <v>0</v>
      </c>
      <c r="E96" s="95">
        <f t="shared" si="3"/>
        <v>10641074.939999999</v>
      </c>
      <c r="F96" s="145">
        <f>+SUMIF('Anlage 2b_Korrekturen'!$B$8:$B$202,A96,'Anlage 2b_Korrekturen'!$F$8:$F$202)</f>
        <v>5172.16</v>
      </c>
      <c r="G96" s="1094">
        <f t="shared" si="4"/>
        <v>10646247.1</v>
      </c>
    </row>
    <row r="97" spans="1:7" hidden="1" outlineLevel="1">
      <c r="A97" s="988" t="str">
        <f>+'Anlage 3a_Zusammenfassung_KWKG'!A1844</f>
        <v>SNB950262883869</v>
      </c>
      <c r="B97" s="544">
        <v>4108225.77</v>
      </c>
      <c r="C97" s="95">
        <f>+IF(ISNA(VLOOKUP(A97,'Anlage 2a_Letztverbrauch'!$A$2810:$D$2819,4,0)),0,VLOOKUP(A97,'Anlage 2a_Letztverbrauch'!$A$2810:$D$2819,4,0))</f>
        <v>0</v>
      </c>
      <c r="D97" s="95">
        <v>0</v>
      </c>
      <c r="E97" s="95">
        <f t="shared" si="3"/>
        <v>4108225.77</v>
      </c>
      <c r="F97" s="145">
        <f>+SUMIF('Anlage 2b_Korrekturen'!$B$8:$B$202,A97,'Anlage 2b_Korrekturen'!$F$8:$F$202)</f>
        <v>-40363.800000000003</v>
      </c>
      <c r="G97" s="1094">
        <f t="shared" si="4"/>
        <v>4067861.97</v>
      </c>
    </row>
    <row r="98" spans="1:7" hidden="1" outlineLevel="1">
      <c r="A98" s="988" t="str">
        <f>+'Anlage 3a_Zusammenfassung_KWKG'!A1845</f>
        <v>SNB951105240061</v>
      </c>
      <c r="B98" s="544">
        <v>1271387.27</v>
      </c>
      <c r="C98" s="95">
        <f>+IF(ISNA(VLOOKUP(A98,'Anlage 2a_Letztverbrauch'!$A$2810:$D$2819,4,0)),0,VLOOKUP(A98,'Anlage 2a_Letztverbrauch'!$A$2810:$D$2819,4,0))</f>
        <v>0</v>
      </c>
      <c r="D98" s="95">
        <v>0</v>
      </c>
      <c r="E98" s="95">
        <f t="shared" si="3"/>
        <v>1271387.27</v>
      </c>
      <c r="F98" s="145">
        <f>+SUMIF('Anlage 2b_Korrekturen'!$B$8:$B$202,A98,'Anlage 2b_Korrekturen'!$F$8:$F$202)</f>
        <v>-6421.69</v>
      </c>
      <c r="G98" s="1094">
        <f t="shared" si="4"/>
        <v>1264965.58</v>
      </c>
    </row>
    <row r="99" spans="1:7" hidden="1" outlineLevel="1">
      <c r="A99" s="988" t="str">
        <f>+'Anlage 3a_Zusammenfassung_KWKG'!A1846</f>
        <v>SNB951305396193</v>
      </c>
      <c r="B99" s="544">
        <v>541221.12</v>
      </c>
      <c r="C99" s="95">
        <f>+IF(ISNA(VLOOKUP(A99,'Anlage 2a_Letztverbrauch'!$A$2810:$D$2819,4,0)),0,VLOOKUP(A99,'Anlage 2a_Letztverbrauch'!$A$2810:$D$2819,4,0))</f>
        <v>0</v>
      </c>
      <c r="D99" s="95">
        <v>0</v>
      </c>
      <c r="E99" s="95">
        <f t="shared" si="3"/>
        <v>541221.12</v>
      </c>
      <c r="F99" s="145">
        <f>+SUMIF('Anlage 2b_Korrekturen'!$B$8:$B$202,A99,'Anlage 2b_Korrekturen'!$F$8:$F$202)</f>
        <v>222.46000000000004</v>
      </c>
      <c r="G99" s="1094">
        <f t="shared" si="4"/>
        <v>541443.57999999996</v>
      </c>
    </row>
    <row r="100" spans="1:7" hidden="1" outlineLevel="1">
      <c r="A100" s="988" t="str">
        <f>+'Anlage 3a_Zusammenfassung_KWKG'!A1847</f>
        <v>SNB952677840789</v>
      </c>
      <c r="B100" s="544">
        <v>598000.19999999995</v>
      </c>
      <c r="C100" s="95">
        <f>+IF(ISNA(VLOOKUP(A100,'Anlage 2a_Letztverbrauch'!$A$2810:$D$2819,4,0)),0,VLOOKUP(A100,'Anlage 2a_Letztverbrauch'!$A$2810:$D$2819,4,0))</f>
        <v>0</v>
      </c>
      <c r="D100" s="95">
        <v>0</v>
      </c>
      <c r="E100" s="95">
        <f t="shared" si="3"/>
        <v>598000.19999999995</v>
      </c>
      <c r="F100" s="145">
        <f>+SUMIF('Anlage 2b_Korrekturen'!$B$8:$B$202,A100,'Anlage 2b_Korrekturen'!$F$8:$F$202)</f>
        <v>1709.52</v>
      </c>
      <c r="G100" s="1094">
        <f t="shared" si="4"/>
        <v>599709.72</v>
      </c>
    </row>
    <row r="101" spans="1:7" hidden="1" outlineLevel="1">
      <c r="A101" s="988" t="str">
        <f>+'Anlage 3a_Zusammenfassung_KWKG'!A1848</f>
        <v>SNB953495670831</v>
      </c>
      <c r="B101" s="544">
        <v>496424.76</v>
      </c>
      <c r="C101" s="95">
        <f>+IF(ISNA(VLOOKUP(A101,'Anlage 2a_Letztverbrauch'!$A$2810:$D$2819,4,0)),0,VLOOKUP(A101,'Anlage 2a_Letztverbrauch'!$A$2810:$D$2819,4,0))</f>
        <v>0</v>
      </c>
      <c r="D101" s="95">
        <v>0</v>
      </c>
      <c r="E101" s="95">
        <f t="shared" si="3"/>
        <v>496424.76</v>
      </c>
      <c r="F101" s="145">
        <f>+SUMIF('Anlage 2b_Korrekturen'!$B$8:$B$202,A101,'Anlage 2b_Korrekturen'!$F$8:$F$202)</f>
        <v>0</v>
      </c>
      <c r="G101" s="1094">
        <f t="shared" si="4"/>
        <v>496424.76</v>
      </c>
    </row>
    <row r="102" spans="1:7" hidden="1" outlineLevel="1">
      <c r="A102" s="988" t="str">
        <f>+'Anlage 3a_Zusammenfassung_KWKG'!A1849</f>
        <v>SNB953669866350</v>
      </c>
      <c r="B102" s="544">
        <v>763884.86</v>
      </c>
      <c r="C102" s="95">
        <f>+IF(ISNA(VLOOKUP(A102,'Anlage 2a_Letztverbrauch'!$A$2810:$D$2819,4,0)),0,VLOOKUP(A102,'Anlage 2a_Letztverbrauch'!$A$2810:$D$2819,4,0))</f>
        <v>0</v>
      </c>
      <c r="D102" s="95">
        <v>0</v>
      </c>
      <c r="E102" s="95">
        <f t="shared" si="3"/>
        <v>763884.86</v>
      </c>
      <c r="F102" s="145">
        <f>+SUMIF('Anlage 2b_Korrekturen'!$B$8:$B$202,A102,'Anlage 2b_Korrekturen'!$F$8:$F$202)</f>
        <v>0</v>
      </c>
      <c r="G102" s="1094">
        <f t="shared" si="4"/>
        <v>763884.86</v>
      </c>
    </row>
    <row r="103" spans="1:7" hidden="1" outlineLevel="1">
      <c r="A103" s="988" t="str">
        <f>+'Anlage 3a_Zusammenfassung_KWKG'!A1850</f>
        <v>SNB954281375657</v>
      </c>
      <c r="B103" s="544">
        <v>1662279.85</v>
      </c>
      <c r="C103" s="95">
        <f>+IF(ISNA(VLOOKUP(A103,'Anlage 2a_Letztverbrauch'!$A$2810:$D$2819,4,0)),0,VLOOKUP(A103,'Anlage 2a_Letztverbrauch'!$A$2810:$D$2819,4,0))</f>
        <v>0</v>
      </c>
      <c r="D103" s="95">
        <v>0</v>
      </c>
      <c r="E103" s="95">
        <f t="shared" si="3"/>
        <v>1662279.85</v>
      </c>
      <c r="F103" s="145">
        <f>+SUMIF('Anlage 2b_Korrekturen'!$B$8:$B$202,A103,'Anlage 2b_Korrekturen'!$F$8:$F$202)</f>
        <v>-11485.05</v>
      </c>
      <c r="G103" s="1094">
        <f t="shared" si="4"/>
        <v>1650794.8</v>
      </c>
    </row>
    <row r="104" spans="1:7" hidden="1" outlineLevel="1">
      <c r="A104" s="988" t="str">
        <f>+'Anlage 3a_Zusammenfassung_KWKG'!A1851</f>
        <v>SNB954814647626</v>
      </c>
      <c r="B104" s="544">
        <v>1303265.54</v>
      </c>
      <c r="C104" s="95">
        <f>+IF(ISNA(VLOOKUP(A104,'Anlage 2a_Letztverbrauch'!$A$2810:$D$2819,4,0)),0,VLOOKUP(A104,'Anlage 2a_Letztverbrauch'!$A$2810:$D$2819,4,0))</f>
        <v>0</v>
      </c>
      <c r="D104" s="95">
        <v>0</v>
      </c>
      <c r="E104" s="95">
        <f t="shared" si="3"/>
        <v>1303265.54</v>
      </c>
      <c r="F104" s="145">
        <f>+SUMIF('Anlage 2b_Korrekturen'!$B$8:$B$202,A104,'Anlage 2b_Korrekturen'!$F$8:$F$202)</f>
        <v>0</v>
      </c>
      <c r="G104" s="1094">
        <f t="shared" si="4"/>
        <v>1303265.54</v>
      </c>
    </row>
    <row r="105" spans="1:7" hidden="1" outlineLevel="1">
      <c r="A105" s="988" t="str">
        <f>+'Anlage 3a_Zusammenfassung_KWKG'!A1852</f>
        <v>SNB957404386462</v>
      </c>
      <c r="B105" s="544">
        <v>567615.81000000006</v>
      </c>
      <c r="C105" s="95">
        <f>+IF(ISNA(VLOOKUP(A105,'Anlage 2a_Letztverbrauch'!$A$2810:$D$2819,4,0)),0,VLOOKUP(A105,'Anlage 2a_Letztverbrauch'!$A$2810:$D$2819,4,0))</f>
        <v>0</v>
      </c>
      <c r="D105" s="95">
        <v>0</v>
      </c>
      <c r="E105" s="95">
        <f t="shared" si="3"/>
        <v>567615.81000000006</v>
      </c>
      <c r="F105" s="145">
        <f>+SUMIF('Anlage 2b_Korrekturen'!$B$8:$B$202,A105,'Anlage 2b_Korrekturen'!$F$8:$F$202)</f>
        <v>0</v>
      </c>
      <c r="G105" s="1094">
        <f t="shared" si="4"/>
        <v>567615.81000000006</v>
      </c>
    </row>
    <row r="106" spans="1:7" hidden="1" outlineLevel="1">
      <c r="A106" s="988" t="str">
        <f>+'Anlage 3a_Zusammenfassung_KWKG'!A1853</f>
        <v>SNB957440824454</v>
      </c>
      <c r="B106" s="544">
        <v>301583.63</v>
      </c>
      <c r="C106" s="95">
        <f>+IF(ISNA(VLOOKUP(A106,'Anlage 2a_Letztverbrauch'!$A$2810:$D$2819,4,0)),0,VLOOKUP(A106,'Anlage 2a_Letztverbrauch'!$A$2810:$D$2819,4,0))</f>
        <v>0</v>
      </c>
      <c r="D106" s="95">
        <v>0</v>
      </c>
      <c r="E106" s="95">
        <f t="shared" si="3"/>
        <v>301583.63</v>
      </c>
      <c r="F106" s="145">
        <f>+SUMIF('Anlage 2b_Korrekturen'!$B$8:$B$202,A106,'Anlage 2b_Korrekturen'!$F$8:$F$202)</f>
        <v>0</v>
      </c>
      <c r="G106" s="1094">
        <f t="shared" si="4"/>
        <v>301583.63</v>
      </c>
    </row>
    <row r="107" spans="1:7" hidden="1" outlineLevel="1">
      <c r="A107" s="988" t="str">
        <f>+'Anlage 3a_Zusammenfassung_KWKG'!A1854</f>
        <v>SNB957549782006</v>
      </c>
      <c r="B107" s="544">
        <v>258064.66</v>
      </c>
      <c r="C107" s="95">
        <f>+IF(ISNA(VLOOKUP(A107,'Anlage 2a_Letztverbrauch'!$A$2810:$D$2819,4,0)),0,VLOOKUP(A107,'Anlage 2a_Letztverbrauch'!$A$2810:$D$2819,4,0))</f>
        <v>0</v>
      </c>
      <c r="D107" s="95">
        <v>0</v>
      </c>
      <c r="E107" s="95">
        <f t="shared" si="3"/>
        <v>258064.66</v>
      </c>
      <c r="F107" s="145">
        <f>+SUMIF('Anlage 2b_Korrekturen'!$B$8:$B$202,A107,'Anlage 2b_Korrekturen'!$F$8:$F$202)</f>
        <v>0</v>
      </c>
      <c r="G107" s="1094">
        <f t="shared" si="4"/>
        <v>258064.66</v>
      </c>
    </row>
    <row r="108" spans="1:7" hidden="1" outlineLevel="1">
      <c r="A108" s="988" t="str">
        <f>+'Anlage 3a_Zusammenfassung_KWKG'!A1855</f>
        <v>SNB957591716776</v>
      </c>
      <c r="B108" s="544">
        <v>345229.37</v>
      </c>
      <c r="C108" s="95">
        <f>+IF(ISNA(VLOOKUP(A108,'Anlage 2a_Letztverbrauch'!$A$2810:$D$2819,4,0)),0,VLOOKUP(A108,'Anlage 2a_Letztverbrauch'!$A$2810:$D$2819,4,0))</f>
        <v>0</v>
      </c>
      <c r="D108" s="95">
        <v>0</v>
      </c>
      <c r="E108" s="95">
        <f t="shared" si="3"/>
        <v>345229.37</v>
      </c>
      <c r="F108" s="145">
        <f>+SUMIF('Anlage 2b_Korrekturen'!$B$8:$B$202,A108,'Anlage 2b_Korrekturen'!$F$8:$F$202)</f>
        <v>0</v>
      </c>
      <c r="G108" s="1094">
        <f t="shared" si="4"/>
        <v>345229.37</v>
      </c>
    </row>
    <row r="109" spans="1:7" hidden="1" outlineLevel="1">
      <c r="A109" s="988" t="str">
        <f>+'Anlage 3a_Zusammenfassung_KWKG'!A1856</f>
        <v>SNB958237843443</v>
      </c>
      <c r="B109" s="544">
        <v>488105.93</v>
      </c>
      <c r="C109" s="95">
        <f>+IF(ISNA(VLOOKUP(A109,'Anlage 2a_Letztverbrauch'!$A$2810:$D$2819,4,0)),0,VLOOKUP(A109,'Anlage 2a_Letztverbrauch'!$A$2810:$D$2819,4,0))</f>
        <v>0</v>
      </c>
      <c r="D109" s="95">
        <v>0</v>
      </c>
      <c r="E109" s="95">
        <f t="shared" si="3"/>
        <v>488105.93</v>
      </c>
      <c r="F109" s="145">
        <f>+SUMIF('Anlage 2b_Korrekturen'!$B$8:$B$202,A109,'Anlage 2b_Korrekturen'!$F$8:$F$202)</f>
        <v>-553.4899999999999</v>
      </c>
      <c r="G109" s="1094">
        <f t="shared" si="4"/>
        <v>487552.44</v>
      </c>
    </row>
    <row r="110" spans="1:7" hidden="1" outlineLevel="1">
      <c r="A110" s="988" t="str">
        <f>+'Anlage 3a_Zusammenfassung_KWKG'!A1857</f>
        <v>SNB959120377328</v>
      </c>
      <c r="B110" s="544">
        <v>711418.38</v>
      </c>
      <c r="C110" s="95">
        <f>+IF(ISNA(VLOOKUP(A110,'Anlage 2a_Letztverbrauch'!$A$2810:$D$2819,4,0)),0,VLOOKUP(A110,'Anlage 2a_Letztverbrauch'!$A$2810:$D$2819,4,0))</f>
        <v>0</v>
      </c>
      <c r="D110" s="95">
        <v>0</v>
      </c>
      <c r="E110" s="95">
        <f t="shared" si="3"/>
        <v>711418.38</v>
      </c>
      <c r="F110" s="145">
        <f>+SUMIF('Anlage 2b_Korrekturen'!$B$8:$B$202,A110,'Anlage 2b_Korrekturen'!$F$8:$F$202)</f>
        <v>0</v>
      </c>
      <c r="G110" s="1094">
        <f t="shared" si="4"/>
        <v>711418.38</v>
      </c>
    </row>
    <row r="111" spans="1:7" hidden="1" outlineLevel="1">
      <c r="A111" s="988" t="str">
        <f>+'Anlage 3a_Zusammenfassung_KWKG'!A1858</f>
        <v>SNB959176447266</v>
      </c>
      <c r="B111" s="544">
        <v>1352526.92</v>
      </c>
      <c r="C111" s="95">
        <f>+IF(ISNA(VLOOKUP(A111,'Anlage 2a_Letztverbrauch'!$A$2810:$D$2819,4,0)),0,VLOOKUP(A111,'Anlage 2a_Letztverbrauch'!$A$2810:$D$2819,4,0))</f>
        <v>0</v>
      </c>
      <c r="D111" s="95">
        <v>0</v>
      </c>
      <c r="E111" s="95">
        <f t="shared" si="3"/>
        <v>1352526.92</v>
      </c>
      <c r="F111" s="145">
        <f>+SUMIF('Anlage 2b_Korrekturen'!$B$8:$B$202,A111,'Anlage 2b_Korrekturen'!$F$8:$F$202)</f>
        <v>0</v>
      </c>
      <c r="G111" s="1094">
        <f t="shared" si="4"/>
        <v>1352526.92</v>
      </c>
    </row>
    <row r="112" spans="1:7" hidden="1" outlineLevel="1">
      <c r="A112" s="988" t="str">
        <f>+'Anlage 3a_Zusammenfassung_KWKG'!A1859</f>
        <v>SNB959492463384</v>
      </c>
      <c r="B112" s="544">
        <v>217277.22</v>
      </c>
      <c r="C112" s="95">
        <f>+IF(ISNA(VLOOKUP(A112,'Anlage 2a_Letztverbrauch'!$A$2810:$D$2819,4,0)),0,VLOOKUP(A112,'Anlage 2a_Letztverbrauch'!$A$2810:$D$2819,4,0))</f>
        <v>0</v>
      </c>
      <c r="D112" s="95">
        <v>0</v>
      </c>
      <c r="E112" s="95">
        <f t="shared" si="3"/>
        <v>217277.22</v>
      </c>
      <c r="F112" s="145">
        <f>+SUMIF('Anlage 2b_Korrekturen'!$B$8:$B$202,A112,'Anlage 2b_Korrekturen'!$F$8:$F$202)</f>
        <v>0</v>
      </c>
      <c r="G112" s="1094">
        <f t="shared" si="4"/>
        <v>217277.22</v>
      </c>
    </row>
    <row r="113" spans="1:7" hidden="1" outlineLevel="1">
      <c r="A113" s="988" t="str">
        <f>+'Anlage 3a_Zusammenfassung_KWKG'!A1860</f>
        <v>SNB959567240391</v>
      </c>
      <c r="B113" s="544">
        <v>342184.33</v>
      </c>
      <c r="C113" s="95">
        <f>+IF(ISNA(VLOOKUP(A113,'Anlage 2a_Letztverbrauch'!$A$2810:$D$2819,4,0)),0,VLOOKUP(A113,'Anlage 2a_Letztverbrauch'!$A$2810:$D$2819,4,0))</f>
        <v>0</v>
      </c>
      <c r="D113" s="95">
        <v>0</v>
      </c>
      <c r="E113" s="95">
        <f t="shared" si="3"/>
        <v>342184.33</v>
      </c>
      <c r="F113" s="145">
        <f>+SUMIF('Anlage 2b_Korrekturen'!$B$8:$B$202,A113,'Anlage 2b_Korrekturen'!$F$8:$F$202)</f>
        <v>0</v>
      </c>
      <c r="G113" s="1094">
        <f t="shared" si="4"/>
        <v>342184.33</v>
      </c>
    </row>
    <row r="114" spans="1:7" hidden="1" outlineLevel="1">
      <c r="A114" s="988" t="str">
        <f>+'Anlage 3a_Zusammenfassung_KWKG'!A1861</f>
        <v>SNB959966681252</v>
      </c>
      <c r="B114" s="544">
        <v>428022.92</v>
      </c>
      <c r="C114" s="95">
        <f>+IF(ISNA(VLOOKUP(A114,'Anlage 2a_Letztverbrauch'!$A$2810:$D$2819,4,0)),0,VLOOKUP(A114,'Anlage 2a_Letztverbrauch'!$A$2810:$D$2819,4,0))</f>
        <v>0</v>
      </c>
      <c r="D114" s="95">
        <v>0</v>
      </c>
      <c r="E114" s="95">
        <f t="shared" si="3"/>
        <v>428022.92</v>
      </c>
      <c r="F114" s="145">
        <f>+SUMIF('Anlage 2b_Korrekturen'!$B$8:$B$202,A114,'Anlage 2b_Korrekturen'!$F$8:$F$202)</f>
        <v>-647.51</v>
      </c>
      <c r="G114" s="1094">
        <f t="shared" si="4"/>
        <v>427375.41</v>
      </c>
    </row>
    <row r="115" spans="1:7" hidden="1" outlineLevel="1">
      <c r="A115" s="988" t="str">
        <f>+'Anlage 3a_Zusammenfassung_KWKG'!A1862</f>
        <v>SNB960729432592</v>
      </c>
      <c r="B115" s="544">
        <v>93415.06</v>
      </c>
      <c r="C115" s="95">
        <f>+IF(ISNA(VLOOKUP(A115,'Anlage 2a_Letztverbrauch'!$A$2810:$D$2819,4,0)),0,VLOOKUP(A115,'Anlage 2a_Letztverbrauch'!$A$2810:$D$2819,4,0))</f>
        <v>0</v>
      </c>
      <c r="D115" s="95">
        <v>0</v>
      </c>
      <c r="E115" s="95">
        <f t="shared" si="3"/>
        <v>93415.06</v>
      </c>
      <c r="F115" s="145">
        <f>+SUMIF('Anlage 2b_Korrekturen'!$B$8:$B$202,A115,'Anlage 2b_Korrekturen'!$F$8:$F$202)</f>
        <v>-6527.119999999999</v>
      </c>
      <c r="G115" s="1094">
        <f t="shared" si="4"/>
        <v>86887.94</v>
      </c>
    </row>
    <row r="116" spans="1:7" hidden="1" outlineLevel="1">
      <c r="A116" s="988" t="str">
        <f>+'Anlage 3a_Zusammenfassung_KWKG'!A1863</f>
        <v>SNB961316124487</v>
      </c>
      <c r="B116" s="544">
        <v>949293.26</v>
      </c>
      <c r="C116" s="95">
        <f>+IF(ISNA(VLOOKUP(A116,'Anlage 2a_Letztverbrauch'!$A$2810:$D$2819,4,0)),0,VLOOKUP(A116,'Anlage 2a_Letztverbrauch'!$A$2810:$D$2819,4,0))</f>
        <v>0</v>
      </c>
      <c r="D116" s="95">
        <v>0</v>
      </c>
      <c r="E116" s="95">
        <f t="shared" si="3"/>
        <v>949293.26</v>
      </c>
      <c r="F116" s="145">
        <f>+SUMIF('Anlage 2b_Korrekturen'!$B$8:$B$202,A116,'Anlage 2b_Korrekturen'!$F$8:$F$202)</f>
        <v>0</v>
      </c>
      <c r="G116" s="1094">
        <f t="shared" si="4"/>
        <v>949293.26</v>
      </c>
    </row>
    <row r="117" spans="1:7" hidden="1" outlineLevel="1">
      <c r="A117" s="988" t="str">
        <f>+'Anlage 3a_Zusammenfassung_KWKG'!A1864</f>
        <v>SNB961833910969</v>
      </c>
      <c r="B117" s="544">
        <v>217861.59</v>
      </c>
      <c r="C117" s="95">
        <f>+IF(ISNA(VLOOKUP(A117,'Anlage 2a_Letztverbrauch'!$A$2810:$D$2819,4,0)),0,VLOOKUP(A117,'Anlage 2a_Letztverbrauch'!$A$2810:$D$2819,4,0))</f>
        <v>0</v>
      </c>
      <c r="D117" s="95">
        <v>0</v>
      </c>
      <c r="E117" s="95">
        <f t="shared" si="3"/>
        <v>217861.59</v>
      </c>
      <c r="F117" s="145">
        <f>+SUMIF('Anlage 2b_Korrekturen'!$B$8:$B$202,A117,'Anlage 2b_Korrekturen'!$F$8:$F$202)</f>
        <v>0</v>
      </c>
      <c r="G117" s="1094">
        <f t="shared" si="4"/>
        <v>217861.59</v>
      </c>
    </row>
    <row r="118" spans="1:7" hidden="1" outlineLevel="1">
      <c r="A118" s="988" t="str">
        <f>+'Anlage 3a_Zusammenfassung_KWKG'!A1865</f>
        <v>SNB961943991735</v>
      </c>
      <c r="B118" s="544">
        <v>177362.37</v>
      </c>
      <c r="C118" s="95">
        <f>+IF(ISNA(VLOOKUP(A118,'Anlage 2a_Letztverbrauch'!$A$2810:$D$2819,4,0)),0,VLOOKUP(A118,'Anlage 2a_Letztverbrauch'!$A$2810:$D$2819,4,0))</f>
        <v>0</v>
      </c>
      <c r="D118" s="95">
        <v>0</v>
      </c>
      <c r="E118" s="95">
        <f t="shared" si="3"/>
        <v>177362.37</v>
      </c>
      <c r="F118" s="145">
        <f>+SUMIF('Anlage 2b_Korrekturen'!$B$8:$B$202,A118,'Anlage 2b_Korrekturen'!$F$8:$F$202)</f>
        <v>0</v>
      </c>
      <c r="G118" s="1094">
        <f t="shared" si="4"/>
        <v>177362.37</v>
      </c>
    </row>
    <row r="119" spans="1:7" hidden="1" outlineLevel="1">
      <c r="A119" s="988" t="str">
        <f>+'Anlage 3a_Zusammenfassung_KWKG'!A1866</f>
        <v>SNB962389410347</v>
      </c>
      <c r="B119" s="544">
        <v>320821.94</v>
      </c>
      <c r="C119" s="95">
        <f>+IF(ISNA(VLOOKUP(A119,'Anlage 2a_Letztverbrauch'!$A$2810:$D$2819,4,0)),0,VLOOKUP(A119,'Anlage 2a_Letztverbrauch'!$A$2810:$D$2819,4,0))</f>
        <v>0</v>
      </c>
      <c r="D119" s="95">
        <v>0</v>
      </c>
      <c r="E119" s="95">
        <f t="shared" si="3"/>
        <v>320821.94</v>
      </c>
      <c r="F119" s="145">
        <f>+SUMIF('Anlage 2b_Korrekturen'!$B$8:$B$202,A119,'Anlage 2b_Korrekturen'!$F$8:$F$202)</f>
        <v>-1845.42</v>
      </c>
      <c r="G119" s="1094">
        <f t="shared" si="4"/>
        <v>318976.52</v>
      </c>
    </row>
    <row r="120" spans="1:7" hidden="1" outlineLevel="1">
      <c r="A120" s="988" t="str">
        <f>+'Anlage 3a_Zusammenfassung_KWKG'!A1867</f>
        <v>SNB962890977544</v>
      </c>
      <c r="B120" s="544">
        <v>606586.68000000005</v>
      </c>
      <c r="C120" s="95">
        <f>+IF(ISNA(VLOOKUP(A120,'Anlage 2a_Letztverbrauch'!$A$2810:$D$2819,4,0)),0,VLOOKUP(A120,'Anlage 2a_Letztverbrauch'!$A$2810:$D$2819,4,0))</f>
        <v>0</v>
      </c>
      <c r="D120" s="95">
        <v>0</v>
      </c>
      <c r="E120" s="95">
        <f t="shared" si="3"/>
        <v>606586.68000000005</v>
      </c>
      <c r="F120" s="145">
        <f>+SUMIF('Anlage 2b_Korrekturen'!$B$8:$B$202,A120,'Anlage 2b_Korrekturen'!$F$8:$F$202)</f>
        <v>3034.84</v>
      </c>
      <c r="G120" s="1094">
        <f t="shared" si="4"/>
        <v>609621.52</v>
      </c>
    </row>
    <row r="121" spans="1:7" hidden="1" outlineLevel="1">
      <c r="A121" s="988" t="str">
        <f>+'Anlage 3a_Zusammenfassung_KWKG'!A1868</f>
        <v>SNB963070917732</v>
      </c>
      <c r="B121" s="544">
        <v>411618.67</v>
      </c>
      <c r="C121" s="95">
        <f>+IF(ISNA(VLOOKUP(A121,'Anlage 2a_Letztverbrauch'!$A$2810:$D$2819,4,0)),0,VLOOKUP(A121,'Anlage 2a_Letztverbrauch'!$A$2810:$D$2819,4,0))</f>
        <v>0</v>
      </c>
      <c r="D121" s="95">
        <v>0</v>
      </c>
      <c r="E121" s="95">
        <f t="shared" si="3"/>
        <v>411618.67</v>
      </c>
      <c r="F121" s="145">
        <f>+SUMIF('Anlage 2b_Korrekturen'!$B$8:$B$202,A121,'Anlage 2b_Korrekturen'!$F$8:$F$202)</f>
        <v>0</v>
      </c>
      <c r="G121" s="1094">
        <f t="shared" si="4"/>
        <v>411618.67</v>
      </c>
    </row>
    <row r="122" spans="1:7" hidden="1" outlineLevel="1">
      <c r="A122" s="988" t="str">
        <f>+'Anlage 3a_Zusammenfassung_KWKG'!A1869</f>
        <v>SNB963792700889</v>
      </c>
      <c r="B122" s="544">
        <v>1144594.1499999999</v>
      </c>
      <c r="C122" s="95">
        <f>+IF(ISNA(VLOOKUP(A122,'Anlage 2a_Letztverbrauch'!$A$2810:$D$2819,4,0)),0,VLOOKUP(A122,'Anlage 2a_Letztverbrauch'!$A$2810:$D$2819,4,0))</f>
        <v>0</v>
      </c>
      <c r="D122" s="95">
        <v>0</v>
      </c>
      <c r="E122" s="95">
        <f t="shared" si="3"/>
        <v>1144594.1499999999</v>
      </c>
      <c r="F122" s="145">
        <f>+SUMIF('Anlage 2b_Korrekturen'!$B$8:$B$202,A122,'Anlage 2b_Korrekturen'!$F$8:$F$202)</f>
        <v>1.57000000000005</v>
      </c>
      <c r="G122" s="1094">
        <f t="shared" si="4"/>
        <v>1144595.72</v>
      </c>
    </row>
    <row r="123" spans="1:7" hidden="1" outlineLevel="1">
      <c r="A123" s="988" t="str">
        <f>+'Anlage 3a_Zusammenfassung_KWKG'!A1870</f>
        <v>SNB963995572245</v>
      </c>
      <c r="B123" s="544">
        <v>379531.67</v>
      </c>
      <c r="C123" s="95">
        <f>+IF(ISNA(VLOOKUP(A123,'Anlage 2a_Letztverbrauch'!$A$2810:$D$2819,4,0)),0,VLOOKUP(A123,'Anlage 2a_Letztverbrauch'!$A$2810:$D$2819,4,0))</f>
        <v>0</v>
      </c>
      <c r="D123" s="95">
        <v>0</v>
      </c>
      <c r="E123" s="95">
        <f t="shared" si="3"/>
        <v>379531.67</v>
      </c>
      <c r="F123" s="145">
        <f>+SUMIF('Anlage 2b_Korrekturen'!$B$8:$B$202,A123,'Anlage 2b_Korrekturen'!$F$8:$F$202)</f>
        <v>-799.32999999999993</v>
      </c>
      <c r="G123" s="1094">
        <f t="shared" si="4"/>
        <v>378732.33999999997</v>
      </c>
    </row>
    <row r="124" spans="1:7" hidden="1" outlineLevel="1">
      <c r="A124" s="988" t="str">
        <f>+'Anlage 3a_Zusammenfassung_KWKG'!A1871</f>
        <v>SNB964045995373</v>
      </c>
      <c r="B124" s="544">
        <v>887203.82</v>
      </c>
      <c r="C124" s="95">
        <f>+IF(ISNA(VLOOKUP(A124,'Anlage 2a_Letztverbrauch'!$A$2810:$D$2819,4,0)),0,VLOOKUP(A124,'Anlage 2a_Letztverbrauch'!$A$2810:$D$2819,4,0))</f>
        <v>0</v>
      </c>
      <c r="D124" s="95">
        <v>0</v>
      </c>
      <c r="E124" s="95">
        <f t="shared" si="3"/>
        <v>887203.82</v>
      </c>
      <c r="F124" s="145">
        <f>+SUMIF('Anlage 2b_Korrekturen'!$B$8:$B$202,A124,'Anlage 2b_Korrekturen'!$F$8:$F$202)</f>
        <v>2019.23</v>
      </c>
      <c r="G124" s="1094">
        <f t="shared" si="4"/>
        <v>889223.04999999993</v>
      </c>
    </row>
    <row r="125" spans="1:7" hidden="1" outlineLevel="1">
      <c r="A125" s="988" t="str">
        <f>+'Anlage 3a_Zusammenfassung_KWKG'!A1872</f>
        <v>SNB964092397892</v>
      </c>
      <c r="B125" s="544">
        <v>271530.58</v>
      </c>
      <c r="C125" s="95">
        <f>+IF(ISNA(VLOOKUP(A125,'Anlage 2a_Letztverbrauch'!$A$2810:$D$2819,4,0)),0,VLOOKUP(A125,'Anlage 2a_Letztverbrauch'!$A$2810:$D$2819,4,0))</f>
        <v>0</v>
      </c>
      <c r="D125" s="95">
        <v>0</v>
      </c>
      <c r="E125" s="95">
        <f t="shared" si="3"/>
        <v>271530.58</v>
      </c>
      <c r="F125" s="145">
        <f>+SUMIF('Anlage 2b_Korrekturen'!$B$8:$B$202,A125,'Anlage 2b_Korrekturen'!$F$8:$F$202)</f>
        <v>0</v>
      </c>
      <c r="G125" s="1094">
        <f t="shared" si="4"/>
        <v>271530.58</v>
      </c>
    </row>
    <row r="126" spans="1:7" hidden="1" outlineLevel="1">
      <c r="A126" s="988" t="str">
        <f>+'Anlage 3a_Zusammenfassung_KWKG'!A1873</f>
        <v>SNB964659661008</v>
      </c>
      <c r="B126" s="544">
        <v>562729.93999999994</v>
      </c>
      <c r="C126" s="95">
        <f>+IF(ISNA(VLOOKUP(A126,'Anlage 2a_Letztverbrauch'!$A$2810:$D$2819,4,0)),0,VLOOKUP(A126,'Anlage 2a_Letztverbrauch'!$A$2810:$D$2819,4,0))</f>
        <v>0</v>
      </c>
      <c r="D126" s="95">
        <v>0</v>
      </c>
      <c r="E126" s="95">
        <f t="shared" si="3"/>
        <v>562729.93999999994</v>
      </c>
      <c r="F126" s="145">
        <f>+SUMIF('Anlage 2b_Korrekturen'!$B$8:$B$202,A126,'Anlage 2b_Korrekturen'!$F$8:$F$202)</f>
        <v>0</v>
      </c>
      <c r="G126" s="1094">
        <f t="shared" si="4"/>
        <v>562729.93999999994</v>
      </c>
    </row>
    <row r="127" spans="1:7" hidden="1" outlineLevel="1">
      <c r="A127" s="988" t="str">
        <f>+'Anlage 3a_Zusammenfassung_KWKG'!A1874</f>
        <v>SNB968295079586</v>
      </c>
      <c r="B127" s="544">
        <v>44449176.780000001</v>
      </c>
      <c r="C127" s="95">
        <f>+IF(ISNA(VLOOKUP(A127,'Anlage 2a_Letztverbrauch'!$A$2810:$D$2819,4,0)),0,VLOOKUP(A127,'Anlage 2a_Letztverbrauch'!$A$2810:$D$2819,4,0))</f>
        <v>-88985.18</v>
      </c>
      <c r="D127" s="95">
        <v>0</v>
      </c>
      <c r="E127" s="95">
        <f t="shared" si="3"/>
        <v>44360191.600000001</v>
      </c>
      <c r="F127" s="145">
        <f>+SUMIF('Anlage 2b_Korrekturen'!$B$8:$B$202,A127,'Anlage 2b_Korrekturen'!$F$8:$F$202)</f>
        <v>-2750.16</v>
      </c>
      <c r="G127" s="1094">
        <f t="shared" si="4"/>
        <v>44357441.440000005</v>
      </c>
    </row>
    <row r="128" spans="1:7" hidden="1" outlineLevel="1">
      <c r="A128" s="988" t="str">
        <f>+'Anlage 3a_Zusammenfassung_KWKG'!A1875</f>
        <v>SNB968914838013</v>
      </c>
      <c r="B128" s="544">
        <v>13465817.01</v>
      </c>
      <c r="C128" s="95">
        <f>+IF(ISNA(VLOOKUP(A128,'Anlage 2a_Letztverbrauch'!$A$2810:$D$2819,4,0)),0,VLOOKUP(A128,'Anlage 2a_Letztverbrauch'!$A$2810:$D$2819,4,0))</f>
        <v>-13286.98</v>
      </c>
      <c r="D128" s="95">
        <v>0</v>
      </c>
      <c r="E128" s="95">
        <f t="shared" si="3"/>
        <v>13452530.029999999</v>
      </c>
      <c r="F128" s="145">
        <f>+SUMIF('Anlage 2b_Korrekturen'!$B$8:$B$202,A128,'Anlage 2b_Korrekturen'!$F$8:$F$202)</f>
        <v>227782.51</v>
      </c>
      <c r="G128" s="1094">
        <f t="shared" si="4"/>
        <v>13680312.539999999</v>
      </c>
    </row>
    <row r="129" spans="1:7" hidden="1" outlineLevel="1">
      <c r="A129" s="988" t="str">
        <f>+'Anlage 3a_Zusammenfassung_KWKG'!A1876</f>
        <v>SNB970223838288</v>
      </c>
      <c r="B129" s="544">
        <v>520049.48</v>
      </c>
      <c r="C129" s="95">
        <f>+IF(ISNA(VLOOKUP(A129,'Anlage 2a_Letztverbrauch'!$A$2810:$D$2819,4,0)),0,VLOOKUP(A129,'Anlage 2a_Letztverbrauch'!$A$2810:$D$2819,4,0))</f>
        <v>0</v>
      </c>
      <c r="D129" s="95">
        <v>0</v>
      </c>
      <c r="E129" s="95">
        <f t="shared" si="3"/>
        <v>520049.48</v>
      </c>
      <c r="F129" s="145">
        <f>+SUMIF('Anlage 2b_Korrekturen'!$B$8:$B$202,A129,'Anlage 2b_Korrekturen'!$F$8:$F$202)</f>
        <v>0</v>
      </c>
      <c r="G129" s="1094">
        <f t="shared" si="4"/>
        <v>520049.48</v>
      </c>
    </row>
    <row r="130" spans="1:7" hidden="1" outlineLevel="1">
      <c r="A130" s="988" t="str">
        <f>+'Anlage 3a_Zusammenfassung_KWKG'!A1877</f>
        <v>SNB970821959712</v>
      </c>
      <c r="B130" s="544">
        <v>19519644.870000001</v>
      </c>
      <c r="C130" s="95">
        <f>+IF(ISNA(VLOOKUP(A130,'Anlage 2a_Letztverbrauch'!$A$2810:$D$2819,4,0)),0,VLOOKUP(A130,'Anlage 2a_Letztverbrauch'!$A$2810:$D$2819,4,0))</f>
        <v>-304047.40999999997</v>
      </c>
      <c r="D130" s="95">
        <v>0</v>
      </c>
      <c r="E130" s="95">
        <f t="shared" si="3"/>
        <v>19215597.460000001</v>
      </c>
      <c r="F130" s="145">
        <f>+SUMIF('Anlage 2b_Korrekturen'!$B$8:$B$202,A130,'Anlage 2b_Korrekturen'!$F$8:$F$202)</f>
        <v>402212.86</v>
      </c>
      <c r="G130" s="1094">
        <f t="shared" si="4"/>
        <v>19617810.32</v>
      </c>
    </row>
    <row r="131" spans="1:7" hidden="1" outlineLevel="1">
      <c r="A131" s="988" t="str">
        <f>+'Anlage 3a_Zusammenfassung_KWKG'!A1878</f>
        <v>SNB971199523673</v>
      </c>
      <c r="B131" s="544">
        <v>1415572.12</v>
      </c>
      <c r="C131" s="95">
        <f>+IF(ISNA(VLOOKUP(A131,'Anlage 2a_Letztverbrauch'!$A$2810:$D$2819,4,0)),0,VLOOKUP(A131,'Anlage 2a_Letztverbrauch'!$A$2810:$D$2819,4,0))</f>
        <v>0</v>
      </c>
      <c r="D131" s="95">
        <v>0</v>
      </c>
      <c r="E131" s="95">
        <f t="shared" si="3"/>
        <v>1415572.12</v>
      </c>
      <c r="F131" s="145">
        <f>+SUMIF('Anlage 2b_Korrekturen'!$B$8:$B$202,A131,'Anlage 2b_Korrekturen'!$F$8:$F$202)</f>
        <v>-17261.140000000003</v>
      </c>
      <c r="G131" s="1094">
        <f t="shared" si="4"/>
        <v>1398310.9800000002</v>
      </c>
    </row>
    <row r="132" spans="1:7" hidden="1" outlineLevel="1">
      <c r="A132" s="988" t="str">
        <f>+'Anlage 3a_Zusammenfassung_KWKG'!A1879</f>
        <v>SNB971345683381</v>
      </c>
      <c r="B132" s="544">
        <v>242043.15</v>
      </c>
      <c r="C132" s="95">
        <f>+IF(ISNA(VLOOKUP(A132,'Anlage 2a_Letztverbrauch'!$A$2810:$D$2819,4,0)),0,VLOOKUP(A132,'Anlage 2a_Letztverbrauch'!$A$2810:$D$2819,4,0))</f>
        <v>0</v>
      </c>
      <c r="D132" s="95">
        <v>0</v>
      </c>
      <c r="E132" s="95">
        <f t="shared" si="3"/>
        <v>242043.15</v>
      </c>
      <c r="F132" s="145">
        <f>+SUMIF('Anlage 2b_Korrekturen'!$B$8:$B$202,A132,'Anlage 2b_Korrekturen'!$F$8:$F$202)</f>
        <v>0</v>
      </c>
      <c r="G132" s="1094">
        <f t="shared" si="4"/>
        <v>242043.15</v>
      </c>
    </row>
    <row r="133" spans="1:7" hidden="1" outlineLevel="1">
      <c r="A133" s="988" t="str">
        <f>+'Anlage 3a_Zusammenfassung_KWKG'!A1880</f>
        <v>SNB971770548286</v>
      </c>
      <c r="B133" s="544">
        <v>171288.81</v>
      </c>
      <c r="C133" s="95">
        <f>+IF(ISNA(VLOOKUP(A133,'Anlage 2a_Letztverbrauch'!$A$2810:$D$2819,4,0)),0,VLOOKUP(A133,'Anlage 2a_Letztverbrauch'!$A$2810:$D$2819,4,0))</f>
        <v>0</v>
      </c>
      <c r="D133" s="95">
        <v>0</v>
      </c>
      <c r="E133" s="95">
        <f t="shared" si="3"/>
        <v>171288.81</v>
      </c>
      <c r="F133" s="145">
        <f>+SUMIF('Anlage 2b_Korrekturen'!$B$8:$B$202,A133,'Anlage 2b_Korrekturen'!$F$8:$F$202)</f>
        <v>-1129.8499999999999</v>
      </c>
      <c r="G133" s="1094">
        <f t="shared" si="4"/>
        <v>170158.96</v>
      </c>
    </row>
    <row r="134" spans="1:7" hidden="1" outlineLevel="1">
      <c r="A134" s="988" t="str">
        <f>+'Anlage 3a_Zusammenfassung_KWKG'!A1881</f>
        <v>SNB971962135690</v>
      </c>
      <c r="B134" s="544">
        <v>35360.699999999997</v>
      </c>
      <c r="C134" s="95">
        <f>+IF(ISNA(VLOOKUP(A134,'Anlage 2a_Letztverbrauch'!$A$2810:$D$2819,4,0)),0,VLOOKUP(A134,'Anlage 2a_Letztverbrauch'!$A$2810:$D$2819,4,0))</f>
        <v>0</v>
      </c>
      <c r="D134" s="95">
        <v>0</v>
      </c>
      <c r="E134" s="95">
        <f t="shared" si="3"/>
        <v>35360.699999999997</v>
      </c>
      <c r="F134" s="145">
        <f>+SUMIF('Anlage 2b_Korrekturen'!$B$8:$B$202,A134,'Anlage 2b_Korrekturen'!$F$8:$F$202)</f>
        <v>0</v>
      </c>
      <c r="G134" s="1094">
        <f t="shared" si="4"/>
        <v>35360.699999999997</v>
      </c>
    </row>
    <row r="135" spans="1:7" hidden="1" outlineLevel="1">
      <c r="A135" s="988" t="str">
        <f>+'Anlage 3a_Zusammenfassung_KWKG'!A1882</f>
        <v>SNB973501936539</v>
      </c>
      <c r="B135" s="544">
        <v>632779.81000000006</v>
      </c>
      <c r="C135" s="95">
        <f>+IF(ISNA(VLOOKUP(A135,'Anlage 2a_Letztverbrauch'!$A$2810:$D$2819,4,0)),0,VLOOKUP(A135,'Anlage 2a_Letztverbrauch'!$A$2810:$D$2819,4,0))</f>
        <v>0</v>
      </c>
      <c r="D135" s="95">
        <v>0</v>
      </c>
      <c r="E135" s="95">
        <f t="shared" si="3"/>
        <v>632779.81000000006</v>
      </c>
      <c r="F135" s="145">
        <f>+SUMIF('Anlage 2b_Korrekturen'!$B$8:$B$202,A135,'Anlage 2b_Korrekturen'!$F$8:$F$202)</f>
        <v>0</v>
      </c>
      <c r="G135" s="1094">
        <f t="shared" si="4"/>
        <v>632779.81000000006</v>
      </c>
    </row>
    <row r="136" spans="1:7" hidden="1" outlineLevel="1">
      <c r="A136" s="988" t="str">
        <f>+'Anlage 3a_Zusammenfassung_KWKG'!A1883</f>
        <v>SNB973505068113</v>
      </c>
      <c r="B136" s="544">
        <v>464232.86</v>
      </c>
      <c r="C136" s="95">
        <f>+IF(ISNA(VLOOKUP(A136,'Anlage 2a_Letztverbrauch'!$A$2810:$D$2819,4,0)),0,VLOOKUP(A136,'Anlage 2a_Letztverbrauch'!$A$2810:$D$2819,4,0))</f>
        <v>0</v>
      </c>
      <c r="D136" s="95">
        <v>0</v>
      </c>
      <c r="E136" s="95">
        <f t="shared" si="3"/>
        <v>464232.86</v>
      </c>
      <c r="F136" s="145">
        <f>+SUMIF('Anlage 2b_Korrekturen'!$B$8:$B$202,A136,'Anlage 2b_Korrekturen'!$F$8:$F$202)</f>
        <v>0</v>
      </c>
      <c r="G136" s="1094">
        <f t="shared" si="4"/>
        <v>464232.86</v>
      </c>
    </row>
    <row r="137" spans="1:7" hidden="1" outlineLevel="1">
      <c r="A137" s="988" t="str">
        <f>+'Anlage 3a_Zusammenfassung_KWKG'!A1884</f>
        <v>SNB974684403535</v>
      </c>
      <c r="B137" s="544">
        <v>285573.8</v>
      </c>
      <c r="C137" s="95">
        <f>+IF(ISNA(VLOOKUP(A137,'Anlage 2a_Letztverbrauch'!$A$2810:$D$2819,4,0)),0,VLOOKUP(A137,'Anlage 2a_Letztverbrauch'!$A$2810:$D$2819,4,0))</f>
        <v>0</v>
      </c>
      <c r="D137" s="95">
        <v>0</v>
      </c>
      <c r="E137" s="95">
        <f t="shared" ref="E137:E175" si="5">B137+C137+D137</f>
        <v>285573.8</v>
      </c>
      <c r="F137" s="145">
        <f>+SUMIF('Anlage 2b_Korrekturen'!$B$8:$B$202,A137,'Anlage 2b_Korrekturen'!$F$8:$F$202)</f>
        <v>1727.63</v>
      </c>
      <c r="G137" s="1094">
        <f t="shared" ref="G137:G201" si="6">E137+F137</f>
        <v>287301.43</v>
      </c>
    </row>
    <row r="138" spans="1:7" hidden="1" outlineLevel="1">
      <c r="A138" s="988" t="str">
        <f>+'Anlage 3a_Zusammenfassung_KWKG'!A1885</f>
        <v>SNB974693983233</v>
      </c>
      <c r="B138" s="544">
        <v>1260361.67</v>
      </c>
      <c r="C138" s="95">
        <f>+IF(ISNA(VLOOKUP(A138,'Anlage 2a_Letztverbrauch'!$A$2810:$D$2819,4,0)),0,VLOOKUP(A138,'Anlage 2a_Letztverbrauch'!$A$2810:$D$2819,4,0))</f>
        <v>0</v>
      </c>
      <c r="D138" s="95">
        <v>0</v>
      </c>
      <c r="E138" s="95">
        <f t="shared" si="5"/>
        <v>1260361.67</v>
      </c>
      <c r="F138" s="145">
        <f>+SUMIF('Anlage 2b_Korrekturen'!$B$8:$B$202,A138,'Anlage 2b_Korrekturen'!$F$8:$F$202)</f>
        <v>196.87</v>
      </c>
      <c r="G138" s="1094">
        <f t="shared" si="6"/>
        <v>1260558.54</v>
      </c>
    </row>
    <row r="139" spans="1:7" hidden="1" outlineLevel="1">
      <c r="A139" s="988" t="str">
        <f>+'Anlage 3a_Zusammenfassung_KWKG'!A1886</f>
        <v>SNB974763887737</v>
      </c>
      <c r="B139" s="544">
        <v>223530.19</v>
      </c>
      <c r="C139" s="95">
        <f>+IF(ISNA(VLOOKUP(A139,'Anlage 2a_Letztverbrauch'!$A$2810:$D$2819,4,0)),0,VLOOKUP(A139,'Anlage 2a_Letztverbrauch'!$A$2810:$D$2819,4,0))</f>
        <v>0</v>
      </c>
      <c r="D139" s="95">
        <v>0</v>
      </c>
      <c r="E139" s="95">
        <f t="shared" si="5"/>
        <v>223530.19</v>
      </c>
      <c r="F139" s="145">
        <f>+SUMIF('Anlage 2b_Korrekturen'!$B$8:$B$202,A139,'Anlage 2b_Korrekturen'!$F$8:$F$202)</f>
        <v>0</v>
      </c>
      <c r="G139" s="1094">
        <f t="shared" si="6"/>
        <v>223530.19</v>
      </c>
    </row>
    <row r="140" spans="1:7" hidden="1" outlineLevel="1">
      <c r="A140" s="988" t="str">
        <f>+'Anlage 3a_Zusammenfassung_KWKG'!A1887</f>
        <v>SNB975176329548</v>
      </c>
      <c r="B140" s="544">
        <v>8660.9699999999993</v>
      </c>
      <c r="C140" s="95">
        <f>+IF(ISNA(VLOOKUP(A140,'Anlage 2a_Letztverbrauch'!$A$2810:$D$2819,4,0)),0,VLOOKUP(A140,'Anlage 2a_Letztverbrauch'!$A$2810:$D$2819,4,0))</f>
        <v>0</v>
      </c>
      <c r="D140" s="95">
        <v>0</v>
      </c>
      <c r="E140" s="95">
        <f t="shared" si="5"/>
        <v>8660.9699999999993</v>
      </c>
      <c r="F140" s="145">
        <f>+SUMIF('Anlage 2b_Korrekturen'!$B$8:$B$202,A140,'Anlage 2b_Korrekturen'!$F$8:$F$202)</f>
        <v>0</v>
      </c>
      <c r="G140" s="1094">
        <f t="shared" si="6"/>
        <v>8660.9699999999993</v>
      </c>
    </row>
    <row r="141" spans="1:7" hidden="1" outlineLevel="1">
      <c r="A141" s="988" t="str">
        <f>+'Anlage 3a_Zusammenfassung_KWKG'!A1888</f>
        <v>SNB975846871759</v>
      </c>
      <c r="B141" s="544">
        <v>449078.46</v>
      </c>
      <c r="C141" s="95">
        <f>+IF(ISNA(VLOOKUP(A141,'Anlage 2a_Letztverbrauch'!$A$2810:$D$2819,4,0)),0,VLOOKUP(A141,'Anlage 2a_Letztverbrauch'!$A$2810:$D$2819,4,0))</f>
        <v>0</v>
      </c>
      <c r="D141" s="95">
        <v>0</v>
      </c>
      <c r="E141" s="95">
        <f t="shared" si="5"/>
        <v>449078.46</v>
      </c>
      <c r="F141" s="145">
        <f>+SUMIF('Anlage 2b_Korrekturen'!$B$8:$B$202,A141,'Anlage 2b_Korrekturen'!$F$8:$F$202)</f>
        <v>0</v>
      </c>
      <c r="G141" s="1094">
        <f t="shared" si="6"/>
        <v>449078.46</v>
      </c>
    </row>
    <row r="142" spans="1:7" hidden="1" outlineLevel="1">
      <c r="A142" s="988" t="str">
        <f>+'Anlage 3a_Zusammenfassung_KWKG'!A1889</f>
        <v>SNB976240506834</v>
      </c>
      <c r="B142" s="544">
        <v>135269.70000000001</v>
      </c>
      <c r="C142" s="95">
        <f>+IF(ISNA(VLOOKUP(A142,'Anlage 2a_Letztverbrauch'!$A$2810:$D$2819,4,0)),0,VLOOKUP(A142,'Anlage 2a_Letztverbrauch'!$A$2810:$D$2819,4,0))</f>
        <v>0</v>
      </c>
      <c r="D142" s="95">
        <v>0</v>
      </c>
      <c r="E142" s="95">
        <f t="shared" si="5"/>
        <v>135269.70000000001</v>
      </c>
      <c r="F142" s="145">
        <f>+SUMIF('Anlage 2b_Korrekturen'!$B$8:$B$202,A142,'Anlage 2b_Korrekturen'!$F$8:$F$202)</f>
        <v>630.74</v>
      </c>
      <c r="G142" s="1094">
        <f t="shared" si="6"/>
        <v>135900.44</v>
      </c>
    </row>
    <row r="143" spans="1:7" hidden="1" outlineLevel="1">
      <c r="A143" s="988" t="str">
        <f>+'Anlage 3a_Zusammenfassung_KWKG'!A1890</f>
        <v>SNB976679550309</v>
      </c>
      <c r="B143" s="544">
        <v>564010.51</v>
      </c>
      <c r="C143" s="95">
        <f>+IF(ISNA(VLOOKUP(A143,'Anlage 2a_Letztverbrauch'!$A$2810:$D$2819,4,0)),0,VLOOKUP(A143,'Anlage 2a_Letztverbrauch'!$A$2810:$D$2819,4,0))</f>
        <v>0</v>
      </c>
      <c r="D143" s="95">
        <v>0</v>
      </c>
      <c r="E143" s="95">
        <f t="shared" si="5"/>
        <v>564010.51</v>
      </c>
      <c r="F143" s="145">
        <f>+SUMIF('Anlage 2b_Korrekturen'!$B$8:$B$202,A143,'Anlage 2b_Korrekturen'!$F$8:$F$202)</f>
        <v>0</v>
      </c>
      <c r="G143" s="1094">
        <f t="shared" si="6"/>
        <v>564010.51</v>
      </c>
    </row>
    <row r="144" spans="1:7" hidden="1" outlineLevel="1">
      <c r="A144" s="988" t="str">
        <f>+'Anlage 3a_Zusammenfassung_KWKG'!A1891</f>
        <v>SNB977174706994</v>
      </c>
      <c r="B144" s="544">
        <v>263134.8</v>
      </c>
      <c r="C144" s="95">
        <f>+IF(ISNA(VLOOKUP(A144,'Anlage 2a_Letztverbrauch'!$A$2810:$D$2819,4,0)),0,VLOOKUP(A144,'Anlage 2a_Letztverbrauch'!$A$2810:$D$2819,4,0))</f>
        <v>0</v>
      </c>
      <c r="D144" s="95">
        <v>0</v>
      </c>
      <c r="E144" s="95">
        <f t="shared" si="5"/>
        <v>263134.8</v>
      </c>
      <c r="F144" s="145">
        <f>+SUMIF('Anlage 2b_Korrekturen'!$B$8:$B$202,A144,'Anlage 2b_Korrekturen'!$F$8:$F$202)</f>
        <v>0</v>
      </c>
      <c r="G144" s="1094">
        <f t="shared" si="6"/>
        <v>263134.8</v>
      </c>
    </row>
    <row r="145" spans="1:7" hidden="1" outlineLevel="1">
      <c r="A145" s="988" t="str">
        <f>+'Anlage 3a_Zusammenfassung_KWKG'!A1892</f>
        <v>SNB977374861035</v>
      </c>
      <c r="B145" s="544">
        <v>808075</v>
      </c>
      <c r="C145" s="95">
        <f>+IF(ISNA(VLOOKUP(A145,'Anlage 2a_Letztverbrauch'!$A$2810:$D$2819,4,0)),0,VLOOKUP(A145,'Anlage 2a_Letztverbrauch'!$A$2810:$D$2819,4,0))</f>
        <v>0</v>
      </c>
      <c r="D145" s="95">
        <v>0</v>
      </c>
      <c r="E145" s="95">
        <f t="shared" si="5"/>
        <v>808075</v>
      </c>
      <c r="F145" s="145">
        <f>+SUMIF('Anlage 2b_Korrekturen'!$B$8:$B$202,A145,'Anlage 2b_Korrekturen'!$F$8:$F$202)</f>
        <v>0</v>
      </c>
      <c r="G145" s="1094">
        <f t="shared" si="6"/>
        <v>808075</v>
      </c>
    </row>
    <row r="146" spans="1:7" hidden="1" outlineLevel="1">
      <c r="A146" s="988" t="str">
        <f>+'Anlage 3a_Zusammenfassung_KWKG'!A1893</f>
        <v>SNB977641826996</v>
      </c>
      <c r="B146" s="544">
        <v>1333373.1000000001</v>
      </c>
      <c r="C146" s="95">
        <f>+IF(ISNA(VLOOKUP(A146,'Anlage 2a_Letztverbrauch'!$A$2810:$D$2819,4,0)),0,VLOOKUP(A146,'Anlage 2a_Letztverbrauch'!$A$2810:$D$2819,4,0))</f>
        <v>0</v>
      </c>
      <c r="D146" s="95">
        <v>0</v>
      </c>
      <c r="E146" s="95">
        <f t="shared" si="5"/>
        <v>1333373.1000000001</v>
      </c>
      <c r="F146" s="145">
        <f>+SUMIF('Anlage 2b_Korrekturen'!$B$8:$B$202,A146,'Anlage 2b_Korrekturen'!$F$8:$F$202)</f>
        <v>-4813.8200000000006</v>
      </c>
      <c r="G146" s="1094">
        <f t="shared" si="6"/>
        <v>1328559.28</v>
      </c>
    </row>
    <row r="147" spans="1:7" hidden="1" outlineLevel="1">
      <c r="A147" s="988" t="str">
        <f>+'Anlage 3a_Zusammenfassung_KWKG'!A1894</f>
        <v>SNB978051166283</v>
      </c>
      <c r="B147" s="544">
        <v>174394.6</v>
      </c>
      <c r="C147" s="95">
        <f>+IF(ISNA(VLOOKUP(A147,'Anlage 2a_Letztverbrauch'!$A$2810:$D$2819,4,0)),0,VLOOKUP(A147,'Anlage 2a_Letztverbrauch'!$A$2810:$D$2819,4,0))</f>
        <v>0</v>
      </c>
      <c r="D147" s="95">
        <v>0</v>
      </c>
      <c r="E147" s="95">
        <f t="shared" si="5"/>
        <v>174394.6</v>
      </c>
      <c r="F147" s="145">
        <f>+SUMIF('Anlage 2b_Korrekturen'!$B$8:$B$202,A147,'Anlage 2b_Korrekturen'!$F$8:$F$202)</f>
        <v>7743.03</v>
      </c>
      <c r="G147" s="1094">
        <f t="shared" si="6"/>
        <v>182137.63</v>
      </c>
    </row>
    <row r="148" spans="1:7" hidden="1" outlineLevel="1">
      <c r="A148" s="988" t="str">
        <f>+'Anlage 3a_Zusammenfassung_KWKG'!A1895</f>
        <v>SNB978071940108</v>
      </c>
      <c r="B148" s="544">
        <v>439284.86</v>
      </c>
      <c r="C148" s="95">
        <f>+IF(ISNA(VLOOKUP(A148,'Anlage 2a_Letztverbrauch'!$A$2810:$D$2819,4,0)),0,VLOOKUP(A148,'Anlage 2a_Letztverbrauch'!$A$2810:$D$2819,4,0))</f>
        <v>0</v>
      </c>
      <c r="D148" s="95">
        <v>0</v>
      </c>
      <c r="E148" s="95">
        <f t="shared" si="5"/>
        <v>439284.86</v>
      </c>
      <c r="F148" s="145">
        <f>+SUMIF('Anlage 2b_Korrekturen'!$B$8:$B$202,A148,'Anlage 2b_Korrekturen'!$F$8:$F$202)</f>
        <v>2890.51</v>
      </c>
      <c r="G148" s="1094">
        <f t="shared" si="6"/>
        <v>442175.37</v>
      </c>
    </row>
    <row r="149" spans="1:7" hidden="1" outlineLevel="1">
      <c r="A149" s="988" t="str">
        <f>+'Anlage 3a_Zusammenfassung_KWKG'!A1896</f>
        <v>SNB979269087643</v>
      </c>
      <c r="B149" s="544">
        <v>69599653.939999998</v>
      </c>
      <c r="C149" s="95">
        <f>+IF(ISNA(VLOOKUP(A149,'Anlage 2a_Letztverbrauch'!$A$2810:$D$2819,4,0)),0,VLOOKUP(A149,'Anlage 2a_Letztverbrauch'!$A$2810:$D$2819,4,0))</f>
        <v>0</v>
      </c>
      <c r="D149" s="95">
        <v>0</v>
      </c>
      <c r="E149" s="95">
        <f t="shared" si="5"/>
        <v>69599653.939999998</v>
      </c>
      <c r="F149" s="145">
        <f>+SUMIF('Anlage 2b_Korrekturen'!$B$8:$B$202,A149,'Anlage 2b_Korrekturen'!$F$8:$F$202)</f>
        <v>869951.16</v>
      </c>
      <c r="G149" s="1094">
        <f t="shared" si="6"/>
        <v>70469605.099999994</v>
      </c>
    </row>
    <row r="150" spans="1:7" hidden="1" outlineLevel="1">
      <c r="A150" s="988" t="str">
        <f>+'Anlage 3a_Zusammenfassung_KWKG'!A1897</f>
        <v>SNB979429791342</v>
      </c>
      <c r="B150" s="544">
        <v>390296.78</v>
      </c>
      <c r="C150" s="95">
        <f>+IF(ISNA(VLOOKUP(A150,'Anlage 2a_Letztverbrauch'!$A$2810:$D$2819,4,0)),0,VLOOKUP(A150,'Anlage 2a_Letztverbrauch'!$A$2810:$D$2819,4,0))</f>
        <v>-4648.93</v>
      </c>
      <c r="D150" s="95">
        <v>0</v>
      </c>
      <c r="E150" s="95">
        <f t="shared" si="5"/>
        <v>385647.85000000003</v>
      </c>
      <c r="F150" s="145">
        <f>+SUMIF('Anlage 2b_Korrekturen'!$B$8:$B$202,A150,'Anlage 2b_Korrekturen'!$F$8:$F$202)</f>
        <v>0</v>
      </c>
      <c r="G150" s="1094">
        <f t="shared" si="6"/>
        <v>385647.85000000003</v>
      </c>
    </row>
    <row r="151" spans="1:7" hidden="1" outlineLevel="1">
      <c r="A151" s="988" t="str">
        <f>+'Anlage 3a_Zusammenfassung_KWKG'!A1898</f>
        <v>SNB980362940834</v>
      </c>
      <c r="B151" s="544">
        <v>55005.34</v>
      </c>
      <c r="C151" s="95">
        <f>+IF(ISNA(VLOOKUP(A151,'Anlage 2a_Letztverbrauch'!$A$2810:$D$2819,4,0)),0,VLOOKUP(A151,'Anlage 2a_Letztverbrauch'!$A$2810:$D$2819,4,0))</f>
        <v>0</v>
      </c>
      <c r="D151" s="95">
        <v>0</v>
      </c>
      <c r="E151" s="95">
        <f t="shared" si="5"/>
        <v>55005.34</v>
      </c>
      <c r="F151" s="145">
        <f>+SUMIF('Anlage 2b_Korrekturen'!$B$8:$B$202,A151,'Anlage 2b_Korrekturen'!$F$8:$F$202)</f>
        <v>0</v>
      </c>
      <c r="G151" s="1094">
        <f t="shared" si="6"/>
        <v>55005.34</v>
      </c>
    </row>
    <row r="152" spans="1:7" hidden="1" outlineLevel="1">
      <c r="A152" s="988" t="str">
        <f>+'Anlage 3a_Zusammenfassung_KWKG'!A1899</f>
        <v>SNB980808485264</v>
      </c>
      <c r="B152" s="544">
        <v>12877348.119999999</v>
      </c>
      <c r="C152" s="95">
        <f>+IF(ISNA(VLOOKUP(A152,'Anlage 2a_Letztverbrauch'!$A$2810:$D$2819,4,0)),0,VLOOKUP(A152,'Anlage 2a_Letztverbrauch'!$A$2810:$D$2819,4,0))</f>
        <v>-4686.29</v>
      </c>
      <c r="D152" s="95">
        <v>0</v>
      </c>
      <c r="E152" s="95">
        <f t="shared" si="5"/>
        <v>12872661.83</v>
      </c>
      <c r="F152" s="145">
        <f>+SUMIF('Anlage 2b_Korrekturen'!$B$8:$B$202,A152,'Anlage 2b_Korrekturen'!$F$8:$F$202)</f>
        <v>74567.41</v>
      </c>
      <c r="G152" s="1094">
        <f t="shared" si="6"/>
        <v>12947229.24</v>
      </c>
    </row>
    <row r="153" spans="1:7" hidden="1" outlineLevel="1">
      <c r="A153" s="988" t="str">
        <f>+'Anlage 3a_Zusammenfassung_KWKG'!A1900</f>
        <v>SNB981122608278</v>
      </c>
      <c r="B153" s="544">
        <v>5995.47</v>
      </c>
      <c r="C153" s="95">
        <f>+IF(ISNA(VLOOKUP(A153,'Anlage 2a_Letztverbrauch'!$A$2810:$D$2819,4,0)),0,VLOOKUP(A153,'Anlage 2a_Letztverbrauch'!$A$2810:$D$2819,4,0))</f>
        <v>0</v>
      </c>
      <c r="D153" s="95">
        <v>0</v>
      </c>
      <c r="E153" s="95">
        <f t="shared" si="5"/>
        <v>5995.47</v>
      </c>
      <c r="F153" s="145">
        <f>+SUMIF('Anlage 2b_Korrekturen'!$B$8:$B$202,A153,'Anlage 2b_Korrekturen'!$F$8:$F$202)</f>
        <v>0</v>
      </c>
      <c r="G153" s="1094">
        <f t="shared" si="6"/>
        <v>5995.47</v>
      </c>
    </row>
    <row r="154" spans="1:7" hidden="1" outlineLevel="1">
      <c r="A154" s="988" t="str">
        <f>+'Anlage 3a_Zusammenfassung_KWKG'!A1901</f>
        <v>SNB981460842488</v>
      </c>
      <c r="B154" s="544">
        <v>154716.79</v>
      </c>
      <c r="C154" s="95">
        <f>+IF(ISNA(VLOOKUP(A154,'Anlage 2a_Letztverbrauch'!$A$2810:$D$2819,4,0)),0,VLOOKUP(A154,'Anlage 2a_Letztverbrauch'!$A$2810:$D$2819,4,0))</f>
        <v>0</v>
      </c>
      <c r="D154" s="95">
        <v>0</v>
      </c>
      <c r="E154" s="95">
        <f t="shared" si="5"/>
        <v>154716.79</v>
      </c>
      <c r="F154" s="145">
        <f>+SUMIF('Anlage 2b_Korrekturen'!$B$8:$B$202,A154,'Anlage 2b_Korrekturen'!$F$8:$F$202)</f>
        <v>-546.13</v>
      </c>
      <c r="G154" s="1094">
        <f t="shared" si="6"/>
        <v>154170.66</v>
      </c>
    </row>
    <row r="155" spans="1:7" hidden="1" outlineLevel="1">
      <c r="A155" s="988" t="str">
        <f>+'Anlage 3a_Zusammenfassung_KWKG'!A1902</f>
        <v>SNB981597332487</v>
      </c>
      <c r="B155" s="544">
        <v>35791.31</v>
      </c>
      <c r="C155" s="95">
        <f>+IF(ISNA(VLOOKUP(A155,'Anlage 2a_Letztverbrauch'!$A$2810:$D$2819,4,0)),0,VLOOKUP(A155,'Anlage 2a_Letztverbrauch'!$A$2810:$D$2819,4,0))</f>
        <v>0</v>
      </c>
      <c r="D155" s="95">
        <v>0</v>
      </c>
      <c r="E155" s="95">
        <f t="shared" si="5"/>
        <v>35791.31</v>
      </c>
      <c r="F155" s="145">
        <f>+SUMIF('Anlage 2b_Korrekturen'!$B$8:$B$202,A155,'Anlage 2b_Korrekturen'!$F$8:$F$202)</f>
        <v>0</v>
      </c>
      <c r="G155" s="1094">
        <f t="shared" si="6"/>
        <v>35791.31</v>
      </c>
    </row>
    <row r="156" spans="1:7" hidden="1" outlineLevel="1">
      <c r="A156" s="988" t="str">
        <f>+'Anlage 3a_Zusammenfassung_KWKG'!A1903</f>
        <v>SNB982046657236</v>
      </c>
      <c r="B156" s="544">
        <v>28830074.34</v>
      </c>
      <c r="C156" s="95">
        <f>+IF(ISNA(VLOOKUP(A156,'Anlage 2a_Letztverbrauch'!$A$2810:$D$2819,4,0)),0,VLOOKUP(A156,'Anlage 2a_Letztverbrauch'!$A$2810:$D$2819,4,0))</f>
        <v>-27907962.989999998</v>
      </c>
      <c r="D156" s="95">
        <v>0</v>
      </c>
      <c r="E156" s="95">
        <f t="shared" si="5"/>
        <v>922111.35000000149</v>
      </c>
      <c r="F156" s="145">
        <f>+SUMIF('Anlage 2b_Korrekturen'!$B$8:$B$202,A156,'Anlage 2b_Korrekturen'!$F$8:$F$202)</f>
        <v>0</v>
      </c>
      <c r="G156" s="1094">
        <f t="shared" si="6"/>
        <v>922111.35000000149</v>
      </c>
    </row>
    <row r="157" spans="1:7" hidden="1" outlineLevel="1">
      <c r="A157" s="988" t="str">
        <f>+'Anlage 3a_Zusammenfassung_KWKG'!A1904</f>
        <v>SNB982241851170</v>
      </c>
      <c r="B157" s="544">
        <v>494705.61</v>
      </c>
      <c r="C157" s="95">
        <f>+IF(ISNA(VLOOKUP(A157,'Anlage 2a_Letztverbrauch'!$A$2810:$D$2819,4,0)),0,VLOOKUP(A157,'Anlage 2a_Letztverbrauch'!$A$2810:$D$2819,4,0))</f>
        <v>0</v>
      </c>
      <c r="D157" s="95">
        <v>0</v>
      </c>
      <c r="E157" s="95">
        <f t="shared" si="5"/>
        <v>494705.61</v>
      </c>
      <c r="F157" s="145">
        <f>+SUMIF('Anlage 2b_Korrekturen'!$B$8:$B$202,A157,'Anlage 2b_Korrekturen'!$F$8:$F$202)</f>
        <v>0</v>
      </c>
      <c r="G157" s="1094">
        <f t="shared" si="6"/>
        <v>494705.61</v>
      </c>
    </row>
    <row r="158" spans="1:7" hidden="1" outlineLevel="1">
      <c r="A158" s="988" t="str">
        <f>+'Anlage 3a_Zusammenfassung_KWKG'!A1905</f>
        <v>SNB982722829230</v>
      </c>
      <c r="B158" s="544">
        <v>1794283.64</v>
      </c>
      <c r="C158" s="95">
        <f>+IF(ISNA(VLOOKUP(A158,'Anlage 2a_Letztverbrauch'!$A$2810:$D$2819,4,0)),0,VLOOKUP(A158,'Anlage 2a_Letztverbrauch'!$A$2810:$D$2819,4,0))</f>
        <v>0</v>
      </c>
      <c r="D158" s="95">
        <v>0</v>
      </c>
      <c r="E158" s="95">
        <f t="shared" si="5"/>
        <v>1794283.64</v>
      </c>
      <c r="F158" s="145">
        <f>+SUMIF('Anlage 2b_Korrekturen'!$B$8:$B$202,A158,'Anlage 2b_Korrekturen'!$F$8:$F$202)</f>
        <v>0</v>
      </c>
      <c r="G158" s="1094">
        <f t="shared" si="6"/>
        <v>1794283.64</v>
      </c>
    </row>
    <row r="159" spans="1:7" hidden="1" outlineLevel="1">
      <c r="A159" s="988" t="str">
        <f>+'Anlage 3a_Zusammenfassung_KWKG'!A1906</f>
        <v>SNB982934611074</v>
      </c>
      <c r="B159" s="544">
        <v>4256030.6399999997</v>
      </c>
      <c r="C159" s="95">
        <f>+IF(ISNA(VLOOKUP(A159,'Anlage 2a_Letztverbrauch'!$A$2810:$D$2819,4,0)),0,VLOOKUP(A159,'Anlage 2a_Letztverbrauch'!$A$2810:$D$2819,4,0))</f>
        <v>0</v>
      </c>
      <c r="D159" s="95">
        <v>0</v>
      </c>
      <c r="E159" s="95">
        <f t="shared" si="5"/>
        <v>4256030.6399999997</v>
      </c>
      <c r="F159" s="145">
        <f>+SUMIF('Anlage 2b_Korrekturen'!$B$8:$B$202,A159,'Anlage 2b_Korrekturen'!$F$8:$F$202)</f>
        <v>0</v>
      </c>
      <c r="G159" s="1094">
        <f t="shared" si="6"/>
        <v>4256030.6399999997</v>
      </c>
    </row>
    <row r="160" spans="1:7" hidden="1" outlineLevel="1">
      <c r="A160" s="988" t="str">
        <f>+'Anlage 3a_Zusammenfassung_KWKG'!A1907</f>
        <v>SNB983029590205</v>
      </c>
      <c r="B160" s="544">
        <v>547064.21</v>
      </c>
      <c r="C160" s="95">
        <f>+IF(ISNA(VLOOKUP(A160,'Anlage 2a_Letztverbrauch'!$A$2810:$D$2819,4,0)),0,VLOOKUP(A160,'Anlage 2a_Letztverbrauch'!$A$2810:$D$2819,4,0))</f>
        <v>0</v>
      </c>
      <c r="D160" s="95">
        <v>0</v>
      </c>
      <c r="E160" s="95">
        <f t="shared" si="5"/>
        <v>547064.21</v>
      </c>
      <c r="F160" s="145">
        <f>+SUMIF('Anlage 2b_Korrekturen'!$B$8:$B$202,A160,'Anlage 2b_Korrekturen'!$F$8:$F$202)</f>
        <v>0</v>
      </c>
      <c r="G160" s="1094">
        <f t="shared" si="6"/>
        <v>547064.21</v>
      </c>
    </row>
    <row r="161" spans="1:7" hidden="1" outlineLevel="1">
      <c r="A161" s="988" t="str">
        <f>+'Anlage 3a_Zusammenfassung_KWKG'!A1908</f>
        <v>SNB983765888505</v>
      </c>
      <c r="B161" s="544">
        <v>336077.18</v>
      </c>
      <c r="C161" s="95">
        <f>+IF(ISNA(VLOOKUP(A161,'Anlage 2a_Letztverbrauch'!$A$2810:$D$2819,4,0)),0,VLOOKUP(A161,'Anlage 2a_Letztverbrauch'!$A$2810:$D$2819,4,0))</f>
        <v>0</v>
      </c>
      <c r="D161" s="95">
        <v>0</v>
      </c>
      <c r="E161" s="95">
        <f t="shared" si="5"/>
        <v>336077.18</v>
      </c>
      <c r="F161" s="145">
        <f>+SUMIF('Anlage 2b_Korrekturen'!$B$8:$B$202,A161,'Anlage 2b_Korrekturen'!$F$8:$F$202)</f>
        <v>0</v>
      </c>
      <c r="G161" s="1094">
        <f t="shared" si="6"/>
        <v>336077.18</v>
      </c>
    </row>
    <row r="162" spans="1:7" hidden="1" outlineLevel="1">
      <c r="A162" s="988" t="str">
        <f>+'Anlage 3a_Zusammenfassung_KWKG'!A1909</f>
        <v>SNB985072256732</v>
      </c>
      <c r="B162" s="544">
        <v>281572.37</v>
      </c>
      <c r="C162" s="95">
        <f>+IF(ISNA(VLOOKUP(A162,'Anlage 2a_Letztverbrauch'!$A$2810:$D$2819,4,0)),0,VLOOKUP(A162,'Anlage 2a_Letztverbrauch'!$A$2810:$D$2819,4,0))</f>
        <v>0</v>
      </c>
      <c r="D162" s="95">
        <v>0</v>
      </c>
      <c r="E162" s="95">
        <f t="shared" si="5"/>
        <v>281572.37</v>
      </c>
      <c r="F162" s="145">
        <f>+SUMIF('Anlage 2b_Korrekturen'!$B$8:$B$202,A162,'Anlage 2b_Korrekturen'!$F$8:$F$202)</f>
        <v>0</v>
      </c>
      <c r="G162" s="1094">
        <f t="shared" si="6"/>
        <v>281572.37</v>
      </c>
    </row>
    <row r="163" spans="1:7" hidden="1" outlineLevel="1">
      <c r="A163" s="988" t="str">
        <f>+'Anlage 3a_Zusammenfassung_KWKG'!A1910</f>
        <v>SNB985414225433</v>
      </c>
      <c r="B163" s="544">
        <v>63667.63</v>
      </c>
      <c r="C163" s="95">
        <f>+IF(ISNA(VLOOKUP(A163,'Anlage 2a_Letztverbrauch'!$A$2810:$D$2819,4,0)),0,VLOOKUP(A163,'Anlage 2a_Letztverbrauch'!$A$2810:$D$2819,4,0))</f>
        <v>0</v>
      </c>
      <c r="D163" s="95">
        <v>0</v>
      </c>
      <c r="E163" s="95">
        <f t="shared" si="5"/>
        <v>63667.63</v>
      </c>
      <c r="F163" s="145">
        <f>+SUMIF('Anlage 2b_Korrekturen'!$B$8:$B$202,A163,'Anlage 2b_Korrekturen'!$F$8:$F$202)</f>
        <v>0</v>
      </c>
      <c r="G163" s="1094">
        <f t="shared" si="6"/>
        <v>63667.63</v>
      </c>
    </row>
    <row r="164" spans="1:7" hidden="1" outlineLevel="1">
      <c r="A164" s="988" t="str">
        <f>+'Anlage 3a_Zusammenfassung_KWKG'!A1911</f>
        <v>SNB985993443181</v>
      </c>
      <c r="B164" s="544">
        <v>857027.51</v>
      </c>
      <c r="C164" s="95">
        <f>+IF(ISNA(VLOOKUP(A164,'Anlage 2a_Letztverbrauch'!$A$2810:$D$2819,4,0)),0,VLOOKUP(A164,'Anlage 2a_Letztverbrauch'!$A$2810:$D$2819,4,0))</f>
        <v>0</v>
      </c>
      <c r="D164" s="95">
        <v>0</v>
      </c>
      <c r="E164" s="95">
        <f t="shared" si="5"/>
        <v>857027.51</v>
      </c>
      <c r="F164" s="145">
        <f>+SUMIF('Anlage 2b_Korrekturen'!$B$8:$B$202,A164,'Anlage 2b_Korrekturen'!$F$8:$F$202)</f>
        <v>0</v>
      </c>
      <c r="G164" s="1094">
        <f t="shared" si="6"/>
        <v>857027.51</v>
      </c>
    </row>
    <row r="165" spans="1:7" hidden="1" outlineLevel="1">
      <c r="A165" s="988" t="str">
        <f>+'Anlage 3a_Zusammenfassung_KWKG'!A1912</f>
        <v>SNB987317008403</v>
      </c>
      <c r="B165" s="544">
        <v>271859.01</v>
      </c>
      <c r="C165" s="95">
        <f>+IF(ISNA(VLOOKUP(A165,'Anlage 2a_Letztverbrauch'!$A$2810:$D$2819,4,0)),0,VLOOKUP(A165,'Anlage 2a_Letztverbrauch'!$A$2810:$D$2819,4,0))</f>
        <v>0</v>
      </c>
      <c r="D165" s="95">
        <v>0</v>
      </c>
      <c r="E165" s="95">
        <f t="shared" si="5"/>
        <v>271859.01</v>
      </c>
      <c r="F165" s="145">
        <f>+SUMIF('Anlage 2b_Korrekturen'!$B$8:$B$202,A165,'Anlage 2b_Korrekturen'!$F$8:$F$202)</f>
        <v>-14423.43</v>
      </c>
      <c r="G165" s="1094">
        <f t="shared" si="6"/>
        <v>257435.58000000002</v>
      </c>
    </row>
    <row r="166" spans="1:7" hidden="1" outlineLevel="1">
      <c r="A166" s="988" t="str">
        <f>+'Anlage 3a_Zusammenfassung_KWKG'!A1913</f>
        <v>SNB987483520273</v>
      </c>
      <c r="B166" s="544">
        <v>467020.49</v>
      </c>
      <c r="C166" s="95">
        <f>+IF(ISNA(VLOOKUP(A166,'Anlage 2a_Letztverbrauch'!$A$2810:$D$2819,4,0)),0,VLOOKUP(A166,'Anlage 2a_Letztverbrauch'!$A$2810:$D$2819,4,0))</f>
        <v>0</v>
      </c>
      <c r="D166" s="95">
        <v>0</v>
      </c>
      <c r="E166" s="95">
        <f t="shared" si="5"/>
        <v>467020.49</v>
      </c>
      <c r="F166" s="145">
        <f>+SUMIF('Anlage 2b_Korrekturen'!$B$8:$B$202,A166,'Anlage 2b_Korrekturen'!$F$8:$F$202)</f>
        <v>0</v>
      </c>
      <c r="G166" s="1094">
        <f t="shared" si="6"/>
        <v>467020.49</v>
      </c>
    </row>
    <row r="167" spans="1:7" hidden="1" outlineLevel="1">
      <c r="A167" s="988" t="str">
        <f>+'Anlage 3a_Zusammenfassung_KWKG'!A1914</f>
        <v>SNB988532040636</v>
      </c>
      <c r="B167" s="544">
        <v>197900.26</v>
      </c>
      <c r="C167" s="95">
        <f>+IF(ISNA(VLOOKUP(A167,'Anlage 2a_Letztverbrauch'!$A$2810:$D$2819,4,0)),0,VLOOKUP(A167,'Anlage 2a_Letztverbrauch'!$A$2810:$D$2819,4,0))</f>
        <v>0</v>
      </c>
      <c r="D167" s="95">
        <v>0</v>
      </c>
      <c r="E167" s="95">
        <f t="shared" si="5"/>
        <v>197900.26</v>
      </c>
      <c r="F167" s="145">
        <f>+SUMIF('Anlage 2b_Korrekturen'!$B$8:$B$202,A167,'Anlage 2b_Korrekturen'!$F$8:$F$202)</f>
        <v>0</v>
      </c>
      <c r="G167" s="1094">
        <f t="shared" si="6"/>
        <v>197900.26</v>
      </c>
    </row>
    <row r="168" spans="1:7" hidden="1" outlineLevel="1">
      <c r="A168" s="988" t="str">
        <f>+'Anlage 3a_Zusammenfassung_KWKG'!A1915</f>
        <v>SNB989700422711</v>
      </c>
      <c r="B168" s="544">
        <v>1022239.73</v>
      </c>
      <c r="C168" s="95">
        <f>+IF(ISNA(VLOOKUP(A168,'Anlage 2a_Letztverbrauch'!$A$2810:$D$2819,4,0)),0,VLOOKUP(A168,'Anlage 2a_Letztverbrauch'!$A$2810:$D$2819,4,0))</f>
        <v>0</v>
      </c>
      <c r="D168" s="95">
        <v>0</v>
      </c>
      <c r="E168" s="95">
        <f t="shared" si="5"/>
        <v>1022239.73</v>
      </c>
      <c r="F168" s="145">
        <f>+SUMIF('Anlage 2b_Korrekturen'!$B$8:$B$202,A168,'Anlage 2b_Korrekturen'!$F$8:$F$202)</f>
        <v>452.36</v>
      </c>
      <c r="G168" s="1094">
        <f t="shared" si="6"/>
        <v>1022692.09</v>
      </c>
    </row>
    <row r="169" spans="1:7" hidden="1" outlineLevel="1">
      <c r="A169" s="988" t="str">
        <f>+'Anlage 3a_Zusammenfassung_KWKG'!A1916</f>
        <v>SNB990362338043</v>
      </c>
      <c r="B169" s="544">
        <v>12313603.58</v>
      </c>
      <c r="C169" s="95">
        <f>+IF(ISNA(VLOOKUP(A169,'Anlage 2a_Letztverbrauch'!$A$2810:$D$2819,4,0)),0,VLOOKUP(A169,'Anlage 2a_Letztverbrauch'!$A$2810:$D$2819,4,0))</f>
        <v>-895953.87</v>
      </c>
      <c r="D169" s="95">
        <v>0</v>
      </c>
      <c r="E169" s="95">
        <f t="shared" si="5"/>
        <v>11417649.710000001</v>
      </c>
      <c r="F169" s="145">
        <f>+SUMIF('Anlage 2b_Korrekturen'!$B$8:$B$202,A169,'Anlage 2b_Korrekturen'!$F$8:$F$202)</f>
        <v>-4907.5200000000004</v>
      </c>
      <c r="G169" s="1094">
        <f t="shared" si="6"/>
        <v>11412742.190000001</v>
      </c>
    </row>
    <row r="170" spans="1:7" hidden="1" outlineLevel="1">
      <c r="A170" s="988" t="str">
        <f>+'Anlage 3a_Zusammenfassung_KWKG'!A1917</f>
        <v>SNB990792528632</v>
      </c>
      <c r="B170" s="544">
        <v>410312.31</v>
      </c>
      <c r="C170" s="95">
        <f>+IF(ISNA(VLOOKUP(A170,'Anlage 2a_Letztverbrauch'!$A$2810:$D$2819,4,0)),0,VLOOKUP(A170,'Anlage 2a_Letztverbrauch'!$A$2810:$D$2819,4,0))</f>
        <v>0</v>
      </c>
      <c r="D170" s="95">
        <v>0</v>
      </c>
      <c r="E170" s="95">
        <f t="shared" si="5"/>
        <v>410312.31</v>
      </c>
      <c r="F170" s="145">
        <f>+SUMIF('Anlage 2b_Korrekturen'!$B$8:$B$202,A170,'Anlage 2b_Korrekturen'!$F$8:$F$202)</f>
        <v>0</v>
      </c>
      <c r="G170" s="1094">
        <f t="shared" si="6"/>
        <v>410312.31</v>
      </c>
    </row>
    <row r="171" spans="1:7" hidden="1" outlineLevel="1">
      <c r="A171" s="988" t="str">
        <f>+'Anlage 3a_Zusammenfassung_KWKG'!A1918</f>
        <v>SNB990971435621</v>
      </c>
      <c r="B171" s="544">
        <v>933354.32</v>
      </c>
      <c r="C171" s="95">
        <f>+IF(ISNA(VLOOKUP(A171,'Anlage 2a_Letztverbrauch'!$A$2810:$D$2819,4,0)),0,VLOOKUP(A171,'Anlage 2a_Letztverbrauch'!$A$2810:$D$2819,4,0))</f>
        <v>0</v>
      </c>
      <c r="D171" s="95">
        <v>0</v>
      </c>
      <c r="E171" s="95">
        <f t="shared" si="5"/>
        <v>933354.32</v>
      </c>
      <c r="F171" s="145">
        <f>+SUMIF('Anlage 2b_Korrekturen'!$B$8:$B$202,A171,'Anlage 2b_Korrekturen'!$F$8:$F$202)</f>
        <v>6671.44</v>
      </c>
      <c r="G171" s="1094">
        <f t="shared" si="6"/>
        <v>940025.75999999989</v>
      </c>
    </row>
    <row r="172" spans="1:7" hidden="1" outlineLevel="1">
      <c r="A172" s="988" t="str">
        <f>+'Anlage 3a_Zusammenfassung_KWKG'!A1919</f>
        <v>SNB991689251534</v>
      </c>
      <c r="B172" s="544">
        <v>174338.64</v>
      </c>
      <c r="C172" s="95">
        <f>+IF(ISNA(VLOOKUP(A172,'Anlage 2a_Letztverbrauch'!$A$2810:$D$2819,4,0)),0,VLOOKUP(A172,'Anlage 2a_Letztverbrauch'!$A$2810:$D$2819,4,0))</f>
        <v>0</v>
      </c>
      <c r="D172" s="95">
        <v>0</v>
      </c>
      <c r="E172" s="95">
        <f t="shared" si="5"/>
        <v>174338.64</v>
      </c>
      <c r="F172" s="145">
        <f>+SUMIF('Anlage 2b_Korrekturen'!$B$8:$B$202,A172,'Anlage 2b_Korrekturen'!$F$8:$F$202)</f>
        <v>0</v>
      </c>
      <c r="G172" s="1094">
        <f t="shared" si="6"/>
        <v>174338.64</v>
      </c>
    </row>
    <row r="173" spans="1:7" hidden="1" outlineLevel="1">
      <c r="A173" s="988" t="str">
        <f>+'Anlage 3a_Zusammenfassung_KWKG'!A1920</f>
        <v>SNB991836941189</v>
      </c>
      <c r="B173" s="544">
        <v>211594.66</v>
      </c>
      <c r="C173" s="95">
        <f>+IF(ISNA(VLOOKUP(A173,'Anlage 2a_Letztverbrauch'!$A$2810:$D$2819,4,0)),0,VLOOKUP(A173,'Anlage 2a_Letztverbrauch'!$A$2810:$D$2819,4,0))</f>
        <v>0</v>
      </c>
      <c r="D173" s="95">
        <v>0</v>
      </c>
      <c r="E173" s="95">
        <f t="shared" si="5"/>
        <v>211594.66</v>
      </c>
      <c r="F173" s="145">
        <f>+SUMIF('Anlage 2b_Korrekturen'!$B$8:$B$202,A173,'Anlage 2b_Korrekturen'!$F$8:$F$202)</f>
        <v>0</v>
      </c>
      <c r="G173" s="1094">
        <f t="shared" si="6"/>
        <v>211594.66</v>
      </c>
    </row>
    <row r="174" spans="1:7" hidden="1" outlineLevel="1">
      <c r="A174" s="988" t="str">
        <f>+'Anlage 3a_Zusammenfassung_KWKG'!A1921</f>
        <v>SNB995034381532</v>
      </c>
      <c r="B174" s="544">
        <v>456482.04</v>
      </c>
      <c r="C174" s="95">
        <f>+IF(ISNA(VLOOKUP(A174,'Anlage 2a_Letztverbrauch'!$A$2810:$D$2819,4,0)),0,VLOOKUP(A174,'Anlage 2a_Letztverbrauch'!$A$2810:$D$2819,4,0))</f>
        <v>0</v>
      </c>
      <c r="D174" s="95">
        <v>0</v>
      </c>
      <c r="E174" s="95">
        <f t="shared" si="5"/>
        <v>456482.04</v>
      </c>
      <c r="F174" s="145">
        <f>+SUMIF('Anlage 2b_Korrekturen'!$B$8:$B$202,A174,'Anlage 2b_Korrekturen'!$F$8:$F$202)</f>
        <v>0</v>
      </c>
      <c r="G174" s="1094">
        <f t="shared" si="6"/>
        <v>456482.04</v>
      </c>
    </row>
    <row r="175" spans="1:7" hidden="1" outlineLevel="1">
      <c r="A175" s="988" t="str">
        <f>+'Anlage 3a_Zusammenfassung_KWKG'!A1922</f>
        <v>SNB995332374861</v>
      </c>
      <c r="B175" s="544">
        <v>287143.96000000002</v>
      </c>
      <c r="C175" s="95">
        <f>+IF(ISNA(VLOOKUP(A175,'Anlage 2a_Letztverbrauch'!$A$2810:$D$2819,4,0)),0,VLOOKUP(A175,'Anlage 2a_Letztverbrauch'!$A$2810:$D$2819,4,0))</f>
        <v>0</v>
      </c>
      <c r="D175" s="95">
        <v>0</v>
      </c>
      <c r="E175" s="95">
        <f t="shared" si="5"/>
        <v>287143.96000000002</v>
      </c>
      <c r="F175" s="145">
        <f>+SUMIF('Anlage 2b_Korrekturen'!$B$8:$B$202,A175,'Anlage 2b_Korrekturen'!$F$8:$F$202)</f>
        <v>37567.630000000005</v>
      </c>
      <c r="G175" s="1094">
        <f t="shared" si="6"/>
        <v>324711.59000000003</v>
      </c>
    </row>
    <row r="176" spans="1:7" s="99" customFormat="1" hidden="1" outlineLevel="1">
      <c r="A176" s="988" t="str">
        <f>+'Anlage 3a_Zusammenfassung_KWKG'!A1923</f>
        <v>SNB988556835096</v>
      </c>
      <c r="B176" s="544">
        <v>101090.51</v>
      </c>
      <c r="C176" s="95">
        <f>+IF(ISNA(VLOOKUP(A176,'Anlage 2a_Letztverbrauch'!$A$2810:$D$2819,4,0)),0,VLOOKUP(A176,'Anlage 2a_Letztverbrauch'!$A$2810:$D$2819,4,0))</f>
        <v>0</v>
      </c>
      <c r="D176" s="95">
        <v>0</v>
      </c>
      <c r="E176" s="95">
        <f>B176+C176+D176</f>
        <v>101090.51</v>
      </c>
      <c r="F176" s="145">
        <f>+SUMIF('Anlage 2b_Korrekturen'!$B$8:$B$202,A176,'Anlage 2b_Korrekturen'!$F$8:$F$202)</f>
        <v>0</v>
      </c>
      <c r="G176" s="1094">
        <f>E176+F176</f>
        <v>101090.51</v>
      </c>
    </row>
    <row r="177" spans="1:9" hidden="1" outlineLevel="1">
      <c r="A177" s="988" t="str">
        <f>+'Anlage 3a_Zusammenfassung_KWKG'!A1924</f>
        <v>SNB999125588145</v>
      </c>
      <c r="B177" s="544">
        <v>341581.84</v>
      </c>
      <c r="C177" s="95">
        <f>+IF(ISNA(VLOOKUP(A177,'Anlage 2a_Letztverbrauch'!$A$2810:$D$2819,4,0)),0,VLOOKUP(A177,'Anlage 2a_Letztverbrauch'!$A$2810:$D$2819,4,0))</f>
        <v>0</v>
      </c>
      <c r="D177" s="95">
        <v>0</v>
      </c>
      <c r="E177" s="95">
        <f>B177+C177+D177</f>
        <v>341581.84</v>
      </c>
      <c r="F177" s="145">
        <f>+SUMIF('Anlage 2b_Korrekturen'!$B$8:$B$202,A177,'Anlage 2b_Korrekturen'!$F$8:$F$202)</f>
        <v>-56.650000000000006</v>
      </c>
      <c r="G177" s="1094">
        <f>E177+F177</f>
        <v>341525.19</v>
      </c>
    </row>
    <row r="178" spans="1:9" ht="17.25" customHeight="1" collapsed="1">
      <c r="A178" s="988" t="s">
        <v>404</v>
      </c>
      <c r="B178" s="793">
        <f>SUM(B179:B412)</f>
        <v>694509335.61751175</v>
      </c>
      <c r="C178" s="746">
        <f>SUM(C179:C412)</f>
        <v>-20164787.300000001</v>
      </c>
      <c r="D178" s="746">
        <f>SUM(D179:D412)</f>
        <v>12946.05</v>
      </c>
      <c r="E178" s="95">
        <f>B178+C178+D178</f>
        <v>674357494.36751175</v>
      </c>
      <c r="F178" s="1097">
        <f>SUM(F179:F412)</f>
        <v>-1839782.7899999996</v>
      </c>
      <c r="G178" s="1094">
        <f>E178+F178</f>
        <v>672517711.57751179</v>
      </c>
    </row>
    <row r="179" spans="1:9" hidden="1" outlineLevel="1">
      <c r="A179" s="988" t="s">
        <v>405</v>
      </c>
      <c r="B179" s="793">
        <v>597495.50592000003</v>
      </c>
      <c r="C179" s="809">
        <v>0</v>
      </c>
      <c r="D179" s="809">
        <v>0</v>
      </c>
      <c r="E179" s="95">
        <f>B179+C179+D179</f>
        <v>597495.50592000003</v>
      </c>
      <c r="F179" s="145">
        <v>0</v>
      </c>
      <c r="G179" s="1094">
        <f>E179+F179</f>
        <v>597495.50592000003</v>
      </c>
      <c r="I179" t="s">
        <v>406</v>
      </c>
    </row>
    <row r="180" spans="1:9" hidden="1" outlineLevel="1">
      <c r="A180" s="988" t="s">
        <v>86</v>
      </c>
      <c r="B180" s="793">
        <v>684735.2403200001</v>
      </c>
      <c r="C180" s="809">
        <v>0</v>
      </c>
      <c r="D180" s="809">
        <v>0</v>
      </c>
      <c r="E180" s="95">
        <f t="shared" ref="E180:E242" si="7">B180+C180+D180</f>
        <v>684735.2403200001</v>
      </c>
      <c r="F180" s="145">
        <v>-16807.919999999998</v>
      </c>
      <c r="G180" s="1094">
        <f t="shared" si="6"/>
        <v>667927.32032000006</v>
      </c>
      <c r="I180" t="s">
        <v>87</v>
      </c>
    </row>
    <row r="181" spans="1:9" hidden="1" outlineLevel="1">
      <c r="A181" s="988" t="s">
        <v>407</v>
      </c>
      <c r="B181" s="793">
        <v>786224.79171200003</v>
      </c>
      <c r="C181" s="809">
        <v>0</v>
      </c>
      <c r="D181" s="809">
        <v>0</v>
      </c>
      <c r="E181" s="95">
        <f t="shared" si="7"/>
        <v>786224.79171200003</v>
      </c>
      <c r="F181" s="145">
        <v>8307.73</v>
      </c>
      <c r="G181" s="1094">
        <f t="shared" si="6"/>
        <v>794532.52171200002</v>
      </c>
      <c r="I181" t="s">
        <v>408</v>
      </c>
    </row>
    <row r="182" spans="1:9" hidden="1" outlineLevel="1">
      <c r="A182" s="988" t="s">
        <v>409</v>
      </c>
      <c r="B182" s="793">
        <v>1997879.9143999999</v>
      </c>
      <c r="C182" s="809">
        <v>0</v>
      </c>
      <c r="D182" s="809">
        <v>0</v>
      </c>
      <c r="E182" s="95">
        <f t="shared" si="7"/>
        <v>1997879.9143999999</v>
      </c>
      <c r="F182" s="145">
        <v>0</v>
      </c>
      <c r="G182" s="1094">
        <f t="shared" si="6"/>
        <v>1997879.9143999999</v>
      </c>
      <c r="I182" t="s">
        <v>410</v>
      </c>
    </row>
    <row r="183" spans="1:9" hidden="1" outlineLevel="1">
      <c r="A183" s="988" t="s">
        <v>411</v>
      </c>
      <c r="B183" s="793">
        <v>5861944.5124000004</v>
      </c>
      <c r="C183" s="809">
        <v>0</v>
      </c>
      <c r="D183" s="809">
        <v>0</v>
      </c>
      <c r="E183" s="95">
        <f t="shared" si="7"/>
        <v>5861944.5124000004</v>
      </c>
      <c r="F183" s="145">
        <v>32763.329999999998</v>
      </c>
      <c r="G183" s="1094">
        <f t="shared" si="6"/>
        <v>5894707.8424000004</v>
      </c>
      <c r="I183" t="s">
        <v>412</v>
      </c>
    </row>
    <row r="184" spans="1:9" hidden="1" outlineLevel="1">
      <c r="A184" s="988" t="s">
        <v>413</v>
      </c>
      <c r="B184" s="793">
        <v>1109106.9342400001</v>
      </c>
      <c r="C184" s="809">
        <v>0</v>
      </c>
      <c r="D184" s="809">
        <v>0</v>
      </c>
      <c r="E184" s="95">
        <f t="shared" si="7"/>
        <v>1109106.9342400001</v>
      </c>
      <c r="F184" s="145">
        <v>-7256.91</v>
      </c>
      <c r="G184" s="1094">
        <f t="shared" si="6"/>
        <v>1101850.0242400002</v>
      </c>
      <c r="I184" t="s">
        <v>414</v>
      </c>
    </row>
    <row r="185" spans="1:9" hidden="1" outlineLevel="1">
      <c r="A185" s="988" t="s">
        <v>415</v>
      </c>
      <c r="B185" s="793">
        <v>781478.89936000004</v>
      </c>
      <c r="C185" s="809">
        <v>0</v>
      </c>
      <c r="D185" s="809">
        <v>99.05</v>
      </c>
      <c r="E185" s="95">
        <f t="shared" si="7"/>
        <v>781577.94936000009</v>
      </c>
      <c r="F185" s="145">
        <v>0</v>
      </c>
      <c r="G185" s="1094">
        <f t="shared" si="6"/>
        <v>781577.94936000009</v>
      </c>
      <c r="I185" t="s">
        <v>416</v>
      </c>
    </row>
    <row r="186" spans="1:9" hidden="1" outlineLevel="1">
      <c r="A186" s="988" t="s">
        <v>417</v>
      </c>
      <c r="B186" s="793">
        <v>12632179.584608</v>
      </c>
      <c r="C186" s="809">
        <v>0</v>
      </c>
      <c r="D186" s="809">
        <v>0</v>
      </c>
      <c r="E186" s="95">
        <f t="shared" si="7"/>
        <v>12632179.584608</v>
      </c>
      <c r="F186" s="145">
        <v>63968.43</v>
      </c>
      <c r="G186" s="1094">
        <f t="shared" si="6"/>
        <v>12696148.014607999</v>
      </c>
      <c r="I186" t="s">
        <v>418</v>
      </c>
    </row>
    <row r="187" spans="1:9" hidden="1" outlineLevel="1">
      <c r="A187" s="988" t="s">
        <v>419</v>
      </c>
      <c r="B187" s="793">
        <v>23269156.557439998</v>
      </c>
      <c r="C187" s="809">
        <v>-27468</v>
      </c>
      <c r="D187" s="809">
        <v>0</v>
      </c>
      <c r="E187" s="95">
        <f t="shared" si="7"/>
        <v>23241688.557439998</v>
      </c>
      <c r="F187" s="145">
        <v>164889.08000000002</v>
      </c>
      <c r="G187" s="1094">
        <f t="shared" si="6"/>
        <v>23406577.637439996</v>
      </c>
      <c r="I187" t="s">
        <v>420</v>
      </c>
    </row>
    <row r="188" spans="1:9" hidden="1" outlineLevel="1">
      <c r="A188" s="988" t="s">
        <v>421</v>
      </c>
      <c r="B188" s="793">
        <v>792429.50080000004</v>
      </c>
      <c r="C188" s="809">
        <v>0</v>
      </c>
      <c r="D188" s="809">
        <v>0</v>
      </c>
      <c r="E188" s="95">
        <f t="shared" si="7"/>
        <v>792429.50080000004</v>
      </c>
      <c r="F188" s="145">
        <v>-7951.38</v>
      </c>
      <c r="G188" s="1094">
        <f t="shared" si="6"/>
        <v>784478.12080000003</v>
      </c>
      <c r="I188" t="s">
        <v>422</v>
      </c>
    </row>
    <row r="189" spans="1:9" hidden="1" outlineLevel="1">
      <c r="A189" s="988" t="s">
        <v>423</v>
      </c>
      <c r="B189" s="793">
        <v>1262722.8216000001</v>
      </c>
      <c r="C189" s="809">
        <v>0</v>
      </c>
      <c r="D189" s="809">
        <v>0</v>
      </c>
      <c r="E189" s="95">
        <f t="shared" si="7"/>
        <v>1262722.8216000001</v>
      </c>
      <c r="F189" s="145">
        <v>-732.15</v>
      </c>
      <c r="G189" s="1094">
        <f t="shared" si="6"/>
        <v>1261990.6716000002</v>
      </c>
      <c r="I189" t="s">
        <v>424</v>
      </c>
    </row>
    <row r="190" spans="1:9" hidden="1" outlineLevel="1">
      <c r="A190" s="988" t="s">
        <v>425</v>
      </c>
      <c r="B190" s="793">
        <v>3817085.0497600003</v>
      </c>
      <c r="C190" s="809">
        <v>0</v>
      </c>
      <c r="D190" s="809">
        <v>0</v>
      </c>
      <c r="E190" s="95">
        <f t="shared" si="7"/>
        <v>3817085.0497600003</v>
      </c>
      <c r="F190" s="145">
        <v>0</v>
      </c>
      <c r="G190" s="1094">
        <f t="shared" si="6"/>
        <v>3817085.0497600003</v>
      </c>
      <c r="I190" t="s">
        <v>426</v>
      </c>
    </row>
    <row r="191" spans="1:9" hidden="1" outlineLevel="1">
      <c r="A191" s="988" t="s">
        <v>427</v>
      </c>
      <c r="B191" s="793">
        <v>2480126.4998400002</v>
      </c>
      <c r="C191" s="809">
        <v>0</v>
      </c>
      <c r="D191" s="809">
        <v>0</v>
      </c>
      <c r="E191" s="95">
        <f t="shared" si="7"/>
        <v>2480126.4998400002</v>
      </c>
      <c r="F191" s="145">
        <v>0</v>
      </c>
      <c r="G191" s="1094">
        <f t="shared" si="6"/>
        <v>2480126.4998400002</v>
      </c>
      <c r="I191" t="s">
        <v>428</v>
      </c>
    </row>
    <row r="192" spans="1:9" hidden="1" outlineLevel="1">
      <c r="A192" s="988" t="s">
        <v>429</v>
      </c>
      <c r="B192" s="793">
        <v>334721.68432</v>
      </c>
      <c r="C192" s="809">
        <v>0</v>
      </c>
      <c r="D192" s="809">
        <v>0</v>
      </c>
      <c r="E192" s="95">
        <f t="shared" si="7"/>
        <v>334721.68432</v>
      </c>
      <c r="F192" s="145">
        <v>5741.34</v>
      </c>
      <c r="G192" s="1094">
        <f t="shared" si="6"/>
        <v>340463.02432000003</v>
      </c>
      <c r="I192" t="s">
        <v>430</v>
      </c>
    </row>
    <row r="193" spans="1:9" hidden="1" outlineLevel="1">
      <c r="A193" s="988" t="s">
        <v>431</v>
      </c>
      <c r="B193" s="793">
        <v>192157.80288000003</v>
      </c>
      <c r="C193" s="809">
        <v>0</v>
      </c>
      <c r="D193" s="809">
        <v>0</v>
      </c>
      <c r="E193" s="95">
        <f t="shared" si="7"/>
        <v>192157.80288000003</v>
      </c>
      <c r="F193" s="145">
        <v>0</v>
      </c>
      <c r="G193" s="1094">
        <f t="shared" si="6"/>
        <v>192157.80288000003</v>
      </c>
      <c r="I193" t="s">
        <v>432</v>
      </c>
    </row>
    <row r="194" spans="1:9" hidden="1" outlineLevel="1">
      <c r="A194" s="988" t="s">
        <v>433</v>
      </c>
      <c r="B194" s="793">
        <v>8027587.6337760007</v>
      </c>
      <c r="C194" s="809">
        <v>0</v>
      </c>
      <c r="D194" s="809">
        <v>0</v>
      </c>
      <c r="E194" s="95">
        <f t="shared" si="7"/>
        <v>8027587.6337760007</v>
      </c>
      <c r="F194" s="145">
        <v>0</v>
      </c>
      <c r="G194" s="1094">
        <f t="shared" si="6"/>
        <v>8027587.6337760007</v>
      </c>
      <c r="I194" t="s">
        <v>434</v>
      </c>
    </row>
    <row r="195" spans="1:9" hidden="1" outlineLevel="1">
      <c r="A195" s="988" t="s">
        <v>435</v>
      </c>
      <c r="B195" s="793">
        <v>907102.79440000001</v>
      </c>
      <c r="C195" s="809">
        <v>0</v>
      </c>
      <c r="D195" s="809">
        <v>0</v>
      </c>
      <c r="E195" s="95">
        <f t="shared" si="7"/>
        <v>907102.79440000001</v>
      </c>
      <c r="F195" s="145">
        <v>-7014.7000000000007</v>
      </c>
      <c r="G195" s="1094">
        <f t="shared" si="6"/>
        <v>900088.09440000006</v>
      </c>
      <c r="I195" t="s">
        <v>436</v>
      </c>
    </row>
    <row r="196" spans="1:9" hidden="1" outlineLevel="1">
      <c r="A196" s="988" t="s">
        <v>437</v>
      </c>
      <c r="B196" s="793">
        <v>5582113.9199999999</v>
      </c>
      <c r="C196" s="809">
        <v>0</v>
      </c>
      <c r="D196" s="809">
        <v>0</v>
      </c>
      <c r="E196" s="95">
        <f t="shared" si="7"/>
        <v>5582113.9199999999</v>
      </c>
      <c r="F196" s="145">
        <v>61546.7</v>
      </c>
      <c r="G196" s="1094">
        <f t="shared" si="6"/>
        <v>5643660.6200000001</v>
      </c>
      <c r="I196" t="s">
        <v>438</v>
      </c>
    </row>
    <row r="197" spans="1:9" hidden="1" outlineLevel="1">
      <c r="A197" s="988" t="s">
        <v>439</v>
      </c>
      <c r="B197" s="793">
        <v>1329401.2068800002</v>
      </c>
      <c r="C197" s="809">
        <v>0</v>
      </c>
      <c r="D197" s="809">
        <v>0</v>
      </c>
      <c r="E197" s="95">
        <f t="shared" si="7"/>
        <v>1329401.2068800002</v>
      </c>
      <c r="F197" s="145">
        <v>-4509.29</v>
      </c>
      <c r="G197" s="1094">
        <f t="shared" si="6"/>
        <v>1324891.9168800001</v>
      </c>
      <c r="I197" t="s">
        <v>440</v>
      </c>
    </row>
    <row r="198" spans="1:9" hidden="1" outlineLevel="1">
      <c r="A198" s="988" t="s">
        <v>441</v>
      </c>
      <c r="B198" s="793">
        <v>9478818.9243519995</v>
      </c>
      <c r="C198" s="809">
        <v>0</v>
      </c>
      <c r="D198" s="809">
        <v>0</v>
      </c>
      <c r="E198" s="95">
        <f t="shared" si="7"/>
        <v>9478818.9243519995</v>
      </c>
      <c r="F198" s="145">
        <v>-60521.260000000009</v>
      </c>
      <c r="G198" s="1094">
        <f t="shared" si="6"/>
        <v>9418297.6643519998</v>
      </c>
      <c r="I198" t="s">
        <v>442</v>
      </c>
    </row>
    <row r="199" spans="1:9" hidden="1" outlineLevel="1">
      <c r="A199" s="988" t="s">
        <v>443</v>
      </c>
      <c r="B199" s="793">
        <v>64443.544160000005</v>
      </c>
      <c r="C199" s="809">
        <v>0</v>
      </c>
      <c r="D199" s="809">
        <v>0</v>
      </c>
      <c r="E199" s="95">
        <f t="shared" si="7"/>
        <v>64443.544160000005</v>
      </c>
      <c r="F199" s="145">
        <v>-194.78</v>
      </c>
      <c r="G199" s="1094">
        <f t="shared" si="6"/>
        <v>64248.764160000006</v>
      </c>
      <c r="I199" t="s">
        <v>444</v>
      </c>
    </row>
    <row r="200" spans="1:9" hidden="1" outlineLevel="1">
      <c r="A200" s="988" t="s">
        <v>445</v>
      </c>
      <c r="B200" s="793">
        <v>1466821.8318400001</v>
      </c>
      <c r="C200" s="809">
        <v>0</v>
      </c>
      <c r="D200" s="809">
        <v>0</v>
      </c>
      <c r="E200" s="95">
        <f t="shared" si="7"/>
        <v>1466821.8318400001</v>
      </c>
      <c r="F200" s="145">
        <v>856.61</v>
      </c>
      <c r="G200" s="1094">
        <f t="shared" si="6"/>
        <v>1467678.4418400002</v>
      </c>
      <c r="I200" t="s">
        <v>446</v>
      </c>
    </row>
    <row r="201" spans="1:9" hidden="1" outlineLevel="1">
      <c r="A201" s="988" t="s">
        <v>447</v>
      </c>
      <c r="B201" s="793">
        <v>729128.88576000009</v>
      </c>
      <c r="C201" s="809">
        <v>0</v>
      </c>
      <c r="D201" s="809">
        <v>0</v>
      </c>
      <c r="E201" s="95">
        <f t="shared" si="7"/>
        <v>729128.88576000009</v>
      </c>
      <c r="F201" s="145">
        <v>-3256.74</v>
      </c>
      <c r="G201" s="1094">
        <f t="shared" si="6"/>
        <v>725872.1457600001</v>
      </c>
      <c r="I201" t="s">
        <v>448</v>
      </c>
    </row>
    <row r="202" spans="1:9" hidden="1" outlineLevel="1">
      <c r="A202" s="988" t="s">
        <v>449</v>
      </c>
      <c r="B202" s="793">
        <v>34818566.679568</v>
      </c>
      <c r="C202" s="809">
        <v>0</v>
      </c>
      <c r="D202" s="809">
        <v>0</v>
      </c>
      <c r="E202" s="95">
        <f t="shared" si="7"/>
        <v>34818566.679568</v>
      </c>
      <c r="F202" s="145">
        <v>-123686.31</v>
      </c>
      <c r="G202" s="1094">
        <f t="shared" ref="G202:G265" si="8">E202+F202</f>
        <v>34694880.369567998</v>
      </c>
      <c r="I202" t="s">
        <v>450</v>
      </c>
    </row>
    <row r="203" spans="1:9" hidden="1" outlineLevel="1">
      <c r="A203" s="988" t="s">
        <v>451</v>
      </c>
      <c r="B203" s="793">
        <v>467212.23311999999</v>
      </c>
      <c r="C203" s="809">
        <v>0</v>
      </c>
      <c r="D203" s="809">
        <v>0</v>
      </c>
      <c r="E203" s="95">
        <f t="shared" si="7"/>
        <v>467212.23311999999</v>
      </c>
      <c r="F203" s="145">
        <v>3954.5699999999997</v>
      </c>
      <c r="G203" s="1094">
        <f t="shared" si="8"/>
        <v>471166.80312</v>
      </c>
      <c r="I203" t="s">
        <v>452</v>
      </c>
    </row>
    <row r="204" spans="1:9" hidden="1" outlineLevel="1">
      <c r="A204" s="988" t="s">
        <v>453</v>
      </c>
      <c r="B204" s="793">
        <v>2010123.2622400001</v>
      </c>
      <c r="C204" s="809">
        <v>0</v>
      </c>
      <c r="D204" s="809">
        <v>0</v>
      </c>
      <c r="E204" s="95">
        <f t="shared" si="7"/>
        <v>2010123.2622400001</v>
      </c>
      <c r="F204" s="145">
        <v>-850.3</v>
      </c>
      <c r="G204" s="1094">
        <f t="shared" si="8"/>
        <v>2009272.96224</v>
      </c>
      <c r="I204" t="s">
        <v>454</v>
      </c>
    </row>
    <row r="205" spans="1:9" hidden="1" outlineLevel="1">
      <c r="A205" s="988" t="s">
        <v>455</v>
      </c>
      <c r="B205" s="793">
        <v>187398.38512000002</v>
      </c>
      <c r="C205" s="809">
        <v>0</v>
      </c>
      <c r="D205" s="809">
        <v>0</v>
      </c>
      <c r="E205" s="95">
        <f t="shared" si="7"/>
        <v>187398.38512000002</v>
      </c>
      <c r="F205" s="145">
        <v>943.82</v>
      </c>
      <c r="G205" s="1094">
        <f t="shared" si="8"/>
        <v>188342.20512000003</v>
      </c>
      <c r="I205" t="s">
        <v>456</v>
      </c>
    </row>
    <row r="206" spans="1:9" hidden="1" outlineLevel="1">
      <c r="A206" s="988" t="s">
        <v>457</v>
      </c>
      <c r="B206" s="793">
        <v>30956.338240000001</v>
      </c>
      <c r="C206" s="809">
        <v>0</v>
      </c>
      <c r="D206" s="809">
        <v>0</v>
      </c>
      <c r="E206" s="95">
        <f t="shared" si="7"/>
        <v>30956.338240000001</v>
      </c>
      <c r="F206" s="145">
        <v>209.97000000000003</v>
      </c>
      <c r="G206" s="1094">
        <f t="shared" si="8"/>
        <v>31166.308240000002</v>
      </c>
      <c r="I206" t="s">
        <v>458</v>
      </c>
    </row>
    <row r="207" spans="1:9" hidden="1" outlineLevel="1">
      <c r="A207" s="988" t="s">
        <v>459</v>
      </c>
      <c r="B207" s="793">
        <v>2112195.4124799999</v>
      </c>
      <c r="C207" s="809">
        <v>0</v>
      </c>
      <c r="D207" s="809">
        <v>0</v>
      </c>
      <c r="E207" s="95">
        <f t="shared" si="7"/>
        <v>2112195.4124799999</v>
      </c>
      <c r="F207" s="145">
        <v>1580.45</v>
      </c>
      <c r="G207" s="1094">
        <f t="shared" si="8"/>
        <v>2113775.8624800001</v>
      </c>
      <c r="I207" t="s">
        <v>460</v>
      </c>
    </row>
    <row r="208" spans="1:9" hidden="1" outlineLevel="1">
      <c r="A208" s="988" t="s">
        <v>461</v>
      </c>
      <c r="B208" s="793">
        <v>210850.89679999999</v>
      </c>
      <c r="C208" s="809">
        <v>0</v>
      </c>
      <c r="D208" s="809">
        <v>0</v>
      </c>
      <c r="E208" s="95">
        <f t="shared" si="7"/>
        <v>210850.89679999999</v>
      </c>
      <c r="F208" s="145">
        <v>948.31</v>
      </c>
      <c r="G208" s="1094">
        <f t="shared" si="8"/>
        <v>211799.20679999999</v>
      </c>
      <c r="I208" t="s">
        <v>462</v>
      </c>
    </row>
    <row r="209" spans="1:9" hidden="1" outlineLevel="1">
      <c r="A209" s="988" t="s">
        <v>463</v>
      </c>
      <c r="B209" s="793">
        <v>12921518.448960001</v>
      </c>
      <c r="C209" s="809">
        <v>-1746509.47</v>
      </c>
      <c r="D209" s="809">
        <v>0</v>
      </c>
      <c r="E209" s="95">
        <f t="shared" si="7"/>
        <v>11175008.97896</v>
      </c>
      <c r="F209" s="145">
        <v>-118650.51</v>
      </c>
      <c r="G209" s="1094">
        <f t="shared" si="8"/>
        <v>11056358.46896</v>
      </c>
      <c r="I209" t="s">
        <v>464</v>
      </c>
    </row>
    <row r="210" spans="1:9" hidden="1" outlineLevel="1">
      <c r="A210" s="988" t="s">
        <v>465</v>
      </c>
      <c r="B210" s="793">
        <v>39424.222399999999</v>
      </c>
      <c r="C210" s="809">
        <v>0</v>
      </c>
      <c r="D210" s="809">
        <v>0</v>
      </c>
      <c r="E210" s="95">
        <f t="shared" si="7"/>
        <v>39424.222399999999</v>
      </c>
      <c r="F210" s="145">
        <v>-128.4</v>
      </c>
      <c r="G210" s="1094">
        <f t="shared" si="8"/>
        <v>39295.822399999997</v>
      </c>
      <c r="I210" t="s">
        <v>466</v>
      </c>
    </row>
    <row r="211" spans="1:9" hidden="1" outlineLevel="1">
      <c r="A211" s="988" t="s">
        <v>467</v>
      </c>
      <c r="B211" s="793">
        <v>718425.34703999991</v>
      </c>
      <c r="C211" s="809">
        <v>0</v>
      </c>
      <c r="D211" s="809">
        <v>0</v>
      </c>
      <c r="E211" s="95">
        <f t="shared" si="7"/>
        <v>718425.34703999991</v>
      </c>
      <c r="F211" s="145">
        <v>0</v>
      </c>
      <c r="G211" s="1094">
        <f t="shared" si="8"/>
        <v>718425.34703999991</v>
      </c>
      <c r="I211" t="s">
        <v>468</v>
      </c>
    </row>
    <row r="212" spans="1:9" hidden="1" outlineLevel="1">
      <c r="A212" s="988" t="s">
        <v>469</v>
      </c>
      <c r="B212" s="793">
        <v>143979230.11310399</v>
      </c>
      <c r="C212" s="809">
        <v>-1738623.33</v>
      </c>
      <c r="D212" s="809">
        <v>0</v>
      </c>
      <c r="E212" s="95">
        <f t="shared" si="7"/>
        <v>142240606.78310397</v>
      </c>
      <c r="F212" s="145">
        <v>-1254146.1300000001</v>
      </c>
      <c r="G212" s="1094">
        <f t="shared" si="8"/>
        <v>140986460.65310398</v>
      </c>
      <c r="I212" t="s">
        <v>470</v>
      </c>
    </row>
    <row r="213" spans="1:9" hidden="1" outlineLevel="1">
      <c r="A213" s="988" t="s">
        <v>471</v>
      </c>
      <c r="B213" s="793">
        <v>864922.91280000005</v>
      </c>
      <c r="C213" s="809">
        <v>0</v>
      </c>
      <c r="D213" s="809">
        <v>0</v>
      </c>
      <c r="E213" s="95">
        <f t="shared" si="7"/>
        <v>864922.91280000005</v>
      </c>
      <c r="F213" s="145">
        <v>-8369.7100000000009</v>
      </c>
      <c r="G213" s="1094">
        <f t="shared" si="8"/>
        <v>856553.20280000009</v>
      </c>
      <c r="I213" t="s">
        <v>472</v>
      </c>
    </row>
    <row r="214" spans="1:9" hidden="1" outlineLevel="1">
      <c r="A214" s="988" t="s">
        <v>473</v>
      </c>
      <c r="B214" s="793">
        <v>108144.13872000002</v>
      </c>
      <c r="C214" s="809">
        <v>0</v>
      </c>
      <c r="D214" s="809">
        <v>0</v>
      </c>
      <c r="E214" s="95">
        <f t="shared" si="7"/>
        <v>108144.13872000002</v>
      </c>
      <c r="F214" s="145">
        <v>0</v>
      </c>
      <c r="G214" s="1094">
        <f t="shared" si="8"/>
        <v>108144.13872000002</v>
      </c>
      <c r="I214" t="s">
        <v>474</v>
      </c>
    </row>
    <row r="215" spans="1:9" hidden="1" outlineLevel="1">
      <c r="A215" s="988" t="s">
        <v>475</v>
      </c>
      <c r="B215" s="793">
        <v>384929.43152000004</v>
      </c>
      <c r="C215" s="809">
        <v>0</v>
      </c>
      <c r="D215" s="809">
        <v>0</v>
      </c>
      <c r="E215" s="95">
        <f t="shared" si="7"/>
        <v>384929.43152000004</v>
      </c>
      <c r="F215" s="145">
        <v>641.45999999999992</v>
      </c>
      <c r="G215" s="1094">
        <f t="shared" si="8"/>
        <v>385570.89152000006</v>
      </c>
      <c r="I215" t="s">
        <v>476</v>
      </c>
    </row>
    <row r="216" spans="1:9" hidden="1" outlineLevel="1">
      <c r="A216" s="988" t="s">
        <v>477</v>
      </c>
      <c r="B216" s="793">
        <v>7909136.1360560004</v>
      </c>
      <c r="C216" s="809">
        <v>0</v>
      </c>
      <c r="D216" s="809">
        <v>0</v>
      </c>
      <c r="E216" s="95">
        <f t="shared" si="7"/>
        <v>7909136.1360560004</v>
      </c>
      <c r="F216" s="145">
        <v>-164375.33999999997</v>
      </c>
      <c r="G216" s="1094">
        <f t="shared" si="8"/>
        <v>7744760.7960560005</v>
      </c>
      <c r="I216" t="s">
        <v>478</v>
      </c>
    </row>
    <row r="217" spans="1:9" hidden="1" outlineLevel="1">
      <c r="A217" s="988" t="s">
        <v>479</v>
      </c>
      <c r="B217" s="793">
        <v>1192550.7115200001</v>
      </c>
      <c r="C217" s="809">
        <v>0</v>
      </c>
      <c r="D217" s="809">
        <v>0</v>
      </c>
      <c r="E217" s="95">
        <f t="shared" si="7"/>
        <v>1192550.7115200001</v>
      </c>
      <c r="F217" s="145">
        <v>-4933.92</v>
      </c>
      <c r="G217" s="1094">
        <f t="shared" si="8"/>
        <v>1187616.7915200002</v>
      </c>
      <c r="I217" t="s">
        <v>480</v>
      </c>
    </row>
    <row r="218" spans="1:9" hidden="1" outlineLevel="1">
      <c r="A218" s="988" t="s">
        <v>481</v>
      </c>
      <c r="B218" s="793">
        <v>795864.18559999997</v>
      </c>
      <c r="C218" s="809">
        <v>0</v>
      </c>
      <c r="D218" s="809">
        <v>0</v>
      </c>
      <c r="E218" s="95">
        <f t="shared" si="7"/>
        <v>795864.18559999997</v>
      </c>
      <c r="F218" s="145">
        <v>0</v>
      </c>
      <c r="G218" s="1094">
        <f t="shared" si="8"/>
        <v>795864.18559999997</v>
      </c>
      <c r="I218" t="s">
        <v>482</v>
      </c>
    </row>
    <row r="219" spans="1:9" hidden="1" outlineLevel="1">
      <c r="A219" s="988" t="s">
        <v>483</v>
      </c>
      <c r="B219" s="793">
        <v>42344520.808368005</v>
      </c>
      <c r="C219" s="809">
        <v>0</v>
      </c>
      <c r="D219" s="809">
        <v>0</v>
      </c>
      <c r="E219" s="95">
        <f t="shared" si="7"/>
        <v>42344520.808368005</v>
      </c>
      <c r="F219" s="145">
        <v>-124216.36</v>
      </c>
      <c r="G219" s="1094">
        <f t="shared" si="8"/>
        <v>42220304.448368005</v>
      </c>
      <c r="I219" t="s">
        <v>484</v>
      </c>
    </row>
    <row r="220" spans="1:9" hidden="1" outlineLevel="1">
      <c r="A220" s="988" t="s">
        <v>485</v>
      </c>
      <c r="B220" s="793">
        <v>2202994.8783999998</v>
      </c>
      <c r="C220" s="809">
        <v>0</v>
      </c>
      <c r="D220" s="809">
        <v>0</v>
      </c>
      <c r="E220" s="95">
        <f t="shared" si="7"/>
        <v>2202994.8783999998</v>
      </c>
      <c r="F220" s="145">
        <v>21276.400000000001</v>
      </c>
      <c r="G220" s="1094">
        <f t="shared" si="8"/>
        <v>2224271.2783999997</v>
      </c>
      <c r="I220" t="s">
        <v>486</v>
      </c>
    </row>
    <row r="221" spans="1:9" hidden="1" outlineLevel="1">
      <c r="A221" s="988" t="s">
        <v>487</v>
      </c>
      <c r="B221" s="793">
        <v>475393.57648000005</v>
      </c>
      <c r="C221" s="809">
        <v>0</v>
      </c>
      <c r="D221" s="809">
        <v>0</v>
      </c>
      <c r="E221" s="95">
        <f t="shared" si="7"/>
        <v>475393.57648000005</v>
      </c>
      <c r="F221" s="145">
        <v>8041.62</v>
      </c>
      <c r="G221" s="1094">
        <f t="shared" si="8"/>
        <v>483435.19648000004</v>
      </c>
      <c r="I221" t="s">
        <v>488</v>
      </c>
    </row>
    <row r="222" spans="1:9" hidden="1" outlineLevel="1">
      <c r="A222" s="988" t="s">
        <v>489</v>
      </c>
      <c r="B222" s="793">
        <v>2802188.1582399998</v>
      </c>
      <c r="C222" s="809">
        <v>0</v>
      </c>
      <c r="D222" s="809">
        <v>0</v>
      </c>
      <c r="E222" s="95">
        <f t="shared" si="7"/>
        <v>2802188.1582399998</v>
      </c>
      <c r="F222" s="145">
        <v>822.38</v>
      </c>
      <c r="G222" s="1094">
        <f t="shared" si="8"/>
        <v>2803010.5382399997</v>
      </c>
      <c r="I222" t="s">
        <v>490</v>
      </c>
    </row>
    <row r="223" spans="1:9" hidden="1" outlineLevel="1">
      <c r="A223" s="988" t="s">
        <v>491</v>
      </c>
      <c r="B223" s="793">
        <v>125090.81632000001</v>
      </c>
      <c r="C223" s="809">
        <v>0</v>
      </c>
      <c r="D223" s="809">
        <v>0</v>
      </c>
      <c r="E223" s="95">
        <f t="shared" si="7"/>
        <v>125090.81632000001</v>
      </c>
      <c r="F223" s="145">
        <v>0</v>
      </c>
      <c r="G223" s="1094">
        <f t="shared" si="8"/>
        <v>125090.81632000001</v>
      </c>
      <c r="I223" t="s">
        <v>492</v>
      </c>
    </row>
    <row r="224" spans="1:9" hidden="1" outlineLevel="1">
      <c r="A224" s="988" t="s">
        <v>493</v>
      </c>
      <c r="B224" s="793">
        <v>1423942.6476800002</v>
      </c>
      <c r="C224" s="809">
        <v>0</v>
      </c>
      <c r="D224" s="809">
        <v>0</v>
      </c>
      <c r="E224" s="95">
        <f t="shared" si="7"/>
        <v>1423942.6476800002</v>
      </c>
      <c r="F224" s="145">
        <v>0</v>
      </c>
      <c r="G224" s="1094">
        <f t="shared" si="8"/>
        <v>1423942.6476800002</v>
      </c>
      <c r="I224" t="s">
        <v>494</v>
      </c>
    </row>
    <row r="225" spans="1:9" hidden="1" outlineLevel="1">
      <c r="A225" s="988" t="s">
        <v>495</v>
      </c>
      <c r="B225" s="793">
        <v>5141252.5771200005</v>
      </c>
      <c r="C225" s="809">
        <v>-34067.660000000003</v>
      </c>
      <c r="D225" s="809">
        <v>0</v>
      </c>
      <c r="E225" s="95">
        <f t="shared" si="7"/>
        <v>5107184.9171200003</v>
      </c>
      <c r="F225" s="145">
        <v>0</v>
      </c>
      <c r="G225" s="1094">
        <f t="shared" si="8"/>
        <v>5107184.9171200003</v>
      </c>
      <c r="I225" t="s">
        <v>496</v>
      </c>
    </row>
    <row r="226" spans="1:9" hidden="1" outlineLevel="1">
      <c r="A226" s="988" t="s">
        <v>497</v>
      </c>
      <c r="B226" s="793">
        <v>1163796.2569600001</v>
      </c>
      <c r="C226" s="809">
        <v>0</v>
      </c>
      <c r="D226" s="809">
        <v>0</v>
      </c>
      <c r="E226" s="95">
        <f t="shared" si="7"/>
        <v>1163796.2569600001</v>
      </c>
      <c r="F226" s="145">
        <v>-1703.18</v>
      </c>
      <c r="G226" s="1094">
        <f t="shared" si="8"/>
        <v>1162093.0769600002</v>
      </c>
      <c r="I226" t="s">
        <v>498</v>
      </c>
    </row>
    <row r="227" spans="1:9" hidden="1" outlineLevel="1">
      <c r="A227" s="988" t="s">
        <v>499</v>
      </c>
      <c r="B227" s="793">
        <v>96546.327680000017</v>
      </c>
      <c r="C227" s="809">
        <v>0</v>
      </c>
      <c r="D227" s="809">
        <v>0</v>
      </c>
      <c r="E227" s="95">
        <f t="shared" si="7"/>
        <v>96546.327680000017</v>
      </c>
      <c r="F227" s="145">
        <v>331.02</v>
      </c>
      <c r="G227" s="1094">
        <f t="shared" si="8"/>
        <v>96877.347680000021</v>
      </c>
      <c r="I227" t="s">
        <v>500</v>
      </c>
    </row>
    <row r="228" spans="1:9" hidden="1" outlineLevel="1">
      <c r="A228" s="988" t="s">
        <v>501</v>
      </c>
      <c r="B228" s="793">
        <v>945973.4315200001</v>
      </c>
      <c r="C228" s="809">
        <v>0</v>
      </c>
      <c r="D228" s="809">
        <v>0</v>
      </c>
      <c r="E228" s="95">
        <f t="shared" si="7"/>
        <v>945973.4315200001</v>
      </c>
      <c r="F228" s="145">
        <v>0</v>
      </c>
      <c r="G228" s="1094">
        <f t="shared" si="8"/>
        <v>945973.4315200001</v>
      </c>
      <c r="I228" t="s">
        <v>502</v>
      </c>
    </row>
    <row r="229" spans="1:9" hidden="1" outlineLevel="1">
      <c r="A229" s="988" t="s">
        <v>503</v>
      </c>
      <c r="B229" s="793">
        <v>8151090.4177600006</v>
      </c>
      <c r="C229" s="809">
        <v>0</v>
      </c>
      <c r="D229" s="809">
        <v>0</v>
      </c>
      <c r="E229" s="95">
        <f t="shared" si="7"/>
        <v>8151090.4177600006</v>
      </c>
      <c r="F229" s="145">
        <v>-409786.61</v>
      </c>
      <c r="G229" s="1094">
        <f t="shared" si="8"/>
        <v>7741303.8077600002</v>
      </c>
      <c r="I229" t="s">
        <v>504</v>
      </c>
    </row>
    <row r="230" spans="1:9" hidden="1" outlineLevel="1">
      <c r="A230" s="988" t="s">
        <v>505</v>
      </c>
      <c r="B230" s="793">
        <v>716653.08431999991</v>
      </c>
      <c r="C230" s="809">
        <v>0</v>
      </c>
      <c r="D230" s="809">
        <v>0</v>
      </c>
      <c r="E230" s="95">
        <f t="shared" si="7"/>
        <v>716653.08431999991</v>
      </c>
      <c r="F230" s="145">
        <v>-1150.8200000000002</v>
      </c>
      <c r="G230" s="1094">
        <f t="shared" si="8"/>
        <v>715502.26431999996</v>
      </c>
      <c r="I230" t="s">
        <v>506</v>
      </c>
    </row>
    <row r="231" spans="1:9" hidden="1" outlineLevel="1">
      <c r="A231" s="988" t="s">
        <v>507</v>
      </c>
      <c r="B231" s="793">
        <v>802711.92032000003</v>
      </c>
      <c r="C231" s="809">
        <v>0</v>
      </c>
      <c r="D231" s="809">
        <v>0</v>
      </c>
      <c r="E231" s="95">
        <f t="shared" si="7"/>
        <v>802711.92032000003</v>
      </c>
      <c r="F231" s="145">
        <v>651.55999999999995</v>
      </c>
      <c r="G231" s="1094">
        <f t="shared" si="8"/>
        <v>803363.48032000009</v>
      </c>
      <c r="I231" t="s">
        <v>508</v>
      </c>
    </row>
    <row r="232" spans="1:9" hidden="1" outlineLevel="1">
      <c r="A232" s="988" t="s">
        <v>509</v>
      </c>
      <c r="B232" s="793">
        <v>852682.51040000003</v>
      </c>
      <c r="C232" s="809">
        <v>0</v>
      </c>
      <c r="D232" s="809">
        <v>0</v>
      </c>
      <c r="E232" s="95">
        <f t="shared" si="7"/>
        <v>852682.51040000003</v>
      </c>
      <c r="F232" s="145">
        <v>-2768.76</v>
      </c>
      <c r="G232" s="1094">
        <f t="shared" si="8"/>
        <v>849913.75040000002</v>
      </c>
      <c r="I232" t="s">
        <v>510</v>
      </c>
    </row>
    <row r="233" spans="1:9" hidden="1" outlineLevel="1">
      <c r="A233" s="988" t="s">
        <v>511</v>
      </c>
      <c r="B233" s="793">
        <v>407.41536000000002</v>
      </c>
      <c r="C233" s="809">
        <v>0</v>
      </c>
      <c r="D233" s="809">
        <v>0</v>
      </c>
      <c r="E233" s="95">
        <f t="shared" si="7"/>
        <v>407.41536000000002</v>
      </c>
      <c r="F233" s="145">
        <v>0</v>
      </c>
      <c r="G233" s="1094">
        <f t="shared" si="8"/>
        <v>407.41536000000002</v>
      </c>
      <c r="I233" t="s">
        <v>512</v>
      </c>
    </row>
    <row r="234" spans="1:9" hidden="1" outlineLevel="1">
      <c r="A234" s="988" t="s">
        <v>172</v>
      </c>
      <c r="B234" s="793">
        <v>59407.327200000007</v>
      </c>
      <c r="C234" s="809">
        <v>0</v>
      </c>
      <c r="D234" s="809">
        <v>0</v>
      </c>
      <c r="E234" s="95">
        <f t="shared" si="7"/>
        <v>59407.327200000007</v>
      </c>
      <c r="F234" s="145">
        <v>2244.6</v>
      </c>
      <c r="G234" s="1094">
        <f t="shared" si="8"/>
        <v>61651.927200000006</v>
      </c>
      <c r="I234" t="s">
        <v>173</v>
      </c>
    </row>
    <row r="235" spans="1:9" hidden="1" outlineLevel="1">
      <c r="A235" s="988" t="s">
        <v>513</v>
      </c>
      <c r="B235" s="793">
        <v>566968.13919999998</v>
      </c>
      <c r="C235" s="809">
        <v>0</v>
      </c>
      <c r="D235" s="809">
        <v>0</v>
      </c>
      <c r="E235" s="95">
        <f t="shared" si="7"/>
        <v>566968.13919999998</v>
      </c>
      <c r="F235" s="145">
        <v>950.8</v>
      </c>
      <c r="G235" s="1094">
        <f t="shared" si="8"/>
        <v>567918.93920000002</v>
      </c>
      <c r="I235" t="s">
        <v>514</v>
      </c>
    </row>
    <row r="236" spans="1:9" hidden="1" outlineLevel="1">
      <c r="A236" s="988" t="s">
        <v>515</v>
      </c>
      <c r="B236" s="793">
        <v>21495.152000000002</v>
      </c>
      <c r="C236" s="809">
        <v>0</v>
      </c>
      <c r="D236" s="809">
        <v>0</v>
      </c>
      <c r="E236" s="95">
        <f t="shared" si="7"/>
        <v>21495.152000000002</v>
      </c>
      <c r="F236" s="145">
        <v>0</v>
      </c>
      <c r="G236" s="1094">
        <f t="shared" si="8"/>
        <v>21495.152000000002</v>
      </c>
      <c r="I236" t="s">
        <v>516</v>
      </c>
    </row>
    <row r="237" spans="1:9" hidden="1" outlineLevel="1">
      <c r="A237" s="988" t="s">
        <v>517</v>
      </c>
      <c r="B237" s="793">
        <v>905899.25087999995</v>
      </c>
      <c r="C237" s="809">
        <v>0</v>
      </c>
      <c r="D237" s="809">
        <v>0</v>
      </c>
      <c r="E237" s="95">
        <f t="shared" si="7"/>
        <v>905899.25087999995</v>
      </c>
      <c r="F237" s="145">
        <v>0</v>
      </c>
      <c r="G237" s="1094">
        <f t="shared" si="8"/>
        <v>905899.25087999995</v>
      </c>
      <c r="I237" t="s">
        <v>518</v>
      </c>
    </row>
    <row r="238" spans="1:9" hidden="1" outlineLevel="1">
      <c r="A238" s="988" t="s">
        <v>519</v>
      </c>
      <c r="B238" s="793">
        <v>620458.37919999997</v>
      </c>
      <c r="C238" s="809">
        <v>0</v>
      </c>
      <c r="D238" s="809">
        <v>0</v>
      </c>
      <c r="E238" s="95">
        <f t="shared" si="7"/>
        <v>620458.37919999997</v>
      </c>
      <c r="F238" s="145">
        <v>4618.29</v>
      </c>
      <c r="G238" s="1094">
        <f t="shared" si="8"/>
        <v>625076.6692</v>
      </c>
      <c r="I238" t="s">
        <v>520</v>
      </c>
    </row>
    <row r="239" spans="1:9" hidden="1" outlineLevel="1">
      <c r="A239" s="988" t="s">
        <v>521</v>
      </c>
      <c r="B239" s="793">
        <v>1988257.8179200001</v>
      </c>
      <c r="C239" s="809">
        <v>0</v>
      </c>
      <c r="D239" s="809">
        <v>0</v>
      </c>
      <c r="E239" s="95">
        <f t="shared" si="7"/>
        <v>1988257.8179200001</v>
      </c>
      <c r="F239" s="145">
        <v>0</v>
      </c>
      <c r="G239" s="1094">
        <f t="shared" si="8"/>
        <v>1988257.8179200001</v>
      </c>
      <c r="I239" t="s">
        <v>522</v>
      </c>
    </row>
    <row r="240" spans="1:9" hidden="1" outlineLevel="1">
      <c r="A240" s="988" t="s">
        <v>523</v>
      </c>
      <c r="B240" s="793">
        <v>915758.77344000002</v>
      </c>
      <c r="C240" s="809">
        <v>0</v>
      </c>
      <c r="D240" s="809">
        <v>0</v>
      </c>
      <c r="E240" s="95">
        <f t="shared" si="7"/>
        <v>915758.77344000002</v>
      </c>
      <c r="F240" s="145">
        <v>19830.91</v>
      </c>
      <c r="G240" s="1094">
        <f t="shared" si="8"/>
        <v>935589.68344000005</v>
      </c>
      <c r="I240" t="s">
        <v>524</v>
      </c>
    </row>
    <row r="241" spans="1:9" hidden="1" outlineLevel="1">
      <c r="A241" s="988" t="s">
        <v>525</v>
      </c>
      <c r="B241" s="793">
        <v>126230.76064000001</v>
      </c>
      <c r="C241" s="809">
        <v>0</v>
      </c>
      <c r="D241" s="809">
        <v>0</v>
      </c>
      <c r="E241" s="95">
        <f t="shared" si="7"/>
        <v>126230.76064000001</v>
      </c>
      <c r="F241" s="145">
        <v>0</v>
      </c>
      <c r="G241" s="1094">
        <f t="shared" si="8"/>
        <v>126230.76064000001</v>
      </c>
      <c r="I241" t="s">
        <v>526</v>
      </c>
    </row>
    <row r="242" spans="1:9" hidden="1" outlineLevel="1">
      <c r="A242" s="988" t="s">
        <v>527</v>
      </c>
      <c r="B242" s="793">
        <v>1193335.4974400001</v>
      </c>
      <c r="C242" s="809">
        <v>0</v>
      </c>
      <c r="D242" s="809">
        <v>0</v>
      </c>
      <c r="E242" s="95">
        <f t="shared" si="7"/>
        <v>1193335.4974400001</v>
      </c>
      <c r="F242" s="145">
        <v>-16704.02</v>
      </c>
      <c r="G242" s="1094">
        <f t="shared" si="8"/>
        <v>1176631.47744</v>
      </c>
      <c r="I242" t="s">
        <v>528</v>
      </c>
    </row>
    <row r="243" spans="1:9" hidden="1" outlineLevel="1">
      <c r="A243" s="988" t="s">
        <v>529</v>
      </c>
      <c r="B243" s="793">
        <v>73489.423360000001</v>
      </c>
      <c r="C243" s="809">
        <v>0</v>
      </c>
      <c r="D243" s="809">
        <v>0</v>
      </c>
      <c r="E243" s="95">
        <f t="shared" ref="E243:E306" si="9">B243+C243+D243</f>
        <v>73489.423360000001</v>
      </c>
      <c r="F243" s="145">
        <v>238.2</v>
      </c>
      <c r="G243" s="1094">
        <f t="shared" si="8"/>
        <v>73727.623359999998</v>
      </c>
      <c r="I243" t="s">
        <v>530</v>
      </c>
    </row>
    <row r="244" spans="1:9" hidden="1" outlineLevel="1">
      <c r="A244" s="988" t="s">
        <v>531</v>
      </c>
      <c r="B244" s="793">
        <v>2175928.30528</v>
      </c>
      <c r="C244" s="809">
        <v>0</v>
      </c>
      <c r="D244" s="809">
        <v>0</v>
      </c>
      <c r="E244" s="95">
        <f t="shared" si="9"/>
        <v>2175928.30528</v>
      </c>
      <c r="F244" s="145">
        <v>0</v>
      </c>
      <c r="G244" s="1094">
        <f t="shared" si="8"/>
        <v>2175928.30528</v>
      </c>
      <c r="I244" t="s">
        <v>532</v>
      </c>
    </row>
    <row r="245" spans="1:9" hidden="1" outlineLevel="1">
      <c r="A245" s="988" t="s">
        <v>533</v>
      </c>
      <c r="B245" s="793">
        <v>1608462.1571200001</v>
      </c>
      <c r="C245" s="809">
        <v>0</v>
      </c>
      <c r="D245" s="809">
        <v>0</v>
      </c>
      <c r="E245" s="95">
        <f t="shared" si="9"/>
        <v>1608462.1571200001</v>
      </c>
      <c r="F245" s="145">
        <v>0</v>
      </c>
      <c r="G245" s="1094">
        <f t="shared" si="8"/>
        <v>1608462.1571200001</v>
      </c>
      <c r="I245" t="s">
        <v>534</v>
      </c>
    </row>
    <row r="246" spans="1:9" hidden="1" outlineLevel="1">
      <c r="A246" s="988" t="s">
        <v>535</v>
      </c>
      <c r="B246" s="793">
        <v>932275.0560000001</v>
      </c>
      <c r="C246" s="809">
        <v>0</v>
      </c>
      <c r="D246" s="809">
        <v>0</v>
      </c>
      <c r="E246" s="95">
        <f t="shared" si="9"/>
        <v>932275.0560000001</v>
      </c>
      <c r="F246" s="145">
        <v>12036.44</v>
      </c>
      <c r="G246" s="1094">
        <f t="shared" si="8"/>
        <v>944311.49600000004</v>
      </c>
      <c r="I246" t="s">
        <v>536</v>
      </c>
    </row>
    <row r="247" spans="1:9" hidden="1" outlineLevel="1">
      <c r="A247" s="988" t="s">
        <v>537</v>
      </c>
      <c r="B247" s="793">
        <v>206245.99328000002</v>
      </c>
      <c r="C247" s="809">
        <v>0</v>
      </c>
      <c r="D247" s="809">
        <v>0</v>
      </c>
      <c r="E247" s="95">
        <f t="shared" si="9"/>
        <v>206245.99328000002</v>
      </c>
      <c r="F247" s="145">
        <v>0</v>
      </c>
      <c r="G247" s="1094">
        <f t="shared" si="8"/>
        <v>206245.99328000002</v>
      </c>
      <c r="I247" t="s">
        <v>538</v>
      </c>
    </row>
    <row r="248" spans="1:9" hidden="1" outlineLevel="1">
      <c r="A248" s="988" t="s">
        <v>539</v>
      </c>
      <c r="B248" s="793">
        <v>986989.10991999996</v>
      </c>
      <c r="C248" s="809">
        <v>0</v>
      </c>
      <c r="D248" s="809">
        <v>0</v>
      </c>
      <c r="E248" s="95">
        <f t="shared" si="9"/>
        <v>986989.10991999996</v>
      </c>
      <c r="F248" s="145">
        <v>0</v>
      </c>
      <c r="G248" s="1094">
        <f t="shared" si="8"/>
        <v>986989.10991999996</v>
      </c>
      <c r="I248" t="s">
        <v>540</v>
      </c>
    </row>
    <row r="249" spans="1:9" hidden="1" outlineLevel="1">
      <c r="A249" s="988" t="s">
        <v>541</v>
      </c>
      <c r="B249" s="793">
        <v>16864967.236464001</v>
      </c>
      <c r="C249" s="809">
        <v>0</v>
      </c>
      <c r="D249" s="809">
        <v>0</v>
      </c>
      <c r="E249" s="95">
        <f t="shared" si="9"/>
        <v>16864967.236464001</v>
      </c>
      <c r="F249" s="145">
        <v>427231.23000000004</v>
      </c>
      <c r="G249" s="1094">
        <f t="shared" si="8"/>
        <v>17292198.466464002</v>
      </c>
      <c r="I249" t="s">
        <v>542</v>
      </c>
    </row>
    <row r="250" spans="1:9" hidden="1" outlineLevel="1">
      <c r="A250" s="988" t="s">
        <v>543</v>
      </c>
      <c r="B250" s="793">
        <v>1961063.96768</v>
      </c>
      <c r="C250" s="809">
        <v>0</v>
      </c>
      <c r="D250" s="809">
        <v>0</v>
      </c>
      <c r="E250" s="95">
        <f t="shared" si="9"/>
        <v>1961063.96768</v>
      </c>
      <c r="F250" s="145">
        <v>141.91999999999999</v>
      </c>
      <c r="G250" s="1094">
        <f t="shared" si="8"/>
        <v>1961205.8876799999</v>
      </c>
      <c r="I250" t="s">
        <v>544</v>
      </c>
    </row>
    <row r="251" spans="1:9" hidden="1" outlineLevel="1">
      <c r="A251" s="988" t="s">
        <v>545</v>
      </c>
      <c r="B251" s="793">
        <v>549316.07792000007</v>
      </c>
      <c r="C251" s="809">
        <v>0</v>
      </c>
      <c r="D251" s="809">
        <v>0</v>
      </c>
      <c r="E251" s="95">
        <f t="shared" si="9"/>
        <v>549316.07792000007</v>
      </c>
      <c r="F251" s="145">
        <v>2921.06</v>
      </c>
      <c r="G251" s="1094">
        <f t="shared" si="8"/>
        <v>552237.13792000012</v>
      </c>
      <c r="I251" t="s">
        <v>546</v>
      </c>
    </row>
    <row r="252" spans="1:9" hidden="1" outlineLevel="1">
      <c r="A252" s="988" t="s">
        <v>547</v>
      </c>
      <c r="B252" s="793">
        <v>1021735.90144</v>
      </c>
      <c r="C252" s="809">
        <v>-982.06</v>
      </c>
      <c r="D252" s="809">
        <v>0</v>
      </c>
      <c r="E252" s="95">
        <f t="shared" si="9"/>
        <v>1020753.84144</v>
      </c>
      <c r="F252" s="145">
        <v>648.41999999999996</v>
      </c>
      <c r="G252" s="1094">
        <f t="shared" si="8"/>
        <v>1021402.26144</v>
      </c>
      <c r="I252" t="s">
        <v>548</v>
      </c>
    </row>
    <row r="253" spans="1:9" hidden="1" outlineLevel="1">
      <c r="A253" s="988" t="s">
        <v>549</v>
      </c>
      <c r="B253" s="793">
        <v>497987.02336000005</v>
      </c>
      <c r="C253" s="809">
        <v>0</v>
      </c>
      <c r="D253" s="809">
        <v>0</v>
      </c>
      <c r="E253" s="95">
        <f t="shared" si="9"/>
        <v>497987.02336000005</v>
      </c>
      <c r="F253" s="145">
        <v>-902.51</v>
      </c>
      <c r="G253" s="1094">
        <f t="shared" si="8"/>
        <v>497084.51336000004</v>
      </c>
      <c r="I253" t="s">
        <v>550</v>
      </c>
    </row>
    <row r="254" spans="1:9" hidden="1" outlineLevel="1">
      <c r="A254" s="988" t="s">
        <v>551</v>
      </c>
      <c r="B254" s="793">
        <v>3013183.5259199999</v>
      </c>
      <c r="C254" s="809">
        <v>0</v>
      </c>
      <c r="D254" s="809">
        <v>0</v>
      </c>
      <c r="E254" s="95">
        <f t="shared" si="9"/>
        <v>3013183.5259199999</v>
      </c>
      <c r="F254" s="145">
        <v>-14541.91</v>
      </c>
      <c r="G254" s="1094">
        <f t="shared" si="8"/>
        <v>2998641.6159199998</v>
      </c>
      <c r="I254" t="s">
        <v>552</v>
      </c>
    </row>
    <row r="255" spans="1:9" hidden="1" outlineLevel="1">
      <c r="A255" s="988" t="s">
        <v>553</v>
      </c>
      <c r="B255" s="793">
        <v>2320372.38112</v>
      </c>
      <c r="C255" s="809">
        <v>0</v>
      </c>
      <c r="D255" s="809">
        <v>0</v>
      </c>
      <c r="E255" s="95">
        <f t="shared" si="9"/>
        <v>2320372.38112</v>
      </c>
      <c r="F255" s="145">
        <v>13310.33</v>
      </c>
      <c r="G255" s="1094">
        <f t="shared" si="8"/>
        <v>2333682.7111200001</v>
      </c>
      <c r="I255" t="s">
        <v>554</v>
      </c>
    </row>
    <row r="256" spans="1:9" hidden="1" outlineLevel="1">
      <c r="A256" s="988" t="s">
        <v>555</v>
      </c>
      <c r="B256" s="793">
        <v>1135877.02816</v>
      </c>
      <c r="C256" s="809">
        <v>0</v>
      </c>
      <c r="D256" s="809">
        <v>0</v>
      </c>
      <c r="E256" s="95">
        <f t="shared" si="9"/>
        <v>1135877.02816</v>
      </c>
      <c r="F256" s="145">
        <v>9407.7400000000016</v>
      </c>
      <c r="G256" s="1094">
        <f t="shared" si="8"/>
        <v>1145284.76816</v>
      </c>
      <c r="I256" t="s">
        <v>556</v>
      </c>
    </row>
    <row r="257" spans="1:9" hidden="1" outlineLevel="1">
      <c r="A257" s="988" t="s">
        <v>559</v>
      </c>
      <c r="B257" s="793">
        <v>72075.808960000009</v>
      </c>
      <c r="C257" s="809">
        <v>0</v>
      </c>
      <c r="D257" s="809">
        <v>0</v>
      </c>
      <c r="E257" s="95">
        <f t="shared" si="9"/>
        <v>72075.808960000009</v>
      </c>
      <c r="F257" s="145">
        <v>-81.88</v>
      </c>
      <c r="G257" s="1094">
        <f t="shared" si="8"/>
        <v>71993.928960000005</v>
      </c>
      <c r="I257" t="s">
        <v>560</v>
      </c>
    </row>
    <row r="258" spans="1:9" hidden="1" outlineLevel="1">
      <c r="A258" s="988" t="s">
        <v>561</v>
      </c>
      <c r="B258" s="793">
        <v>21352.078400000002</v>
      </c>
      <c r="C258" s="809">
        <v>0</v>
      </c>
      <c r="D258" s="809">
        <v>0</v>
      </c>
      <c r="E258" s="95">
        <f t="shared" si="9"/>
        <v>21352.078400000002</v>
      </c>
      <c r="F258" s="145">
        <v>-24.84</v>
      </c>
      <c r="G258" s="1094">
        <f t="shared" si="8"/>
        <v>21327.238400000002</v>
      </c>
      <c r="I258" t="s">
        <v>562</v>
      </c>
    </row>
    <row r="259" spans="1:9" hidden="1" outlineLevel="1">
      <c r="A259" s="988" t="s">
        <v>563</v>
      </c>
      <c r="B259" s="793">
        <v>518095.69312000001</v>
      </c>
      <c r="C259" s="809">
        <v>0</v>
      </c>
      <c r="D259" s="809">
        <v>0</v>
      </c>
      <c r="E259" s="95">
        <f t="shared" si="9"/>
        <v>518095.69312000001</v>
      </c>
      <c r="F259" s="145">
        <v>-10787.61</v>
      </c>
      <c r="G259" s="1094">
        <f t="shared" si="8"/>
        <v>507308.08312000002</v>
      </c>
      <c r="I259" t="s">
        <v>564</v>
      </c>
    </row>
    <row r="260" spans="1:9" hidden="1" outlineLevel="1">
      <c r="A260" s="988" t="s">
        <v>565</v>
      </c>
      <c r="B260" s="793">
        <v>762983.7403200001</v>
      </c>
      <c r="C260" s="809">
        <v>-126145.16</v>
      </c>
      <c r="D260" s="809">
        <v>0</v>
      </c>
      <c r="E260" s="95">
        <f t="shared" si="9"/>
        <v>636838.58032000007</v>
      </c>
      <c r="F260" s="145">
        <v>0</v>
      </c>
      <c r="G260" s="1094">
        <f t="shared" si="8"/>
        <v>636838.58032000007</v>
      </c>
      <c r="I260" t="s">
        <v>566</v>
      </c>
    </row>
    <row r="261" spans="1:9" hidden="1" outlineLevel="1">
      <c r="A261" s="988" t="s">
        <v>567</v>
      </c>
      <c r="B261" s="793">
        <v>15332779.803264</v>
      </c>
      <c r="C261" s="809">
        <v>0</v>
      </c>
      <c r="D261" s="809">
        <v>0</v>
      </c>
      <c r="E261" s="95">
        <f t="shared" si="9"/>
        <v>15332779.803264</v>
      </c>
      <c r="F261" s="145">
        <v>-107771.87999999999</v>
      </c>
      <c r="G261" s="1094">
        <f t="shared" si="8"/>
        <v>15225007.923263999</v>
      </c>
      <c r="I261" t="s">
        <v>568</v>
      </c>
    </row>
    <row r="262" spans="1:9" hidden="1" outlineLevel="1">
      <c r="A262" s="988" t="s">
        <v>569</v>
      </c>
      <c r="B262" s="793">
        <v>301933.99088</v>
      </c>
      <c r="C262" s="809">
        <v>0</v>
      </c>
      <c r="D262" s="809">
        <v>0</v>
      </c>
      <c r="E262" s="95">
        <f t="shared" si="9"/>
        <v>301933.99088</v>
      </c>
      <c r="F262" s="145">
        <v>0</v>
      </c>
      <c r="G262" s="1094">
        <f t="shared" si="8"/>
        <v>301933.99088</v>
      </c>
      <c r="I262" t="s">
        <v>570</v>
      </c>
    </row>
    <row r="263" spans="1:9" hidden="1" outlineLevel="1">
      <c r="A263" s="988" t="s">
        <v>571</v>
      </c>
      <c r="B263" s="793">
        <v>365781.11296000006</v>
      </c>
      <c r="C263" s="809">
        <v>0</v>
      </c>
      <c r="D263" s="809">
        <v>0</v>
      </c>
      <c r="E263" s="95">
        <f t="shared" si="9"/>
        <v>365781.11296000006</v>
      </c>
      <c r="F263" s="145">
        <v>0</v>
      </c>
      <c r="G263" s="1094">
        <f t="shared" si="8"/>
        <v>365781.11296000006</v>
      </c>
      <c r="I263" t="s">
        <v>572</v>
      </c>
    </row>
    <row r="264" spans="1:9" hidden="1" outlineLevel="1">
      <c r="A264" s="988" t="s">
        <v>573</v>
      </c>
      <c r="B264" s="793">
        <v>1679116.59776</v>
      </c>
      <c r="C264" s="809">
        <v>-24559.18</v>
      </c>
      <c r="D264" s="809">
        <v>0</v>
      </c>
      <c r="E264" s="95">
        <f t="shared" si="9"/>
        <v>1654557.4177600001</v>
      </c>
      <c r="F264" s="145">
        <v>28062.66</v>
      </c>
      <c r="G264" s="1094">
        <f t="shared" si="8"/>
        <v>1682620.07776</v>
      </c>
      <c r="I264" t="s">
        <v>574</v>
      </c>
    </row>
    <row r="265" spans="1:9" hidden="1" outlineLevel="1">
      <c r="A265" s="988" t="s">
        <v>575</v>
      </c>
      <c r="B265" s="793">
        <v>757472.80895999994</v>
      </c>
      <c r="C265" s="809">
        <v>0</v>
      </c>
      <c r="D265" s="809">
        <v>0</v>
      </c>
      <c r="E265" s="95">
        <f t="shared" si="9"/>
        <v>757472.80895999994</v>
      </c>
      <c r="F265" s="145">
        <v>683.28</v>
      </c>
      <c r="G265" s="1094">
        <f t="shared" si="8"/>
        <v>758156.08895999996</v>
      </c>
      <c r="I265" t="s">
        <v>576</v>
      </c>
    </row>
    <row r="266" spans="1:9" hidden="1" outlineLevel="1">
      <c r="A266" s="988" t="s">
        <v>577</v>
      </c>
      <c r="B266" s="793">
        <v>2895238.2033760003</v>
      </c>
      <c r="C266" s="809">
        <v>0</v>
      </c>
      <c r="D266" s="809">
        <v>0</v>
      </c>
      <c r="E266" s="95">
        <f t="shared" si="9"/>
        <v>2895238.2033760003</v>
      </c>
      <c r="F266" s="145">
        <v>4537.5499999999993</v>
      </c>
      <c r="G266" s="1094">
        <f t="shared" ref="G266:G329" si="10">E266+F266</f>
        <v>2899775.7533760001</v>
      </c>
      <c r="I266" t="s">
        <v>578</v>
      </c>
    </row>
    <row r="267" spans="1:9" hidden="1" outlineLevel="1">
      <c r="A267" s="988" t="s">
        <v>579</v>
      </c>
      <c r="B267" s="793">
        <v>919519.72640000004</v>
      </c>
      <c r="C267" s="809">
        <v>0</v>
      </c>
      <c r="D267" s="809">
        <v>0</v>
      </c>
      <c r="E267" s="95">
        <f t="shared" si="9"/>
        <v>919519.72640000004</v>
      </c>
      <c r="F267" s="145">
        <v>1500.56</v>
      </c>
      <c r="G267" s="1094">
        <f t="shared" si="10"/>
        <v>921020.2864000001</v>
      </c>
      <c r="I267" t="s">
        <v>580</v>
      </c>
    </row>
    <row r="268" spans="1:9" hidden="1" outlineLevel="1">
      <c r="A268" s="988" t="s">
        <v>581</v>
      </c>
      <c r="B268" s="793">
        <v>211172.45488</v>
      </c>
      <c r="C268" s="809">
        <v>0</v>
      </c>
      <c r="D268" s="809">
        <v>0</v>
      </c>
      <c r="E268" s="95">
        <f t="shared" si="9"/>
        <v>211172.45488</v>
      </c>
      <c r="F268" s="145">
        <v>3920.66</v>
      </c>
      <c r="G268" s="1094">
        <f t="shared" si="10"/>
        <v>215093.11488000001</v>
      </c>
      <c r="I268" t="s">
        <v>582</v>
      </c>
    </row>
    <row r="269" spans="1:9" hidden="1" outlineLevel="1">
      <c r="A269" s="988" t="s">
        <v>583</v>
      </c>
      <c r="B269" s="793">
        <v>770769.7977600001</v>
      </c>
      <c r="C269" s="809">
        <v>0</v>
      </c>
      <c r="D269" s="809">
        <v>0</v>
      </c>
      <c r="E269" s="95">
        <f t="shared" si="9"/>
        <v>770769.7977600001</v>
      </c>
      <c r="F269" s="145">
        <v>-1097.1199999999999</v>
      </c>
      <c r="G269" s="1094">
        <f t="shared" si="10"/>
        <v>769672.67776000011</v>
      </c>
      <c r="I269" t="s">
        <v>584</v>
      </c>
    </row>
    <row r="270" spans="1:9" hidden="1" outlineLevel="1">
      <c r="A270" s="988" t="s">
        <v>585</v>
      </c>
      <c r="B270" s="793">
        <v>10920.4648</v>
      </c>
      <c r="C270" s="809">
        <v>0</v>
      </c>
      <c r="D270" s="809">
        <v>0</v>
      </c>
      <c r="E270" s="95">
        <f t="shared" si="9"/>
        <v>10920.4648</v>
      </c>
      <c r="F270" s="145">
        <v>0</v>
      </c>
      <c r="G270" s="1094">
        <f t="shared" si="10"/>
        <v>10920.4648</v>
      </c>
      <c r="I270" t="s">
        <v>586</v>
      </c>
    </row>
    <row r="271" spans="1:9" hidden="1" outlineLevel="1">
      <c r="A271" s="988" t="s">
        <v>585</v>
      </c>
      <c r="B271" s="793">
        <v>274856.23952</v>
      </c>
      <c r="C271" s="809">
        <v>0</v>
      </c>
      <c r="D271" s="809">
        <v>0</v>
      </c>
      <c r="E271" s="95">
        <f t="shared" si="9"/>
        <v>274856.23952</v>
      </c>
      <c r="F271" s="145">
        <v>0</v>
      </c>
      <c r="G271" s="1094">
        <f t="shared" si="10"/>
        <v>274856.23952</v>
      </c>
      <c r="I271" t="s">
        <v>586</v>
      </c>
    </row>
    <row r="272" spans="1:9" hidden="1" outlineLevel="1">
      <c r="A272" s="988" t="s">
        <v>587</v>
      </c>
      <c r="B272" s="793">
        <v>467707.48032000003</v>
      </c>
      <c r="C272" s="809">
        <v>0</v>
      </c>
      <c r="D272" s="809">
        <v>0</v>
      </c>
      <c r="E272" s="95">
        <f t="shared" si="9"/>
        <v>467707.48032000003</v>
      </c>
      <c r="F272" s="145">
        <v>2436.33</v>
      </c>
      <c r="G272" s="1094">
        <f t="shared" si="10"/>
        <v>470143.81032000005</v>
      </c>
      <c r="I272" t="s">
        <v>588</v>
      </c>
    </row>
    <row r="273" spans="1:9" hidden="1" outlineLevel="1">
      <c r="A273" s="988" t="s">
        <v>589</v>
      </c>
      <c r="B273" s="793">
        <v>893821.41840000008</v>
      </c>
      <c r="C273" s="809">
        <v>0</v>
      </c>
      <c r="D273" s="809">
        <v>0</v>
      </c>
      <c r="E273" s="95">
        <f t="shared" si="9"/>
        <v>893821.41840000008</v>
      </c>
      <c r="F273" s="145">
        <v>-3238.27</v>
      </c>
      <c r="G273" s="1094">
        <f t="shared" si="10"/>
        <v>890583.14840000006</v>
      </c>
      <c r="I273" t="s">
        <v>590</v>
      </c>
    </row>
    <row r="274" spans="1:9" hidden="1" outlineLevel="1">
      <c r="A274" s="988" t="s">
        <v>591</v>
      </c>
      <c r="B274" s="793">
        <v>3957906.8339840006</v>
      </c>
      <c r="C274" s="809">
        <v>0</v>
      </c>
      <c r="D274" s="809">
        <v>0</v>
      </c>
      <c r="E274" s="95">
        <f t="shared" si="9"/>
        <v>3957906.8339840006</v>
      </c>
      <c r="F274" s="145">
        <v>12310.689999999999</v>
      </c>
      <c r="G274" s="1094">
        <f t="shared" si="10"/>
        <v>3970217.5239840006</v>
      </c>
      <c r="I274" t="s">
        <v>592</v>
      </c>
    </row>
    <row r="275" spans="1:9" hidden="1" outlineLevel="1">
      <c r="A275" s="988" t="s">
        <v>593</v>
      </c>
      <c r="B275" s="793">
        <v>1775242.7771200002</v>
      </c>
      <c r="C275" s="809">
        <v>0</v>
      </c>
      <c r="D275" s="809">
        <v>0</v>
      </c>
      <c r="E275" s="95">
        <f t="shared" si="9"/>
        <v>1775242.7771200002</v>
      </c>
      <c r="F275" s="145">
        <v>4862.6499999999996</v>
      </c>
      <c r="G275" s="1094">
        <f t="shared" si="10"/>
        <v>1780105.4271200001</v>
      </c>
      <c r="I275" t="s">
        <v>594</v>
      </c>
    </row>
    <row r="276" spans="1:9" hidden="1" outlineLevel="1">
      <c r="A276" s="988" t="s">
        <v>595</v>
      </c>
      <c r="B276" s="793">
        <v>1817362.92992</v>
      </c>
      <c r="C276" s="809">
        <v>0</v>
      </c>
      <c r="D276" s="809">
        <v>0</v>
      </c>
      <c r="E276" s="95">
        <f t="shared" si="9"/>
        <v>1817362.92992</v>
      </c>
      <c r="F276" s="145">
        <v>0</v>
      </c>
      <c r="G276" s="1094">
        <f t="shared" si="10"/>
        <v>1817362.92992</v>
      </c>
      <c r="I276" t="s">
        <v>596</v>
      </c>
    </row>
    <row r="277" spans="1:9" hidden="1" outlineLevel="1">
      <c r="A277" s="988" t="s">
        <v>597</v>
      </c>
      <c r="B277" s="793">
        <v>1085231.6174399999</v>
      </c>
      <c r="C277" s="809">
        <v>0</v>
      </c>
      <c r="D277" s="809">
        <v>0</v>
      </c>
      <c r="E277" s="95">
        <f t="shared" si="9"/>
        <v>1085231.6174399999</v>
      </c>
      <c r="F277" s="145">
        <v>-258.01000000000005</v>
      </c>
      <c r="G277" s="1094">
        <f t="shared" si="10"/>
        <v>1084973.6074399999</v>
      </c>
      <c r="I277" t="s">
        <v>598</v>
      </c>
    </row>
    <row r="278" spans="1:9" hidden="1" outlineLevel="1">
      <c r="A278" s="988" t="s">
        <v>599</v>
      </c>
      <c r="B278" s="793">
        <v>671104.86576000007</v>
      </c>
      <c r="C278" s="809">
        <v>0</v>
      </c>
      <c r="D278" s="809">
        <v>0</v>
      </c>
      <c r="E278" s="95">
        <f t="shared" si="9"/>
        <v>671104.86576000007</v>
      </c>
      <c r="F278" s="145">
        <v>0</v>
      </c>
      <c r="G278" s="1094">
        <f t="shared" si="10"/>
        <v>671104.86576000007</v>
      </c>
      <c r="I278" t="s">
        <v>600</v>
      </c>
    </row>
    <row r="279" spans="1:9" hidden="1" outlineLevel="1">
      <c r="A279" s="988" t="s">
        <v>601</v>
      </c>
      <c r="B279" s="793">
        <v>103873.85424</v>
      </c>
      <c r="C279" s="809">
        <v>0</v>
      </c>
      <c r="D279" s="809">
        <v>0</v>
      </c>
      <c r="E279" s="95">
        <f t="shared" si="9"/>
        <v>103873.85424</v>
      </c>
      <c r="F279" s="145">
        <v>2339.02</v>
      </c>
      <c r="G279" s="1094">
        <f t="shared" si="10"/>
        <v>106212.87424</v>
      </c>
      <c r="I279" t="s">
        <v>602</v>
      </c>
    </row>
    <row r="280" spans="1:9" hidden="1" outlineLevel="1">
      <c r="A280" s="988" t="s">
        <v>603</v>
      </c>
      <c r="B280" s="793">
        <v>786594.95152000012</v>
      </c>
      <c r="C280" s="809">
        <v>0</v>
      </c>
      <c r="D280" s="809">
        <v>0</v>
      </c>
      <c r="E280" s="95">
        <f t="shared" si="9"/>
        <v>786594.95152000012</v>
      </c>
      <c r="F280" s="145">
        <v>27257.5</v>
      </c>
      <c r="G280" s="1094">
        <f t="shared" si="10"/>
        <v>813852.45152000012</v>
      </c>
      <c r="I280" t="s">
        <v>604</v>
      </c>
    </row>
    <row r="281" spans="1:9" hidden="1" outlineLevel="1">
      <c r="A281" s="988" t="s">
        <v>605</v>
      </c>
      <c r="B281" s="793">
        <v>1801068.1260800001</v>
      </c>
      <c r="C281" s="809">
        <v>0</v>
      </c>
      <c r="D281" s="809">
        <v>0</v>
      </c>
      <c r="E281" s="95">
        <f t="shared" si="9"/>
        <v>1801068.1260800001</v>
      </c>
      <c r="F281" s="145">
        <v>0</v>
      </c>
      <c r="G281" s="1094">
        <f t="shared" si="10"/>
        <v>1801068.1260800001</v>
      </c>
      <c r="I281" t="s">
        <v>606</v>
      </c>
    </row>
    <row r="282" spans="1:9" hidden="1" outlineLevel="1">
      <c r="A282" s="988" t="s">
        <v>607</v>
      </c>
      <c r="B282" s="793">
        <v>128368.88768000001</v>
      </c>
      <c r="C282" s="809">
        <v>0</v>
      </c>
      <c r="D282" s="809">
        <v>0</v>
      </c>
      <c r="E282" s="95">
        <f t="shared" si="9"/>
        <v>128368.88768000001</v>
      </c>
      <c r="F282" s="145">
        <v>3545.87</v>
      </c>
      <c r="G282" s="1094">
        <f t="shared" si="10"/>
        <v>131914.75768000001</v>
      </c>
      <c r="I282" t="s">
        <v>608</v>
      </c>
    </row>
    <row r="283" spans="1:9" hidden="1" outlineLevel="1">
      <c r="A283" s="988" t="s">
        <v>609</v>
      </c>
      <c r="B283" s="793">
        <v>1395982.1302400001</v>
      </c>
      <c r="C283" s="809">
        <v>0</v>
      </c>
      <c r="D283" s="809">
        <v>0</v>
      </c>
      <c r="E283" s="95">
        <f t="shared" si="9"/>
        <v>1395982.1302400001</v>
      </c>
      <c r="F283" s="145">
        <v>6394.9999999999991</v>
      </c>
      <c r="G283" s="1094">
        <f t="shared" si="10"/>
        <v>1402377.1302400001</v>
      </c>
      <c r="I283" t="s">
        <v>610</v>
      </c>
    </row>
    <row r="284" spans="1:9" hidden="1" outlineLevel="1">
      <c r="A284" s="988" t="s">
        <v>611</v>
      </c>
      <c r="B284" s="793">
        <v>1072080.0966400001</v>
      </c>
      <c r="C284" s="809">
        <v>0</v>
      </c>
      <c r="D284" s="809">
        <v>0</v>
      </c>
      <c r="E284" s="95">
        <f t="shared" si="9"/>
        <v>1072080.0966400001</v>
      </c>
      <c r="F284" s="145">
        <v>-9514.19</v>
      </c>
      <c r="G284" s="1094">
        <f t="shared" si="10"/>
        <v>1062565.9066400002</v>
      </c>
      <c r="I284" t="s">
        <v>612</v>
      </c>
    </row>
    <row r="285" spans="1:9" hidden="1" outlineLevel="1">
      <c r="A285" s="988" t="s">
        <v>613</v>
      </c>
      <c r="B285" s="793">
        <v>38678.415999999997</v>
      </c>
      <c r="C285" s="809">
        <v>0</v>
      </c>
      <c r="D285" s="809">
        <v>0</v>
      </c>
      <c r="E285" s="95">
        <f t="shared" si="9"/>
        <v>38678.415999999997</v>
      </c>
      <c r="F285" s="145">
        <v>158.19</v>
      </c>
      <c r="G285" s="1094">
        <f t="shared" si="10"/>
        <v>38836.606</v>
      </c>
      <c r="I285" t="s">
        <v>614</v>
      </c>
    </row>
    <row r="286" spans="1:9" hidden="1" outlineLevel="1">
      <c r="A286" s="988" t="s">
        <v>615</v>
      </c>
      <c r="B286" s="793">
        <v>724578.96816000005</v>
      </c>
      <c r="C286" s="809">
        <v>0</v>
      </c>
      <c r="D286" s="809">
        <v>0</v>
      </c>
      <c r="E286" s="95">
        <f t="shared" si="9"/>
        <v>724578.96816000005</v>
      </c>
      <c r="F286" s="145">
        <v>0</v>
      </c>
      <c r="G286" s="1094">
        <f t="shared" si="10"/>
        <v>724578.96816000005</v>
      </c>
      <c r="I286" t="s">
        <v>616</v>
      </c>
    </row>
    <row r="287" spans="1:9" hidden="1" outlineLevel="1">
      <c r="A287" s="988" t="s">
        <v>617</v>
      </c>
      <c r="B287" s="793">
        <v>404090.39120000007</v>
      </c>
      <c r="C287" s="809">
        <v>0</v>
      </c>
      <c r="D287" s="809">
        <v>0</v>
      </c>
      <c r="E287" s="95">
        <f t="shared" si="9"/>
        <v>404090.39120000007</v>
      </c>
      <c r="F287" s="145">
        <v>0</v>
      </c>
      <c r="G287" s="1094">
        <f t="shared" si="10"/>
        <v>404090.39120000007</v>
      </c>
      <c r="I287" t="s">
        <v>618</v>
      </c>
    </row>
    <row r="288" spans="1:9" hidden="1" outlineLevel="1">
      <c r="A288" s="988" t="s">
        <v>619</v>
      </c>
      <c r="B288" s="793">
        <v>2644944.8401600001</v>
      </c>
      <c r="C288" s="809">
        <v>0</v>
      </c>
      <c r="D288" s="809">
        <v>0</v>
      </c>
      <c r="E288" s="95">
        <f t="shared" si="9"/>
        <v>2644944.8401600001</v>
      </c>
      <c r="F288" s="145">
        <v>0</v>
      </c>
      <c r="G288" s="1094">
        <f t="shared" si="10"/>
        <v>2644944.8401600001</v>
      </c>
      <c r="I288" t="s">
        <v>620</v>
      </c>
    </row>
    <row r="289" spans="1:9" hidden="1" outlineLevel="1">
      <c r="A289" s="988" t="s">
        <v>621</v>
      </c>
      <c r="B289" s="793">
        <v>6417980.5920000002</v>
      </c>
      <c r="C289" s="809">
        <v>0</v>
      </c>
      <c r="D289" s="809">
        <v>0</v>
      </c>
      <c r="E289" s="95">
        <f t="shared" si="9"/>
        <v>6417980.5920000002</v>
      </c>
      <c r="F289" s="145">
        <v>10984.44</v>
      </c>
      <c r="G289" s="1094">
        <f t="shared" si="10"/>
        <v>6428965.0320000006</v>
      </c>
      <c r="I289" t="s">
        <v>622</v>
      </c>
    </row>
    <row r="290" spans="1:9" hidden="1" outlineLevel="1">
      <c r="A290" s="988" t="s">
        <v>623</v>
      </c>
      <c r="B290" s="793">
        <v>70723.779840000003</v>
      </c>
      <c r="C290" s="809">
        <v>0</v>
      </c>
      <c r="D290" s="809">
        <v>0</v>
      </c>
      <c r="E290" s="95">
        <f t="shared" si="9"/>
        <v>70723.779840000003</v>
      </c>
      <c r="F290" s="145">
        <v>1958.09</v>
      </c>
      <c r="G290" s="1094">
        <f t="shared" si="10"/>
        <v>72681.869839999999</v>
      </c>
      <c r="I290" t="s">
        <v>624</v>
      </c>
    </row>
    <row r="291" spans="1:9" hidden="1" outlineLevel="1">
      <c r="A291" s="988" t="s">
        <v>625</v>
      </c>
      <c r="B291" s="793">
        <v>331021.96896000003</v>
      </c>
      <c r="C291" s="809">
        <v>0</v>
      </c>
      <c r="D291" s="809">
        <v>0</v>
      </c>
      <c r="E291" s="95">
        <f t="shared" si="9"/>
        <v>331021.96896000003</v>
      </c>
      <c r="F291" s="145">
        <v>-652.66000000000008</v>
      </c>
      <c r="G291" s="1094">
        <f t="shared" si="10"/>
        <v>330369.30896000005</v>
      </c>
      <c r="I291" t="s">
        <v>626</v>
      </c>
    </row>
    <row r="292" spans="1:9" hidden="1" outlineLevel="1">
      <c r="A292" s="988" t="s">
        <v>627</v>
      </c>
      <c r="B292" s="793">
        <v>2389550.239232</v>
      </c>
      <c r="C292" s="809">
        <v>0</v>
      </c>
      <c r="D292" s="809">
        <v>0</v>
      </c>
      <c r="E292" s="95">
        <f t="shared" si="9"/>
        <v>2389550.239232</v>
      </c>
      <c r="F292" s="145">
        <v>0</v>
      </c>
      <c r="G292" s="1094">
        <f t="shared" si="10"/>
        <v>2389550.239232</v>
      </c>
      <c r="I292" t="s">
        <v>628</v>
      </c>
    </row>
    <row r="293" spans="1:9" hidden="1" outlineLevel="1">
      <c r="A293" s="988" t="s">
        <v>629</v>
      </c>
      <c r="B293" s="793">
        <v>1826406.5918400001</v>
      </c>
      <c r="C293" s="809">
        <v>0</v>
      </c>
      <c r="D293" s="809">
        <v>0</v>
      </c>
      <c r="E293" s="95">
        <f t="shared" si="9"/>
        <v>1826406.5918400001</v>
      </c>
      <c r="F293" s="145">
        <v>0</v>
      </c>
      <c r="G293" s="1094">
        <f t="shared" si="10"/>
        <v>1826406.5918400001</v>
      </c>
      <c r="I293" t="s">
        <v>630</v>
      </c>
    </row>
    <row r="294" spans="1:9" hidden="1" outlineLevel="1">
      <c r="A294" s="988" t="s">
        <v>631</v>
      </c>
      <c r="B294" s="793">
        <v>952047.30928000004</v>
      </c>
      <c r="C294" s="809">
        <v>0</v>
      </c>
      <c r="D294" s="809">
        <v>0</v>
      </c>
      <c r="E294" s="95">
        <f t="shared" si="9"/>
        <v>952047.30928000004</v>
      </c>
      <c r="F294" s="145">
        <v>-4516.01</v>
      </c>
      <c r="G294" s="1094">
        <f t="shared" si="10"/>
        <v>947531.29928000004</v>
      </c>
      <c r="I294" t="s">
        <v>632</v>
      </c>
    </row>
    <row r="295" spans="1:9" hidden="1" outlineLevel="1">
      <c r="A295" s="988" t="s">
        <v>633</v>
      </c>
      <c r="B295" s="793">
        <v>188969.50512000002</v>
      </c>
      <c r="C295" s="809">
        <v>0</v>
      </c>
      <c r="D295" s="809">
        <v>0</v>
      </c>
      <c r="E295" s="95">
        <f t="shared" si="9"/>
        <v>188969.50512000002</v>
      </c>
      <c r="F295" s="145">
        <v>0</v>
      </c>
      <c r="G295" s="1094">
        <f t="shared" si="10"/>
        <v>188969.50512000002</v>
      </c>
      <c r="I295" t="s">
        <v>634</v>
      </c>
    </row>
    <row r="296" spans="1:9" hidden="1" outlineLevel="1">
      <c r="A296" s="988" t="s">
        <v>635</v>
      </c>
      <c r="B296" s="793">
        <v>348394.19375999999</v>
      </c>
      <c r="C296" s="809">
        <v>0</v>
      </c>
      <c r="D296" s="809">
        <v>0</v>
      </c>
      <c r="E296" s="95">
        <f t="shared" si="9"/>
        <v>348394.19375999999</v>
      </c>
      <c r="F296" s="145">
        <v>0</v>
      </c>
      <c r="G296" s="1094">
        <f t="shared" si="10"/>
        <v>348394.19375999999</v>
      </c>
      <c r="I296" t="s">
        <v>636</v>
      </c>
    </row>
    <row r="297" spans="1:9" hidden="1" outlineLevel="1">
      <c r="A297" s="988" t="s">
        <v>637</v>
      </c>
      <c r="B297" s="793">
        <v>3702905.1206400003</v>
      </c>
      <c r="C297" s="809">
        <v>0</v>
      </c>
      <c r="D297" s="809">
        <v>0</v>
      </c>
      <c r="E297" s="95">
        <f t="shared" si="9"/>
        <v>3702905.1206400003</v>
      </c>
      <c r="F297" s="145">
        <v>-3855.27</v>
      </c>
      <c r="G297" s="1094">
        <f t="shared" si="10"/>
        <v>3699049.8506400003</v>
      </c>
      <c r="I297" t="s">
        <v>638</v>
      </c>
    </row>
    <row r="298" spans="1:9" hidden="1" outlineLevel="1">
      <c r="A298" s="988" t="s">
        <v>639</v>
      </c>
      <c r="B298" s="793">
        <v>15597351.97408</v>
      </c>
      <c r="C298" s="809">
        <v>0</v>
      </c>
      <c r="D298" s="809">
        <v>0</v>
      </c>
      <c r="E298" s="95">
        <f t="shared" si="9"/>
        <v>15597351.97408</v>
      </c>
      <c r="F298" s="145">
        <v>0</v>
      </c>
      <c r="G298" s="1094">
        <f t="shared" si="10"/>
        <v>15597351.97408</v>
      </c>
      <c r="I298" t="s">
        <v>640</v>
      </c>
    </row>
    <row r="299" spans="1:9" hidden="1" outlineLevel="1">
      <c r="A299" s="988" t="s">
        <v>641</v>
      </c>
      <c r="B299" s="793">
        <v>178301.13456000001</v>
      </c>
      <c r="C299" s="809">
        <v>0</v>
      </c>
      <c r="D299" s="809">
        <v>0</v>
      </c>
      <c r="E299" s="95">
        <f t="shared" si="9"/>
        <v>178301.13456000001</v>
      </c>
      <c r="F299" s="145">
        <v>142.36000000000001</v>
      </c>
      <c r="G299" s="1094">
        <f t="shared" si="10"/>
        <v>178443.49455999999</v>
      </c>
      <c r="I299" t="s">
        <v>642</v>
      </c>
    </row>
    <row r="300" spans="1:9" hidden="1" outlineLevel="1">
      <c r="A300" s="988" t="s">
        <v>643</v>
      </c>
      <c r="B300" s="793">
        <v>580830.69183999998</v>
      </c>
      <c r="C300" s="809">
        <v>0</v>
      </c>
      <c r="D300" s="809">
        <v>0</v>
      </c>
      <c r="E300" s="95">
        <f t="shared" si="9"/>
        <v>580830.69183999998</v>
      </c>
      <c r="F300" s="145">
        <v>-1355.81</v>
      </c>
      <c r="G300" s="1094">
        <f t="shared" si="10"/>
        <v>579474.88183999993</v>
      </c>
      <c r="I300" t="s">
        <v>644</v>
      </c>
    </row>
    <row r="301" spans="1:9" hidden="1" outlineLevel="1">
      <c r="A301" s="988" t="s">
        <v>645</v>
      </c>
      <c r="B301" s="793">
        <v>6578974.5900800005</v>
      </c>
      <c r="C301" s="809">
        <v>0</v>
      </c>
      <c r="D301" s="809">
        <v>0</v>
      </c>
      <c r="E301" s="95">
        <f t="shared" si="9"/>
        <v>6578974.5900800005</v>
      </c>
      <c r="F301" s="145">
        <v>-5733.3399999999992</v>
      </c>
      <c r="G301" s="1094">
        <f t="shared" si="10"/>
        <v>6573241.2500800006</v>
      </c>
      <c r="I301" t="s">
        <v>646</v>
      </c>
    </row>
    <row r="302" spans="1:9" hidden="1" outlineLevel="1">
      <c r="A302" s="988" t="s">
        <v>647</v>
      </c>
      <c r="B302" s="793">
        <v>596288.26256000006</v>
      </c>
      <c r="C302" s="809">
        <v>0</v>
      </c>
      <c r="D302" s="809">
        <v>0</v>
      </c>
      <c r="E302" s="95">
        <f t="shared" si="9"/>
        <v>596288.26256000006</v>
      </c>
      <c r="F302" s="145">
        <v>0</v>
      </c>
      <c r="G302" s="1094">
        <f t="shared" si="10"/>
        <v>596288.26256000006</v>
      </c>
      <c r="I302" t="s">
        <v>648</v>
      </c>
    </row>
    <row r="303" spans="1:9" hidden="1" outlineLevel="1">
      <c r="A303" s="988" t="s">
        <v>649</v>
      </c>
      <c r="B303" s="793">
        <v>774011.51359999995</v>
      </c>
      <c r="C303" s="809">
        <v>0</v>
      </c>
      <c r="D303" s="809">
        <v>0</v>
      </c>
      <c r="E303" s="95">
        <f t="shared" si="9"/>
        <v>774011.51359999995</v>
      </c>
      <c r="F303" s="145">
        <v>-77.059999999999988</v>
      </c>
      <c r="G303" s="1094">
        <f t="shared" si="10"/>
        <v>773934.45359999989</v>
      </c>
      <c r="I303" t="s">
        <v>650</v>
      </c>
    </row>
    <row r="304" spans="1:9" hidden="1" outlineLevel="1">
      <c r="A304" s="988" t="s">
        <v>651</v>
      </c>
      <c r="B304" s="793">
        <v>8552568.4057280011</v>
      </c>
      <c r="C304" s="809">
        <v>0</v>
      </c>
      <c r="D304" s="809">
        <v>0</v>
      </c>
      <c r="E304" s="95">
        <f t="shared" si="9"/>
        <v>8552568.4057280011</v>
      </c>
      <c r="F304" s="145">
        <v>0</v>
      </c>
      <c r="G304" s="1094">
        <f t="shared" si="10"/>
        <v>8552568.4057280011</v>
      </c>
      <c r="I304" t="s">
        <v>652</v>
      </c>
    </row>
    <row r="305" spans="1:9" hidden="1" outlineLevel="1">
      <c r="A305" s="988" t="s">
        <v>653</v>
      </c>
      <c r="B305" s="793">
        <v>74617.743360000008</v>
      </c>
      <c r="C305" s="809">
        <v>0</v>
      </c>
      <c r="D305" s="809">
        <v>0</v>
      </c>
      <c r="E305" s="95">
        <f t="shared" si="9"/>
        <v>74617.743360000008</v>
      </c>
      <c r="F305" s="145">
        <v>532.68000000000006</v>
      </c>
      <c r="G305" s="1094">
        <f t="shared" si="10"/>
        <v>75150.423360000001</v>
      </c>
      <c r="I305" t="s">
        <v>654</v>
      </c>
    </row>
    <row r="306" spans="1:9" hidden="1" outlineLevel="1">
      <c r="A306" s="988" t="s">
        <v>655</v>
      </c>
      <c r="B306" s="793">
        <v>523028.40115200001</v>
      </c>
      <c r="C306" s="809">
        <v>0</v>
      </c>
      <c r="D306" s="809">
        <v>0</v>
      </c>
      <c r="E306" s="95">
        <f t="shared" si="9"/>
        <v>523028.40115200001</v>
      </c>
      <c r="F306" s="145">
        <v>0</v>
      </c>
      <c r="G306" s="1094">
        <f t="shared" si="10"/>
        <v>523028.40115200001</v>
      </c>
      <c r="I306" t="s">
        <v>578</v>
      </c>
    </row>
    <row r="307" spans="1:9" hidden="1" outlineLevel="1">
      <c r="A307" s="988" t="s">
        <v>656</v>
      </c>
      <c r="B307" s="793">
        <v>871794.91295999999</v>
      </c>
      <c r="C307" s="809">
        <v>0</v>
      </c>
      <c r="D307" s="809">
        <v>0</v>
      </c>
      <c r="E307" s="95">
        <f t="shared" ref="E307:E370" si="11">B307+C307+D307</f>
        <v>871794.91295999999</v>
      </c>
      <c r="F307" s="145">
        <v>0</v>
      </c>
      <c r="G307" s="1094">
        <f t="shared" si="10"/>
        <v>871794.91295999999</v>
      </c>
      <c r="I307" t="s">
        <v>657</v>
      </c>
    </row>
    <row r="308" spans="1:9" hidden="1" outlineLevel="1">
      <c r="A308" s="988" t="s">
        <v>658</v>
      </c>
      <c r="B308" s="793">
        <v>582369.98927999998</v>
      </c>
      <c r="C308" s="809">
        <v>0</v>
      </c>
      <c r="D308" s="809">
        <v>0</v>
      </c>
      <c r="E308" s="95">
        <f t="shared" si="11"/>
        <v>582369.98927999998</v>
      </c>
      <c r="F308" s="145">
        <v>-442.28</v>
      </c>
      <c r="G308" s="1094">
        <f t="shared" si="10"/>
        <v>581927.70927999995</v>
      </c>
      <c r="I308" t="s">
        <v>659</v>
      </c>
    </row>
    <row r="309" spans="1:9" hidden="1" outlineLevel="1">
      <c r="A309" s="988" t="s">
        <v>660</v>
      </c>
      <c r="B309" s="793">
        <v>195275.53472</v>
      </c>
      <c r="C309" s="809">
        <v>0</v>
      </c>
      <c r="D309" s="809">
        <v>0</v>
      </c>
      <c r="E309" s="95">
        <f t="shared" si="11"/>
        <v>195275.53472</v>
      </c>
      <c r="F309" s="145">
        <v>-396.04</v>
      </c>
      <c r="G309" s="1094">
        <f t="shared" si="10"/>
        <v>194879.49471999999</v>
      </c>
      <c r="I309" t="s">
        <v>661</v>
      </c>
    </row>
    <row r="310" spans="1:9" hidden="1" outlineLevel="1">
      <c r="A310" s="988" t="s">
        <v>662</v>
      </c>
      <c r="B310" s="793">
        <v>11948346.932063999</v>
      </c>
      <c r="C310" s="809">
        <v>0</v>
      </c>
      <c r="D310" s="809">
        <v>0</v>
      </c>
      <c r="E310" s="95">
        <f t="shared" si="11"/>
        <v>11948346.932063999</v>
      </c>
      <c r="F310" s="145">
        <v>0</v>
      </c>
      <c r="G310" s="1094">
        <f t="shared" si="10"/>
        <v>11948346.932063999</v>
      </c>
      <c r="I310" t="s">
        <v>663</v>
      </c>
    </row>
    <row r="311" spans="1:9" hidden="1" outlineLevel="1">
      <c r="A311" s="988" t="s">
        <v>664</v>
      </c>
      <c r="B311" s="793">
        <v>2660056.2790399999</v>
      </c>
      <c r="C311" s="809">
        <v>0</v>
      </c>
      <c r="D311" s="809">
        <v>0</v>
      </c>
      <c r="E311" s="95">
        <f t="shared" si="11"/>
        <v>2660056.2790399999</v>
      </c>
      <c r="F311" s="145">
        <v>-11359.88</v>
      </c>
      <c r="G311" s="1094">
        <f t="shared" si="10"/>
        <v>2648696.39904</v>
      </c>
      <c r="I311" t="s">
        <v>665</v>
      </c>
    </row>
    <row r="312" spans="1:9" hidden="1" outlineLevel="1">
      <c r="A312" s="988" t="s">
        <v>666</v>
      </c>
      <c r="B312" s="793">
        <v>1536476.0168000001</v>
      </c>
      <c r="C312" s="809">
        <v>0</v>
      </c>
      <c r="D312" s="809">
        <v>0</v>
      </c>
      <c r="E312" s="95">
        <f t="shared" si="11"/>
        <v>1536476.0168000001</v>
      </c>
      <c r="F312" s="145">
        <v>19639.039999999997</v>
      </c>
      <c r="G312" s="1094">
        <f t="shared" si="10"/>
        <v>1556115.0568000001</v>
      </c>
      <c r="I312" t="s">
        <v>667</v>
      </c>
    </row>
    <row r="313" spans="1:9" hidden="1" outlineLevel="1">
      <c r="A313" s="988" t="s">
        <v>668</v>
      </c>
      <c r="B313" s="793">
        <v>97718.120800000004</v>
      </c>
      <c r="C313" s="809">
        <v>0</v>
      </c>
      <c r="D313" s="809">
        <v>0</v>
      </c>
      <c r="E313" s="95">
        <f t="shared" si="11"/>
        <v>97718.120800000004</v>
      </c>
      <c r="F313" s="145">
        <v>-688.89</v>
      </c>
      <c r="G313" s="1094">
        <f t="shared" si="10"/>
        <v>97029.230800000005</v>
      </c>
      <c r="I313" t="s">
        <v>669</v>
      </c>
    </row>
    <row r="314" spans="1:9" hidden="1" outlineLevel="1">
      <c r="A314" s="988" t="s">
        <v>670</v>
      </c>
      <c r="B314" s="793">
        <v>2757633.4733280004</v>
      </c>
      <c r="C314" s="809">
        <v>0</v>
      </c>
      <c r="D314" s="809">
        <v>0</v>
      </c>
      <c r="E314" s="95">
        <f t="shared" si="11"/>
        <v>2757633.4733280004</v>
      </c>
      <c r="F314" s="145">
        <v>-23546.41</v>
      </c>
      <c r="G314" s="1094">
        <f t="shared" si="10"/>
        <v>2734087.0633280003</v>
      </c>
      <c r="I314" t="s">
        <v>671</v>
      </c>
    </row>
    <row r="315" spans="1:9" hidden="1" outlineLevel="1">
      <c r="A315" s="988" t="s">
        <v>672</v>
      </c>
      <c r="B315" s="793">
        <v>602629.02736000007</v>
      </c>
      <c r="C315" s="809">
        <v>0</v>
      </c>
      <c r="D315" s="809">
        <v>0</v>
      </c>
      <c r="E315" s="95">
        <f t="shared" si="11"/>
        <v>602629.02736000007</v>
      </c>
      <c r="F315" s="145">
        <v>0</v>
      </c>
      <c r="G315" s="1094">
        <f t="shared" si="10"/>
        <v>602629.02736000007</v>
      </c>
      <c r="I315" t="s">
        <v>673</v>
      </c>
    </row>
    <row r="316" spans="1:9" hidden="1" outlineLevel="1">
      <c r="A316" s="988" t="s">
        <v>674</v>
      </c>
      <c r="B316" s="793">
        <v>1132959.2188800001</v>
      </c>
      <c r="C316" s="809">
        <v>0</v>
      </c>
      <c r="D316" s="809">
        <v>0</v>
      </c>
      <c r="E316" s="95">
        <f t="shared" si="11"/>
        <v>1132959.2188800001</v>
      </c>
      <c r="F316" s="145">
        <v>191.69</v>
      </c>
      <c r="G316" s="1094">
        <f t="shared" si="10"/>
        <v>1133150.90888</v>
      </c>
      <c r="I316" t="s">
        <v>675</v>
      </c>
    </row>
    <row r="317" spans="1:9" hidden="1" outlineLevel="1">
      <c r="A317" s="988" t="s">
        <v>676</v>
      </c>
      <c r="B317" s="793">
        <v>800963.94928000006</v>
      </c>
      <c r="C317" s="809">
        <v>0</v>
      </c>
      <c r="D317" s="809">
        <v>0</v>
      </c>
      <c r="E317" s="95">
        <f t="shared" si="11"/>
        <v>800963.94928000006</v>
      </c>
      <c r="F317" s="145">
        <v>1368.2</v>
      </c>
      <c r="G317" s="1094">
        <f t="shared" si="10"/>
        <v>802332.14928000001</v>
      </c>
      <c r="I317" t="s">
        <v>677</v>
      </c>
    </row>
    <row r="318" spans="1:9" hidden="1" outlineLevel="1">
      <c r="A318" s="988" t="s">
        <v>678</v>
      </c>
      <c r="B318" s="793">
        <v>1069330.9252800001</v>
      </c>
      <c r="C318" s="809">
        <v>0</v>
      </c>
      <c r="D318" s="809">
        <v>0</v>
      </c>
      <c r="E318" s="95">
        <f t="shared" si="11"/>
        <v>1069330.9252800001</v>
      </c>
      <c r="F318" s="145">
        <v>-723.24</v>
      </c>
      <c r="G318" s="1094">
        <f t="shared" si="10"/>
        <v>1068607.6852800001</v>
      </c>
      <c r="I318" t="s">
        <v>679</v>
      </c>
    </row>
    <row r="319" spans="1:9" hidden="1" outlineLevel="1">
      <c r="A319" s="988" t="s">
        <v>680</v>
      </c>
      <c r="B319" s="793">
        <v>1695007.5680000002</v>
      </c>
      <c r="C319" s="809">
        <v>0</v>
      </c>
      <c r="D319" s="809">
        <v>0</v>
      </c>
      <c r="E319" s="95">
        <f t="shared" si="11"/>
        <v>1695007.5680000002</v>
      </c>
      <c r="F319" s="145">
        <v>0</v>
      </c>
      <c r="G319" s="1094">
        <f t="shared" si="10"/>
        <v>1695007.5680000002</v>
      </c>
      <c r="I319" t="s">
        <v>681</v>
      </c>
    </row>
    <row r="320" spans="1:9" hidden="1" outlineLevel="1">
      <c r="A320" s="988" t="s">
        <v>682</v>
      </c>
      <c r="B320" s="793">
        <v>1502893.7499200001</v>
      </c>
      <c r="C320" s="809">
        <v>0</v>
      </c>
      <c r="D320" s="809">
        <v>0</v>
      </c>
      <c r="E320" s="95">
        <f t="shared" si="11"/>
        <v>1502893.7499200001</v>
      </c>
      <c r="F320" s="145">
        <v>-6087.4600000000009</v>
      </c>
      <c r="G320" s="1094">
        <f t="shared" si="10"/>
        <v>1496806.2899200001</v>
      </c>
      <c r="I320" t="s">
        <v>683</v>
      </c>
    </row>
    <row r="321" spans="1:9" hidden="1" outlineLevel="1">
      <c r="A321" s="988" t="s">
        <v>684</v>
      </c>
      <c r="B321" s="793">
        <v>926183.45968000009</v>
      </c>
      <c r="C321" s="809">
        <v>0</v>
      </c>
      <c r="D321" s="809">
        <v>0</v>
      </c>
      <c r="E321" s="95">
        <f t="shared" si="11"/>
        <v>926183.45968000009</v>
      </c>
      <c r="F321" s="145">
        <v>0</v>
      </c>
      <c r="G321" s="1094">
        <f t="shared" si="10"/>
        <v>926183.45968000009</v>
      </c>
      <c r="I321" t="s">
        <v>685</v>
      </c>
    </row>
    <row r="322" spans="1:9" hidden="1" outlineLevel="1">
      <c r="A322" s="988" t="s">
        <v>688</v>
      </c>
      <c r="B322" s="793">
        <v>2268428.3199999998</v>
      </c>
      <c r="C322" s="809">
        <v>-12514.27</v>
      </c>
      <c r="D322" s="809">
        <v>0</v>
      </c>
      <c r="E322" s="95">
        <f t="shared" si="11"/>
        <v>2255914.0499999998</v>
      </c>
      <c r="F322" s="145">
        <v>0</v>
      </c>
      <c r="G322" s="1094">
        <f t="shared" si="10"/>
        <v>2255914.0499999998</v>
      </c>
      <c r="I322" t="s">
        <v>689</v>
      </c>
    </row>
    <row r="323" spans="1:9" hidden="1" outlineLevel="1">
      <c r="A323" s="988" t="s">
        <v>690</v>
      </c>
      <c r="B323" s="793">
        <v>725071.7750400001</v>
      </c>
      <c r="C323" s="809">
        <v>0</v>
      </c>
      <c r="D323" s="809">
        <v>0</v>
      </c>
      <c r="E323" s="95">
        <f t="shared" si="11"/>
        <v>725071.7750400001</v>
      </c>
      <c r="F323" s="145">
        <v>0</v>
      </c>
      <c r="G323" s="1094">
        <f t="shared" si="10"/>
        <v>725071.7750400001</v>
      </c>
      <c r="I323" t="s">
        <v>691</v>
      </c>
    </row>
    <row r="324" spans="1:9" hidden="1" outlineLevel="1">
      <c r="A324" s="988" t="s">
        <v>692</v>
      </c>
      <c r="B324" s="793">
        <v>2936049.0319999997</v>
      </c>
      <c r="C324" s="809">
        <v>0</v>
      </c>
      <c r="D324" s="809">
        <v>0</v>
      </c>
      <c r="E324" s="95">
        <f t="shared" si="11"/>
        <v>2936049.0319999997</v>
      </c>
      <c r="F324" s="145">
        <v>-51427.81</v>
      </c>
      <c r="G324" s="1094">
        <f t="shared" si="10"/>
        <v>2884621.2219999996</v>
      </c>
      <c r="I324" t="s">
        <v>693</v>
      </c>
    </row>
    <row r="325" spans="1:9" hidden="1" outlineLevel="1">
      <c r="A325" s="988" t="s">
        <v>694</v>
      </c>
      <c r="B325" s="793">
        <v>20616.066080000001</v>
      </c>
      <c r="C325" s="809">
        <v>0</v>
      </c>
      <c r="D325" s="809">
        <v>0</v>
      </c>
      <c r="E325" s="95">
        <f t="shared" si="11"/>
        <v>20616.066080000001</v>
      </c>
      <c r="F325" s="145">
        <v>-57.769999999999996</v>
      </c>
      <c r="G325" s="1094">
        <f t="shared" si="10"/>
        <v>20558.29608</v>
      </c>
      <c r="I325" t="s">
        <v>695</v>
      </c>
    </row>
    <row r="326" spans="1:9" hidden="1" outlineLevel="1">
      <c r="A326" s="988" t="s">
        <v>696</v>
      </c>
      <c r="B326" s="793">
        <v>780007.76032</v>
      </c>
      <c r="C326" s="809">
        <v>0</v>
      </c>
      <c r="D326" s="809">
        <v>0</v>
      </c>
      <c r="E326" s="95">
        <f t="shared" si="11"/>
        <v>780007.76032</v>
      </c>
      <c r="F326" s="145">
        <v>2279.02</v>
      </c>
      <c r="G326" s="1094">
        <f t="shared" si="10"/>
        <v>782286.78032000002</v>
      </c>
      <c r="I326" t="s">
        <v>697</v>
      </c>
    </row>
    <row r="327" spans="1:9" hidden="1" outlineLevel="1">
      <c r="A327" s="988" t="s">
        <v>698</v>
      </c>
      <c r="B327" s="793">
        <v>4630121.6097600004</v>
      </c>
      <c r="C327" s="809">
        <v>0</v>
      </c>
      <c r="D327" s="809">
        <v>0</v>
      </c>
      <c r="E327" s="95">
        <f t="shared" si="11"/>
        <v>4630121.6097600004</v>
      </c>
      <c r="F327" s="145">
        <v>64385.090000000004</v>
      </c>
      <c r="G327" s="1094">
        <f t="shared" si="10"/>
        <v>4694506.6997600002</v>
      </c>
      <c r="I327" t="s">
        <v>699</v>
      </c>
    </row>
    <row r="328" spans="1:9" hidden="1" outlineLevel="1">
      <c r="A328" s="988" t="s">
        <v>700</v>
      </c>
      <c r="B328" s="793">
        <v>68869.818880000006</v>
      </c>
      <c r="C328" s="809">
        <v>0</v>
      </c>
      <c r="D328" s="809">
        <v>0</v>
      </c>
      <c r="E328" s="95">
        <f t="shared" si="11"/>
        <v>68869.818880000006</v>
      </c>
      <c r="F328" s="145">
        <v>-217.29999999999998</v>
      </c>
      <c r="G328" s="1094">
        <f t="shared" si="10"/>
        <v>68652.518880000003</v>
      </c>
      <c r="I328" t="s">
        <v>701</v>
      </c>
    </row>
    <row r="329" spans="1:9" hidden="1" outlineLevel="1">
      <c r="A329" s="988" t="s">
        <v>702</v>
      </c>
      <c r="B329" s="793">
        <v>3168603.1640000003</v>
      </c>
      <c r="C329" s="809">
        <v>0</v>
      </c>
      <c r="D329" s="809">
        <v>0</v>
      </c>
      <c r="E329" s="95">
        <f t="shared" si="11"/>
        <v>3168603.1640000003</v>
      </c>
      <c r="F329" s="145">
        <v>-2241.3199999999997</v>
      </c>
      <c r="G329" s="1094">
        <f t="shared" si="10"/>
        <v>3166361.8440000005</v>
      </c>
      <c r="I329" t="s">
        <v>703</v>
      </c>
    </row>
    <row r="330" spans="1:9" hidden="1" outlineLevel="1">
      <c r="A330" s="988" t="s">
        <v>704</v>
      </c>
      <c r="B330" s="793">
        <v>614278.04576000001</v>
      </c>
      <c r="C330" s="809">
        <v>0</v>
      </c>
      <c r="D330" s="809">
        <v>0</v>
      </c>
      <c r="E330" s="95">
        <f t="shared" si="11"/>
        <v>614278.04576000001</v>
      </c>
      <c r="F330" s="145">
        <v>0</v>
      </c>
      <c r="G330" s="1094">
        <f t="shared" ref="G330:G393" si="12">E330+F330</f>
        <v>614278.04576000001</v>
      </c>
      <c r="I330" t="s">
        <v>705</v>
      </c>
    </row>
    <row r="331" spans="1:9" hidden="1" outlineLevel="1">
      <c r="A331" s="988" t="s">
        <v>706</v>
      </c>
      <c r="B331" s="793">
        <v>1649205.0904000001</v>
      </c>
      <c r="C331" s="809">
        <v>0</v>
      </c>
      <c r="D331" s="809">
        <v>0</v>
      </c>
      <c r="E331" s="95">
        <f t="shared" si="11"/>
        <v>1649205.0904000001</v>
      </c>
      <c r="F331" s="145">
        <v>-52585.070000000007</v>
      </c>
      <c r="G331" s="1094">
        <f t="shared" si="12"/>
        <v>1596620.0204</v>
      </c>
      <c r="I331" t="s">
        <v>707</v>
      </c>
    </row>
    <row r="332" spans="1:9" hidden="1" outlineLevel="1">
      <c r="A332" s="988" t="s">
        <v>708</v>
      </c>
      <c r="B332" s="793">
        <v>8031837.5028799996</v>
      </c>
      <c r="C332" s="809">
        <v>0</v>
      </c>
      <c r="D332" s="809">
        <v>0</v>
      </c>
      <c r="E332" s="95">
        <f t="shared" si="11"/>
        <v>8031837.5028799996</v>
      </c>
      <c r="F332" s="145">
        <v>43714.37</v>
      </c>
      <c r="G332" s="1094">
        <f t="shared" si="12"/>
        <v>8075551.8728799997</v>
      </c>
      <c r="I332" t="s">
        <v>709</v>
      </c>
    </row>
    <row r="333" spans="1:9" hidden="1" outlineLevel="1">
      <c r="A333" s="988" t="s">
        <v>710</v>
      </c>
      <c r="B333" s="793">
        <v>772959.06</v>
      </c>
      <c r="C333" s="809">
        <v>0</v>
      </c>
      <c r="D333" s="809">
        <v>0</v>
      </c>
      <c r="E333" s="95">
        <f t="shared" si="11"/>
        <v>772959.06</v>
      </c>
      <c r="F333" s="145">
        <v>-5018.09</v>
      </c>
      <c r="G333" s="1094">
        <f t="shared" si="12"/>
        <v>767940.97000000009</v>
      </c>
      <c r="I333" t="s">
        <v>711</v>
      </c>
    </row>
    <row r="334" spans="1:9" hidden="1" outlineLevel="1">
      <c r="A334" s="988" t="s">
        <v>712</v>
      </c>
      <c r="B334" s="793">
        <v>3583279.8470399999</v>
      </c>
      <c r="C334" s="809">
        <v>0</v>
      </c>
      <c r="D334" s="809">
        <v>0</v>
      </c>
      <c r="E334" s="95">
        <f t="shared" si="11"/>
        <v>3583279.8470399999</v>
      </c>
      <c r="F334" s="145">
        <v>0</v>
      </c>
      <c r="G334" s="1094">
        <f t="shared" si="12"/>
        <v>3583279.8470399999</v>
      </c>
      <c r="I334" t="s">
        <v>713</v>
      </c>
    </row>
    <row r="335" spans="1:9" hidden="1" outlineLevel="1">
      <c r="A335" s="988" t="s">
        <v>714</v>
      </c>
      <c r="B335" s="793">
        <v>206624.00016000003</v>
      </c>
      <c r="C335" s="809">
        <v>0</v>
      </c>
      <c r="D335" s="809">
        <v>0</v>
      </c>
      <c r="E335" s="95">
        <f t="shared" si="11"/>
        <v>206624.00016000003</v>
      </c>
      <c r="F335" s="145">
        <v>1657.24</v>
      </c>
      <c r="G335" s="1094">
        <f t="shared" si="12"/>
        <v>208281.24016000002</v>
      </c>
      <c r="I335" t="s">
        <v>715</v>
      </c>
    </row>
    <row r="336" spans="1:9" hidden="1" outlineLevel="1">
      <c r="A336" s="988" t="s">
        <v>716</v>
      </c>
      <c r="B336" s="793">
        <v>1528189.2542399999</v>
      </c>
      <c r="C336" s="809">
        <v>0</v>
      </c>
      <c r="D336" s="809">
        <v>0</v>
      </c>
      <c r="E336" s="95">
        <f t="shared" si="11"/>
        <v>1528189.2542399999</v>
      </c>
      <c r="F336" s="145">
        <v>4271.93</v>
      </c>
      <c r="G336" s="1094">
        <f t="shared" si="12"/>
        <v>1532461.1842399999</v>
      </c>
      <c r="I336" t="s">
        <v>717</v>
      </c>
    </row>
    <row r="337" spans="1:9" hidden="1" outlineLevel="1">
      <c r="A337" s="988" t="s">
        <v>718</v>
      </c>
      <c r="B337" s="793">
        <v>1124790.8840000001</v>
      </c>
      <c r="C337" s="809">
        <v>0</v>
      </c>
      <c r="D337" s="809">
        <v>0</v>
      </c>
      <c r="E337" s="95">
        <f t="shared" si="11"/>
        <v>1124790.8840000001</v>
      </c>
      <c r="F337" s="145">
        <v>0</v>
      </c>
      <c r="G337" s="1094">
        <f t="shared" si="12"/>
        <v>1124790.8840000001</v>
      </c>
      <c r="I337" t="s">
        <v>719</v>
      </c>
    </row>
    <row r="338" spans="1:9" hidden="1" outlineLevel="1">
      <c r="A338" s="988" t="s">
        <v>720</v>
      </c>
      <c r="B338" s="793">
        <v>528154.50848000008</v>
      </c>
      <c r="C338" s="809">
        <v>0</v>
      </c>
      <c r="D338" s="809">
        <v>0</v>
      </c>
      <c r="E338" s="95">
        <f t="shared" si="11"/>
        <v>528154.50848000008</v>
      </c>
      <c r="F338" s="145">
        <v>0</v>
      </c>
      <c r="G338" s="1094">
        <f t="shared" si="12"/>
        <v>528154.50848000008</v>
      </c>
      <c r="I338" t="s">
        <v>721</v>
      </c>
    </row>
    <row r="339" spans="1:9" hidden="1" outlineLevel="1">
      <c r="A339" s="988" t="s">
        <v>722</v>
      </c>
      <c r="B339" s="793">
        <v>292814.0624</v>
      </c>
      <c r="C339" s="809">
        <v>0</v>
      </c>
      <c r="D339" s="809">
        <v>0</v>
      </c>
      <c r="E339" s="95">
        <f t="shared" si="11"/>
        <v>292814.0624</v>
      </c>
      <c r="F339" s="145">
        <v>0</v>
      </c>
      <c r="G339" s="1094">
        <f t="shared" si="12"/>
        <v>292814.0624</v>
      </c>
      <c r="I339" t="s">
        <v>723</v>
      </c>
    </row>
    <row r="340" spans="1:9" hidden="1" outlineLevel="1">
      <c r="A340" s="988" t="s">
        <v>724</v>
      </c>
      <c r="B340" s="793">
        <v>1930938.64368</v>
      </c>
      <c r="C340" s="809">
        <v>0</v>
      </c>
      <c r="D340" s="809">
        <v>0</v>
      </c>
      <c r="E340" s="95">
        <f t="shared" si="11"/>
        <v>1930938.64368</v>
      </c>
      <c r="F340" s="145">
        <v>11906.5</v>
      </c>
      <c r="G340" s="1094">
        <f t="shared" si="12"/>
        <v>1942845.14368</v>
      </c>
      <c r="I340" t="s">
        <v>725</v>
      </c>
    </row>
    <row r="341" spans="1:9" hidden="1" outlineLevel="1">
      <c r="A341" s="988" t="s">
        <v>726</v>
      </c>
      <c r="B341" s="793">
        <v>2525919.5415360001</v>
      </c>
      <c r="C341" s="809">
        <v>0</v>
      </c>
      <c r="D341" s="809">
        <v>0</v>
      </c>
      <c r="E341" s="95">
        <f t="shared" si="11"/>
        <v>2525919.5415360001</v>
      </c>
      <c r="F341" s="145">
        <v>-70073.39</v>
      </c>
      <c r="G341" s="1094">
        <f t="shared" si="12"/>
        <v>2455846.151536</v>
      </c>
      <c r="I341" t="s">
        <v>727</v>
      </c>
    </row>
    <row r="342" spans="1:9" hidden="1" outlineLevel="1">
      <c r="A342" s="988" t="s">
        <v>728</v>
      </c>
      <c r="B342" s="793">
        <v>189049.54368</v>
      </c>
      <c r="C342" s="809">
        <v>0</v>
      </c>
      <c r="D342" s="809">
        <v>0</v>
      </c>
      <c r="E342" s="95">
        <f t="shared" si="11"/>
        <v>189049.54368</v>
      </c>
      <c r="F342" s="145">
        <v>-2284.9699999999998</v>
      </c>
      <c r="G342" s="1094">
        <f t="shared" si="12"/>
        <v>186764.57368</v>
      </c>
      <c r="I342" t="s">
        <v>729</v>
      </c>
    </row>
    <row r="343" spans="1:9" hidden="1" outlineLevel="1">
      <c r="A343" s="988" t="s">
        <v>730</v>
      </c>
      <c r="B343" s="793">
        <v>749317.71872000012</v>
      </c>
      <c r="C343" s="809">
        <v>0</v>
      </c>
      <c r="D343" s="809">
        <v>0</v>
      </c>
      <c r="E343" s="95">
        <f t="shared" si="11"/>
        <v>749317.71872000012</v>
      </c>
      <c r="F343" s="145">
        <v>-7603.61</v>
      </c>
      <c r="G343" s="1094">
        <f t="shared" si="12"/>
        <v>741714.10872000013</v>
      </c>
      <c r="I343" t="s">
        <v>731</v>
      </c>
    </row>
    <row r="344" spans="1:9" hidden="1" outlineLevel="1">
      <c r="A344" s="988" t="s">
        <v>732</v>
      </c>
      <c r="B344" s="793">
        <v>62043.023680000006</v>
      </c>
      <c r="C344" s="809">
        <v>0</v>
      </c>
      <c r="D344" s="809">
        <v>0</v>
      </c>
      <c r="E344" s="95">
        <f t="shared" si="11"/>
        <v>62043.023680000006</v>
      </c>
      <c r="F344" s="145">
        <v>474.72</v>
      </c>
      <c r="G344" s="1094">
        <f t="shared" si="12"/>
        <v>62517.743680000007</v>
      </c>
      <c r="I344" t="s">
        <v>733</v>
      </c>
    </row>
    <row r="345" spans="1:9" hidden="1" outlineLevel="1">
      <c r="A345" s="988" t="s">
        <v>734</v>
      </c>
      <c r="B345" s="793">
        <v>7737845.9965760009</v>
      </c>
      <c r="C345" s="809">
        <v>0</v>
      </c>
      <c r="D345" s="809">
        <v>0</v>
      </c>
      <c r="E345" s="95">
        <f t="shared" si="11"/>
        <v>7737845.9965760009</v>
      </c>
      <c r="F345" s="145">
        <v>-3317.27</v>
      </c>
      <c r="G345" s="1094">
        <f t="shared" si="12"/>
        <v>7734528.7265760014</v>
      </c>
      <c r="I345" t="s">
        <v>735</v>
      </c>
    </row>
    <row r="346" spans="1:9" hidden="1" outlineLevel="1">
      <c r="A346" s="988" t="s">
        <v>736</v>
      </c>
      <c r="B346" s="793">
        <v>448316.54671999998</v>
      </c>
      <c r="C346" s="809">
        <v>0</v>
      </c>
      <c r="D346" s="809">
        <v>0</v>
      </c>
      <c r="E346" s="95">
        <f t="shared" si="11"/>
        <v>448316.54671999998</v>
      </c>
      <c r="F346" s="145">
        <v>0</v>
      </c>
      <c r="G346" s="1094">
        <f t="shared" si="12"/>
        <v>448316.54671999998</v>
      </c>
      <c r="I346" t="s">
        <v>737</v>
      </c>
    </row>
    <row r="347" spans="1:9" hidden="1" outlineLevel="1">
      <c r="A347" s="988" t="s">
        <v>738</v>
      </c>
      <c r="B347" s="793">
        <v>542973.07616000006</v>
      </c>
      <c r="C347" s="809">
        <v>0</v>
      </c>
      <c r="D347" s="809">
        <v>0</v>
      </c>
      <c r="E347" s="95">
        <f t="shared" si="11"/>
        <v>542973.07616000006</v>
      </c>
      <c r="F347" s="145">
        <v>6006.2499999999991</v>
      </c>
      <c r="G347" s="1094">
        <f t="shared" si="12"/>
        <v>548979.32616000006</v>
      </c>
      <c r="I347" t="s">
        <v>739</v>
      </c>
    </row>
    <row r="348" spans="1:9" hidden="1" outlineLevel="1">
      <c r="A348" s="988" t="s">
        <v>740</v>
      </c>
      <c r="B348" s="793">
        <v>162537.35616</v>
      </c>
      <c r="C348" s="809">
        <v>0</v>
      </c>
      <c r="D348" s="809">
        <v>0</v>
      </c>
      <c r="E348" s="95">
        <f t="shared" si="11"/>
        <v>162537.35616</v>
      </c>
      <c r="F348" s="145">
        <v>0</v>
      </c>
      <c r="G348" s="1094">
        <f t="shared" si="12"/>
        <v>162537.35616</v>
      </c>
      <c r="I348" t="s">
        <v>741</v>
      </c>
    </row>
    <row r="349" spans="1:9" hidden="1" outlineLevel="1">
      <c r="A349" s="988" t="s">
        <v>742</v>
      </c>
      <c r="B349" s="793">
        <v>2263071.37152</v>
      </c>
      <c r="C349" s="809">
        <v>0</v>
      </c>
      <c r="D349" s="809">
        <v>0</v>
      </c>
      <c r="E349" s="95">
        <f t="shared" si="11"/>
        <v>2263071.37152</v>
      </c>
      <c r="F349" s="145">
        <v>-16628.7</v>
      </c>
      <c r="G349" s="1094">
        <f t="shared" si="12"/>
        <v>2246442.6715199999</v>
      </c>
      <c r="I349" t="s">
        <v>743</v>
      </c>
    </row>
    <row r="350" spans="1:9" hidden="1" outlineLevel="1">
      <c r="A350" s="988" t="s">
        <v>744</v>
      </c>
      <c r="B350" s="793">
        <v>633711.04208000004</v>
      </c>
      <c r="C350" s="809">
        <v>0</v>
      </c>
      <c r="D350" s="809">
        <v>0</v>
      </c>
      <c r="E350" s="95">
        <f t="shared" si="11"/>
        <v>633711.04208000004</v>
      </c>
      <c r="F350" s="145">
        <v>-508.20000000000005</v>
      </c>
      <c r="G350" s="1094">
        <f t="shared" si="12"/>
        <v>633202.84208000009</v>
      </c>
      <c r="I350" t="s">
        <v>745</v>
      </c>
    </row>
    <row r="351" spans="1:9" hidden="1" outlineLevel="1">
      <c r="A351" s="988" t="s">
        <v>746</v>
      </c>
      <c r="B351" s="793">
        <v>7434753.4598400006</v>
      </c>
      <c r="C351" s="809">
        <v>0</v>
      </c>
      <c r="D351" s="809">
        <v>0</v>
      </c>
      <c r="E351" s="95">
        <f t="shared" si="11"/>
        <v>7434753.4598400006</v>
      </c>
      <c r="F351" s="145">
        <v>1158.3499999999999</v>
      </c>
      <c r="G351" s="1094">
        <f t="shared" si="12"/>
        <v>7435911.8098400002</v>
      </c>
      <c r="I351" t="s">
        <v>747</v>
      </c>
    </row>
    <row r="352" spans="1:9" hidden="1" outlineLevel="1">
      <c r="A352" s="988" t="s">
        <v>748</v>
      </c>
      <c r="B352" s="793">
        <v>319204.516</v>
      </c>
      <c r="C352" s="809">
        <v>0</v>
      </c>
      <c r="D352" s="809">
        <v>0</v>
      </c>
      <c r="E352" s="95">
        <f t="shared" si="11"/>
        <v>319204.516</v>
      </c>
      <c r="F352" s="145">
        <v>3742.54</v>
      </c>
      <c r="G352" s="1094">
        <f t="shared" si="12"/>
        <v>322947.05599999998</v>
      </c>
      <c r="I352" t="s">
        <v>749</v>
      </c>
    </row>
    <row r="353" spans="1:9" hidden="1" outlineLevel="1">
      <c r="A353" s="988" t="s">
        <v>750</v>
      </c>
      <c r="B353" s="793">
        <v>870443.70384000009</v>
      </c>
      <c r="C353" s="809">
        <v>0</v>
      </c>
      <c r="D353" s="809">
        <v>0</v>
      </c>
      <c r="E353" s="95">
        <f t="shared" si="11"/>
        <v>870443.70384000009</v>
      </c>
      <c r="F353" s="145">
        <v>0</v>
      </c>
      <c r="G353" s="1094">
        <f t="shared" si="12"/>
        <v>870443.70384000009</v>
      </c>
      <c r="I353" t="s">
        <v>751</v>
      </c>
    </row>
    <row r="354" spans="1:9" hidden="1" outlineLevel="1">
      <c r="A354" s="988" t="s">
        <v>752</v>
      </c>
      <c r="B354" s="793">
        <v>7812197.4524800004</v>
      </c>
      <c r="C354" s="809">
        <v>0</v>
      </c>
      <c r="D354" s="809">
        <v>0</v>
      </c>
      <c r="E354" s="95">
        <f t="shared" si="11"/>
        <v>7812197.4524800004</v>
      </c>
      <c r="F354" s="145">
        <v>24246.33</v>
      </c>
      <c r="G354" s="1094">
        <f t="shared" si="12"/>
        <v>7836443.7824800005</v>
      </c>
      <c r="I354" t="s">
        <v>753</v>
      </c>
    </row>
    <row r="355" spans="1:9" hidden="1" outlineLevel="1">
      <c r="A355" s="988" t="s">
        <v>754</v>
      </c>
      <c r="B355" s="793">
        <v>21030809.675040003</v>
      </c>
      <c r="C355" s="809">
        <v>-16453918.17</v>
      </c>
      <c r="D355" s="809">
        <v>0</v>
      </c>
      <c r="E355" s="95">
        <f t="shared" si="11"/>
        <v>4576891.505040003</v>
      </c>
      <c r="F355" s="145">
        <v>-602.16999999999996</v>
      </c>
      <c r="G355" s="1094">
        <f t="shared" si="12"/>
        <v>4576289.3350400031</v>
      </c>
      <c r="I355" t="s">
        <v>755</v>
      </c>
    </row>
    <row r="356" spans="1:9" hidden="1" outlineLevel="1">
      <c r="A356" s="988" t="s">
        <v>756</v>
      </c>
      <c r="B356" s="793">
        <v>1066941.83232</v>
      </c>
      <c r="C356" s="809">
        <v>0</v>
      </c>
      <c r="D356" s="809">
        <v>0</v>
      </c>
      <c r="E356" s="95">
        <f t="shared" si="11"/>
        <v>1066941.83232</v>
      </c>
      <c r="F356" s="145">
        <v>0</v>
      </c>
      <c r="G356" s="1094">
        <f t="shared" si="12"/>
        <v>1066941.83232</v>
      </c>
      <c r="I356" t="s">
        <v>610</v>
      </c>
    </row>
    <row r="357" spans="1:9" hidden="1" outlineLevel="1">
      <c r="A357" s="988" t="s">
        <v>757</v>
      </c>
      <c r="B357" s="793">
        <v>32333.511840000003</v>
      </c>
      <c r="C357" s="809">
        <v>0</v>
      </c>
      <c r="D357" s="809">
        <v>0</v>
      </c>
      <c r="E357" s="95">
        <f t="shared" si="11"/>
        <v>32333.511840000003</v>
      </c>
      <c r="F357" s="145">
        <v>0</v>
      </c>
      <c r="G357" s="1094">
        <f t="shared" si="12"/>
        <v>32333.511840000003</v>
      </c>
      <c r="I357" t="s">
        <v>758</v>
      </c>
    </row>
    <row r="358" spans="1:9" hidden="1" outlineLevel="1">
      <c r="A358" s="988" t="s">
        <v>759</v>
      </c>
      <c r="B358" s="793">
        <v>826771.54688000004</v>
      </c>
      <c r="C358" s="809">
        <v>0</v>
      </c>
      <c r="D358" s="809">
        <v>0</v>
      </c>
      <c r="E358" s="95">
        <f t="shared" si="11"/>
        <v>826771.54688000004</v>
      </c>
      <c r="F358" s="145">
        <v>3554.64</v>
      </c>
      <c r="G358" s="1094">
        <f t="shared" si="12"/>
        <v>830326.18688000005</v>
      </c>
      <c r="I358" t="s">
        <v>760</v>
      </c>
    </row>
    <row r="359" spans="1:9" hidden="1" outlineLevel="1">
      <c r="A359" s="988" t="s">
        <v>761</v>
      </c>
      <c r="B359" s="793">
        <v>6487301.4239999996</v>
      </c>
      <c r="C359" s="809">
        <v>0</v>
      </c>
      <c r="D359" s="809">
        <v>0</v>
      </c>
      <c r="E359" s="95">
        <f t="shared" si="11"/>
        <v>6487301.4239999996</v>
      </c>
      <c r="F359" s="145">
        <v>0</v>
      </c>
      <c r="G359" s="1094">
        <f t="shared" si="12"/>
        <v>6487301.4239999996</v>
      </c>
      <c r="I359" t="s">
        <v>762</v>
      </c>
    </row>
    <row r="360" spans="1:9" hidden="1" outlineLevel="1">
      <c r="A360" s="988" t="s">
        <v>763</v>
      </c>
      <c r="B360" s="793">
        <v>1766334.06752</v>
      </c>
      <c r="C360" s="809">
        <v>0</v>
      </c>
      <c r="D360" s="809">
        <v>0</v>
      </c>
      <c r="E360" s="95">
        <f t="shared" si="11"/>
        <v>1766334.06752</v>
      </c>
      <c r="F360" s="145">
        <v>0</v>
      </c>
      <c r="G360" s="1094">
        <f t="shared" si="12"/>
        <v>1766334.06752</v>
      </c>
      <c r="I360" t="s">
        <v>764</v>
      </c>
    </row>
    <row r="361" spans="1:9" hidden="1" outlineLevel="1">
      <c r="A361" s="988" t="s">
        <v>765</v>
      </c>
      <c r="B361" s="793">
        <v>659391.51344000001</v>
      </c>
      <c r="C361" s="809">
        <v>0</v>
      </c>
      <c r="D361" s="809">
        <v>0</v>
      </c>
      <c r="E361" s="95">
        <f t="shared" si="11"/>
        <v>659391.51344000001</v>
      </c>
      <c r="F361" s="145">
        <v>-4772.41</v>
      </c>
      <c r="G361" s="1094">
        <f t="shared" si="12"/>
        <v>654619.10343999998</v>
      </c>
      <c r="I361" t="s">
        <v>766</v>
      </c>
    </row>
    <row r="362" spans="1:9" hidden="1" outlineLevel="1">
      <c r="A362" s="988" t="s">
        <v>767</v>
      </c>
      <c r="B362" s="793">
        <v>327356.10320000001</v>
      </c>
      <c r="C362" s="809">
        <v>0</v>
      </c>
      <c r="D362" s="809">
        <v>0</v>
      </c>
      <c r="E362" s="95">
        <f t="shared" si="11"/>
        <v>327356.10320000001</v>
      </c>
      <c r="F362" s="145">
        <v>0</v>
      </c>
      <c r="G362" s="1094">
        <f t="shared" si="12"/>
        <v>327356.10320000001</v>
      </c>
      <c r="I362" t="s">
        <v>768</v>
      </c>
    </row>
    <row r="363" spans="1:9" hidden="1" outlineLevel="1">
      <c r="A363" s="988" t="s">
        <v>769</v>
      </c>
      <c r="B363" s="793">
        <v>379717.63616000005</v>
      </c>
      <c r="C363" s="809">
        <v>0</v>
      </c>
      <c r="D363" s="809">
        <v>0</v>
      </c>
      <c r="E363" s="95">
        <f t="shared" si="11"/>
        <v>379717.63616000005</v>
      </c>
      <c r="F363" s="145">
        <v>-170.91000000000003</v>
      </c>
      <c r="G363" s="1094">
        <f t="shared" si="12"/>
        <v>379546.72616000008</v>
      </c>
      <c r="I363" t="s">
        <v>770</v>
      </c>
    </row>
    <row r="364" spans="1:9" hidden="1" outlineLevel="1">
      <c r="A364" s="988" t="s">
        <v>771</v>
      </c>
      <c r="B364" s="793">
        <v>745246.01199999999</v>
      </c>
      <c r="C364" s="809">
        <v>0</v>
      </c>
      <c r="D364" s="809">
        <v>0</v>
      </c>
      <c r="E364" s="95">
        <f t="shared" si="11"/>
        <v>745246.01199999999</v>
      </c>
      <c r="F364" s="145">
        <v>0</v>
      </c>
      <c r="G364" s="1094">
        <f t="shared" si="12"/>
        <v>745246.01199999999</v>
      </c>
      <c r="I364" t="s">
        <v>772</v>
      </c>
    </row>
    <row r="365" spans="1:9" hidden="1" outlineLevel="1">
      <c r="A365" s="988" t="s">
        <v>773</v>
      </c>
      <c r="B365" s="793">
        <v>9496360.8747199997</v>
      </c>
      <c r="C365" s="809">
        <v>0</v>
      </c>
      <c r="D365" s="809">
        <v>0</v>
      </c>
      <c r="E365" s="95">
        <f t="shared" si="11"/>
        <v>9496360.8747199997</v>
      </c>
      <c r="F365" s="145">
        <v>-41569.97</v>
      </c>
      <c r="G365" s="1094">
        <f t="shared" si="12"/>
        <v>9454790.9047199991</v>
      </c>
      <c r="I365" t="s">
        <v>774</v>
      </c>
    </row>
    <row r="366" spans="1:9" hidden="1" outlineLevel="1">
      <c r="A366" s="988" t="s">
        <v>356</v>
      </c>
      <c r="B366" s="793">
        <v>6397.2464</v>
      </c>
      <c r="C366" s="809">
        <v>0</v>
      </c>
      <c r="D366" s="809">
        <v>0</v>
      </c>
      <c r="E366" s="95">
        <f t="shared" si="11"/>
        <v>6397.2464</v>
      </c>
      <c r="F366" s="145">
        <v>-172196.94</v>
      </c>
      <c r="G366" s="1094">
        <f t="shared" si="12"/>
        <v>-165799.6936</v>
      </c>
      <c r="I366" t="s">
        <v>357</v>
      </c>
    </row>
    <row r="367" spans="1:9" hidden="1" outlineLevel="1">
      <c r="A367" s="988" t="s">
        <v>775</v>
      </c>
      <c r="B367" s="793">
        <v>7391976.9593599997</v>
      </c>
      <c r="C367" s="809">
        <v>0</v>
      </c>
      <c r="D367" s="809">
        <v>0</v>
      </c>
      <c r="E367" s="95">
        <f t="shared" si="11"/>
        <v>7391976.9593599997</v>
      </c>
      <c r="F367" s="145">
        <v>-165607.76</v>
      </c>
      <c r="G367" s="1094">
        <f t="shared" si="12"/>
        <v>7226369.19936</v>
      </c>
      <c r="I367" t="s">
        <v>776</v>
      </c>
    </row>
    <row r="368" spans="1:9" hidden="1" outlineLevel="1">
      <c r="A368" s="988" t="s">
        <v>777</v>
      </c>
      <c r="B368" s="793">
        <v>12197752.880784001</v>
      </c>
      <c r="C368" s="809">
        <v>0</v>
      </c>
      <c r="D368" s="809">
        <v>0</v>
      </c>
      <c r="E368" s="95">
        <f t="shared" si="11"/>
        <v>12197752.880784001</v>
      </c>
      <c r="F368" s="145">
        <v>31126.99</v>
      </c>
      <c r="G368" s="1094">
        <f t="shared" si="12"/>
        <v>12228879.870784001</v>
      </c>
      <c r="I368" t="s">
        <v>778</v>
      </c>
    </row>
    <row r="369" spans="1:9" hidden="1" outlineLevel="1">
      <c r="A369" s="988" t="s">
        <v>360</v>
      </c>
      <c r="B369" s="793">
        <v>58903.702880000004</v>
      </c>
      <c r="C369" s="809">
        <v>0</v>
      </c>
      <c r="D369" s="809">
        <v>0</v>
      </c>
      <c r="E369" s="95">
        <f t="shared" si="11"/>
        <v>58903.702880000004</v>
      </c>
      <c r="F369" s="145">
        <v>0</v>
      </c>
      <c r="G369" s="1094">
        <f t="shared" si="12"/>
        <v>58903.702880000004</v>
      </c>
      <c r="I369" t="s">
        <v>361</v>
      </c>
    </row>
    <row r="370" spans="1:9" hidden="1" outlineLevel="1">
      <c r="A370" s="988" t="s">
        <v>779</v>
      </c>
      <c r="B370" s="793">
        <v>784882.5422400001</v>
      </c>
      <c r="C370" s="809">
        <v>0</v>
      </c>
      <c r="D370" s="809">
        <v>0</v>
      </c>
      <c r="E370" s="95">
        <f t="shared" si="11"/>
        <v>784882.5422400001</v>
      </c>
      <c r="F370" s="145">
        <v>4516.2299999999996</v>
      </c>
      <c r="G370" s="1094">
        <f t="shared" si="12"/>
        <v>789398.77224000008</v>
      </c>
      <c r="I370" t="s">
        <v>780</v>
      </c>
    </row>
    <row r="371" spans="1:9" hidden="1" outlineLevel="1">
      <c r="A371" s="988" t="s">
        <v>781</v>
      </c>
      <c r="B371" s="793">
        <v>1367073.7846400002</v>
      </c>
      <c r="C371" s="809">
        <v>0</v>
      </c>
      <c r="D371" s="809">
        <v>0</v>
      </c>
      <c r="E371" s="95">
        <f t="shared" ref="E371:E412" si="13">B371+C371+D371</f>
        <v>1367073.7846400002</v>
      </c>
      <c r="F371" s="145">
        <v>1053.43</v>
      </c>
      <c r="G371" s="1094">
        <f t="shared" si="12"/>
        <v>1368127.2146400001</v>
      </c>
      <c r="I371" t="s">
        <v>782</v>
      </c>
    </row>
    <row r="372" spans="1:9" hidden="1" outlineLevel="1">
      <c r="A372" s="988" t="s">
        <v>783</v>
      </c>
      <c r="B372" s="793">
        <v>387268.25520000001</v>
      </c>
      <c r="C372" s="809">
        <v>0</v>
      </c>
      <c r="D372" s="809">
        <v>0</v>
      </c>
      <c r="E372" s="95">
        <f t="shared" si="13"/>
        <v>387268.25520000001</v>
      </c>
      <c r="F372" s="145">
        <v>30.199999999999989</v>
      </c>
      <c r="G372" s="1094">
        <f t="shared" si="12"/>
        <v>387298.45520000003</v>
      </c>
      <c r="I372" t="s">
        <v>784</v>
      </c>
    </row>
    <row r="373" spans="1:9" hidden="1" outlineLevel="1">
      <c r="A373" s="988" t="s">
        <v>785</v>
      </c>
      <c r="B373" s="793">
        <v>2955365.6867200001</v>
      </c>
      <c r="C373" s="809">
        <v>0</v>
      </c>
      <c r="D373" s="809">
        <v>0</v>
      </c>
      <c r="E373" s="95">
        <f t="shared" si="13"/>
        <v>2955365.6867200001</v>
      </c>
      <c r="F373" s="145">
        <v>-1512.94</v>
      </c>
      <c r="G373" s="1094">
        <f t="shared" si="12"/>
        <v>2953852.7467200002</v>
      </c>
      <c r="I373" t="s">
        <v>786</v>
      </c>
    </row>
    <row r="374" spans="1:9" hidden="1" outlineLevel="1">
      <c r="A374" s="988" t="s">
        <v>787</v>
      </c>
      <c r="B374" s="793">
        <v>1001450.85296</v>
      </c>
      <c r="C374" s="809">
        <v>0</v>
      </c>
      <c r="D374" s="809">
        <v>0</v>
      </c>
      <c r="E374" s="95">
        <f t="shared" si="13"/>
        <v>1001450.85296</v>
      </c>
      <c r="F374" s="145">
        <v>-3402.81</v>
      </c>
      <c r="G374" s="1094">
        <f t="shared" si="12"/>
        <v>998048.04295999999</v>
      </c>
      <c r="I374" t="s">
        <v>788</v>
      </c>
    </row>
    <row r="375" spans="1:9" hidden="1" outlineLevel="1">
      <c r="A375" s="988" t="s">
        <v>789</v>
      </c>
      <c r="B375" s="793">
        <v>13336.532480000002</v>
      </c>
      <c r="C375" s="809">
        <v>0</v>
      </c>
      <c r="D375" s="809">
        <v>0</v>
      </c>
      <c r="E375" s="95">
        <f t="shared" si="13"/>
        <v>13336.532480000002</v>
      </c>
      <c r="F375" s="145">
        <v>-11.33</v>
      </c>
      <c r="G375" s="1094">
        <f t="shared" si="12"/>
        <v>13325.202480000002</v>
      </c>
      <c r="I375" t="s">
        <v>790</v>
      </c>
    </row>
    <row r="376" spans="1:9" hidden="1" outlineLevel="1">
      <c r="A376" s="988" t="s">
        <v>791</v>
      </c>
      <c r="B376" s="793">
        <v>630614.12511999998</v>
      </c>
      <c r="C376" s="809">
        <v>0</v>
      </c>
      <c r="D376" s="809">
        <v>12847</v>
      </c>
      <c r="E376" s="95">
        <f t="shared" si="13"/>
        <v>643461.12511999998</v>
      </c>
      <c r="F376" s="145">
        <v>-1206.1100000000001</v>
      </c>
      <c r="G376" s="1094">
        <f t="shared" si="12"/>
        <v>642255.01512</v>
      </c>
      <c r="I376" t="s">
        <v>792</v>
      </c>
    </row>
    <row r="377" spans="1:9" hidden="1" outlineLevel="1">
      <c r="A377" s="988" t="s">
        <v>793</v>
      </c>
      <c r="B377" s="793">
        <v>920465.94079999998</v>
      </c>
      <c r="C377" s="809">
        <v>0</v>
      </c>
      <c r="D377" s="809">
        <v>0</v>
      </c>
      <c r="E377" s="95">
        <f t="shared" si="13"/>
        <v>920465.94079999998</v>
      </c>
      <c r="F377" s="145">
        <v>-18504.879999999997</v>
      </c>
      <c r="G377" s="1094">
        <f t="shared" si="12"/>
        <v>901961.06079999998</v>
      </c>
      <c r="I377" t="s">
        <v>794</v>
      </c>
    </row>
    <row r="378" spans="1:9" hidden="1" outlineLevel="1">
      <c r="A378" s="988" t="s">
        <v>795</v>
      </c>
      <c r="B378" s="793">
        <v>1065219.6748800001</v>
      </c>
      <c r="C378" s="809">
        <v>0</v>
      </c>
      <c r="D378" s="809">
        <v>0</v>
      </c>
      <c r="E378" s="95">
        <f t="shared" si="13"/>
        <v>1065219.6748800001</v>
      </c>
      <c r="F378" s="145">
        <v>-11862.42</v>
      </c>
      <c r="G378" s="1094">
        <f t="shared" si="12"/>
        <v>1053357.2548800001</v>
      </c>
      <c r="I378" t="s">
        <v>796</v>
      </c>
    </row>
    <row r="379" spans="1:9" hidden="1" outlineLevel="1">
      <c r="A379" s="988" t="s">
        <v>797</v>
      </c>
      <c r="B379" s="793">
        <v>245731.82063999999</v>
      </c>
      <c r="C379" s="809">
        <v>0</v>
      </c>
      <c r="D379" s="809">
        <v>0</v>
      </c>
      <c r="E379" s="95">
        <f t="shared" si="13"/>
        <v>245731.82063999999</v>
      </c>
      <c r="F379" s="145">
        <v>-1633.38</v>
      </c>
      <c r="G379" s="1094">
        <f t="shared" si="12"/>
        <v>244098.44063999999</v>
      </c>
      <c r="I379" t="s">
        <v>798</v>
      </c>
    </row>
    <row r="380" spans="1:9" hidden="1" outlineLevel="1">
      <c r="A380" s="988" t="s">
        <v>799</v>
      </c>
      <c r="B380" s="793">
        <v>114298.67168</v>
      </c>
      <c r="C380" s="809">
        <v>0</v>
      </c>
      <c r="D380" s="809">
        <v>0</v>
      </c>
      <c r="E380" s="95">
        <f t="shared" si="13"/>
        <v>114298.67168</v>
      </c>
      <c r="F380" s="145">
        <v>0</v>
      </c>
      <c r="G380" s="1094">
        <f t="shared" si="12"/>
        <v>114298.67168</v>
      </c>
      <c r="I380" t="s">
        <v>800</v>
      </c>
    </row>
    <row r="381" spans="1:9" hidden="1" outlineLevel="1">
      <c r="A381" s="988" t="s">
        <v>801</v>
      </c>
      <c r="B381" s="793">
        <v>143312.94159999999</v>
      </c>
      <c r="C381" s="809">
        <v>0</v>
      </c>
      <c r="D381" s="809">
        <v>0</v>
      </c>
      <c r="E381" s="95">
        <f t="shared" si="13"/>
        <v>143312.94159999999</v>
      </c>
      <c r="F381" s="145">
        <v>0</v>
      </c>
      <c r="G381" s="1094">
        <f t="shared" si="12"/>
        <v>143312.94159999999</v>
      </c>
      <c r="I381" t="s">
        <v>802</v>
      </c>
    </row>
    <row r="382" spans="1:9" hidden="1" outlineLevel="1">
      <c r="A382" s="988" t="s">
        <v>803</v>
      </c>
      <c r="B382" s="793">
        <v>760324.27696000005</v>
      </c>
      <c r="C382" s="809">
        <v>0</v>
      </c>
      <c r="D382" s="809">
        <v>0</v>
      </c>
      <c r="E382" s="95">
        <f t="shared" si="13"/>
        <v>760324.27696000005</v>
      </c>
      <c r="F382" s="145">
        <v>0</v>
      </c>
      <c r="G382" s="1094">
        <f t="shared" si="12"/>
        <v>760324.27696000005</v>
      </c>
      <c r="I382" t="s">
        <v>804</v>
      </c>
    </row>
    <row r="383" spans="1:9" hidden="1" outlineLevel="1">
      <c r="A383" s="988" t="s">
        <v>805</v>
      </c>
      <c r="B383" s="793">
        <v>1940233.8553600002</v>
      </c>
      <c r="C383" s="809">
        <v>0</v>
      </c>
      <c r="D383" s="809">
        <v>0</v>
      </c>
      <c r="E383" s="95">
        <f t="shared" si="13"/>
        <v>1940233.8553600002</v>
      </c>
      <c r="F383" s="145">
        <v>9609.5899999999983</v>
      </c>
      <c r="G383" s="1094">
        <f t="shared" si="12"/>
        <v>1949843.4453600002</v>
      </c>
      <c r="I383" t="s">
        <v>806</v>
      </c>
    </row>
    <row r="384" spans="1:9" hidden="1" outlineLevel="1">
      <c r="A384" s="988" t="s">
        <v>807</v>
      </c>
      <c r="B384" s="793">
        <v>932210.78768000007</v>
      </c>
      <c r="C384" s="809">
        <v>0</v>
      </c>
      <c r="D384" s="809">
        <v>0</v>
      </c>
      <c r="E384" s="95">
        <f t="shared" si="13"/>
        <v>932210.78768000007</v>
      </c>
      <c r="F384" s="145">
        <v>281.52</v>
      </c>
      <c r="G384" s="1094">
        <f t="shared" si="12"/>
        <v>932492.30768000009</v>
      </c>
      <c r="I384" t="s">
        <v>808</v>
      </c>
    </row>
    <row r="385" spans="1:9" hidden="1" outlineLevel="1">
      <c r="A385" s="988" t="s">
        <v>809</v>
      </c>
      <c r="B385" s="793">
        <v>6008035.438848</v>
      </c>
      <c r="C385" s="809">
        <v>0</v>
      </c>
      <c r="D385" s="809">
        <v>0</v>
      </c>
      <c r="E385" s="95">
        <f t="shared" si="13"/>
        <v>6008035.438848</v>
      </c>
      <c r="F385" s="145">
        <v>78349.960000000006</v>
      </c>
      <c r="G385" s="1094">
        <f t="shared" si="12"/>
        <v>6086385.398848</v>
      </c>
      <c r="I385" t="s">
        <v>810</v>
      </c>
    </row>
    <row r="386" spans="1:9" hidden="1" outlineLevel="1">
      <c r="A386" s="988" t="s">
        <v>811</v>
      </c>
      <c r="B386" s="793">
        <v>1283399.5086400001</v>
      </c>
      <c r="C386" s="809">
        <v>0</v>
      </c>
      <c r="D386" s="809">
        <v>0</v>
      </c>
      <c r="E386" s="95">
        <f t="shared" si="13"/>
        <v>1283399.5086400001</v>
      </c>
      <c r="F386" s="145">
        <v>25595.09</v>
      </c>
      <c r="G386" s="1094">
        <f t="shared" si="12"/>
        <v>1308994.5986400002</v>
      </c>
      <c r="I386" t="s">
        <v>812</v>
      </c>
    </row>
    <row r="387" spans="1:9" hidden="1" outlineLevel="1">
      <c r="A387" s="988" t="s">
        <v>813</v>
      </c>
      <c r="B387" s="793">
        <v>222443.31552</v>
      </c>
      <c r="C387" s="809">
        <v>0</v>
      </c>
      <c r="D387" s="809">
        <v>0</v>
      </c>
      <c r="E387" s="95">
        <f t="shared" si="13"/>
        <v>222443.31552</v>
      </c>
      <c r="F387" s="145">
        <v>0</v>
      </c>
      <c r="G387" s="1094">
        <f t="shared" si="12"/>
        <v>222443.31552</v>
      </c>
      <c r="I387" t="s">
        <v>814</v>
      </c>
    </row>
    <row r="388" spans="1:9" hidden="1" outlineLevel="1">
      <c r="A388" s="988" t="s">
        <v>815</v>
      </c>
      <c r="B388" s="793">
        <v>469517.67296000005</v>
      </c>
      <c r="C388" s="809">
        <v>0</v>
      </c>
      <c r="D388" s="809">
        <v>0</v>
      </c>
      <c r="E388" s="95">
        <f t="shared" si="13"/>
        <v>469517.67296000005</v>
      </c>
      <c r="F388" s="145">
        <v>0</v>
      </c>
      <c r="G388" s="1094">
        <f t="shared" si="12"/>
        <v>469517.67296000005</v>
      </c>
      <c r="I388" t="s">
        <v>816</v>
      </c>
    </row>
    <row r="389" spans="1:9" hidden="1" outlineLevel="1">
      <c r="A389" s="988" t="s">
        <v>817</v>
      </c>
      <c r="B389" s="793">
        <v>1021183.72</v>
      </c>
      <c r="C389" s="809">
        <v>0</v>
      </c>
      <c r="D389" s="809">
        <v>0</v>
      </c>
      <c r="E389" s="95">
        <f t="shared" si="13"/>
        <v>1021183.72</v>
      </c>
      <c r="F389" s="145">
        <v>-2497.41</v>
      </c>
      <c r="G389" s="1094">
        <f t="shared" si="12"/>
        <v>1018686.3099999999</v>
      </c>
      <c r="I389" t="s">
        <v>818</v>
      </c>
    </row>
    <row r="390" spans="1:9" hidden="1" outlineLevel="1">
      <c r="A390" s="988" t="s">
        <v>819</v>
      </c>
      <c r="B390" s="793">
        <v>67348.797600000005</v>
      </c>
      <c r="C390" s="809">
        <v>0</v>
      </c>
      <c r="D390" s="809">
        <v>0</v>
      </c>
      <c r="E390" s="95">
        <f t="shared" si="13"/>
        <v>67348.797600000005</v>
      </c>
      <c r="F390" s="145">
        <v>0</v>
      </c>
      <c r="G390" s="1094">
        <f t="shared" si="12"/>
        <v>67348.797600000005</v>
      </c>
      <c r="I390" t="s">
        <v>820</v>
      </c>
    </row>
    <row r="391" spans="1:9" hidden="1" outlineLevel="1">
      <c r="A391" s="988" t="s">
        <v>821</v>
      </c>
      <c r="B391" s="793">
        <v>436147.916624</v>
      </c>
      <c r="C391" s="809">
        <v>0</v>
      </c>
      <c r="D391" s="809">
        <v>0</v>
      </c>
      <c r="E391" s="95">
        <f t="shared" si="13"/>
        <v>436147.916624</v>
      </c>
      <c r="F391" s="145">
        <v>208.48</v>
      </c>
      <c r="G391" s="1094">
        <f t="shared" si="12"/>
        <v>436356.39662399999</v>
      </c>
      <c r="I391" t="s">
        <v>822</v>
      </c>
    </row>
    <row r="392" spans="1:9" hidden="1" outlineLevel="1">
      <c r="A392" s="988" t="s">
        <v>821</v>
      </c>
      <c r="B392" s="793">
        <v>72729.169544000004</v>
      </c>
      <c r="C392" s="809">
        <v>0</v>
      </c>
      <c r="D392" s="809">
        <v>0</v>
      </c>
      <c r="E392" s="95">
        <f t="shared" si="13"/>
        <v>72729.169544000004</v>
      </c>
      <c r="F392" s="145">
        <v>4527.47</v>
      </c>
      <c r="G392" s="1094">
        <f t="shared" si="12"/>
        <v>77256.639544000005</v>
      </c>
      <c r="I392" t="s">
        <v>822</v>
      </c>
    </row>
    <row r="393" spans="1:9" hidden="1" outlineLevel="1">
      <c r="A393" s="988" t="s">
        <v>821</v>
      </c>
      <c r="B393" s="793">
        <v>338729.08762399998</v>
      </c>
      <c r="C393" s="809">
        <v>0</v>
      </c>
      <c r="D393" s="809">
        <v>0</v>
      </c>
      <c r="E393" s="95">
        <f t="shared" si="13"/>
        <v>338729.08762399998</v>
      </c>
      <c r="F393" s="145">
        <v>100.03</v>
      </c>
      <c r="G393" s="1094">
        <f t="shared" si="12"/>
        <v>338829.11762400001</v>
      </c>
      <c r="I393" t="s">
        <v>822</v>
      </c>
    </row>
    <row r="394" spans="1:9" hidden="1" outlineLevel="1">
      <c r="A394" s="988" t="s">
        <v>823</v>
      </c>
      <c r="B394" s="793">
        <v>127601.97776000001</v>
      </c>
      <c r="C394" s="809">
        <v>0</v>
      </c>
      <c r="D394" s="809">
        <v>0</v>
      </c>
      <c r="E394" s="95">
        <f t="shared" si="13"/>
        <v>127601.97776000001</v>
      </c>
      <c r="F394" s="145">
        <v>-504.48000000000008</v>
      </c>
      <c r="G394" s="1094">
        <f t="shared" ref="G394:G458" si="14">E394+F394</f>
        <v>127097.49776000001</v>
      </c>
      <c r="I394" t="s">
        <v>824</v>
      </c>
    </row>
    <row r="395" spans="1:9" hidden="1" outlineLevel="1">
      <c r="A395" s="988" t="s">
        <v>825</v>
      </c>
      <c r="B395" s="793">
        <v>444647.35503999999</v>
      </c>
      <c r="C395" s="809">
        <v>0</v>
      </c>
      <c r="D395" s="809">
        <v>0</v>
      </c>
      <c r="E395" s="95">
        <f t="shared" si="13"/>
        <v>444647.35503999999</v>
      </c>
      <c r="F395" s="145">
        <v>0</v>
      </c>
      <c r="G395" s="1094">
        <f t="shared" si="14"/>
        <v>444647.35503999999</v>
      </c>
      <c r="I395" t="s">
        <v>826</v>
      </c>
    </row>
    <row r="396" spans="1:9" hidden="1" outlineLevel="1">
      <c r="A396" s="988" t="s">
        <v>827</v>
      </c>
      <c r="B396" s="793">
        <v>214828.95952</v>
      </c>
      <c r="C396" s="809">
        <v>0</v>
      </c>
      <c r="D396" s="809">
        <v>0</v>
      </c>
      <c r="E396" s="95">
        <f t="shared" si="13"/>
        <v>214828.95952</v>
      </c>
      <c r="F396" s="145">
        <v>534.39</v>
      </c>
      <c r="G396" s="1094">
        <f t="shared" si="14"/>
        <v>215363.34952000002</v>
      </c>
      <c r="I396" t="s">
        <v>828</v>
      </c>
    </row>
    <row r="397" spans="1:9" hidden="1" outlineLevel="1">
      <c r="A397" s="988" t="s">
        <v>829</v>
      </c>
      <c r="B397" s="793">
        <v>255678.61744000003</v>
      </c>
      <c r="C397" s="809">
        <v>0</v>
      </c>
      <c r="D397" s="809">
        <v>0</v>
      </c>
      <c r="E397" s="95">
        <f t="shared" si="13"/>
        <v>255678.61744000003</v>
      </c>
      <c r="F397" s="145">
        <v>7707.12</v>
      </c>
      <c r="G397" s="1094">
        <f t="shared" si="14"/>
        <v>263385.73744000006</v>
      </c>
      <c r="I397" t="s">
        <v>830</v>
      </c>
    </row>
    <row r="398" spans="1:9" hidden="1" outlineLevel="1">
      <c r="A398" s="988" t="s">
        <v>831</v>
      </c>
      <c r="B398" s="793">
        <v>7292412.6971199997</v>
      </c>
      <c r="C398" s="809">
        <v>0</v>
      </c>
      <c r="D398" s="809">
        <v>0</v>
      </c>
      <c r="E398" s="95">
        <f t="shared" si="13"/>
        <v>7292412.6971199997</v>
      </c>
      <c r="F398" s="145">
        <v>0</v>
      </c>
      <c r="G398" s="1094">
        <f t="shared" si="14"/>
        <v>7292412.6971199997</v>
      </c>
      <c r="I398" t="s">
        <v>832</v>
      </c>
    </row>
    <row r="399" spans="1:9" hidden="1" outlineLevel="1">
      <c r="A399" s="988" t="s">
        <v>833</v>
      </c>
      <c r="B399" s="793">
        <v>624688.89696000004</v>
      </c>
      <c r="C399" s="809">
        <v>0</v>
      </c>
      <c r="D399" s="809">
        <v>0</v>
      </c>
      <c r="E399" s="95">
        <f t="shared" si="13"/>
        <v>624688.89696000004</v>
      </c>
      <c r="F399" s="145">
        <v>-177.82999999999998</v>
      </c>
      <c r="G399" s="1094">
        <f t="shared" si="14"/>
        <v>624511.06696000008</v>
      </c>
      <c r="I399" t="s">
        <v>834</v>
      </c>
    </row>
    <row r="400" spans="1:9" hidden="1" outlineLevel="1">
      <c r="A400" s="988" t="s">
        <v>835</v>
      </c>
      <c r="B400" s="793">
        <v>2963170.4073600001</v>
      </c>
      <c r="C400" s="809">
        <v>0</v>
      </c>
      <c r="D400" s="809">
        <v>0</v>
      </c>
      <c r="E400" s="95">
        <f t="shared" si="13"/>
        <v>2963170.4073600001</v>
      </c>
      <c r="F400" s="145">
        <v>15493.14</v>
      </c>
      <c r="G400" s="1094">
        <f t="shared" si="14"/>
        <v>2978663.5473600002</v>
      </c>
      <c r="I400" t="s">
        <v>836</v>
      </c>
    </row>
    <row r="401" spans="1:9" hidden="1" outlineLevel="1">
      <c r="A401" s="988" t="s">
        <v>837</v>
      </c>
      <c r="B401" s="793">
        <v>249055.62176000004</v>
      </c>
      <c r="C401" s="809">
        <v>0</v>
      </c>
      <c r="D401" s="809">
        <v>0</v>
      </c>
      <c r="E401" s="95">
        <f t="shared" si="13"/>
        <v>249055.62176000004</v>
      </c>
      <c r="F401" s="145">
        <v>0</v>
      </c>
      <c r="G401" s="1094">
        <f t="shared" si="14"/>
        <v>249055.62176000004</v>
      </c>
      <c r="I401" t="s">
        <v>838</v>
      </c>
    </row>
    <row r="402" spans="1:9" hidden="1" outlineLevel="1">
      <c r="A402" s="988" t="s">
        <v>837</v>
      </c>
      <c r="B402" s="793">
        <v>31204.916320000004</v>
      </c>
      <c r="C402" s="809">
        <v>0</v>
      </c>
      <c r="D402" s="809">
        <v>0</v>
      </c>
      <c r="E402" s="95">
        <f t="shared" si="13"/>
        <v>31204.916320000004</v>
      </c>
      <c r="F402" s="145">
        <v>0</v>
      </c>
      <c r="G402" s="1094">
        <f t="shared" si="14"/>
        <v>31204.916320000004</v>
      </c>
      <c r="I402" t="s">
        <v>838</v>
      </c>
    </row>
    <row r="403" spans="1:9" hidden="1" outlineLevel="1">
      <c r="A403" s="988" t="s">
        <v>837</v>
      </c>
      <c r="B403" s="793">
        <v>154552.39296</v>
      </c>
      <c r="C403" s="809">
        <v>0</v>
      </c>
      <c r="D403" s="809">
        <v>0</v>
      </c>
      <c r="E403" s="95">
        <f t="shared" si="13"/>
        <v>154552.39296</v>
      </c>
      <c r="F403" s="145">
        <v>0</v>
      </c>
      <c r="G403" s="1094">
        <f t="shared" si="14"/>
        <v>154552.39296</v>
      </c>
      <c r="I403" t="s">
        <v>838</v>
      </c>
    </row>
    <row r="404" spans="1:9" hidden="1" outlineLevel="1">
      <c r="A404" s="988" t="s">
        <v>839</v>
      </c>
      <c r="B404" s="793">
        <v>25345.753919999999</v>
      </c>
      <c r="C404" s="809">
        <v>0</v>
      </c>
      <c r="D404" s="809">
        <v>0</v>
      </c>
      <c r="E404" s="95">
        <f t="shared" si="13"/>
        <v>25345.753919999999</v>
      </c>
      <c r="F404" s="145">
        <v>0</v>
      </c>
      <c r="G404" s="1094">
        <f t="shared" si="14"/>
        <v>25345.753919999999</v>
      </c>
      <c r="I404" t="s">
        <v>840</v>
      </c>
    </row>
    <row r="405" spans="1:9" hidden="1" outlineLevel="1">
      <c r="A405" s="988" t="s">
        <v>841</v>
      </c>
      <c r="B405" s="793">
        <v>335321.72096000001</v>
      </c>
      <c r="C405" s="809">
        <v>0</v>
      </c>
      <c r="D405" s="809">
        <v>0</v>
      </c>
      <c r="E405" s="95">
        <f t="shared" si="13"/>
        <v>335321.72096000001</v>
      </c>
      <c r="F405" s="145">
        <v>-482.38</v>
      </c>
      <c r="G405" s="1094">
        <f t="shared" si="14"/>
        <v>334839.34096</v>
      </c>
      <c r="I405" t="s">
        <v>842</v>
      </c>
    </row>
    <row r="406" spans="1:9" hidden="1" outlineLevel="1">
      <c r="A406" s="988" t="s">
        <v>843</v>
      </c>
      <c r="B406" s="793">
        <v>409158.39136000001</v>
      </c>
      <c r="C406" s="809">
        <v>0</v>
      </c>
      <c r="D406" s="809">
        <v>0</v>
      </c>
      <c r="E406" s="95">
        <f t="shared" si="13"/>
        <v>409158.39136000001</v>
      </c>
      <c r="F406" s="145">
        <v>0</v>
      </c>
      <c r="G406" s="1094">
        <f t="shared" si="14"/>
        <v>409158.39136000001</v>
      </c>
      <c r="I406" t="s">
        <v>844</v>
      </c>
    </row>
    <row r="407" spans="1:9" hidden="1" outlineLevel="1">
      <c r="A407" s="988" t="s">
        <v>845</v>
      </c>
      <c r="B407" s="793">
        <v>4192794.3553599999</v>
      </c>
      <c r="C407" s="809">
        <v>0</v>
      </c>
      <c r="D407" s="809">
        <v>0</v>
      </c>
      <c r="E407" s="95">
        <f t="shared" si="13"/>
        <v>4192794.3553599999</v>
      </c>
      <c r="F407" s="145">
        <v>-6400.95</v>
      </c>
      <c r="G407" s="1094">
        <f t="shared" si="14"/>
        <v>4186393.4053599997</v>
      </c>
      <c r="I407" t="s">
        <v>846</v>
      </c>
    </row>
    <row r="408" spans="1:9" hidden="1" outlineLevel="1">
      <c r="A408" s="988" t="s">
        <v>847</v>
      </c>
      <c r="B408" s="793">
        <v>320088.32511999999</v>
      </c>
      <c r="C408" s="809">
        <v>0</v>
      </c>
      <c r="D408" s="809">
        <v>0</v>
      </c>
      <c r="E408" s="95">
        <f t="shared" si="13"/>
        <v>320088.32511999999</v>
      </c>
      <c r="F408" s="145">
        <v>0</v>
      </c>
      <c r="G408" s="1094">
        <f t="shared" si="14"/>
        <v>320088.32511999999</v>
      </c>
      <c r="I408" t="s">
        <v>848</v>
      </c>
    </row>
    <row r="409" spans="1:9" hidden="1" outlineLevel="1">
      <c r="A409" s="988" t="s">
        <v>849</v>
      </c>
      <c r="B409" s="793">
        <v>818430.06735999999</v>
      </c>
      <c r="C409" s="809">
        <v>0</v>
      </c>
      <c r="D409" s="809">
        <v>0</v>
      </c>
      <c r="E409" s="95">
        <f t="shared" si="13"/>
        <v>818430.06735999999</v>
      </c>
      <c r="F409" s="145">
        <v>0</v>
      </c>
      <c r="G409" s="1094">
        <f t="shared" si="14"/>
        <v>818430.06735999999</v>
      </c>
      <c r="I409" t="s">
        <v>850</v>
      </c>
    </row>
    <row r="410" spans="1:9" hidden="1" outlineLevel="1">
      <c r="A410" s="988" t="s">
        <v>398</v>
      </c>
      <c r="B410" s="793">
        <v>104534.45936000001</v>
      </c>
      <c r="C410" s="809">
        <v>0</v>
      </c>
      <c r="D410" s="809">
        <v>0</v>
      </c>
      <c r="E410" s="95">
        <f t="shared" si="13"/>
        <v>104534.45936000001</v>
      </c>
      <c r="F410" s="145">
        <v>-348.79999999999995</v>
      </c>
      <c r="G410" s="1094">
        <f t="shared" si="14"/>
        <v>104185.65936000001</v>
      </c>
      <c r="I410" t="s">
        <v>399</v>
      </c>
    </row>
    <row r="411" spans="1:9" hidden="1" outlineLevel="1">
      <c r="A411" s="988" t="s">
        <v>851</v>
      </c>
      <c r="B411" s="793">
        <v>78654.439360000004</v>
      </c>
      <c r="C411" s="809">
        <v>0</v>
      </c>
      <c r="D411" s="809">
        <v>0</v>
      </c>
      <c r="E411" s="95">
        <f t="shared" si="13"/>
        <v>78654.439360000004</v>
      </c>
      <c r="F411" s="145">
        <v>2602.86</v>
      </c>
      <c r="G411" s="1094">
        <f t="shared" si="14"/>
        <v>81257.299360000005</v>
      </c>
      <c r="I411" t="s">
        <v>852</v>
      </c>
    </row>
    <row r="412" spans="1:9" hidden="1" outlineLevel="1">
      <c r="A412" s="988" t="s">
        <v>853</v>
      </c>
      <c r="B412" s="793">
        <v>946443.81631999998</v>
      </c>
      <c r="C412" s="809">
        <v>0</v>
      </c>
      <c r="D412" s="809">
        <v>0</v>
      </c>
      <c r="E412" s="95">
        <f t="shared" si="13"/>
        <v>946443.81631999998</v>
      </c>
      <c r="F412" s="145">
        <v>0</v>
      </c>
      <c r="G412" s="1094">
        <f t="shared" si="14"/>
        <v>946443.81631999998</v>
      </c>
      <c r="I412" t="s">
        <v>854</v>
      </c>
    </row>
    <row r="413" spans="1:9" collapsed="1">
      <c r="A413" s="988" t="s">
        <v>855</v>
      </c>
      <c r="B413" s="544">
        <f>+SUM(B414:B793)</f>
        <v>675085966.31719971</v>
      </c>
      <c r="C413" s="809">
        <f>+SUM(C414:C793)</f>
        <v>-11558097.25</v>
      </c>
      <c r="D413" s="809">
        <f>+SUM(D414:D793)</f>
        <v>0</v>
      </c>
      <c r="E413" s="95">
        <f t="shared" ref="E413:E458" si="15">B413+C413+D413</f>
        <v>663527869.06719971</v>
      </c>
      <c r="F413" s="145">
        <f>+SUM(F414:F793)</f>
        <v>-402372.38073822978</v>
      </c>
      <c r="G413" s="1094">
        <f t="shared" si="14"/>
        <v>663125496.68646145</v>
      </c>
    </row>
    <row r="414" spans="1:9" hidden="1" outlineLevel="1">
      <c r="A414" s="988" t="s">
        <v>1861</v>
      </c>
      <c r="B414" s="793">
        <f>+VLOOKUP(A414,'Anlage 2a_Letztverbrauch'!$A$2281:$I$2661,9,FALSE)</f>
        <v>39878.017222399998</v>
      </c>
      <c r="C414" s="95">
        <v>0</v>
      </c>
      <c r="D414" s="95">
        <v>0</v>
      </c>
      <c r="E414" s="95">
        <f t="shared" si="15"/>
        <v>39878.017222399998</v>
      </c>
      <c r="F414" s="747">
        <f>+SUMIF('Anlage 2b_Korrekturen'!$B$647:$B$1026,A414,'Anlage 2b_Korrekturen'!$F$647:$F$1026)</f>
        <v>0</v>
      </c>
      <c r="G414" s="1094">
        <f t="shared" si="14"/>
        <v>39878.017222399998</v>
      </c>
      <c r="H414" t="str">
        <f>+VLOOKUP(A414,'Anlage 2a_Letztverbrauch'!$A$413:$J$792,10,FALSE)</f>
        <v>Elektrizitätswerk Rohmund GmbH</v>
      </c>
    </row>
    <row r="415" spans="1:9" hidden="1" outlineLevel="1">
      <c r="A415" s="988" t="s">
        <v>856</v>
      </c>
      <c r="B415" s="793">
        <f>+VLOOKUP(A415,'Anlage 2a_Letztverbrauch'!$A$2281:$I$2661,9,FALSE)</f>
        <v>120872.93312</v>
      </c>
      <c r="C415" s="95">
        <v>0</v>
      </c>
      <c r="D415" s="95">
        <v>0</v>
      </c>
      <c r="E415" s="95">
        <f t="shared" si="15"/>
        <v>120872.93312</v>
      </c>
      <c r="F415" s="747">
        <f>+SUMIF('Anlage 2b_Korrekturen'!$B$647:$B$1026,A415,'Anlage 2b_Korrekturen'!$F$647:$F$1026)</f>
        <v>0</v>
      </c>
      <c r="G415" s="1094">
        <f t="shared" si="14"/>
        <v>120872.93312</v>
      </c>
      <c r="H415" t="str">
        <f>+VLOOKUP(A415,'Anlage 2a_Letztverbrauch'!$A$413:$J$792,10,FALSE)</f>
        <v>Gemeindewerke Kiefersfelden</v>
      </c>
    </row>
    <row r="416" spans="1:9" hidden="1" outlineLevel="1">
      <c r="A416" s="988" t="s">
        <v>858</v>
      </c>
      <c r="B416" s="793">
        <f>+VLOOKUP(A416,'Anlage 2a_Letztverbrauch'!$A$2281:$I$2661,9,FALSE)</f>
        <v>205228.49135999999</v>
      </c>
      <c r="C416" s="95">
        <v>0</v>
      </c>
      <c r="D416" s="95">
        <v>0</v>
      </c>
      <c r="E416" s="95">
        <f t="shared" si="15"/>
        <v>205228.49135999999</v>
      </c>
      <c r="F416" s="747">
        <f>+SUMIF('Anlage 2b_Korrekturen'!$B$647:$B$1026,A416,'Anlage 2b_Korrekturen'!$F$647:$F$1026)</f>
        <v>-1130.00424</v>
      </c>
      <c r="G416" s="1094">
        <f t="shared" si="14"/>
        <v>204098.48711999998</v>
      </c>
      <c r="H416" t="str">
        <f>+VLOOKUP(A416,'Anlage 2a_Letztverbrauch'!$A$413:$J$792,10,FALSE)</f>
        <v>Gemeindewerke Ebersdorf</v>
      </c>
    </row>
    <row r="417" spans="1:8" hidden="1" outlineLevel="1">
      <c r="A417" s="988" t="s">
        <v>860</v>
      </c>
      <c r="B417" s="793">
        <f>+VLOOKUP(A417,'Anlage 2a_Letztverbrauch'!$A$2281:$I$2661,9,FALSE)</f>
        <v>359325.56127999997</v>
      </c>
      <c r="C417" s="95">
        <v>0</v>
      </c>
      <c r="D417" s="95">
        <v>0</v>
      </c>
      <c r="E417" s="95">
        <f t="shared" si="15"/>
        <v>359325.56127999997</v>
      </c>
      <c r="F417" s="747">
        <f>+SUMIF('Anlage 2b_Korrekturen'!$B$647:$B$1026,A417,'Anlage 2b_Korrekturen'!$F$647:$F$1026)</f>
        <v>0</v>
      </c>
      <c r="G417" s="1094">
        <f t="shared" si="14"/>
        <v>359325.56127999997</v>
      </c>
      <c r="H417" t="str">
        <f>+VLOOKUP(A417,'Anlage 2a_Letztverbrauch'!$A$413:$J$792,10,FALSE)</f>
        <v>Gewerbepark Nürnberg-Feucht Versorgungs- und Abwasserentsorgungs GmbH</v>
      </c>
    </row>
    <row r="418" spans="1:8" hidden="1" outlineLevel="1">
      <c r="A418" s="988" t="s">
        <v>862</v>
      </c>
      <c r="B418" s="793">
        <f>+VLOOKUP(A418,'Anlage 2a_Letztverbrauch'!$A$2281:$I$2661,9,FALSE)</f>
        <v>155834.73520000002</v>
      </c>
      <c r="C418" s="95">
        <v>0</v>
      </c>
      <c r="D418" s="95">
        <v>0</v>
      </c>
      <c r="E418" s="95">
        <f t="shared" si="15"/>
        <v>155834.73520000002</v>
      </c>
      <c r="F418" s="747">
        <f>+SUMIF('Anlage 2b_Korrekturen'!$B$647:$B$1026,A418,'Anlage 2b_Korrekturen'!$F$647:$F$1026)</f>
        <v>-224.90690000000001</v>
      </c>
      <c r="G418" s="1094">
        <f t="shared" si="14"/>
        <v>155609.82830000002</v>
      </c>
      <c r="H418" t="str">
        <f>+VLOOKUP(A418,'Anlage 2a_Letztverbrauch'!$A$413:$J$792,10,FALSE)</f>
        <v>Stadtwerke Barmstedt</v>
      </c>
    </row>
    <row r="419" spans="1:8" hidden="1" outlineLevel="1">
      <c r="A419" s="988" t="s">
        <v>864</v>
      </c>
      <c r="B419" s="793">
        <f>+VLOOKUP(A419,'Anlage 2a_Letztverbrauch'!$A$2281:$I$2661,9,FALSE)</f>
        <v>271281.55119999999</v>
      </c>
      <c r="C419" s="95">
        <v>0</v>
      </c>
      <c r="D419" s="95">
        <v>0</v>
      </c>
      <c r="E419" s="95">
        <f t="shared" si="15"/>
        <v>271281.55119999999</v>
      </c>
      <c r="F419" s="747">
        <f>+SUMIF('Anlage 2b_Korrekturen'!$B$647:$B$1026,A419,'Anlage 2b_Korrekturen'!$F$647:$F$1026)</f>
        <v>27114.025170000004</v>
      </c>
      <c r="G419" s="1094">
        <f t="shared" si="14"/>
        <v>298395.57636999997</v>
      </c>
      <c r="H419" t="str">
        <f>+VLOOKUP(A419,'Anlage 2a_Letztverbrauch'!$A$413:$J$792,10,FALSE)</f>
        <v>Stadtwerke Bad Bramstedt Netz GmbH</v>
      </c>
    </row>
    <row r="420" spans="1:8" hidden="1" outlineLevel="1">
      <c r="A420" s="988" t="s">
        <v>866</v>
      </c>
      <c r="B420" s="793">
        <f>+VLOOKUP(A420,'Anlage 2a_Letztverbrauch'!$A$2281:$I$2661,9,FALSE)</f>
        <v>88867.513120000003</v>
      </c>
      <c r="C420" s="95">
        <v>0</v>
      </c>
      <c r="D420" s="95">
        <v>0</v>
      </c>
      <c r="E420" s="95">
        <f t="shared" si="15"/>
        <v>88867.513120000003</v>
      </c>
      <c r="F420" s="747">
        <f>+SUMIF('Anlage 2b_Korrekturen'!$B$647:$B$1026,A420,'Anlage 2b_Korrekturen'!$F$647:$F$1026)</f>
        <v>0</v>
      </c>
      <c r="G420" s="1094">
        <f t="shared" si="14"/>
        <v>88867.513120000003</v>
      </c>
      <c r="H420" t="str">
        <f>+VLOOKUP(A420,'Anlage 2a_Letztverbrauch'!$A$413:$J$792,10,FALSE)</f>
        <v>Gemeindewerke Rückersdorf</v>
      </c>
    </row>
    <row r="421" spans="1:8" hidden="1" outlineLevel="1">
      <c r="A421" s="988" t="s">
        <v>868</v>
      </c>
      <c r="B421" s="793">
        <f>+VLOOKUP(A421,'Anlage 2a_Letztverbrauch'!$A$2281:$I$2661,9,FALSE)</f>
        <v>517286.63520000002</v>
      </c>
      <c r="C421" s="95">
        <v>0</v>
      </c>
      <c r="D421" s="95">
        <v>0</v>
      </c>
      <c r="E421" s="95">
        <f t="shared" si="15"/>
        <v>517286.63520000002</v>
      </c>
      <c r="F421" s="747">
        <f>+SUMIF('Anlage 2b_Korrekturen'!$B$647:$B$1026,A421,'Anlage 2b_Korrekturen'!$F$647:$F$1026)</f>
        <v>0</v>
      </c>
      <c r="G421" s="1094">
        <f t="shared" si="14"/>
        <v>517286.63520000002</v>
      </c>
      <c r="H421" t="str">
        <f>+VLOOKUP(A421,'Anlage 2a_Letztverbrauch'!$A$413:$J$792,10,FALSE)</f>
        <v>Stadtwerke Nordfriesland-Netz GmbH</v>
      </c>
    </row>
    <row r="422" spans="1:8" hidden="1" outlineLevel="1">
      <c r="A422" s="988" t="s">
        <v>870</v>
      </c>
      <c r="B422" s="793">
        <f>+VLOOKUP(A422,'Anlage 2a_Letztverbrauch'!$A$2281:$I$2661,9,FALSE)</f>
        <v>1099401.00416</v>
      </c>
      <c r="C422" s="95">
        <v>0</v>
      </c>
      <c r="D422" s="95">
        <v>0</v>
      </c>
      <c r="E422" s="95">
        <f t="shared" si="15"/>
        <v>1099401.00416</v>
      </c>
      <c r="F422" s="747">
        <f>+SUMIF('Anlage 2b_Korrekturen'!$B$647:$B$1026,A422,'Anlage 2b_Korrekturen'!$F$647:$F$1026)</f>
        <v>0</v>
      </c>
      <c r="G422" s="1094">
        <f t="shared" si="14"/>
        <v>1099401.00416</v>
      </c>
      <c r="H422" t="str">
        <f>+VLOOKUP(A422,'Anlage 2a_Letztverbrauch'!$A$413:$J$792,10,FALSE)</f>
        <v>Osterholzer Stadtwerke GmbH &amp; Co. KG</v>
      </c>
    </row>
    <row r="423" spans="1:8" hidden="1" outlineLevel="1">
      <c r="A423" s="988" t="s">
        <v>872</v>
      </c>
      <c r="B423" s="793">
        <f>+VLOOKUP(A423,'Anlage 2a_Letztverbrauch'!$A$2281:$I$2661,9,FALSE)</f>
        <v>160363.99536</v>
      </c>
      <c r="C423" s="95">
        <v>0</v>
      </c>
      <c r="D423" s="95">
        <v>0</v>
      </c>
      <c r="E423" s="95">
        <f t="shared" si="15"/>
        <v>160363.99536</v>
      </c>
      <c r="F423" s="747">
        <f>+SUMIF('Anlage 2b_Korrekturen'!$B$647:$B$1026,A423,'Anlage 2b_Korrekturen'!$F$647:$F$1026)</f>
        <v>0</v>
      </c>
      <c r="G423" s="1094">
        <f t="shared" si="14"/>
        <v>160363.99536</v>
      </c>
      <c r="H423" t="str">
        <f>+VLOOKUP(A423,'Anlage 2a_Letztverbrauch'!$A$413:$J$792,10,FALSE)</f>
        <v>Stadt Burgbernheim</v>
      </c>
    </row>
    <row r="424" spans="1:8" hidden="1" outlineLevel="1">
      <c r="A424" s="988" t="s">
        <v>874</v>
      </c>
      <c r="B424" s="793">
        <f>+VLOOKUP(A424,'Anlage 2a_Letztverbrauch'!$A$2281:$I$2661,9,FALSE)</f>
        <v>3281721.0225600004</v>
      </c>
      <c r="C424" s="95">
        <v>0</v>
      </c>
      <c r="D424" s="95">
        <v>0</v>
      </c>
      <c r="E424" s="95">
        <f t="shared" si="15"/>
        <v>3281721.0225600004</v>
      </c>
      <c r="F424" s="747">
        <f>+SUMIF('Anlage 2b_Korrekturen'!$B$647:$B$1026,A424,'Anlage 2b_Korrekturen'!$F$647:$F$1026)</f>
        <v>0</v>
      </c>
      <c r="G424" s="1094">
        <f t="shared" si="14"/>
        <v>3281721.0225600004</v>
      </c>
      <c r="H424" t="str">
        <f>+VLOOKUP(A424,'Anlage 2a_Letztverbrauch'!$A$413:$J$792,10,FALSE)</f>
        <v>Stadtwerke Schweinfurt GmbH</v>
      </c>
    </row>
    <row r="425" spans="1:8" hidden="1" outlineLevel="1">
      <c r="A425" s="988" t="s">
        <v>1863</v>
      </c>
      <c r="B425" s="793">
        <f>+VLOOKUP(A425,'Anlage 2a_Letztverbrauch'!$A$2281:$I$2661,9,FALSE)</f>
        <v>0</v>
      </c>
      <c r="C425" s="95">
        <v>0</v>
      </c>
      <c r="D425" s="95">
        <v>0</v>
      </c>
      <c r="E425" s="95">
        <f t="shared" si="15"/>
        <v>0</v>
      </c>
      <c r="F425" s="747">
        <f>+SUMIF('Anlage 2b_Korrekturen'!$B$647:$B$1026,A425,'Anlage 2b_Korrekturen'!$F$647:$F$1026)</f>
        <v>0</v>
      </c>
      <c r="G425" s="1094">
        <f t="shared" si="14"/>
        <v>0</v>
      </c>
      <c r="H425" t="str">
        <f>+VLOOKUP(A425,'Anlage 2a_Letztverbrauch'!$A$413:$J$792,10,FALSE)</f>
        <v>Gemeindliche Stromversorgung Röttenbach</v>
      </c>
    </row>
    <row r="426" spans="1:8" hidden="1" outlineLevel="1">
      <c r="A426" s="988" t="s">
        <v>876</v>
      </c>
      <c r="B426" s="793">
        <f>+VLOOKUP(A426,'Anlage 2a_Letztverbrauch'!$A$2281:$I$2661,9,FALSE)</f>
        <v>183039.99328000002</v>
      </c>
      <c r="C426" s="95">
        <v>0</v>
      </c>
      <c r="D426" s="95">
        <v>0</v>
      </c>
      <c r="E426" s="95">
        <f t="shared" si="15"/>
        <v>183039.99328000002</v>
      </c>
      <c r="F426" s="747">
        <f>+SUMIF('Anlage 2b_Korrekturen'!$B$647:$B$1026,A426,'Anlage 2b_Korrekturen'!$F$647:$F$1026)</f>
        <v>54.708169999999996</v>
      </c>
      <c r="G426" s="1094">
        <f t="shared" si="14"/>
        <v>183094.70145000002</v>
      </c>
      <c r="H426" t="str">
        <f>+VLOOKUP(A426,'Anlage 2a_Letztverbrauch'!$A$413:$J$792,10,FALSE)</f>
        <v>Stadtwerke Stein GmbH &amp; Co. KG</v>
      </c>
    </row>
    <row r="427" spans="1:8" hidden="1" outlineLevel="1">
      <c r="A427" s="988" t="s">
        <v>878</v>
      </c>
      <c r="B427" s="793">
        <f>+VLOOKUP(A427,'Anlage 2a_Letztverbrauch'!$A$2281:$I$2661,9,FALSE)</f>
        <v>181278.8432</v>
      </c>
      <c r="C427" s="95">
        <v>0</v>
      </c>
      <c r="D427" s="95">
        <v>0</v>
      </c>
      <c r="E427" s="95">
        <f t="shared" si="15"/>
        <v>181278.8432</v>
      </c>
      <c r="F427" s="747">
        <f>+SUMIF('Anlage 2b_Korrekturen'!$B$647:$B$1026,A427,'Anlage 2b_Korrekturen'!$F$647:$F$1026)</f>
        <v>0</v>
      </c>
      <c r="G427" s="1094">
        <f t="shared" si="14"/>
        <v>181278.8432</v>
      </c>
      <c r="H427" t="str">
        <f>+VLOOKUP(A427,'Anlage 2a_Letztverbrauch'!$A$413:$J$792,10,FALSE)</f>
        <v>Elektrizitätswerk Stern KG Bad Endorf</v>
      </c>
    </row>
    <row r="428" spans="1:8" hidden="1" outlineLevel="1">
      <c r="A428" s="988" t="s">
        <v>322</v>
      </c>
      <c r="B428" s="793">
        <f>+VLOOKUP(A428,'Anlage 2a_Letztverbrauch'!$A$2281:$I$2661,9,FALSE)</f>
        <v>278392.34192000004</v>
      </c>
      <c r="C428" s="95">
        <v>0</v>
      </c>
      <c r="D428" s="95">
        <v>0</v>
      </c>
      <c r="E428" s="95">
        <f t="shared" si="15"/>
        <v>278392.34192000004</v>
      </c>
      <c r="F428" s="747">
        <f>+SUMIF('Anlage 2b_Korrekturen'!$B$647:$B$1026,A428,'Anlage 2b_Korrekturen'!$F$647:$F$1026)</f>
        <v>-340.10470000000004</v>
      </c>
      <c r="G428" s="1094">
        <f t="shared" si="14"/>
        <v>278052.23722000001</v>
      </c>
      <c r="H428" t="str">
        <f>+VLOOKUP(A428,'Anlage 2a_Letztverbrauch'!$A$413:$J$792,10,FALSE)</f>
        <v>VersorgungsBetriebe Elbe GmbH</v>
      </c>
    </row>
    <row r="429" spans="1:8" hidden="1" outlineLevel="1">
      <c r="A429" s="988" t="s">
        <v>880</v>
      </c>
      <c r="B429" s="793">
        <f>+VLOOKUP(A429,'Anlage 2a_Letztverbrauch'!$A$2281:$I$2661,9,FALSE)</f>
        <v>357966.48016000004</v>
      </c>
      <c r="C429" s="95">
        <v>0</v>
      </c>
      <c r="D429" s="95">
        <v>0</v>
      </c>
      <c r="E429" s="95">
        <f t="shared" si="15"/>
        <v>357966.48016000004</v>
      </c>
      <c r="F429" s="747">
        <f>+SUMIF('Anlage 2b_Korrekturen'!$B$647:$B$1026,A429,'Anlage 2b_Korrekturen'!$F$647:$F$1026)</f>
        <v>-668.52741000000015</v>
      </c>
      <c r="G429" s="1094">
        <f t="shared" si="14"/>
        <v>357297.95275000005</v>
      </c>
      <c r="H429" t="str">
        <f>+VLOOKUP(A429,'Anlage 2a_Letztverbrauch'!$A$413:$J$792,10,FALSE)</f>
        <v>Stadtwerke Altdorf GmbH</v>
      </c>
    </row>
    <row r="430" spans="1:8" hidden="1" outlineLevel="1">
      <c r="A430" s="988" t="s">
        <v>882</v>
      </c>
      <c r="B430" s="793">
        <f>+VLOOKUP(A430,'Anlage 2a_Letztverbrauch'!$A$2281:$I$2661,9,FALSE)</f>
        <v>1196744.4434240002</v>
      </c>
      <c r="C430" s="95">
        <v>0</v>
      </c>
      <c r="D430" s="95">
        <v>0</v>
      </c>
      <c r="E430" s="95">
        <f t="shared" si="15"/>
        <v>1196744.4434240002</v>
      </c>
      <c r="F430" s="747">
        <f>+SUMIF('Anlage 2b_Korrekturen'!$B$647:$B$1026,A430,'Anlage 2b_Korrekturen'!$F$647:$F$1026)</f>
        <v>668.97926400000006</v>
      </c>
      <c r="G430" s="1094">
        <f t="shared" si="14"/>
        <v>1197413.4226880001</v>
      </c>
      <c r="H430" t="str">
        <f>+VLOOKUP(A430,'Anlage 2a_Letztverbrauch'!$A$413:$J$792,10,FALSE)</f>
        <v>Stadtwerke Elmshorn</v>
      </c>
    </row>
    <row r="431" spans="1:8" hidden="1" outlineLevel="1">
      <c r="A431" s="988" t="s">
        <v>884</v>
      </c>
      <c r="B431" s="793">
        <f>+VLOOKUP(A431,'Anlage 2a_Letztverbrauch'!$A$2281:$I$2661,9,FALSE)</f>
        <v>1279069.3641600001</v>
      </c>
      <c r="C431" s="95">
        <v>0</v>
      </c>
      <c r="D431" s="95">
        <v>0</v>
      </c>
      <c r="E431" s="95">
        <f t="shared" si="15"/>
        <v>1279069.3641600001</v>
      </c>
      <c r="F431" s="747">
        <f>+SUMIF('Anlage 2b_Korrekturen'!$B$647:$B$1026,A431,'Anlage 2b_Korrekturen'!$F$647:$F$1026)</f>
        <v>5352.8513600000006</v>
      </c>
      <c r="G431" s="1094">
        <f t="shared" si="14"/>
        <v>1284422.2155200001</v>
      </c>
      <c r="H431" t="str">
        <f>+VLOOKUP(A431,'Anlage 2a_Letztverbrauch'!$A$413:$J$792,10,FALSE)</f>
        <v>Überlandwerk Leinetal GmbH</v>
      </c>
    </row>
    <row r="432" spans="1:8" hidden="1" outlineLevel="1">
      <c r="A432" s="988" t="s">
        <v>886</v>
      </c>
      <c r="B432" s="793">
        <f>+VLOOKUP(A432,'Anlage 2a_Letztverbrauch'!$A$2281:$I$2661,9,FALSE)</f>
        <v>392328.02256000007</v>
      </c>
      <c r="C432" s="95">
        <v>0</v>
      </c>
      <c r="D432" s="95">
        <v>0</v>
      </c>
      <c r="E432" s="95">
        <f t="shared" si="15"/>
        <v>392328.02256000007</v>
      </c>
      <c r="F432" s="747">
        <f>+SUMIF('Anlage 2b_Korrekturen'!$B$647:$B$1026,A432,'Anlage 2b_Korrekturen'!$F$647:$F$1026)</f>
        <v>2224.9613400000003</v>
      </c>
      <c r="G432" s="1094">
        <f t="shared" si="14"/>
        <v>394552.98390000005</v>
      </c>
      <c r="H432" t="str">
        <f>+VLOOKUP(A432,'Anlage 2a_Letztverbrauch'!$A$413:$J$792,10,FALSE)</f>
        <v>Stadtwerke Eckernförde GmbH</v>
      </c>
    </row>
    <row r="433" spans="1:8" hidden="1" outlineLevel="1">
      <c r="A433" s="988" t="s">
        <v>888</v>
      </c>
      <c r="B433" s="793">
        <f>+VLOOKUP(A433,'Anlage 2a_Letztverbrauch'!$A$2281:$I$2661,9,FALSE)</f>
        <v>260704.59424000003</v>
      </c>
      <c r="C433" s="95">
        <v>0</v>
      </c>
      <c r="D433" s="95">
        <v>0</v>
      </c>
      <c r="E433" s="95">
        <f t="shared" si="15"/>
        <v>260704.59424000003</v>
      </c>
      <c r="F433" s="747">
        <f>+SUMIF('Anlage 2b_Korrekturen'!$B$647:$B$1026,A433,'Anlage 2b_Korrekturen'!$F$647:$F$1026)</f>
        <v>0</v>
      </c>
      <c r="G433" s="1094">
        <f t="shared" si="14"/>
        <v>260704.59424000003</v>
      </c>
      <c r="H433" t="str">
        <f>+VLOOKUP(A433,'Anlage 2a_Letztverbrauch'!$A$413:$J$792,10,FALSE)</f>
        <v>Stadtwerke Bad Windsheim</v>
      </c>
    </row>
    <row r="434" spans="1:8" hidden="1" outlineLevel="1">
      <c r="A434" s="988" t="s">
        <v>890</v>
      </c>
      <c r="B434" s="793">
        <f>+VLOOKUP(A434,'Anlage 2a_Letztverbrauch'!$A$2281:$I$2661,9,FALSE)</f>
        <v>1191837.0753599999</v>
      </c>
      <c r="C434" s="95">
        <v>0</v>
      </c>
      <c r="D434" s="95">
        <v>0</v>
      </c>
      <c r="E434" s="95">
        <f t="shared" si="15"/>
        <v>1191837.0753599999</v>
      </c>
      <c r="F434" s="747">
        <f>+SUMIF('Anlage 2b_Korrekturen'!$B$647:$B$1026,A434,'Anlage 2b_Korrekturen'!$F$647:$F$1026)</f>
        <v>-48.327800000000011</v>
      </c>
      <c r="G434" s="1094">
        <f t="shared" si="14"/>
        <v>1191788.7475599998</v>
      </c>
      <c r="H434" t="str">
        <f>+VLOOKUP(A434,'Anlage 2a_Letztverbrauch'!$A$413:$J$792,10,FALSE)</f>
        <v>Überlandwerk Erding GmbH &amp; Co. KG</v>
      </c>
    </row>
    <row r="435" spans="1:8" hidden="1" outlineLevel="1">
      <c r="A435" s="988" t="s">
        <v>892</v>
      </c>
      <c r="B435" s="793">
        <f>+VLOOKUP(A435,'Anlage 2a_Letztverbrauch'!$A$2281:$I$2661,9,FALSE)</f>
        <v>47614.572640000006</v>
      </c>
      <c r="C435" s="95">
        <v>0</v>
      </c>
      <c r="D435" s="95">
        <v>0</v>
      </c>
      <c r="E435" s="95">
        <f t="shared" si="15"/>
        <v>47614.572640000006</v>
      </c>
      <c r="F435" s="747">
        <f>+SUMIF('Anlage 2b_Korrekturen'!$B$647:$B$1026,A435,'Anlage 2b_Korrekturen'!$F$647:$F$1026)</f>
        <v>2355.5209500000001</v>
      </c>
      <c r="G435" s="1094">
        <f t="shared" si="14"/>
        <v>49970.093590000004</v>
      </c>
      <c r="H435" t="str">
        <f>+VLOOKUP(A435,'Anlage 2a_Letztverbrauch'!$A$413:$J$792,10,FALSE)</f>
        <v>gKU oberes Egertal</v>
      </c>
    </row>
    <row r="436" spans="1:8" hidden="1" outlineLevel="1">
      <c r="A436" s="988" t="s">
        <v>894</v>
      </c>
      <c r="B436" s="793">
        <f>+VLOOKUP(A436,'Anlage 2a_Letztverbrauch'!$A$2281:$I$2661,9,FALSE)</f>
        <v>635495.45392</v>
      </c>
      <c r="C436" s="95">
        <v>0</v>
      </c>
      <c r="D436" s="95">
        <v>0</v>
      </c>
      <c r="E436" s="95">
        <f t="shared" si="15"/>
        <v>635495.45392</v>
      </c>
      <c r="F436" s="747">
        <f>+SUMIF('Anlage 2b_Korrekturen'!$B$647:$B$1026,A436,'Anlage 2b_Korrekturen'!$F$647:$F$1026)</f>
        <v>0</v>
      </c>
      <c r="G436" s="1094">
        <f t="shared" si="14"/>
        <v>635495.45392</v>
      </c>
      <c r="H436" t="str">
        <f>+VLOOKUP(A436,'Anlage 2a_Letztverbrauch'!$A$413:$J$792,10,FALSE)</f>
        <v>Kommunale Energienetze Inn-Salzach GmbH &amp; Co. KG</v>
      </c>
    </row>
    <row r="437" spans="1:8" hidden="1" outlineLevel="1">
      <c r="A437" s="988" t="s">
        <v>896</v>
      </c>
      <c r="B437" s="793">
        <f>+VLOOKUP(A437,'Anlage 2a_Letztverbrauch'!$A$2281:$I$2661,9,FALSE)</f>
        <v>839315.30992000003</v>
      </c>
      <c r="C437" s="95">
        <v>0</v>
      </c>
      <c r="D437" s="95">
        <v>0</v>
      </c>
      <c r="E437" s="95">
        <f t="shared" si="15"/>
        <v>839315.30992000003</v>
      </c>
      <c r="F437" s="747">
        <f>+SUMIF('Anlage 2b_Korrekturen'!$B$647:$B$1026,A437,'Anlage 2b_Korrekturen'!$F$647:$F$1026)</f>
        <v>66088.409520000001</v>
      </c>
      <c r="G437" s="1094">
        <f t="shared" si="14"/>
        <v>905403.71944000002</v>
      </c>
      <c r="H437" t="str">
        <f>+VLOOKUP(A437,'Anlage 2a_Letztverbrauch'!$A$413:$J$792,10,FALSE)</f>
        <v>Stadtwerke Wolfenbüttel GmbH</v>
      </c>
    </row>
    <row r="438" spans="1:8" hidden="1" outlineLevel="1">
      <c r="A438" s="988" t="s">
        <v>1865</v>
      </c>
      <c r="B438" s="793">
        <f>+VLOOKUP(A438,'Anlage 2a_Letztverbrauch'!$A$2281:$I$2661,9,FALSE)</f>
        <v>193551.37648000001</v>
      </c>
      <c r="C438" s="95">
        <v>0</v>
      </c>
      <c r="D438" s="95">
        <v>0</v>
      </c>
      <c r="E438" s="95">
        <f t="shared" si="15"/>
        <v>193551.37648000001</v>
      </c>
      <c r="F438" s="747">
        <f>+SUMIF('Anlage 2b_Korrekturen'!$B$647:$B$1026,A438,'Anlage 2b_Korrekturen'!$F$647:$F$1026)</f>
        <v>1900.0293300000001</v>
      </c>
      <c r="G438" s="1094">
        <f t="shared" si="14"/>
        <v>195451.40581</v>
      </c>
      <c r="H438" t="str">
        <f>+VLOOKUP(A438,'Anlage 2a_Letztverbrauch'!$A$413:$J$792,10,FALSE)</f>
        <v>Gemeindewerke Cadolzburg</v>
      </c>
    </row>
    <row r="439" spans="1:8" hidden="1" outlineLevel="1">
      <c r="A439" s="988" t="s">
        <v>898</v>
      </c>
      <c r="B439" s="793">
        <f>+VLOOKUP(A439,'Anlage 2a_Letztverbrauch'!$A$2281:$I$2661,9,FALSE)</f>
        <v>355151.88592000003</v>
      </c>
      <c r="C439" s="95">
        <v>0</v>
      </c>
      <c r="D439" s="95">
        <v>0</v>
      </c>
      <c r="E439" s="95">
        <f t="shared" si="15"/>
        <v>355151.88592000003</v>
      </c>
      <c r="F439" s="747">
        <f>+SUMIF('Anlage 2b_Korrekturen'!$B$647:$B$1026,A439,'Anlage 2b_Korrekturen'!$F$647:$F$1026)</f>
        <v>34928.797380000004</v>
      </c>
      <c r="G439" s="1094">
        <f t="shared" si="14"/>
        <v>390080.68330000003</v>
      </c>
      <c r="H439" t="str">
        <f>+VLOOKUP(A439,'Anlage 2a_Letztverbrauch'!$A$413:$J$792,10,FALSE)</f>
        <v>Stadtwerke Rothenburg o. d. T. GmbH</v>
      </c>
    </row>
    <row r="440" spans="1:8" hidden="1" outlineLevel="1">
      <c r="A440" s="988" t="s">
        <v>900</v>
      </c>
      <c r="B440" s="793">
        <f>+VLOOKUP(A440,'Anlage 2a_Letztverbrauch'!$A$2281:$I$2661,9,FALSE)</f>
        <v>68511.970880000008</v>
      </c>
      <c r="C440" s="95">
        <v>0</v>
      </c>
      <c r="D440" s="95">
        <v>0</v>
      </c>
      <c r="E440" s="95">
        <f t="shared" si="15"/>
        <v>68511.970880000008</v>
      </c>
      <c r="F440" s="747">
        <f>+SUMIF('Anlage 2b_Korrekturen'!$B$647:$B$1026,A440,'Anlage 2b_Korrekturen'!$F$647:$F$1026)</f>
        <v>0</v>
      </c>
      <c r="G440" s="1094">
        <f t="shared" si="14"/>
        <v>68511.970880000008</v>
      </c>
      <c r="H440" t="str">
        <f>+VLOOKUP(A440,'Anlage 2a_Letztverbrauch'!$A$413:$J$792,10,FALSE)</f>
        <v>Gemeinde Heroldsbach</v>
      </c>
    </row>
    <row r="441" spans="1:8" hidden="1" outlineLevel="1">
      <c r="A441" s="988" t="s">
        <v>902</v>
      </c>
      <c r="B441" s="793">
        <f>+VLOOKUP(A441,'Anlage 2a_Letztverbrauch'!$A$2281:$I$2661,9,FALSE)</f>
        <v>1238457.2766400001</v>
      </c>
      <c r="C441" s="95">
        <v>0</v>
      </c>
      <c r="D441" s="95">
        <v>0</v>
      </c>
      <c r="E441" s="95">
        <f t="shared" si="15"/>
        <v>1238457.2766400001</v>
      </c>
      <c r="F441" s="747">
        <f>+SUMIF('Anlage 2b_Korrekturen'!$B$647:$B$1026,A441,'Anlage 2b_Korrekturen'!$F$647:$F$1026)</f>
        <v>-3035.2105200000001</v>
      </c>
      <c r="G441" s="1094">
        <f t="shared" si="14"/>
        <v>1235422.0661200001</v>
      </c>
      <c r="H441" t="str">
        <f>+VLOOKUP(A441,'Anlage 2a_Letztverbrauch'!$A$413:$J$792,10,FALSE)</f>
        <v>Stadtwerke Bad Salzuflen GmbH</v>
      </c>
    </row>
    <row r="442" spans="1:8" hidden="1" outlineLevel="1">
      <c r="A442" s="988" t="s">
        <v>904</v>
      </c>
      <c r="B442" s="793">
        <f>+VLOOKUP(A442,'Anlage 2a_Letztverbrauch'!$A$2281:$I$2661,9,FALSE)</f>
        <v>1297116.33088</v>
      </c>
      <c r="C442" s="95">
        <v>0</v>
      </c>
      <c r="D442" s="95">
        <v>0</v>
      </c>
      <c r="E442" s="95">
        <f t="shared" si="15"/>
        <v>1297116.33088</v>
      </c>
      <c r="F442" s="747">
        <f>+SUMIF('Anlage 2b_Korrekturen'!$B$647:$B$1026,A442,'Anlage 2b_Korrekturen'!$F$647:$F$1026)</f>
        <v>1573.53241</v>
      </c>
      <c r="G442" s="1094">
        <f t="shared" si="14"/>
        <v>1298689.86329</v>
      </c>
      <c r="H442" t="str">
        <f>+VLOOKUP(A442,'Anlage 2a_Letztverbrauch'!$A$413:$J$792,10,FALSE)</f>
        <v>Energieversorgung Selb-Marktredwitz GmbH</v>
      </c>
    </row>
    <row r="443" spans="1:8" hidden="1" outlineLevel="1">
      <c r="A443" s="988" t="s">
        <v>906</v>
      </c>
      <c r="B443" s="793">
        <f>+VLOOKUP(A443,'Anlage 2a_Letztverbrauch'!$A$2281:$I$2661,9,FALSE)</f>
        <v>560012.29537167994</v>
      </c>
      <c r="C443" s="95">
        <v>0</v>
      </c>
      <c r="D443" s="95">
        <v>0</v>
      </c>
      <c r="E443" s="95">
        <f t="shared" si="15"/>
        <v>560012.29537167994</v>
      </c>
      <c r="F443" s="747">
        <f>+SUMIF('Anlage 2b_Korrekturen'!$B$647:$B$1026,A443,'Anlage 2b_Korrekturen'!$F$647:$F$1026)</f>
        <v>0</v>
      </c>
      <c r="G443" s="1094">
        <f t="shared" si="14"/>
        <v>560012.29537167994</v>
      </c>
      <c r="H443" t="str">
        <f>+VLOOKUP(A443,'Anlage 2a_Letztverbrauch'!$A$413:$J$792,10,FALSE)</f>
        <v>Stadtwerke Roth</v>
      </c>
    </row>
    <row r="444" spans="1:8" hidden="1" outlineLevel="1">
      <c r="A444" s="988" t="s">
        <v>908</v>
      </c>
      <c r="B444" s="793">
        <f>+VLOOKUP(A444,'Anlage 2a_Letztverbrauch'!$A$2281:$I$2661,9,FALSE)</f>
        <v>959383.30480000004</v>
      </c>
      <c r="C444" s="95">
        <v>0</v>
      </c>
      <c r="D444" s="95">
        <v>0</v>
      </c>
      <c r="E444" s="95">
        <f t="shared" si="15"/>
        <v>959383.30480000004</v>
      </c>
      <c r="F444" s="747">
        <f>+SUMIF('Anlage 2b_Korrekturen'!$B$647:$B$1026,A444,'Anlage 2b_Korrekturen'!$F$647:$F$1026)</f>
        <v>0</v>
      </c>
      <c r="G444" s="1094">
        <f t="shared" si="14"/>
        <v>959383.30480000004</v>
      </c>
      <c r="H444" t="str">
        <f>+VLOOKUP(A444,'Anlage 2a_Letztverbrauch'!$A$413:$J$792,10,FALSE)</f>
        <v>Energieversorgung Lohr-Karlstadt und Umgebung GmbH &amp; Co. KG</v>
      </c>
    </row>
    <row r="445" spans="1:8" hidden="1" outlineLevel="1">
      <c r="A445" s="988" t="s">
        <v>910</v>
      </c>
      <c r="B445" s="793">
        <f>+VLOOKUP(A445,'Anlage 2a_Letztverbrauch'!$A$2281:$I$2661,9,FALSE)</f>
        <v>2980168.5905599999</v>
      </c>
      <c r="C445" s="95">
        <v>0</v>
      </c>
      <c r="D445" s="95">
        <v>0</v>
      </c>
      <c r="E445" s="95">
        <f t="shared" si="15"/>
        <v>2980168.5905599999</v>
      </c>
      <c r="F445" s="747">
        <f>+SUMIF('Anlage 2b_Korrekturen'!$B$647:$B$1026,A445,'Anlage 2b_Korrekturen'!$F$647:$F$1026)</f>
        <v>-28156.108340000002</v>
      </c>
      <c r="G445" s="1094">
        <f t="shared" si="14"/>
        <v>2952012.4822200001</v>
      </c>
      <c r="H445" t="str">
        <f>+VLOOKUP(A445,'Anlage 2a_Letztverbrauch'!$A$413:$J$792,10,FALSE)</f>
        <v>infra fürth gmbh</v>
      </c>
    </row>
    <row r="446" spans="1:8" hidden="1" outlineLevel="1">
      <c r="A446" s="988" t="s">
        <v>912</v>
      </c>
      <c r="B446" s="793">
        <f>+VLOOKUP(A446,'Anlage 2a_Letztverbrauch'!$A$2281:$I$2661,9,FALSE)</f>
        <v>111903.41232</v>
      </c>
      <c r="C446" s="95">
        <v>0</v>
      </c>
      <c r="D446" s="95">
        <v>0</v>
      </c>
      <c r="E446" s="95">
        <f t="shared" si="15"/>
        <v>111903.41232</v>
      </c>
      <c r="F446" s="747">
        <f>+SUMIF('Anlage 2b_Korrekturen'!$B$647:$B$1026,A446,'Anlage 2b_Korrekturen'!$F$647:$F$1026)</f>
        <v>0</v>
      </c>
      <c r="G446" s="1094">
        <f t="shared" si="14"/>
        <v>111903.41232</v>
      </c>
      <c r="H446" t="str">
        <f>+VLOOKUP(A446,'Anlage 2a_Letztverbrauch'!$A$413:$J$792,10,FALSE)</f>
        <v>Stadtwerke Zeil a. Main</v>
      </c>
    </row>
    <row r="447" spans="1:8" hidden="1" outlineLevel="1">
      <c r="A447" s="988" t="s">
        <v>914</v>
      </c>
      <c r="B447" s="793">
        <f>+VLOOKUP(A447,'Anlage 2a_Letztverbrauch'!$A$2281:$I$2661,9,FALSE)</f>
        <v>686987.01280000003</v>
      </c>
      <c r="C447" s="95">
        <v>0</v>
      </c>
      <c r="D447" s="95">
        <v>0</v>
      </c>
      <c r="E447" s="95">
        <f t="shared" si="15"/>
        <v>686987.01280000003</v>
      </c>
      <c r="F447" s="747">
        <f>+SUMIF('Anlage 2b_Korrekturen'!$B$647:$B$1026,A447,'Anlage 2b_Korrekturen'!$F$647:$F$1026)</f>
        <v>1607.7043800000001</v>
      </c>
      <c r="G447" s="1094">
        <f t="shared" si="14"/>
        <v>688594.71718000004</v>
      </c>
      <c r="H447" t="str">
        <f>+VLOOKUP(A447,'Anlage 2a_Letztverbrauch'!$A$413:$J$792,10,FALSE)</f>
        <v>Stadtwerke Geesthacht GmbH</v>
      </c>
    </row>
    <row r="448" spans="1:8" hidden="1" outlineLevel="1">
      <c r="A448" s="988" t="s">
        <v>916</v>
      </c>
      <c r="B448" s="793">
        <f>+VLOOKUP(A448,'Anlage 2a_Letztverbrauch'!$A$2281:$I$2661,9,FALSE)</f>
        <v>87997.361919999996</v>
      </c>
      <c r="C448" s="95">
        <v>0</v>
      </c>
      <c r="D448" s="95">
        <v>0</v>
      </c>
      <c r="E448" s="95">
        <f t="shared" si="15"/>
        <v>87997.361919999996</v>
      </c>
      <c r="F448" s="747">
        <f>+SUMIF('Anlage 2b_Korrekturen'!$B$647:$B$1026,A448,'Anlage 2b_Korrekturen'!$F$647:$F$1026)</f>
        <v>0</v>
      </c>
      <c r="G448" s="1094">
        <f t="shared" si="14"/>
        <v>87997.361919999996</v>
      </c>
      <c r="H448" t="str">
        <f>+VLOOKUP(A448,'Anlage 2a_Letztverbrauch'!$A$413:$J$792,10,FALSE)</f>
        <v>Stadtwerke Hemau</v>
      </c>
    </row>
    <row r="449" spans="1:8" hidden="1" outlineLevel="1">
      <c r="A449" s="988" t="s">
        <v>918</v>
      </c>
      <c r="B449" s="793">
        <f>+VLOOKUP(A449,'Anlage 2a_Letztverbrauch'!$A$2281:$I$2661,9,FALSE)</f>
        <v>945747.4264</v>
      </c>
      <c r="C449" s="95">
        <v>0</v>
      </c>
      <c r="D449" s="95">
        <v>0</v>
      </c>
      <c r="E449" s="95">
        <f t="shared" si="15"/>
        <v>945747.4264</v>
      </c>
      <c r="F449" s="747">
        <f>+SUMIF('Anlage 2b_Korrekturen'!$B$647:$B$1026,A449,'Anlage 2b_Korrekturen'!$F$647:$F$1026)</f>
        <v>0</v>
      </c>
      <c r="G449" s="1094">
        <f t="shared" si="14"/>
        <v>945747.4264</v>
      </c>
      <c r="H449" t="str">
        <f>+VLOOKUP(A449,'Anlage 2a_Letztverbrauch'!$A$413:$J$792,10,FALSE)</f>
        <v>Stadtwerke Emden GmbH</v>
      </c>
    </row>
    <row r="450" spans="1:8" hidden="1" outlineLevel="1">
      <c r="A450" s="988" t="s">
        <v>920</v>
      </c>
      <c r="B450" s="793">
        <f>+VLOOKUP(A450,'Anlage 2a_Letztverbrauch'!$A$2281:$I$2661,9,FALSE)</f>
        <v>3125428.4358729599</v>
      </c>
      <c r="C450" s="95">
        <v>0</v>
      </c>
      <c r="D450" s="95">
        <v>0</v>
      </c>
      <c r="E450" s="95">
        <f t="shared" si="15"/>
        <v>3125428.4358729599</v>
      </c>
      <c r="F450" s="747">
        <f>+SUMIF('Anlage 2b_Korrekturen'!$B$647:$B$1026,A450,'Anlage 2b_Korrekturen'!$F$647:$F$1026)</f>
        <v>0</v>
      </c>
      <c r="G450" s="1094">
        <f t="shared" si="14"/>
        <v>3125428.4358729599</v>
      </c>
      <c r="H450" t="str">
        <f>+VLOOKUP(A450,'Anlage 2a_Letztverbrauch'!$A$413:$J$792,10,FALSE)</f>
        <v>Stadtwerke Bamberg Energie- und Wasserversorgungs GmbH</v>
      </c>
    </row>
    <row r="451" spans="1:8" hidden="1" outlineLevel="1">
      <c r="A451" s="988" t="s">
        <v>922</v>
      </c>
      <c r="B451" s="793">
        <f>+VLOOKUP(A451,'Anlage 2a_Letztverbrauch'!$A$2281:$I$2661,9,FALSE)</f>
        <v>74659.143519999998</v>
      </c>
      <c r="C451" s="95">
        <v>0</v>
      </c>
      <c r="D451" s="95">
        <v>0</v>
      </c>
      <c r="E451" s="95">
        <f t="shared" si="15"/>
        <v>74659.143519999998</v>
      </c>
      <c r="F451" s="747">
        <f>+SUMIF('Anlage 2b_Korrekturen'!$B$647:$B$1026,A451,'Anlage 2b_Korrekturen'!$F$647:$F$1026)</f>
        <v>0</v>
      </c>
      <c r="G451" s="1094">
        <f t="shared" si="14"/>
        <v>74659.143519999998</v>
      </c>
      <c r="H451" t="str">
        <f>+VLOOKUP(A451,'Anlage 2a_Letztverbrauch'!$A$413:$J$792,10,FALSE)</f>
        <v>Elektrizitätswerk Diessen Stadler GmbH</v>
      </c>
    </row>
    <row r="452" spans="1:8" hidden="1" outlineLevel="1">
      <c r="A452" s="988" t="s">
        <v>924</v>
      </c>
      <c r="B452" s="793">
        <f>+VLOOKUP(A452,'Anlage 2a_Letztverbrauch'!$A$2281:$I$2661,9,FALSE)</f>
        <v>15279.965280000002</v>
      </c>
      <c r="C452" s="95">
        <v>0</v>
      </c>
      <c r="D452" s="95">
        <v>0</v>
      </c>
      <c r="E452" s="95">
        <f t="shared" si="15"/>
        <v>15279.965280000002</v>
      </c>
      <c r="F452" s="747">
        <f>+SUMIF('Anlage 2b_Korrekturen'!$B$647:$B$1026,A452,'Anlage 2b_Korrekturen'!$F$647:$F$1026)</f>
        <v>0</v>
      </c>
      <c r="G452" s="1094">
        <f t="shared" si="14"/>
        <v>15279.965280000002</v>
      </c>
      <c r="H452" t="str">
        <f>+VLOOKUP(A452,'Anlage 2a_Letztverbrauch'!$A$413:$J$792,10,FALSE)</f>
        <v>Rupert Buchauer E-Werk &amp; Elektroinstallation</v>
      </c>
    </row>
    <row r="453" spans="1:8" hidden="1" outlineLevel="1">
      <c r="A453" s="988" t="s">
        <v>1867</v>
      </c>
      <c r="B453" s="793">
        <f>+VLOOKUP(A453,'Anlage 2a_Letztverbrauch'!$A$2281:$I$2661,9,FALSE)</f>
        <v>41798.975200000001</v>
      </c>
      <c r="C453" s="95">
        <v>0</v>
      </c>
      <c r="D453" s="95">
        <v>0</v>
      </c>
      <c r="E453" s="95">
        <f t="shared" si="15"/>
        <v>41798.975200000001</v>
      </c>
      <c r="F453" s="747">
        <f>+SUMIF('Anlage 2b_Korrekturen'!$B$647:$B$1026,A453,'Anlage 2b_Korrekturen'!$F$647:$F$1026)</f>
        <v>0</v>
      </c>
      <c r="G453" s="1094">
        <f t="shared" si="14"/>
        <v>41798.975200000001</v>
      </c>
      <c r="H453" t="str">
        <f>+VLOOKUP(A453,'Anlage 2a_Letztverbrauch'!$A$413:$J$792,10,FALSE)</f>
        <v>Gemeinde Partenstein</v>
      </c>
    </row>
    <row r="454" spans="1:8" hidden="1" outlineLevel="1">
      <c r="A454" s="988" t="s">
        <v>926</v>
      </c>
      <c r="B454" s="793">
        <f>+VLOOKUP(A454,'Anlage 2a_Letztverbrauch'!$A$2281:$I$2661,9,FALSE)</f>
        <v>1517655.5867200003</v>
      </c>
      <c r="C454" s="95">
        <v>0</v>
      </c>
      <c r="D454" s="95">
        <v>0</v>
      </c>
      <c r="E454" s="95">
        <f t="shared" si="15"/>
        <v>1517655.5867200003</v>
      </c>
      <c r="F454" s="747">
        <f>+SUMIF('Anlage 2b_Korrekturen'!$B$647:$B$1026,A454,'Anlage 2b_Korrekturen'!$F$647:$F$1026)</f>
        <v>55.433350000000019</v>
      </c>
      <c r="G454" s="1094">
        <f t="shared" si="14"/>
        <v>1517711.0200700003</v>
      </c>
      <c r="H454" t="str">
        <f>+VLOOKUP(A454,'Anlage 2a_Letztverbrauch'!$A$413:$J$792,10,FALSE)</f>
        <v>Stadtwerke Hof Energie+Wasser GmbH</v>
      </c>
    </row>
    <row r="455" spans="1:8" hidden="1" outlineLevel="1">
      <c r="A455" s="988" t="s">
        <v>928</v>
      </c>
      <c r="B455" s="793">
        <f>+VLOOKUP(A455,'Anlage 2a_Letztverbrauch'!$A$2281:$I$2661,9,FALSE)</f>
        <v>668074.75334720011</v>
      </c>
      <c r="C455" s="95">
        <v>0</v>
      </c>
      <c r="D455" s="95">
        <v>0</v>
      </c>
      <c r="E455" s="95">
        <f t="shared" si="15"/>
        <v>668074.75334720011</v>
      </c>
      <c r="F455" s="747">
        <f>+SUMIF('Anlage 2b_Korrekturen'!$B$647:$B$1026,A455,'Anlage 2b_Korrekturen'!$F$647:$F$1026)</f>
        <v>0</v>
      </c>
      <c r="G455" s="1094">
        <f t="shared" si="14"/>
        <v>668074.75334720011</v>
      </c>
      <c r="H455" t="str">
        <f>+VLOOKUP(A455,'Anlage 2a_Letztverbrauch'!$A$413:$J$792,10,FALSE)</f>
        <v>Maintal-Werke GmbH</v>
      </c>
    </row>
    <row r="456" spans="1:8" hidden="1" outlineLevel="1">
      <c r="A456" s="988" t="s">
        <v>930</v>
      </c>
      <c r="B456" s="793">
        <f>+VLOOKUP(A456,'Anlage 2a_Letztverbrauch'!$A$2281:$I$2661,9,FALSE)</f>
        <v>1331672.3772799999</v>
      </c>
      <c r="C456" s="95">
        <v>0</v>
      </c>
      <c r="D456" s="95">
        <v>0</v>
      </c>
      <c r="E456" s="95">
        <f t="shared" si="15"/>
        <v>1331672.3772799999</v>
      </c>
      <c r="F456" s="747">
        <f>+SUMIF('Anlage 2b_Korrekturen'!$B$647:$B$1026,A456,'Anlage 2b_Korrekturen'!$F$647:$F$1026)</f>
        <v>0</v>
      </c>
      <c r="G456" s="1094">
        <f t="shared" si="14"/>
        <v>1331672.3772799999</v>
      </c>
      <c r="H456" t="str">
        <f>+VLOOKUP(A456,'Anlage 2a_Letztverbrauch'!$A$413:$J$792,10,FALSE)</f>
        <v>Stadtwerke Ansbach GmbH</v>
      </c>
    </row>
    <row r="457" spans="1:8" hidden="1" outlineLevel="1">
      <c r="A457" s="988" t="s">
        <v>932</v>
      </c>
      <c r="B457" s="793">
        <f>+VLOOKUP(A457,'Anlage 2a_Letztverbrauch'!$A$2281:$I$2661,9,FALSE)</f>
        <v>141341.20240000001</v>
      </c>
      <c r="C457" s="95">
        <v>0</v>
      </c>
      <c r="D457" s="95">
        <v>0</v>
      </c>
      <c r="E457" s="95">
        <f t="shared" si="15"/>
        <v>141341.20240000001</v>
      </c>
      <c r="F457" s="747">
        <f>+SUMIF('Anlage 2b_Korrekturen'!$B$647:$B$1026,A457,'Anlage 2b_Korrekturen'!$F$647:$F$1026)</f>
        <v>-1063.5956100000001</v>
      </c>
      <c r="G457" s="1094">
        <f t="shared" si="14"/>
        <v>140277.60679000002</v>
      </c>
      <c r="H457" t="str">
        <f>+VLOOKUP(A457,'Anlage 2a_Letztverbrauch'!$A$413:$J$792,10,FALSE)</f>
        <v>Stadtwerke Baiersdorf KU</v>
      </c>
    </row>
    <row r="458" spans="1:8" hidden="1" outlineLevel="1">
      <c r="A458" s="988" t="s">
        <v>934</v>
      </c>
      <c r="B458" s="793">
        <f>+VLOOKUP(A458,'Anlage 2a_Letztverbrauch'!$A$2281:$I$2661,9,FALSE)</f>
        <v>10963279.40096</v>
      </c>
      <c r="C458" s="95">
        <v>-8819369.8300000001</v>
      </c>
      <c r="D458" s="95">
        <v>0</v>
      </c>
      <c r="E458" s="95">
        <f t="shared" si="15"/>
        <v>2143909.5709600002</v>
      </c>
      <c r="F458" s="747">
        <f>+SUMIF('Anlage 2b_Korrekturen'!$B$647:$B$1026,A458,'Anlage 2b_Korrekturen'!$F$647:$F$1026)</f>
        <v>0</v>
      </c>
      <c r="G458" s="1094">
        <f t="shared" si="14"/>
        <v>2143909.5709600002</v>
      </c>
      <c r="H458" t="str">
        <f>+VLOOKUP(A458,'Anlage 2a_Letztverbrauch'!$A$413:$J$792,10,FALSE)</f>
        <v>TenneT TSO GmbH</v>
      </c>
    </row>
    <row r="459" spans="1:8" hidden="1" outlineLevel="1">
      <c r="A459" s="988" t="s">
        <v>936</v>
      </c>
      <c r="B459" s="793">
        <f>+VLOOKUP(A459,'Anlage 2a_Letztverbrauch'!$A$2281:$I$2661,9,FALSE)</f>
        <v>3752541.5031232005</v>
      </c>
      <c r="C459" s="95">
        <v>0</v>
      </c>
      <c r="D459" s="95">
        <v>0</v>
      </c>
      <c r="E459" s="95">
        <f t="shared" ref="E459:E522" si="16">B459+C459+D459</f>
        <v>3752541.5031232005</v>
      </c>
      <c r="F459" s="747">
        <f>+SUMIF('Anlage 2b_Korrekturen'!$B$647:$B$1026,A459,'Anlage 2b_Korrekturen'!$F$647:$F$1026)</f>
        <v>0</v>
      </c>
      <c r="G459" s="1094">
        <f t="shared" ref="G459:G522" si="17">E459+F459</f>
        <v>3752541.5031232005</v>
      </c>
      <c r="H459" t="str">
        <f>+VLOOKUP(A459,'Anlage 2a_Letztverbrauch'!$A$413:$J$792,10,FALSE)</f>
        <v>Mittelhessen Netz GmbH</v>
      </c>
    </row>
    <row r="460" spans="1:8" hidden="1" outlineLevel="1">
      <c r="A460" s="988" t="s">
        <v>938</v>
      </c>
      <c r="B460" s="793">
        <f>+VLOOKUP(A460,'Anlage 2a_Letztverbrauch'!$A$2281:$I$2661,9,FALSE)</f>
        <v>215618.50144000002</v>
      </c>
      <c r="C460" s="95">
        <v>0</v>
      </c>
      <c r="D460" s="95">
        <v>0</v>
      </c>
      <c r="E460" s="95">
        <f t="shared" si="16"/>
        <v>215618.50144000002</v>
      </c>
      <c r="F460" s="747">
        <f>+SUMIF('Anlage 2b_Korrekturen'!$B$647:$B$1026,A460,'Anlage 2b_Korrekturen'!$F$647:$F$1026)</f>
        <v>-28.959000000000003</v>
      </c>
      <c r="G460" s="1094">
        <f t="shared" si="17"/>
        <v>215589.54244000002</v>
      </c>
      <c r="H460" t="str">
        <f>+VLOOKUP(A460,'Anlage 2a_Letztverbrauch'!$A$413:$J$792,10,FALSE)</f>
        <v>Elektrizitätswerk Simbach GmbH</v>
      </c>
    </row>
    <row r="461" spans="1:8" hidden="1" outlineLevel="1">
      <c r="A461" s="988" t="s">
        <v>940</v>
      </c>
      <c r="B461" s="793">
        <f>+VLOOKUP(A461,'Anlage 2a_Letztverbrauch'!$A$2281:$I$2661,9,FALSE)</f>
        <v>309981.97600000002</v>
      </c>
      <c r="C461" s="95">
        <v>0</v>
      </c>
      <c r="D461" s="95">
        <v>0</v>
      </c>
      <c r="E461" s="95">
        <f t="shared" si="16"/>
        <v>309981.97600000002</v>
      </c>
      <c r="F461" s="747">
        <f>+SUMIF('Anlage 2b_Korrekturen'!$B$647:$B$1026,A461,'Anlage 2b_Korrekturen'!$F$647:$F$1026)</f>
        <v>0</v>
      </c>
      <c r="G461" s="1094">
        <f t="shared" si="17"/>
        <v>309981.97600000002</v>
      </c>
      <c r="H461" t="str">
        <f>+VLOOKUP(A461,'Anlage 2a_Letztverbrauch'!$A$413:$J$792,10,FALSE)</f>
        <v>Stadtwerke Neustadt a.d. Aisch GmbH</v>
      </c>
    </row>
    <row r="462" spans="1:8" hidden="1" outlineLevel="1">
      <c r="A462" s="988" t="s">
        <v>942</v>
      </c>
      <c r="B462" s="793">
        <f>+VLOOKUP(A462,'Anlage 2a_Letztverbrauch'!$A$2281:$I$2661,9,FALSE)</f>
        <v>105484.59008000001</v>
      </c>
      <c r="C462" s="95">
        <v>0</v>
      </c>
      <c r="D462" s="95">
        <v>0</v>
      </c>
      <c r="E462" s="95">
        <f t="shared" si="16"/>
        <v>105484.59008000001</v>
      </c>
      <c r="F462" s="747">
        <f>+SUMIF('Anlage 2b_Korrekturen'!$B$647:$B$1026,A462,'Anlage 2b_Korrekturen'!$F$647:$F$1026)</f>
        <v>0</v>
      </c>
      <c r="G462" s="1094">
        <f t="shared" si="17"/>
        <v>105484.59008000001</v>
      </c>
      <c r="H462" t="str">
        <f>+VLOOKUP(A462,'Anlage 2a_Letztverbrauch'!$A$413:$J$792,10,FALSE)</f>
        <v>Versorgungsbetriebe Zellingen</v>
      </c>
    </row>
    <row r="463" spans="1:8" hidden="1" outlineLevel="1">
      <c r="A463" s="988" t="s">
        <v>210</v>
      </c>
      <c r="B463" s="793">
        <f>+VLOOKUP(A463,'Anlage 2a_Letztverbrauch'!$A$2281:$I$2661,9,FALSE)</f>
        <v>1831388.4067200003</v>
      </c>
      <c r="C463" s="95">
        <v>0</v>
      </c>
      <c r="D463" s="95">
        <v>0</v>
      </c>
      <c r="E463" s="95">
        <f t="shared" si="16"/>
        <v>1831388.4067200003</v>
      </c>
      <c r="F463" s="747">
        <f>+SUMIF('Anlage 2b_Korrekturen'!$B$647:$B$1026,A463,'Anlage 2b_Korrekturen'!$F$647:$F$1026)</f>
        <v>0</v>
      </c>
      <c r="G463" s="1094">
        <f t="shared" si="17"/>
        <v>1831388.4067200003</v>
      </c>
      <c r="H463" t="str">
        <f>+VLOOKUP(A463,'Anlage 2a_Letztverbrauch'!$A$413:$J$792,10,FALSE)</f>
        <v>Überlandwerk Rhön GmbH</v>
      </c>
    </row>
    <row r="464" spans="1:8" hidden="1" outlineLevel="1">
      <c r="A464" s="988" t="s">
        <v>944</v>
      </c>
      <c r="B464" s="793">
        <f>+VLOOKUP(A464,'Anlage 2a_Letztverbrauch'!$A$2281:$I$2661,9,FALSE)</f>
        <v>784525.99968000012</v>
      </c>
      <c r="C464" s="95">
        <v>0</v>
      </c>
      <c r="D464" s="95">
        <v>0</v>
      </c>
      <c r="E464" s="95">
        <f t="shared" si="16"/>
        <v>784525.99968000012</v>
      </c>
      <c r="F464" s="747">
        <f>+SUMIF('Anlage 2b_Korrekturen'!$B$647:$B$1026,A464,'Anlage 2b_Korrekturen'!$F$647:$F$1026)</f>
        <v>1504.4903100000001</v>
      </c>
      <c r="G464" s="1094">
        <f t="shared" si="17"/>
        <v>786030.48999000015</v>
      </c>
      <c r="H464" t="str">
        <f>+VLOOKUP(A464,'Anlage 2a_Letztverbrauch'!$A$413:$J$792,10,FALSE)</f>
        <v>Stadtwerke Verden GmbH</v>
      </c>
    </row>
    <row r="465" spans="1:8" hidden="1" outlineLevel="1">
      <c r="A465" s="988" t="s">
        <v>946</v>
      </c>
      <c r="B465" s="793">
        <f>+VLOOKUP(A465,'Anlage 2a_Letztverbrauch'!$A$2281:$I$2661,9,FALSE)</f>
        <v>208636.94271999999</v>
      </c>
      <c r="C465" s="95">
        <v>0</v>
      </c>
      <c r="D465" s="95">
        <v>0</v>
      </c>
      <c r="E465" s="95">
        <f t="shared" si="16"/>
        <v>208636.94271999999</v>
      </c>
      <c r="F465" s="747">
        <f>+SUMIF('Anlage 2b_Korrekturen'!$B$647:$B$1026,A465,'Anlage 2b_Korrekturen'!$F$647:$F$1026)</f>
        <v>0</v>
      </c>
      <c r="G465" s="1094">
        <f t="shared" si="17"/>
        <v>208636.94271999999</v>
      </c>
      <c r="H465" t="str">
        <f>+VLOOKUP(A465,'Anlage 2a_Letztverbrauch'!$A$413:$J$792,10,FALSE)</f>
        <v>Stadtwerke Neustadt a.d. Donau</v>
      </c>
    </row>
    <row r="466" spans="1:8" hidden="1" outlineLevel="1">
      <c r="A466" s="988" t="s">
        <v>948</v>
      </c>
      <c r="B466" s="793">
        <f>+VLOOKUP(A466,'Anlage 2a_Letztverbrauch'!$A$2281:$I$2661,9,FALSE)</f>
        <v>74777.85328000001</v>
      </c>
      <c r="C466" s="95">
        <v>0</v>
      </c>
      <c r="D466" s="95">
        <v>0</v>
      </c>
      <c r="E466" s="95">
        <f t="shared" si="16"/>
        <v>74777.85328000001</v>
      </c>
      <c r="F466" s="747">
        <f>+SUMIF('Anlage 2b_Korrekturen'!$B$647:$B$1026,A466,'Anlage 2b_Korrekturen'!$F$647:$F$1026)</f>
        <v>0</v>
      </c>
      <c r="G466" s="1094">
        <f t="shared" si="17"/>
        <v>74777.85328000001</v>
      </c>
      <c r="H466" t="str">
        <f>+VLOOKUP(A466,'Anlage 2a_Letztverbrauch'!$A$413:$J$792,10,FALSE)</f>
        <v>Stadtwerke Scheinfeld</v>
      </c>
    </row>
    <row r="467" spans="1:8" hidden="1" outlineLevel="1">
      <c r="A467" s="988" t="s">
        <v>950</v>
      </c>
      <c r="B467" s="793">
        <f>+VLOOKUP(A467,'Anlage 2a_Letztverbrauch'!$A$2281:$I$2661,9,FALSE)</f>
        <v>153564.95552000002</v>
      </c>
      <c r="C467" s="95">
        <v>0</v>
      </c>
      <c r="D467" s="95">
        <v>0</v>
      </c>
      <c r="E467" s="95">
        <f t="shared" si="16"/>
        <v>153564.95552000002</v>
      </c>
      <c r="F467" s="747">
        <f>+SUMIF('Anlage 2b_Korrekturen'!$B$647:$B$1026,A467,'Anlage 2b_Korrekturen'!$F$647:$F$1026)</f>
        <v>0</v>
      </c>
      <c r="G467" s="1094">
        <f t="shared" si="17"/>
        <v>153564.95552000002</v>
      </c>
      <c r="H467" t="str">
        <f>+VLOOKUP(A467,'Anlage 2a_Letztverbrauch'!$A$413:$J$792,10,FALSE)</f>
        <v>Stadtwerke Nortorf AöR</v>
      </c>
    </row>
    <row r="468" spans="1:8" hidden="1" outlineLevel="1">
      <c r="A468" s="988" t="s">
        <v>952</v>
      </c>
      <c r="B468" s="793">
        <f>+VLOOKUP(A468,'Anlage 2a_Letztverbrauch'!$A$2281:$I$2661,9,FALSE)</f>
        <v>418766.10832</v>
      </c>
      <c r="C468" s="95">
        <v>0</v>
      </c>
      <c r="D468" s="95">
        <v>0</v>
      </c>
      <c r="E468" s="95">
        <f t="shared" si="16"/>
        <v>418766.10832</v>
      </c>
      <c r="F468" s="747">
        <f>+SUMIF('Anlage 2b_Korrekturen'!$B$647:$B$1026,A468,'Anlage 2b_Korrekturen'!$F$647:$F$1026)</f>
        <v>0</v>
      </c>
      <c r="G468" s="1094">
        <f t="shared" si="17"/>
        <v>418766.10832</v>
      </c>
      <c r="H468" t="str">
        <f>+VLOOKUP(A468,'Anlage 2a_Letztverbrauch'!$A$413:$J$792,10,FALSE)</f>
        <v>SWD Stadtwerke Dinkelsbühl</v>
      </c>
    </row>
    <row r="469" spans="1:8" hidden="1" outlineLevel="1">
      <c r="A469" s="988" t="s">
        <v>954</v>
      </c>
      <c r="B469" s="793">
        <f>+VLOOKUP(A469,'Anlage 2a_Letztverbrauch'!$A$2281:$I$2661,9,FALSE)</f>
        <v>947852.62880000006</v>
      </c>
      <c r="C469" s="95">
        <v>0</v>
      </c>
      <c r="D469" s="95">
        <v>0</v>
      </c>
      <c r="E469" s="95">
        <f t="shared" si="16"/>
        <v>947852.62880000006</v>
      </c>
      <c r="F469" s="747">
        <f>+SUMIF('Anlage 2b_Korrekturen'!$B$647:$B$1026,A469,'Anlage 2b_Korrekturen'!$F$647:$F$1026)</f>
        <v>0</v>
      </c>
      <c r="G469" s="1094">
        <f t="shared" si="17"/>
        <v>947852.62880000006</v>
      </c>
      <c r="H469" t="str">
        <f>+VLOOKUP(A469,'Anlage 2a_Letztverbrauch'!$A$413:$J$792,10,FALSE)</f>
        <v>Stadtwerke Rendsburg GmbH</v>
      </c>
    </row>
    <row r="470" spans="1:8" hidden="1" outlineLevel="1">
      <c r="A470" s="988" t="s">
        <v>956</v>
      </c>
      <c r="B470" s="793">
        <f>+VLOOKUP(A470,'Anlage 2a_Letztverbrauch'!$A$2281:$I$2661,9,FALSE)</f>
        <v>234688.88720000003</v>
      </c>
      <c r="C470" s="95">
        <v>0</v>
      </c>
      <c r="D470" s="95">
        <v>0</v>
      </c>
      <c r="E470" s="95">
        <f t="shared" si="16"/>
        <v>234688.88720000003</v>
      </c>
      <c r="F470" s="747">
        <f>+SUMIF('Anlage 2b_Korrekturen'!$B$647:$B$1026,A470,'Anlage 2b_Korrekturen'!$F$647:$F$1026)</f>
        <v>0</v>
      </c>
      <c r="G470" s="1094">
        <f t="shared" si="17"/>
        <v>234688.88720000003</v>
      </c>
      <c r="H470" t="str">
        <f>+VLOOKUP(A470,'Anlage 2a_Letztverbrauch'!$A$413:$J$792,10,FALSE)</f>
        <v>Gemeindliche Werke Hengersberg</v>
      </c>
    </row>
    <row r="471" spans="1:8" hidden="1" outlineLevel="1">
      <c r="A471" s="988" t="s">
        <v>958</v>
      </c>
      <c r="B471" s="793">
        <f>+VLOOKUP(A471,'Anlage 2a_Letztverbrauch'!$A$2281:$I$2661,9,FALSE)</f>
        <v>666733.0652800001</v>
      </c>
      <c r="C471" s="95">
        <v>0</v>
      </c>
      <c r="D471" s="95">
        <v>0</v>
      </c>
      <c r="E471" s="95">
        <f t="shared" si="16"/>
        <v>666733.0652800001</v>
      </c>
      <c r="F471" s="747">
        <f>+SUMIF('Anlage 2b_Korrekturen'!$B$647:$B$1026,A471,'Anlage 2b_Korrekturen'!$F$647:$F$1026)</f>
        <v>-1113.67055</v>
      </c>
      <c r="G471" s="1094">
        <f t="shared" si="17"/>
        <v>665619.39473000006</v>
      </c>
      <c r="H471" t="str">
        <f>+VLOOKUP(A471,'Anlage 2a_Letztverbrauch'!$A$413:$J$792,10,FALSE)</f>
        <v>Stadtwerke Rinteln GmbH</v>
      </c>
    </row>
    <row r="472" spans="1:8" hidden="1" outlineLevel="1">
      <c r="A472" s="988" t="s">
        <v>960</v>
      </c>
      <c r="B472" s="793">
        <f>+VLOOKUP(A472,'Anlage 2a_Letztverbrauch'!$A$2281:$I$2661,9,FALSE)</f>
        <v>714436.76864000002</v>
      </c>
      <c r="C472" s="95">
        <v>0</v>
      </c>
      <c r="D472" s="95">
        <v>0</v>
      </c>
      <c r="E472" s="95">
        <f t="shared" si="16"/>
        <v>714436.76864000002</v>
      </c>
      <c r="F472" s="747">
        <f>+SUMIF('Anlage 2b_Korrekturen'!$B$647:$B$1026,A472,'Anlage 2b_Korrekturen'!$F$647:$F$1026)</f>
        <v>0</v>
      </c>
      <c r="G472" s="1094">
        <f t="shared" si="17"/>
        <v>714436.76864000002</v>
      </c>
      <c r="H472" t="str">
        <f>+VLOOKUP(A472,'Anlage 2a_Letztverbrauch'!$A$413:$J$792,10,FALSE)</f>
        <v>Stadtwerke Böhmetal GmbH</v>
      </c>
    </row>
    <row r="473" spans="1:8" hidden="1" outlineLevel="1">
      <c r="A473" s="988" t="s">
        <v>962</v>
      </c>
      <c r="B473" s="793">
        <f>+VLOOKUP(A473,'Anlage 2a_Letztverbrauch'!$A$2281:$I$2661,9,FALSE)</f>
        <v>888682.54400000011</v>
      </c>
      <c r="C473" s="95">
        <v>0</v>
      </c>
      <c r="D473" s="95">
        <v>0</v>
      </c>
      <c r="E473" s="95">
        <f t="shared" si="16"/>
        <v>888682.54400000011</v>
      </c>
      <c r="F473" s="747">
        <f>+SUMIF('Anlage 2b_Korrekturen'!$B$647:$B$1026,A473,'Anlage 2b_Korrekturen'!$F$647:$F$1026)</f>
        <v>6329.7503800000004</v>
      </c>
      <c r="G473" s="1094">
        <f t="shared" si="17"/>
        <v>895012.29438000009</v>
      </c>
      <c r="H473" t="str">
        <f>+VLOOKUP(A473,'Anlage 2a_Letztverbrauch'!$A$413:$J$792,10,FALSE)</f>
        <v>Stadtwerke Lemgo GmbH</v>
      </c>
    </row>
    <row r="474" spans="1:8" hidden="1" outlineLevel="1">
      <c r="A474" s="988" t="s">
        <v>1869</v>
      </c>
      <c r="B474" s="793">
        <f>+VLOOKUP(A474,'Anlage 2a_Letztverbrauch'!$A$2281:$I$2661,9,FALSE)</f>
        <v>31023.449926400004</v>
      </c>
      <c r="C474" s="95">
        <v>0</v>
      </c>
      <c r="D474" s="95">
        <v>0</v>
      </c>
      <c r="E474" s="95">
        <f t="shared" si="16"/>
        <v>31023.449926400004</v>
      </c>
      <c r="F474" s="747">
        <f>+SUMIF('Anlage 2b_Korrekturen'!$B$647:$B$1026,A474,'Anlage 2b_Korrekturen'!$F$647:$F$1026)</f>
        <v>0</v>
      </c>
      <c r="G474" s="1094">
        <f t="shared" si="17"/>
        <v>31023.449926400004</v>
      </c>
      <c r="H474" t="str">
        <f>+VLOOKUP(A474,'Anlage 2a_Letztverbrauch'!$A$413:$J$792,10,FALSE)</f>
        <v>Elektrizitätsgenossenschaft Karlstein eG</v>
      </c>
    </row>
    <row r="475" spans="1:8" hidden="1" outlineLevel="1">
      <c r="A475" s="988" t="s">
        <v>964</v>
      </c>
      <c r="B475" s="793">
        <f>+VLOOKUP(A475,'Anlage 2a_Letztverbrauch'!$A$2281:$I$2661,9,FALSE)</f>
        <v>1747925.7563199999</v>
      </c>
      <c r="C475" s="95">
        <v>-2611.62</v>
      </c>
      <c r="D475" s="95">
        <v>0</v>
      </c>
      <c r="E475" s="95">
        <f t="shared" si="16"/>
        <v>1745314.1363199998</v>
      </c>
      <c r="F475" s="747">
        <f>+SUMIF('Anlage 2b_Korrekturen'!$B$647:$B$1026,A475,'Anlage 2b_Korrekturen'!$F$647:$F$1026)</f>
        <v>0</v>
      </c>
      <c r="G475" s="1094">
        <f t="shared" si="17"/>
        <v>1745314.1363199998</v>
      </c>
      <c r="H475" t="str">
        <f>+VLOOKUP(A475,'Anlage 2a_Letztverbrauch'!$A$413:$J$792,10,FALSE)</f>
        <v>Stadtwerke Passau GmbH</v>
      </c>
    </row>
    <row r="476" spans="1:8" hidden="1" outlineLevel="1">
      <c r="A476" s="988" t="s">
        <v>1871</v>
      </c>
      <c r="B476" s="793">
        <f>+VLOOKUP(A476,'Anlage 2a_Letztverbrauch'!$A$2281:$I$2661,9,FALSE)</f>
        <v>0</v>
      </c>
      <c r="C476" s="95">
        <v>0</v>
      </c>
      <c r="D476" s="95">
        <v>0</v>
      </c>
      <c r="E476" s="95">
        <f t="shared" si="16"/>
        <v>0</v>
      </c>
      <c r="F476" s="747">
        <f>+SUMIF('Anlage 2b_Korrekturen'!$B$647:$B$1026,A476,'Anlage 2b_Korrekturen'!$F$647:$F$1026)</f>
        <v>0</v>
      </c>
      <c r="G476" s="1094">
        <f t="shared" si="17"/>
        <v>0</v>
      </c>
      <c r="H476" t="str">
        <f>+VLOOKUP(A476,'Anlage 2a_Letztverbrauch'!$A$413:$J$792,10,FALSE)</f>
        <v>ew-schmid gmbh</v>
      </c>
    </row>
    <row r="477" spans="1:8" hidden="1" outlineLevel="1">
      <c r="A477" s="988" t="s">
        <v>966</v>
      </c>
      <c r="B477" s="793">
        <f>+VLOOKUP(A477,'Anlage 2a_Letztverbrauch'!$A$2281:$I$2661,9,FALSE)</f>
        <v>105493.6888</v>
      </c>
      <c r="C477" s="95">
        <v>0</v>
      </c>
      <c r="D477" s="95">
        <v>0</v>
      </c>
      <c r="E477" s="95">
        <f t="shared" si="16"/>
        <v>105493.6888</v>
      </c>
      <c r="F477" s="747">
        <f>+SUMIF('Anlage 2b_Korrekturen'!$B$647:$B$1026,A477,'Anlage 2b_Korrekturen'!$F$647:$F$1026)</f>
        <v>-238.29238000000001</v>
      </c>
      <c r="G477" s="1094">
        <f t="shared" si="17"/>
        <v>105255.39642</v>
      </c>
      <c r="H477" t="str">
        <f>+VLOOKUP(A477,'Anlage 2a_Letztverbrauch'!$A$413:$J$792,10,FALSE)</f>
        <v>Gemeindewerke Großkrotzenburg GmbH</v>
      </c>
    </row>
    <row r="478" spans="1:8" hidden="1" outlineLevel="1">
      <c r="A478" s="988" t="s">
        <v>968</v>
      </c>
      <c r="B478" s="793">
        <f>+VLOOKUP(A478,'Anlage 2a_Letztverbrauch'!$A$2281:$I$2661,9,FALSE)</f>
        <v>297944.43504000001</v>
      </c>
      <c r="C478" s="95">
        <v>0</v>
      </c>
      <c r="D478" s="95">
        <v>0</v>
      </c>
      <c r="E478" s="95">
        <f t="shared" si="16"/>
        <v>297944.43504000001</v>
      </c>
      <c r="F478" s="747">
        <f>+SUMIF('Anlage 2b_Korrekturen'!$B$647:$B$1026,A478,'Anlage 2b_Korrekturen'!$F$647:$F$1026)</f>
        <v>0</v>
      </c>
      <c r="G478" s="1094">
        <f t="shared" si="17"/>
        <v>297944.43504000001</v>
      </c>
      <c r="H478" t="str">
        <f>+VLOOKUP(A478,'Anlage 2a_Letztverbrauch'!$A$413:$J$792,10,FALSE)</f>
        <v>Feuchter Gemeindewerke GmbH</v>
      </c>
    </row>
    <row r="479" spans="1:8" hidden="1" outlineLevel="1">
      <c r="A479" s="988" t="s">
        <v>1873</v>
      </c>
      <c r="B479" s="793">
        <f>+VLOOKUP(A479,'Anlage 2a_Letztverbrauch'!$A$2281:$I$2661,9,FALSE)</f>
        <v>41531.983200000002</v>
      </c>
      <c r="C479" s="95">
        <v>0</v>
      </c>
      <c r="D479" s="95">
        <v>0</v>
      </c>
      <c r="E479" s="95">
        <f t="shared" si="16"/>
        <v>41531.983200000002</v>
      </c>
      <c r="F479" s="747">
        <f>+SUMIF('Anlage 2b_Korrekturen'!$B$647:$B$1026,A479,'Anlage 2b_Korrekturen'!$F$647:$F$1026)</f>
        <v>0</v>
      </c>
      <c r="G479" s="1094">
        <f t="shared" si="17"/>
        <v>41531.983200000002</v>
      </c>
      <c r="H479" t="str">
        <f>+VLOOKUP(A479,'Anlage 2a_Letztverbrauch'!$A$413:$J$792,10,FALSE)</f>
        <v>Gemeinde Glattbach</v>
      </c>
    </row>
    <row r="480" spans="1:8" hidden="1" outlineLevel="1">
      <c r="A480" s="988" t="s">
        <v>970</v>
      </c>
      <c r="B480" s="793">
        <f>+VLOOKUP(A480,'Anlage 2a_Letztverbrauch'!$A$2281:$I$2661,9,FALSE)</f>
        <v>172383.69311999998</v>
      </c>
      <c r="C480" s="95">
        <v>0</v>
      </c>
      <c r="D480" s="95">
        <v>0</v>
      </c>
      <c r="E480" s="95">
        <f t="shared" si="16"/>
        <v>172383.69311999998</v>
      </c>
      <c r="F480" s="747">
        <f>+SUMIF('Anlage 2b_Korrekturen'!$B$647:$B$1026,A480,'Anlage 2b_Korrekturen'!$F$647:$F$1026)</f>
        <v>0</v>
      </c>
      <c r="G480" s="1094">
        <f t="shared" si="17"/>
        <v>172383.69311999998</v>
      </c>
      <c r="H480" t="str">
        <f>+VLOOKUP(A480,'Anlage 2a_Letztverbrauch'!$A$413:$J$792,10,FALSE)</f>
        <v>Gemeindewerke Kahl Versorgungsgesellschaft mbH</v>
      </c>
    </row>
    <row r="481" spans="1:8" hidden="1" outlineLevel="1">
      <c r="A481" s="988" t="s">
        <v>972</v>
      </c>
      <c r="B481" s="793">
        <f>+VLOOKUP(A481,'Anlage 2a_Letztverbrauch'!$A$2281:$I$2661,9,FALSE)</f>
        <v>3285925.7464000001</v>
      </c>
      <c r="C481" s="95">
        <v>0</v>
      </c>
      <c r="D481" s="95">
        <v>0</v>
      </c>
      <c r="E481" s="95">
        <f t="shared" si="16"/>
        <v>3285925.7464000001</v>
      </c>
      <c r="F481" s="747">
        <f>+SUMIF('Anlage 2b_Korrekturen'!$B$647:$B$1026,A481,'Anlage 2b_Korrekturen'!$F$647:$F$1026)</f>
        <v>0</v>
      </c>
      <c r="G481" s="1094">
        <f t="shared" si="17"/>
        <v>3285925.7464000001</v>
      </c>
      <c r="H481" t="str">
        <f>+VLOOKUP(A481,'Anlage 2a_Letztverbrauch'!$A$413:$J$792,10,FALSE)</f>
        <v>Stadtwerke Ingolstadt Netze GmbH</v>
      </c>
    </row>
    <row r="482" spans="1:8" hidden="1" outlineLevel="1">
      <c r="A482" s="988" t="s">
        <v>974</v>
      </c>
      <c r="B482" s="793">
        <f>+VLOOKUP(A482,'Anlage 2a_Letztverbrauch'!$A$2281:$I$2661,9,FALSE)</f>
        <v>6116705.0020800009</v>
      </c>
      <c r="C482" s="95">
        <v>-6814.7</v>
      </c>
      <c r="D482" s="95">
        <v>0</v>
      </c>
      <c r="E482" s="95">
        <f t="shared" si="16"/>
        <v>6109890.3020800008</v>
      </c>
      <c r="F482" s="747">
        <f>+SUMIF('Anlage 2b_Korrekturen'!$B$647:$B$1026,A482,'Anlage 2b_Korrekturen'!$F$647:$F$1026)</f>
        <v>0</v>
      </c>
      <c r="G482" s="1094">
        <f t="shared" si="17"/>
        <v>6109890.3020800008</v>
      </c>
      <c r="H482" t="str">
        <f>+VLOOKUP(A482,'Anlage 2a_Letztverbrauch'!$A$413:$J$792,10,FALSE)</f>
        <v>Regensburg Netz GmbH</v>
      </c>
    </row>
    <row r="483" spans="1:8" hidden="1" outlineLevel="1">
      <c r="A483" s="988" t="s">
        <v>976</v>
      </c>
      <c r="B483" s="793">
        <f>+VLOOKUP(A483,'Anlage 2a_Letztverbrauch'!$A$2281:$I$2661,9,FALSE)</f>
        <v>740646.35752959992</v>
      </c>
      <c r="C483" s="95">
        <v>0</v>
      </c>
      <c r="D483" s="95">
        <v>0</v>
      </c>
      <c r="E483" s="95">
        <f t="shared" si="16"/>
        <v>740646.35752959992</v>
      </c>
      <c r="F483" s="747">
        <f>+SUMIF('Anlage 2b_Korrekturen'!$B$647:$B$1026,A483,'Anlage 2b_Korrekturen'!$F$647:$F$1026)</f>
        <v>4946.6717200000003</v>
      </c>
      <c r="G483" s="1094">
        <f t="shared" si="17"/>
        <v>745593.0292495999</v>
      </c>
      <c r="H483" t="str">
        <f>+VLOOKUP(A483,'Anlage 2a_Letztverbrauch'!$A$413:$J$792,10,FALSE)</f>
        <v>Energieversorgung Alzenau GmbH</v>
      </c>
    </row>
    <row r="484" spans="1:8" hidden="1" outlineLevel="1">
      <c r="A484" s="988" t="s">
        <v>978</v>
      </c>
      <c r="B484" s="793">
        <f>+VLOOKUP(A484,'Anlage 2a_Letztverbrauch'!$A$2281:$I$2661,9,FALSE)</f>
        <v>970293.07680000004</v>
      </c>
      <c r="C484" s="95">
        <v>0</v>
      </c>
      <c r="D484" s="95">
        <v>0</v>
      </c>
      <c r="E484" s="95">
        <f t="shared" si="16"/>
        <v>970293.07680000004</v>
      </c>
      <c r="F484" s="747">
        <f>+SUMIF('Anlage 2b_Korrekturen'!$B$647:$B$1026,A484,'Anlage 2b_Korrekturen'!$F$647:$F$1026)</f>
        <v>0</v>
      </c>
      <c r="G484" s="1094">
        <f t="shared" si="17"/>
        <v>970293.07680000004</v>
      </c>
      <c r="H484" t="str">
        <f>+VLOOKUP(A484,'Anlage 2a_Letztverbrauch'!$A$413:$J$792,10,FALSE)</f>
        <v>SW Südholstein GmbH ehemals SW Pinneberg GmbH</v>
      </c>
    </row>
    <row r="485" spans="1:8" hidden="1" outlineLevel="1">
      <c r="A485" s="988" t="s">
        <v>980</v>
      </c>
      <c r="B485" s="793">
        <f>+VLOOKUP(A485,'Anlage 2a_Letztverbrauch'!$A$2281:$I$2661,9,FALSE)</f>
        <v>1871366.26688</v>
      </c>
      <c r="C485" s="95">
        <v>0</v>
      </c>
      <c r="D485" s="95">
        <v>0</v>
      </c>
      <c r="E485" s="95">
        <f t="shared" si="16"/>
        <v>1871366.26688</v>
      </c>
      <c r="F485" s="747">
        <f>+SUMIF('Anlage 2b_Korrekturen'!$B$647:$B$1026,A485,'Anlage 2b_Korrekturen'!$F$647:$F$1026)</f>
        <v>0</v>
      </c>
      <c r="G485" s="1094">
        <f t="shared" si="17"/>
        <v>1871366.26688</v>
      </c>
      <c r="H485" t="str">
        <f>+VLOOKUP(A485,'Anlage 2a_Letztverbrauch'!$A$413:$J$792,10,FALSE)</f>
        <v>Stadtwerke Marburg GmbH</v>
      </c>
    </row>
    <row r="486" spans="1:8" hidden="1" outlineLevel="1">
      <c r="A486" s="988" t="s">
        <v>982</v>
      </c>
      <c r="B486" s="793">
        <f>+VLOOKUP(A486,'Anlage 2a_Letztverbrauch'!$A$2281:$I$2661,9,FALSE)</f>
        <v>146800.12608000002</v>
      </c>
      <c r="C486" s="95">
        <v>0</v>
      </c>
      <c r="D486" s="95">
        <v>0</v>
      </c>
      <c r="E486" s="95">
        <f t="shared" si="16"/>
        <v>146800.12608000002</v>
      </c>
      <c r="F486" s="747">
        <f>+SUMIF('Anlage 2b_Korrekturen'!$B$647:$B$1026,A486,'Anlage 2b_Korrekturen'!$F$647:$F$1026)</f>
        <v>-15.54921</v>
      </c>
      <c r="G486" s="1094">
        <f t="shared" si="17"/>
        <v>146784.57687000002</v>
      </c>
      <c r="H486" t="str">
        <f>+VLOOKUP(A486,'Anlage 2a_Letztverbrauch'!$A$413:$J$792,10,FALSE)</f>
        <v>Stadtwerke Pappenheim GmbH</v>
      </c>
    </row>
    <row r="487" spans="1:8" hidden="1" outlineLevel="1">
      <c r="A487" s="988" t="s">
        <v>984</v>
      </c>
      <c r="B487" s="793">
        <f>+VLOOKUP(A487,'Anlage 2a_Letztverbrauch'!$A$2281:$I$2661,9,FALSE)</f>
        <v>1016362.4808</v>
      </c>
      <c r="C487" s="95">
        <v>0</v>
      </c>
      <c r="D487" s="95">
        <v>0</v>
      </c>
      <c r="E487" s="95">
        <f t="shared" si="16"/>
        <v>1016362.4808</v>
      </c>
      <c r="F487" s="747">
        <f>+SUMIF('Anlage 2b_Korrekturen'!$B$647:$B$1026,A487,'Anlage 2b_Korrekturen'!$F$647:$F$1026)</f>
        <v>-27346.482190000002</v>
      </c>
      <c r="G487" s="1094">
        <f t="shared" si="17"/>
        <v>989015.99861000001</v>
      </c>
      <c r="H487" t="str">
        <f>+VLOOKUP(A487,'Anlage 2a_Letztverbrauch'!$A$413:$J$792,10,FALSE)</f>
        <v>Herzo Werke GmbH</v>
      </c>
    </row>
    <row r="488" spans="1:8" hidden="1" outlineLevel="1">
      <c r="A488" s="988" t="s">
        <v>986</v>
      </c>
      <c r="B488" s="793">
        <f>+VLOOKUP(A488,'Anlage 2a_Letztverbrauch'!$A$2281:$I$2661,9,FALSE)</f>
        <v>310567.42975999997</v>
      </c>
      <c r="C488" s="95">
        <v>0</v>
      </c>
      <c r="D488" s="95">
        <v>0</v>
      </c>
      <c r="E488" s="95">
        <f t="shared" si="16"/>
        <v>310567.42975999997</v>
      </c>
      <c r="F488" s="747">
        <f>+SUMIF('Anlage 2b_Korrekturen'!$B$647:$B$1026,A488,'Anlage 2b_Korrekturen'!$F$647:$F$1026)</f>
        <v>-45.011920000000003</v>
      </c>
      <c r="G488" s="1094">
        <f t="shared" si="17"/>
        <v>310522.41783999995</v>
      </c>
      <c r="H488" t="str">
        <f>+VLOOKUP(A488,'Anlage 2a_Letztverbrauch'!$A$413:$J$792,10,FALSE)</f>
        <v>Stadtwerke Ebermannstadt Versorgungsbetriebe GmbH</v>
      </c>
    </row>
    <row r="489" spans="1:8" hidden="1" outlineLevel="1">
      <c r="A489" s="988" t="s">
        <v>988</v>
      </c>
      <c r="B489" s="793">
        <f>+VLOOKUP(A489,'Anlage 2a_Letztverbrauch'!$A$2281:$I$2661,9,FALSE)</f>
        <v>1114590.3030646399</v>
      </c>
      <c r="C489" s="95">
        <v>0</v>
      </c>
      <c r="D489" s="95">
        <v>0</v>
      </c>
      <c r="E489" s="95">
        <f t="shared" si="16"/>
        <v>1114590.3030646399</v>
      </c>
      <c r="F489" s="747">
        <f>+SUMIF('Anlage 2b_Korrekturen'!$B$647:$B$1026,A489,'Anlage 2b_Korrekturen'!$F$647:$F$1026)</f>
        <v>0</v>
      </c>
      <c r="G489" s="1094">
        <f t="shared" si="17"/>
        <v>1114590.3030646399</v>
      </c>
      <c r="H489" t="str">
        <f>+VLOOKUP(A489,'Anlage 2a_Letztverbrauch'!$A$413:$J$792,10,FALSE)</f>
        <v>Stadtwerke Amberg Versorgungs GmbH</v>
      </c>
    </row>
    <row r="490" spans="1:8" hidden="1" outlineLevel="1">
      <c r="A490" s="988" t="s">
        <v>990</v>
      </c>
      <c r="B490" s="793">
        <f>+VLOOKUP(A490,'Anlage 2a_Letztverbrauch'!$A$2281:$I$2661,9,FALSE)</f>
        <v>256808.13792000001</v>
      </c>
      <c r="C490" s="95">
        <v>0</v>
      </c>
      <c r="D490" s="95">
        <v>0</v>
      </c>
      <c r="E490" s="95">
        <f t="shared" si="16"/>
        <v>256808.13792000001</v>
      </c>
      <c r="F490" s="747">
        <f>+SUMIF('Anlage 2b_Korrekturen'!$B$647:$B$1026,A490,'Anlage 2b_Korrekturen'!$F$647:$F$1026)</f>
        <v>0</v>
      </c>
      <c r="G490" s="1094">
        <f t="shared" si="17"/>
        <v>256808.13792000001</v>
      </c>
      <c r="H490" t="str">
        <f>+VLOOKUP(A490,'Anlage 2a_Letztverbrauch'!$A$413:$J$792,10,FALSE)</f>
        <v>Stadtwerke Pfarrkirchen</v>
      </c>
    </row>
    <row r="491" spans="1:8" hidden="1" outlineLevel="1">
      <c r="A491" s="988" t="s">
        <v>992</v>
      </c>
      <c r="B491" s="793">
        <f>+VLOOKUP(A491,'Anlage 2a_Letztverbrauch'!$A$2281:$I$2661,9,FALSE)</f>
        <v>406668.45152</v>
      </c>
      <c r="C491" s="95">
        <v>0</v>
      </c>
      <c r="D491" s="95">
        <v>0</v>
      </c>
      <c r="E491" s="95">
        <f t="shared" si="16"/>
        <v>406668.45152</v>
      </c>
      <c r="F491" s="747">
        <f>+SUMIF('Anlage 2b_Korrekturen'!$B$647:$B$1026,A491,'Anlage 2b_Korrekturen'!$F$647:$F$1026)</f>
        <v>0</v>
      </c>
      <c r="G491" s="1094">
        <f t="shared" si="17"/>
        <v>406668.45152</v>
      </c>
      <c r="H491" t="str">
        <f>+VLOOKUP(A491,'Anlage 2a_Letztverbrauch'!$A$413:$J$792,10,FALSE)</f>
        <v>Stadtwerke Gunzenhausen GmbH</v>
      </c>
    </row>
    <row r="492" spans="1:8" hidden="1" outlineLevel="1">
      <c r="A492" s="988" t="s">
        <v>994</v>
      </c>
      <c r="B492" s="793">
        <f>+VLOOKUP(A492,'Anlage 2a_Letztverbrauch'!$A$2281:$I$2661,9,FALSE)</f>
        <v>247947.68368000002</v>
      </c>
      <c r="C492" s="95">
        <v>0</v>
      </c>
      <c r="D492" s="95">
        <v>0</v>
      </c>
      <c r="E492" s="95">
        <f t="shared" si="16"/>
        <v>247947.68368000002</v>
      </c>
      <c r="F492" s="747">
        <f>+SUMIF('Anlage 2b_Korrekturen'!$B$647:$B$1026,A492,'Anlage 2b_Korrekturen'!$F$647:$F$1026)</f>
        <v>0</v>
      </c>
      <c r="G492" s="1094">
        <f t="shared" si="17"/>
        <v>247947.68368000002</v>
      </c>
      <c r="H492" t="str">
        <f>+VLOOKUP(A492,'Anlage 2a_Letztverbrauch'!$A$413:$J$792,10,FALSE)</f>
        <v>Gemeindewerke Halstenbek</v>
      </c>
    </row>
    <row r="493" spans="1:8" hidden="1" outlineLevel="1">
      <c r="A493" s="988" t="s">
        <v>996</v>
      </c>
      <c r="B493" s="793">
        <f>+VLOOKUP(A493,'Anlage 2a_Letztverbrauch'!$A$2281:$I$2661,9,FALSE)</f>
        <v>98643.776160000009</v>
      </c>
      <c r="C493" s="95">
        <v>0</v>
      </c>
      <c r="D493" s="95">
        <v>0</v>
      </c>
      <c r="E493" s="95">
        <f t="shared" si="16"/>
        <v>98643.776160000009</v>
      </c>
      <c r="F493" s="747">
        <f>+SUMIF('Anlage 2b_Korrekturen'!$B$647:$B$1026,A493,'Anlage 2b_Korrekturen'!$F$647:$F$1026)</f>
        <v>0</v>
      </c>
      <c r="G493" s="1094">
        <f t="shared" si="17"/>
        <v>98643.776160000009</v>
      </c>
      <c r="H493" t="str">
        <f>+VLOOKUP(A493,'Anlage 2a_Letztverbrauch'!$A$413:$J$792,10,FALSE)</f>
        <v>Stadtwerke Dettelbach</v>
      </c>
    </row>
    <row r="494" spans="1:8" hidden="1" outlineLevel="1">
      <c r="A494" s="988" t="s">
        <v>998</v>
      </c>
      <c r="B494" s="793">
        <f>+VLOOKUP(A494,'Anlage 2a_Letztverbrauch'!$A$2281:$I$2661,9,FALSE)</f>
        <v>76019.182400000005</v>
      </c>
      <c r="C494" s="95">
        <v>0</v>
      </c>
      <c r="D494" s="95">
        <v>0</v>
      </c>
      <c r="E494" s="95">
        <f t="shared" si="16"/>
        <v>76019.182400000005</v>
      </c>
      <c r="F494" s="747">
        <f>+SUMIF('Anlage 2b_Korrekturen'!$B$647:$B$1026,A494,'Anlage 2b_Korrekturen'!$F$647:$F$1026)</f>
        <v>-149.07031000000001</v>
      </c>
      <c r="G494" s="1094">
        <f t="shared" si="17"/>
        <v>75870.11209000001</v>
      </c>
      <c r="H494" t="str">
        <f>+VLOOKUP(A494,'Anlage 2a_Letztverbrauch'!$A$413:$J$792,10,FALSE)</f>
        <v>Stadtwerke Wilster</v>
      </c>
    </row>
    <row r="495" spans="1:8" hidden="1" outlineLevel="1">
      <c r="A495" s="988" t="s">
        <v>1000</v>
      </c>
      <c r="B495" s="793">
        <f>+VLOOKUP(A495,'Anlage 2a_Letztverbrauch'!$A$2281:$I$2661,9,FALSE)</f>
        <v>134608.30703999999</v>
      </c>
      <c r="C495" s="95">
        <v>0</v>
      </c>
      <c r="D495" s="95">
        <v>0</v>
      </c>
      <c r="E495" s="95">
        <f t="shared" si="16"/>
        <v>134608.30703999999</v>
      </c>
      <c r="F495" s="747">
        <f>+SUMIF('Anlage 2b_Korrekturen'!$B$647:$B$1026,A495,'Anlage 2b_Korrekturen'!$F$647:$F$1026)</f>
        <v>0</v>
      </c>
      <c r="G495" s="1094">
        <f t="shared" si="17"/>
        <v>134608.30703999999</v>
      </c>
      <c r="H495" t="str">
        <f>+VLOOKUP(A495,'Anlage 2a_Letztverbrauch'!$A$413:$J$792,10,FALSE)</f>
        <v>Stadtwerke Bad Brückenau GmbH</v>
      </c>
    </row>
    <row r="496" spans="1:8" hidden="1" outlineLevel="1">
      <c r="A496" s="988" t="s">
        <v>1002</v>
      </c>
      <c r="B496" s="793">
        <f>+VLOOKUP(A496,'Anlage 2a_Letztverbrauch'!$A$2281:$I$2661,9,FALSE)</f>
        <v>622140.69776000001</v>
      </c>
      <c r="C496" s="95">
        <v>0</v>
      </c>
      <c r="D496" s="95">
        <v>0</v>
      </c>
      <c r="E496" s="95">
        <f t="shared" si="16"/>
        <v>622140.69776000001</v>
      </c>
      <c r="F496" s="747">
        <f>+SUMIF('Anlage 2b_Korrekturen'!$B$647:$B$1026,A496,'Anlage 2b_Korrekturen'!$F$647:$F$1026)</f>
        <v>1873.5913000000003</v>
      </c>
      <c r="G496" s="1094">
        <f t="shared" si="17"/>
        <v>624014.28905999998</v>
      </c>
      <c r="H496" t="str">
        <f>+VLOOKUP(A496,'Anlage 2a_Letztverbrauch'!$A$413:$J$792,10,FALSE)</f>
        <v>Stadtwerke Wedel GmbH</v>
      </c>
    </row>
    <row r="497" spans="1:8" hidden="1" outlineLevel="1">
      <c r="A497" s="988" t="s">
        <v>1004</v>
      </c>
      <c r="B497" s="793">
        <f>+VLOOKUP(A497,'Anlage 2a_Letztverbrauch'!$A$2281:$I$2661,9,FALSE)</f>
        <v>293231.15376000002</v>
      </c>
      <c r="C497" s="95">
        <v>0</v>
      </c>
      <c r="D497" s="95">
        <v>0</v>
      </c>
      <c r="E497" s="95">
        <f t="shared" si="16"/>
        <v>293231.15376000002</v>
      </c>
      <c r="F497" s="747">
        <f>+SUMIF('Anlage 2b_Korrekturen'!$B$647:$B$1026,A497,'Anlage 2b_Korrekturen'!$F$647:$F$1026)</f>
        <v>0</v>
      </c>
      <c r="G497" s="1094">
        <f t="shared" si="17"/>
        <v>293231.15376000002</v>
      </c>
      <c r="H497" t="str">
        <f>+VLOOKUP(A497,'Anlage 2a_Letztverbrauch'!$A$413:$J$792,10,FALSE)</f>
        <v>EMB Energieversorgung Miltenberg-Bürgstadt GmbH &amp; Co. KG</v>
      </c>
    </row>
    <row r="498" spans="1:8" hidden="1" outlineLevel="1">
      <c r="A498" s="988" t="s">
        <v>1006</v>
      </c>
      <c r="B498" s="793">
        <f>+VLOOKUP(A498,'Anlage 2a_Letztverbrauch'!$A$2281:$I$2661,9,FALSE)</f>
        <v>346400.47855999996</v>
      </c>
      <c r="C498" s="95">
        <v>0</v>
      </c>
      <c r="D498" s="95">
        <v>0</v>
      </c>
      <c r="E498" s="95">
        <f t="shared" si="16"/>
        <v>346400.47855999996</v>
      </c>
      <c r="F498" s="747">
        <f>+SUMIF('Anlage 2b_Korrekturen'!$B$647:$B$1026,A498,'Anlage 2b_Korrekturen'!$F$647:$F$1026)</f>
        <v>-36.775010000000002</v>
      </c>
      <c r="G498" s="1094">
        <f t="shared" si="17"/>
        <v>346363.70354999998</v>
      </c>
      <c r="H498" t="str">
        <f>+VLOOKUP(A498,'Anlage 2a_Letztverbrauch'!$A$413:$J$792,10,FALSE)</f>
        <v>Stadtwerke Vilsbiburg</v>
      </c>
    </row>
    <row r="499" spans="1:8" hidden="1" outlineLevel="1">
      <c r="A499" s="988" t="s">
        <v>1008</v>
      </c>
      <c r="B499" s="793">
        <f>+VLOOKUP(A499,'Anlage 2a_Letztverbrauch'!$A$2281:$I$2661,9,FALSE)</f>
        <v>92765.707840000003</v>
      </c>
      <c r="C499" s="95">
        <v>0</v>
      </c>
      <c r="D499" s="95">
        <v>0</v>
      </c>
      <c r="E499" s="95">
        <f t="shared" si="16"/>
        <v>92765.707840000003</v>
      </c>
      <c r="F499" s="747">
        <f>+SUMIF('Anlage 2b_Korrekturen'!$B$647:$B$1026,A499,'Anlage 2b_Korrekturen'!$F$647:$F$1026)</f>
        <v>-166.71932000000001</v>
      </c>
      <c r="G499" s="1094">
        <f t="shared" si="17"/>
        <v>92598.988519999999</v>
      </c>
      <c r="H499" t="str">
        <f>+VLOOKUP(A499,'Anlage 2a_Letztverbrauch'!$A$413:$J$792,10,FALSE)</f>
        <v>Stadtwerke Waldmünchen</v>
      </c>
    </row>
    <row r="500" spans="1:8" hidden="1" outlineLevel="1">
      <c r="A500" s="988" t="s">
        <v>1010</v>
      </c>
      <c r="B500" s="793">
        <f>+VLOOKUP(A500,'Anlage 2a_Letztverbrauch'!$A$2281:$I$2661,9,FALSE)</f>
        <v>113519.84224000001</v>
      </c>
      <c r="C500" s="95">
        <v>0</v>
      </c>
      <c r="D500" s="95">
        <v>0</v>
      </c>
      <c r="E500" s="95">
        <f t="shared" si="16"/>
        <v>113519.84224000001</v>
      </c>
      <c r="F500" s="747">
        <f>+SUMIF('Anlage 2b_Korrekturen'!$B$647:$B$1026,A500,'Anlage 2b_Korrekturen'!$F$647:$F$1026)</f>
        <v>-278.09773000000001</v>
      </c>
      <c r="G500" s="1094">
        <f t="shared" si="17"/>
        <v>113241.74451000002</v>
      </c>
      <c r="H500" t="str">
        <f>+VLOOKUP(A500,'Anlage 2a_Letztverbrauch'!$A$413:$J$792,10,FALSE)</f>
        <v>Gemeindewerke Heikendorf AöR</v>
      </c>
    </row>
    <row r="501" spans="1:8" hidden="1" outlineLevel="1">
      <c r="A501" s="988" t="s">
        <v>1012</v>
      </c>
      <c r="B501" s="793">
        <f>+VLOOKUP(A501,'Anlage 2a_Letztverbrauch'!$A$2281:$I$2661,9,FALSE)</f>
        <v>37921.739680000006</v>
      </c>
      <c r="C501" s="95">
        <v>0</v>
      </c>
      <c r="D501" s="95">
        <v>0</v>
      </c>
      <c r="E501" s="95">
        <f t="shared" si="16"/>
        <v>37921.739680000006</v>
      </c>
      <c r="F501" s="747">
        <f>+SUMIF('Anlage 2b_Korrekturen'!$B$647:$B$1026,A501,'Anlage 2b_Korrekturen'!$F$647:$F$1026)</f>
        <v>0</v>
      </c>
      <c r="G501" s="1094">
        <f t="shared" si="17"/>
        <v>37921.739680000006</v>
      </c>
      <c r="H501" t="str">
        <f>+VLOOKUP(A501,'Anlage 2a_Letztverbrauch'!$A$413:$J$792,10,FALSE)</f>
        <v>Gemeindewerke Markt Lichtenau</v>
      </c>
    </row>
    <row r="502" spans="1:8" hidden="1" outlineLevel="1">
      <c r="A502" s="988" t="s">
        <v>1014</v>
      </c>
      <c r="B502" s="793">
        <f>+VLOOKUP(A502,'Anlage 2a_Letztverbrauch'!$A$2281:$I$2661,9,FALSE)</f>
        <v>333405.58432000002</v>
      </c>
      <c r="C502" s="95">
        <v>0</v>
      </c>
      <c r="D502" s="95">
        <v>0</v>
      </c>
      <c r="E502" s="95">
        <f t="shared" si="16"/>
        <v>333405.58432000002</v>
      </c>
      <c r="F502" s="747">
        <f>+SUMIF('Anlage 2b_Korrekturen'!$B$647:$B$1026,A502,'Anlage 2b_Korrekturen'!$F$647:$F$1026)</f>
        <v>-2043.3419000000001</v>
      </c>
      <c r="G502" s="1094">
        <f t="shared" si="17"/>
        <v>331362.24242000002</v>
      </c>
      <c r="H502" t="str">
        <f>+VLOOKUP(A502,'Anlage 2a_Letztverbrauch'!$A$413:$J$792,10,FALSE)</f>
        <v>STADTWERKE KELHEIM GmbH &amp; Co KG</v>
      </c>
    </row>
    <row r="503" spans="1:8" hidden="1" outlineLevel="1">
      <c r="A503" s="988" t="s">
        <v>1016</v>
      </c>
      <c r="B503" s="793">
        <f>+VLOOKUP(A503,'Anlage 2a_Letztverbrauch'!$A$2281:$I$2661,9,FALSE)</f>
        <v>47465.73936</v>
      </c>
      <c r="C503" s="95">
        <v>0</v>
      </c>
      <c r="D503" s="95">
        <v>0</v>
      </c>
      <c r="E503" s="95">
        <f t="shared" si="16"/>
        <v>47465.73936</v>
      </c>
      <c r="F503" s="747">
        <f>+SUMIF('Anlage 2b_Korrekturen'!$B$647:$B$1026,A503,'Anlage 2b_Korrekturen'!$F$647:$F$1026)</f>
        <v>0</v>
      </c>
      <c r="G503" s="1094">
        <f t="shared" si="17"/>
        <v>47465.73936</v>
      </c>
      <c r="H503" t="str">
        <f>+VLOOKUP(A503,'Anlage 2a_Letztverbrauch'!$A$413:$J$792,10,FALSE)</f>
        <v>Markt Lam</v>
      </c>
    </row>
    <row r="504" spans="1:8" hidden="1" outlineLevel="1">
      <c r="A504" s="988" t="s">
        <v>1018</v>
      </c>
      <c r="B504" s="793">
        <f>+VLOOKUP(A504,'Anlage 2a_Letztverbrauch'!$A$2281:$I$2661,9,FALSE)</f>
        <v>425823.14640000003</v>
      </c>
      <c r="C504" s="95">
        <v>0</v>
      </c>
      <c r="D504" s="95">
        <v>0</v>
      </c>
      <c r="E504" s="95">
        <f t="shared" si="16"/>
        <v>425823.14640000003</v>
      </c>
      <c r="F504" s="747">
        <f>+SUMIF('Anlage 2b_Korrekturen'!$B$647:$B$1026,A504,'Anlage 2b_Korrekturen'!$F$647:$F$1026)</f>
        <v>0</v>
      </c>
      <c r="G504" s="1094">
        <f t="shared" si="17"/>
        <v>425823.14640000003</v>
      </c>
      <c r="H504" t="str">
        <f>+VLOOKUP(A504,'Anlage 2a_Letztverbrauch'!$A$413:$J$792,10,FALSE)</f>
        <v>Stadtwerke Heide GmbH</v>
      </c>
    </row>
    <row r="505" spans="1:8" hidden="1" outlineLevel="1">
      <c r="A505" s="988" t="s">
        <v>1020</v>
      </c>
      <c r="B505" s="793">
        <f>+VLOOKUP(A505,'Anlage 2a_Letztverbrauch'!$A$2281:$I$2661,9,FALSE)</f>
        <v>571154.54096000001</v>
      </c>
      <c r="C505" s="95">
        <v>0</v>
      </c>
      <c r="D505" s="95">
        <v>0</v>
      </c>
      <c r="E505" s="95">
        <f t="shared" si="16"/>
        <v>571154.54096000001</v>
      </c>
      <c r="F505" s="747">
        <f>+SUMIF('Anlage 2b_Korrekturen'!$B$647:$B$1026,A505,'Anlage 2b_Korrekturen'!$F$647:$F$1026)</f>
        <v>0</v>
      </c>
      <c r="G505" s="1094">
        <f t="shared" si="17"/>
        <v>571154.54096000001</v>
      </c>
      <c r="H505" t="str">
        <f>+VLOOKUP(A505,'Anlage 2a_Letztverbrauch'!$A$413:$J$792,10,FALSE)</f>
        <v>Licht-, Kraft- und Wasserwerke Kitzingen GmbH</v>
      </c>
    </row>
    <row r="506" spans="1:8" hidden="1" outlineLevel="1">
      <c r="A506" s="988" t="s">
        <v>1022</v>
      </c>
      <c r="B506" s="793">
        <f>+VLOOKUP(A506,'Anlage 2a_Letztverbrauch'!$A$2281:$I$2661,9,FALSE)</f>
        <v>1570431.94784</v>
      </c>
      <c r="C506" s="95">
        <v>-33124.03</v>
      </c>
      <c r="D506" s="95">
        <v>0</v>
      </c>
      <c r="E506" s="95">
        <f t="shared" si="16"/>
        <v>1537307.91784</v>
      </c>
      <c r="F506" s="747">
        <f>+SUMIF('Anlage 2b_Korrekturen'!$B$647:$B$1026,A506,'Anlage 2b_Korrekturen'!$F$647:$F$1026)</f>
        <v>-13564.99518</v>
      </c>
      <c r="G506" s="1094">
        <f t="shared" si="17"/>
        <v>1523742.9226599999</v>
      </c>
      <c r="H506" t="str">
        <f>+VLOOKUP(A506,'Anlage 2a_Letztverbrauch'!$A$413:$J$792,10,FALSE)</f>
        <v>Stadtwerke Fürstenfeldbruck GmbH</v>
      </c>
    </row>
    <row r="507" spans="1:8" hidden="1" outlineLevel="1">
      <c r="A507" s="988" t="s">
        <v>1024</v>
      </c>
      <c r="B507" s="793">
        <f>+VLOOKUP(A507,'Anlage 2a_Letztverbrauch'!$A$2281:$I$2661,9,FALSE)</f>
        <v>5130462.3038467206</v>
      </c>
      <c r="C507" s="95">
        <v>0</v>
      </c>
      <c r="D507" s="95">
        <v>0</v>
      </c>
      <c r="E507" s="95">
        <f t="shared" si="16"/>
        <v>5130462.3038467206</v>
      </c>
      <c r="F507" s="747">
        <f>+SUMIF('Anlage 2b_Korrekturen'!$B$647:$B$1026,A507,'Anlage 2b_Korrekturen'!$F$647:$F$1026)</f>
        <v>-18642.343114470004</v>
      </c>
      <c r="G507" s="1094">
        <f t="shared" si="17"/>
        <v>5111819.9607322505</v>
      </c>
      <c r="H507" t="str">
        <f>+VLOOKUP(A507,'Anlage 2a_Letztverbrauch'!$A$413:$J$792,10,FALSE)</f>
        <v>Städtische Werke Netz + Service GmbH</v>
      </c>
    </row>
    <row r="508" spans="1:8" hidden="1" outlineLevel="1">
      <c r="A508" s="988" t="s">
        <v>1026</v>
      </c>
      <c r="B508" s="793">
        <f>+VLOOKUP(A508,'Anlage 2a_Letztverbrauch'!$A$2281:$I$2661,9,FALSE)</f>
        <v>551130.68871999998</v>
      </c>
      <c r="C508" s="95">
        <v>0</v>
      </c>
      <c r="D508" s="95">
        <v>0</v>
      </c>
      <c r="E508" s="95">
        <f t="shared" si="16"/>
        <v>551130.68871999998</v>
      </c>
      <c r="F508" s="747">
        <f>+SUMIF('Anlage 2b_Korrekturen'!$B$647:$B$1026,A508,'Anlage 2b_Korrekturen'!$F$647:$F$1026)</f>
        <v>0</v>
      </c>
      <c r="G508" s="1094">
        <f t="shared" si="17"/>
        <v>551130.68871999998</v>
      </c>
      <c r="H508" t="str">
        <f>+VLOOKUP(A508,'Anlage 2a_Letztverbrauch'!$A$413:$J$792,10,FALSE)</f>
        <v>Stadtwerke Bad Nauheim GmbH</v>
      </c>
    </row>
    <row r="509" spans="1:8" hidden="1" outlineLevel="1">
      <c r="A509" s="988" t="s">
        <v>1028</v>
      </c>
      <c r="B509" s="793">
        <f>+VLOOKUP(A509,'Anlage 2a_Letztverbrauch'!$A$2281:$I$2661,9,FALSE)</f>
        <v>115002.42848000002</v>
      </c>
      <c r="C509" s="95">
        <v>0</v>
      </c>
      <c r="D509" s="95">
        <v>0</v>
      </c>
      <c r="E509" s="95">
        <f t="shared" si="16"/>
        <v>115002.42848000002</v>
      </c>
      <c r="F509" s="747">
        <f>+SUMIF('Anlage 2b_Korrekturen'!$B$647:$B$1026,A509,'Anlage 2b_Korrekturen'!$F$647:$F$1026)</f>
        <v>0</v>
      </c>
      <c r="G509" s="1094">
        <f t="shared" si="17"/>
        <v>115002.42848000002</v>
      </c>
      <c r="H509" t="str">
        <f>+VLOOKUP(A509,'Anlage 2a_Letztverbrauch'!$A$413:$J$792,10,FALSE)</f>
        <v>KEW Karwendel Energie und Wasser GmbH</v>
      </c>
    </row>
    <row r="510" spans="1:8" hidden="1" outlineLevel="1">
      <c r="A510" s="988" t="s">
        <v>1030</v>
      </c>
      <c r="B510" s="793">
        <f>+VLOOKUP(A510,'Anlage 2a_Letztverbrauch'!$A$2281:$I$2661,9,FALSE)</f>
        <v>3957431.9529599999</v>
      </c>
      <c r="C510" s="95">
        <v>0</v>
      </c>
      <c r="D510" s="95">
        <v>0</v>
      </c>
      <c r="E510" s="95">
        <f t="shared" si="16"/>
        <v>3957431.9529599999</v>
      </c>
      <c r="F510" s="747">
        <f>+SUMIF('Anlage 2b_Korrekturen'!$B$647:$B$1026,A510,'Anlage 2b_Korrekturen'!$F$647:$F$1026)</f>
        <v>0</v>
      </c>
      <c r="G510" s="1094">
        <f t="shared" si="17"/>
        <v>3957431.9529599999</v>
      </c>
      <c r="H510" t="str">
        <f>+VLOOKUP(A510,'Anlage 2a_Letztverbrauch'!$A$413:$J$792,10,FALSE)</f>
        <v>Energie Waldeck-Frankenberg GmbH</v>
      </c>
    </row>
    <row r="511" spans="1:8" hidden="1" outlineLevel="1">
      <c r="A511" s="988" t="s">
        <v>1032</v>
      </c>
      <c r="B511" s="793">
        <f>+VLOOKUP(A511,'Anlage 2a_Letztverbrauch'!$A$2281:$I$2661,9,FALSE)</f>
        <v>66281.76112000001</v>
      </c>
      <c r="C511" s="95">
        <v>0</v>
      </c>
      <c r="D511" s="95">
        <v>0</v>
      </c>
      <c r="E511" s="95">
        <f t="shared" si="16"/>
        <v>66281.76112000001</v>
      </c>
      <c r="F511" s="747">
        <f>+SUMIF('Anlage 2b_Korrekturen'!$B$647:$B$1026,A511,'Anlage 2b_Korrekturen'!$F$647:$F$1026)</f>
        <v>0</v>
      </c>
      <c r="G511" s="1094">
        <f t="shared" si="17"/>
        <v>66281.76112000001</v>
      </c>
      <c r="H511" t="str">
        <f>+VLOOKUP(A511,'Anlage 2a_Letztverbrauch'!$A$413:$J$792,10,FALSE)</f>
        <v>Markt Wilhermsdorf</v>
      </c>
    </row>
    <row r="512" spans="1:8" hidden="1" outlineLevel="1">
      <c r="A512" s="988" t="s">
        <v>1034</v>
      </c>
      <c r="B512" s="793">
        <f>+VLOOKUP(A512,'Anlage 2a_Letztverbrauch'!$A$2281:$I$2661,9,FALSE)</f>
        <v>51057.004800000002</v>
      </c>
      <c r="C512" s="95">
        <v>0</v>
      </c>
      <c r="D512" s="95">
        <v>0</v>
      </c>
      <c r="E512" s="95">
        <f t="shared" si="16"/>
        <v>51057.004800000002</v>
      </c>
      <c r="F512" s="747">
        <f>+SUMIF('Anlage 2b_Korrekturen'!$B$647:$B$1026,A512,'Anlage 2b_Korrekturen'!$F$647:$F$1026)</f>
        <v>0</v>
      </c>
      <c r="G512" s="1094">
        <f t="shared" si="17"/>
        <v>51057.004800000002</v>
      </c>
      <c r="H512" t="str">
        <f>+VLOOKUP(A512,'Anlage 2a_Letztverbrauch'!$A$413:$J$792,10,FALSE)</f>
        <v>Gemeinde Bayerisch Gmain</v>
      </c>
    </row>
    <row r="513" spans="1:8" hidden="1" outlineLevel="1">
      <c r="A513" s="988" t="s">
        <v>1036</v>
      </c>
      <c r="B513" s="793">
        <f>+VLOOKUP(A513,'Anlage 2a_Letztverbrauch'!$A$2281:$I$2661,9,FALSE)</f>
        <v>593693.51359999995</v>
      </c>
      <c r="C513" s="95">
        <v>0</v>
      </c>
      <c r="D513" s="95">
        <v>0</v>
      </c>
      <c r="E513" s="95">
        <f t="shared" si="16"/>
        <v>593693.51359999995</v>
      </c>
      <c r="F513" s="747">
        <f>+SUMIF('Anlage 2b_Korrekturen'!$B$647:$B$1026,A513,'Anlage 2b_Korrekturen'!$F$647:$F$1026)</f>
        <v>0</v>
      </c>
      <c r="G513" s="1094">
        <f t="shared" si="17"/>
        <v>593693.51359999995</v>
      </c>
      <c r="H513" t="str">
        <f>+VLOOKUP(A513,'Anlage 2a_Letztverbrauch'!$A$413:$J$792,10,FALSE)</f>
        <v>Stadtwerke Traunstein GmbH &amp; Co. KG</v>
      </c>
    </row>
    <row r="514" spans="1:8" hidden="1" outlineLevel="1">
      <c r="A514" s="988" t="s">
        <v>1038</v>
      </c>
      <c r="B514" s="793">
        <f>+VLOOKUP(A514,'Anlage 2a_Letztverbrauch'!$A$2281:$I$2661,9,FALSE)</f>
        <v>143439.69392000002</v>
      </c>
      <c r="C514" s="95">
        <v>0</v>
      </c>
      <c r="D514" s="95">
        <v>0</v>
      </c>
      <c r="E514" s="95">
        <f t="shared" si="16"/>
        <v>143439.69392000002</v>
      </c>
      <c r="F514" s="747">
        <f>+SUMIF('Anlage 2b_Korrekturen'!$B$647:$B$1026,A514,'Anlage 2b_Korrekturen'!$F$647:$F$1026)</f>
        <v>0</v>
      </c>
      <c r="G514" s="1094">
        <f t="shared" si="17"/>
        <v>143439.69392000002</v>
      </c>
      <c r="H514" t="str">
        <f>+VLOOKUP(A514,'Anlage 2a_Letztverbrauch'!$A$413:$J$792,10,FALSE)</f>
        <v>Rothmoser GmbH &amp; Co. KG</v>
      </c>
    </row>
    <row r="515" spans="1:8" hidden="1" outlineLevel="1">
      <c r="A515" s="988" t="s">
        <v>1040</v>
      </c>
      <c r="B515" s="793">
        <f>+VLOOKUP(A515,'Anlage 2a_Letztverbrauch'!$A$2281:$I$2661,9,FALSE)</f>
        <v>223142.85424000002</v>
      </c>
      <c r="C515" s="95">
        <v>0</v>
      </c>
      <c r="D515" s="95">
        <v>0</v>
      </c>
      <c r="E515" s="95">
        <f t="shared" si="16"/>
        <v>223142.85424000002</v>
      </c>
      <c r="F515" s="747">
        <f>+SUMIF('Anlage 2b_Korrekturen'!$B$647:$B$1026,A515,'Anlage 2b_Korrekturen'!$F$647:$F$1026)</f>
        <v>0</v>
      </c>
      <c r="G515" s="1094">
        <f t="shared" si="17"/>
        <v>223142.85424000002</v>
      </c>
      <c r="H515" t="str">
        <f>+VLOOKUP(A515,'Anlage 2a_Letztverbrauch'!$A$413:$J$792,10,FALSE)</f>
        <v>Elektrizitäts-Werk Ottersberg</v>
      </c>
    </row>
    <row r="516" spans="1:8" hidden="1" outlineLevel="1">
      <c r="A516" s="988" t="s">
        <v>1042</v>
      </c>
      <c r="B516" s="793">
        <f>+VLOOKUP(A516,'Anlage 2a_Letztverbrauch'!$A$2281:$I$2661,9,FALSE)</f>
        <v>166494.51872000002</v>
      </c>
      <c r="C516" s="95">
        <v>0</v>
      </c>
      <c r="D516" s="95">
        <v>0</v>
      </c>
      <c r="E516" s="95">
        <f t="shared" si="16"/>
        <v>166494.51872000002</v>
      </c>
      <c r="F516" s="747">
        <f>+SUMIF('Anlage 2b_Korrekturen'!$B$647:$B$1026,A516,'Anlage 2b_Korrekturen'!$F$647:$F$1026)</f>
        <v>0</v>
      </c>
      <c r="G516" s="1094">
        <f t="shared" si="17"/>
        <v>166494.51872000002</v>
      </c>
      <c r="H516" t="str">
        <f>+VLOOKUP(A516,'Anlage 2a_Letztverbrauch'!$A$413:$J$792,10,FALSE)</f>
        <v>Stadtwerke Furth im Wald GmbH &amp; Co. KG</v>
      </c>
    </row>
    <row r="517" spans="1:8" hidden="1" outlineLevel="1">
      <c r="A517" s="988" t="s">
        <v>1044</v>
      </c>
      <c r="B517" s="793">
        <f>+VLOOKUP(A517,'Anlage 2a_Letztverbrauch'!$A$2281:$I$2661,9,FALSE)</f>
        <v>284528.80207999999</v>
      </c>
      <c r="C517" s="95">
        <v>0</v>
      </c>
      <c r="D517" s="95">
        <v>0</v>
      </c>
      <c r="E517" s="95">
        <f t="shared" si="16"/>
        <v>284528.80207999999</v>
      </c>
      <c r="F517" s="747">
        <f>+SUMIF('Anlage 2b_Korrekturen'!$B$647:$B$1026,A517,'Anlage 2b_Korrekturen'!$F$647:$F$1026)</f>
        <v>0</v>
      </c>
      <c r="G517" s="1094">
        <f t="shared" si="17"/>
        <v>284528.80207999999</v>
      </c>
      <c r="H517" t="str">
        <f>+VLOOKUP(A517,'Anlage 2a_Letztverbrauch'!$A$413:$J$792,10,FALSE)</f>
        <v>Eichsfelder Energie- und Wasserversorgungsgesellschaft mbH</v>
      </c>
    </row>
    <row r="518" spans="1:8" hidden="1" outlineLevel="1">
      <c r="A518" s="988" t="s">
        <v>1046</v>
      </c>
      <c r="B518" s="793">
        <f>+VLOOKUP(A518,'Anlage 2a_Letztverbrauch'!$A$2281:$I$2661,9,FALSE)</f>
        <v>164972.56591999999</v>
      </c>
      <c r="C518" s="95">
        <v>0</v>
      </c>
      <c r="D518" s="95">
        <v>0</v>
      </c>
      <c r="E518" s="95">
        <f t="shared" si="16"/>
        <v>164972.56591999999</v>
      </c>
      <c r="F518" s="747">
        <f>+SUMIF('Anlage 2b_Korrekturen'!$B$647:$B$1026,A518,'Anlage 2b_Korrekturen'!$F$647:$F$1026)</f>
        <v>5671.2201500000001</v>
      </c>
      <c r="G518" s="1094">
        <f t="shared" si="17"/>
        <v>170643.78607</v>
      </c>
      <c r="H518" t="str">
        <f>+VLOOKUP(A518,'Anlage 2a_Letztverbrauch'!$A$413:$J$792,10,FALSE)</f>
        <v>Gemeindewerke Schönkirchen GmbH</v>
      </c>
    </row>
    <row r="519" spans="1:8" hidden="1" outlineLevel="1">
      <c r="A519" s="988" t="s">
        <v>1048</v>
      </c>
      <c r="B519" s="793">
        <f>+VLOOKUP(A519,'Anlage 2a_Letztverbrauch'!$A$2281:$I$2661,9,FALSE)</f>
        <v>261425.69568</v>
      </c>
      <c r="C519" s="95">
        <v>0</v>
      </c>
      <c r="D519" s="95">
        <v>0</v>
      </c>
      <c r="E519" s="95">
        <f t="shared" si="16"/>
        <v>261425.69568</v>
      </c>
      <c r="F519" s="747">
        <f>+SUMIF('Anlage 2b_Korrekturen'!$B$647:$B$1026,A519,'Anlage 2b_Korrekturen'!$F$647:$F$1026)</f>
        <v>0</v>
      </c>
      <c r="G519" s="1094">
        <f t="shared" si="17"/>
        <v>261425.69568</v>
      </c>
      <c r="H519" t="str">
        <f>+VLOOKUP(A519,'Anlage 2a_Letztverbrauch'!$A$413:$J$792,10,FALSE)</f>
        <v>E-Werk Schweiger OHG</v>
      </c>
    </row>
    <row r="520" spans="1:8" hidden="1" outlineLevel="1">
      <c r="A520" s="988" t="s">
        <v>1050</v>
      </c>
      <c r="B520" s="793">
        <f>+VLOOKUP(A520,'Anlage 2a_Letztverbrauch'!$A$2281:$I$2661,9,FALSE)</f>
        <v>385154.03279999999</v>
      </c>
      <c r="C520" s="95">
        <v>0</v>
      </c>
      <c r="D520" s="95">
        <v>0</v>
      </c>
      <c r="E520" s="95">
        <f t="shared" si="16"/>
        <v>385154.03279999999</v>
      </c>
      <c r="F520" s="747">
        <f>+SUMIF('Anlage 2b_Korrekturen'!$B$647:$B$1026,A520,'Anlage 2b_Korrekturen'!$F$647:$F$1026)</f>
        <v>0</v>
      </c>
      <c r="G520" s="1094">
        <f t="shared" si="17"/>
        <v>385154.03279999999</v>
      </c>
      <c r="H520" t="str">
        <f>+VLOOKUP(A520,'Anlage 2a_Letztverbrauch'!$A$413:$J$792,10,FALSE)</f>
        <v>Stadtwerke Herborn GmbH</v>
      </c>
    </row>
    <row r="521" spans="1:8" hidden="1" outlineLevel="1">
      <c r="A521" s="988" t="s">
        <v>1052</v>
      </c>
      <c r="B521" s="793">
        <f>+VLOOKUP(A521,'Anlage 2a_Letztverbrauch'!$A$2281:$I$2661,9,FALSE)</f>
        <v>349730.28208000003</v>
      </c>
      <c r="C521" s="95">
        <v>0</v>
      </c>
      <c r="D521" s="95">
        <v>0</v>
      </c>
      <c r="E521" s="95">
        <f t="shared" si="16"/>
        <v>349730.28208000003</v>
      </c>
      <c r="F521" s="747">
        <f>+SUMIF('Anlage 2b_Korrekturen'!$B$647:$B$1026,A521,'Anlage 2b_Korrekturen'!$F$647:$F$1026)</f>
        <v>0</v>
      </c>
      <c r="G521" s="1094">
        <f t="shared" si="17"/>
        <v>349730.28208000003</v>
      </c>
      <c r="H521" t="str">
        <f>+VLOOKUP(A521,'Anlage 2a_Letztverbrauch'!$A$413:$J$792,10,FALSE)</f>
        <v>SWN Stadtwerke Neustadt GmbH</v>
      </c>
    </row>
    <row r="522" spans="1:8" hidden="1" outlineLevel="1">
      <c r="A522" s="988" t="s">
        <v>1054</v>
      </c>
      <c r="B522" s="793">
        <f>+VLOOKUP(A522,'Anlage 2a_Letztverbrauch'!$A$2281:$I$2661,9,FALSE)</f>
        <v>1127407.2416000001</v>
      </c>
      <c r="C522" s="95">
        <v>0</v>
      </c>
      <c r="D522" s="95">
        <v>0</v>
      </c>
      <c r="E522" s="95">
        <f t="shared" si="16"/>
        <v>1127407.2416000001</v>
      </c>
      <c r="F522" s="747">
        <f>+SUMIF('Anlage 2b_Korrekturen'!$B$647:$B$1026,A522,'Anlage 2b_Korrekturen'!$F$647:$F$1026)</f>
        <v>-10596.163110000001</v>
      </c>
      <c r="G522" s="1094">
        <f t="shared" si="17"/>
        <v>1116811.07849</v>
      </c>
      <c r="H522" t="str">
        <f>+VLOOKUP(A522,'Anlage 2a_Letztverbrauch'!$A$413:$J$792,10,FALSE)</f>
        <v>Stadtwerke Peine GmbH</v>
      </c>
    </row>
    <row r="523" spans="1:8" hidden="1" outlineLevel="1">
      <c r="A523" s="988" t="s">
        <v>1056</v>
      </c>
      <c r="B523" s="793">
        <f>+VLOOKUP(A523,'Anlage 2a_Letztverbrauch'!$A$2281:$I$2661,9,FALSE)</f>
        <v>164219.61567999999</v>
      </c>
      <c r="C523" s="95">
        <v>0</v>
      </c>
      <c r="D523" s="95">
        <v>0</v>
      </c>
      <c r="E523" s="95">
        <f t="shared" ref="E523:E586" si="18">B523+C523+D523</f>
        <v>164219.61567999999</v>
      </c>
      <c r="F523" s="747">
        <f>+SUMIF('Anlage 2b_Korrekturen'!$B$647:$B$1026,A523,'Anlage 2b_Korrekturen'!$F$647:$F$1026)</f>
        <v>0</v>
      </c>
      <c r="G523" s="1094">
        <f t="shared" ref="G523:G586" si="19">E523+F523</f>
        <v>164219.61567999999</v>
      </c>
      <c r="H523" t="str">
        <f>+VLOOKUP(A523,'Anlage 2a_Letztverbrauch'!$A$413:$J$792,10,FALSE)</f>
        <v>Stadtwerke Langenzenn</v>
      </c>
    </row>
    <row r="524" spans="1:8" hidden="1" outlineLevel="1">
      <c r="A524" s="988" t="s">
        <v>1058</v>
      </c>
      <c r="B524" s="793">
        <f>+VLOOKUP(A524,'Anlage 2a_Letztverbrauch'!$A$2281:$I$2661,9,FALSE)</f>
        <v>1109250.45392</v>
      </c>
      <c r="C524" s="95">
        <v>0</v>
      </c>
      <c r="D524" s="95">
        <v>0</v>
      </c>
      <c r="E524" s="95">
        <f t="shared" si="18"/>
        <v>1109250.45392</v>
      </c>
      <c r="F524" s="747">
        <f>+SUMIF('Anlage 2b_Korrekturen'!$B$647:$B$1026,A524,'Anlage 2b_Korrekturen'!$F$647:$F$1026)</f>
        <v>-1575.6568420000003</v>
      </c>
      <c r="G524" s="1094">
        <f t="shared" si="19"/>
        <v>1107674.7970779999</v>
      </c>
      <c r="H524" t="str">
        <f>+VLOOKUP(A524,'Anlage 2a_Letztverbrauch'!$A$413:$J$792,10,FALSE)</f>
        <v>Stadtwerke Forchheim GmbH</v>
      </c>
    </row>
    <row r="525" spans="1:8" hidden="1" outlineLevel="1">
      <c r="A525" s="988" t="s">
        <v>1060</v>
      </c>
      <c r="B525" s="793">
        <f>+VLOOKUP(A525,'Anlage 2a_Letztverbrauch'!$A$2281:$I$2661,9,FALSE)</f>
        <v>768524.20480000007</v>
      </c>
      <c r="C525" s="95">
        <v>0</v>
      </c>
      <c r="D525" s="95">
        <v>0</v>
      </c>
      <c r="E525" s="95">
        <f t="shared" si="18"/>
        <v>768524.20480000007</v>
      </c>
      <c r="F525" s="747">
        <f>+SUMIF('Anlage 2b_Korrekturen'!$B$647:$B$1026,A525,'Anlage 2b_Korrekturen'!$F$647:$F$1026)</f>
        <v>0</v>
      </c>
      <c r="G525" s="1094">
        <f t="shared" si="19"/>
        <v>768524.20480000007</v>
      </c>
      <c r="H525" t="str">
        <f>+VLOOKUP(A525,'Anlage 2a_Letztverbrauch'!$A$413:$J$792,10,FALSE)</f>
        <v>Stadtwerke Winsen (Luhe) GmbH</v>
      </c>
    </row>
    <row r="526" spans="1:8" hidden="1" outlineLevel="1">
      <c r="A526" s="988" t="s">
        <v>1062</v>
      </c>
      <c r="B526" s="793">
        <f>+VLOOKUP(A526,'Anlage 2a_Letztverbrauch'!$A$2281:$I$2661,9,FALSE)</f>
        <v>491386.87616000004</v>
      </c>
      <c r="C526" s="95">
        <v>0</v>
      </c>
      <c r="D526" s="95">
        <v>0</v>
      </c>
      <c r="E526" s="95">
        <f t="shared" si="18"/>
        <v>491386.87616000004</v>
      </c>
      <c r="F526" s="747">
        <f>+SUMIF('Anlage 2b_Korrekturen'!$B$647:$B$1026,A526,'Anlage 2b_Korrekturen'!$F$647:$F$1026)</f>
        <v>0</v>
      </c>
      <c r="G526" s="1094">
        <f t="shared" si="19"/>
        <v>491386.87616000004</v>
      </c>
      <c r="H526" t="str">
        <f>+VLOOKUP(A526,'Anlage 2a_Letztverbrauch'!$A$413:$J$792,10,FALSE)</f>
        <v>Stadtwerke Waldkraiburg GmbH</v>
      </c>
    </row>
    <row r="527" spans="1:8" hidden="1" outlineLevel="1">
      <c r="A527" s="988" t="s">
        <v>1064</v>
      </c>
      <c r="B527" s="793">
        <f>+VLOOKUP(A527,'Anlage 2a_Letztverbrauch'!$A$2281:$I$2661,9,FALSE)</f>
        <v>941769.10128000006</v>
      </c>
      <c r="C527" s="95">
        <v>0</v>
      </c>
      <c r="D527" s="95">
        <v>0</v>
      </c>
      <c r="E527" s="95">
        <f t="shared" si="18"/>
        <v>941769.10128000006</v>
      </c>
      <c r="F527" s="747">
        <f>+SUMIF('Anlage 2b_Korrekturen'!$B$647:$B$1026,A527,'Anlage 2b_Korrekturen'!$F$647:$F$1026)</f>
        <v>6913.3898700000009</v>
      </c>
      <c r="G527" s="1094">
        <f t="shared" si="19"/>
        <v>948682.49115000002</v>
      </c>
      <c r="H527" t="str">
        <f>+VLOOKUP(A527,'Anlage 2a_Letztverbrauch'!$A$413:$J$792,10,FALSE)</f>
        <v>Stadtwerke Schwabach GmbH</v>
      </c>
    </row>
    <row r="528" spans="1:8" hidden="1" outlineLevel="1">
      <c r="A528" s="988" t="s">
        <v>1066</v>
      </c>
      <c r="B528" s="793">
        <f>+VLOOKUP(A528,'Anlage 2a_Letztverbrauch'!$A$2281:$I$2661,9,FALSE)</f>
        <v>52482.820800000001</v>
      </c>
      <c r="C528" s="95">
        <v>0</v>
      </c>
      <c r="D528" s="95">
        <v>0</v>
      </c>
      <c r="E528" s="95">
        <f t="shared" si="18"/>
        <v>52482.820800000001</v>
      </c>
      <c r="F528" s="747">
        <f>+SUMIF('Anlage 2b_Korrekturen'!$B$647:$B$1026,A528,'Anlage 2b_Korrekturen'!$F$647:$F$1026)</f>
        <v>654.4003100000001</v>
      </c>
      <c r="G528" s="1094">
        <f t="shared" si="19"/>
        <v>53137.221109999999</v>
      </c>
      <c r="H528" t="str">
        <f>+VLOOKUP(A528,'Anlage 2a_Letztverbrauch'!$A$413:$J$792,10,FALSE)</f>
        <v>Stadtwerke Hollfeld</v>
      </c>
    </row>
    <row r="529" spans="1:8" hidden="1" outlineLevel="1">
      <c r="A529" s="988" t="s">
        <v>1068</v>
      </c>
      <c r="B529" s="793">
        <f>+VLOOKUP(A529,'Anlage 2a_Letztverbrauch'!$A$2281:$I$2661,9,FALSE)</f>
        <v>750878.11312000011</v>
      </c>
      <c r="C529" s="95">
        <v>0</v>
      </c>
      <c r="D529" s="95">
        <v>0</v>
      </c>
      <c r="E529" s="95">
        <f t="shared" si="18"/>
        <v>750878.11312000011</v>
      </c>
      <c r="F529" s="747">
        <f>+SUMIF('Anlage 2b_Korrekturen'!$B$647:$B$1026,A529,'Anlage 2b_Korrekturen'!$F$647:$F$1026)</f>
        <v>0</v>
      </c>
      <c r="G529" s="1094">
        <f t="shared" si="19"/>
        <v>750878.11312000011</v>
      </c>
      <c r="H529" t="str">
        <f>+VLOOKUP(A529,'Anlage 2a_Letztverbrauch'!$A$413:$J$792,10,FALSE)</f>
        <v>Stadtwerke Soltau GmbH &amp; Co. KG</v>
      </c>
    </row>
    <row r="530" spans="1:8" hidden="1" outlineLevel="1">
      <c r="A530" s="988" t="s">
        <v>1070</v>
      </c>
      <c r="B530" s="793">
        <f>+VLOOKUP(A530,'Anlage 2a_Letztverbrauch'!$A$2281:$I$2661,9,FALSE)</f>
        <v>509113.90512000001</v>
      </c>
      <c r="C530" s="95">
        <v>0</v>
      </c>
      <c r="D530" s="95">
        <v>0</v>
      </c>
      <c r="E530" s="95">
        <f t="shared" si="18"/>
        <v>509113.90512000001</v>
      </c>
      <c r="F530" s="747">
        <f>+SUMIF('Anlage 2b_Korrekturen'!$B$647:$B$1026,A530,'Anlage 2b_Korrekturen'!$F$647:$F$1026)</f>
        <v>2127.88672</v>
      </c>
      <c r="G530" s="1094">
        <f t="shared" si="19"/>
        <v>511241.79184000002</v>
      </c>
      <c r="H530" t="str">
        <f>+VLOOKUP(A530,'Anlage 2a_Letztverbrauch'!$A$413:$J$792,10,FALSE)</f>
        <v>Stadtwerke Schneverdingen-Neuenkirchen GmbH</v>
      </c>
    </row>
    <row r="531" spans="1:8" hidden="1" outlineLevel="1">
      <c r="A531" s="988" t="s">
        <v>1072</v>
      </c>
      <c r="B531" s="793">
        <f>+VLOOKUP(A531,'Anlage 2a_Letztverbrauch'!$A$2281:$I$2661,9,FALSE)</f>
        <v>400069.17024000006</v>
      </c>
      <c r="C531" s="95">
        <v>0</v>
      </c>
      <c r="D531" s="95">
        <v>0</v>
      </c>
      <c r="E531" s="95">
        <f t="shared" si="18"/>
        <v>400069.17024000006</v>
      </c>
      <c r="F531" s="747">
        <f>+SUMIF('Anlage 2b_Korrekturen'!$B$647:$B$1026,A531,'Anlage 2b_Korrekturen'!$F$647:$F$1026)</f>
        <v>0</v>
      </c>
      <c r="G531" s="1094">
        <f t="shared" si="19"/>
        <v>400069.17024000006</v>
      </c>
      <c r="H531" t="str">
        <f>+VLOOKUP(A531,'Anlage 2a_Letztverbrauch'!$A$413:$J$792,10,FALSE)</f>
        <v>Stadtwerke Landau a.d. Isar</v>
      </c>
    </row>
    <row r="532" spans="1:8" hidden="1" outlineLevel="1">
      <c r="A532" s="988" t="s">
        <v>1074</v>
      </c>
      <c r="B532" s="793">
        <f>+VLOOKUP(A532,'Anlage 2a_Letztverbrauch'!$A$2281:$I$2661,9,FALSE)</f>
        <v>1450827.22016</v>
      </c>
      <c r="C532" s="95">
        <v>0</v>
      </c>
      <c r="D532" s="95">
        <v>0</v>
      </c>
      <c r="E532" s="95">
        <f t="shared" si="18"/>
        <v>1450827.22016</v>
      </c>
      <c r="F532" s="747">
        <f>+SUMIF('Anlage 2b_Korrekturen'!$B$647:$B$1026,A532,'Anlage 2b_Korrekturen'!$F$647:$F$1026)</f>
        <v>696.22287000000017</v>
      </c>
      <c r="G532" s="1094">
        <f t="shared" si="19"/>
        <v>1451523.44303</v>
      </c>
      <c r="H532" t="str">
        <f>+VLOOKUP(A532,'Anlage 2a_Letztverbrauch'!$A$413:$J$792,10,FALSE)</f>
        <v>Stadtwerke Detmold GmbH</v>
      </c>
    </row>
    <row r="533" spans="1:8" hidden="1" outlineLevel="1">
      <c r="A533" s="988" t="s">
        <v>1076</v>
      </c>
      <c r="B533" s="793">
        <f>+VLOOKUP(A533,'Anlage 2a_Letztverbrauch'!$A$2281:$I$2661,9,FALSE)</f>
        <v>294470.2328</v>
      </c>
      <c r="C533" s="95">
        <v>0</v>
      </c>
      <c r="D533" s="95">
        <v>0</v>
      </c>
      <c r="E533" s="95">
        <f t="shared" si="18"/>
        <v>294470.2328</v>
      </c>
      <c r="F533" s="747">
        <f>+SUMIF('Anlage 2b_Korrekturen'!$B$647:$B$1026,A533,'Anlage 2b_Korrekturen'!$F$647:$F$1026)</f>
        <v>0</v>
      </c>
      <c r="G533" s="1094">
        <f t="shared" si="19"/>
        <v>294470.2328</v>
      </c>
      <c r="H533" t="str">
        <f>+VLOOKUP(A533,'Anlage 2a_Letztverbrauch'!$A$413:$J$792,10,FALSE)</f>
        <v>HEWA Hersbrucker Energie- und Wasserversorgung GmbH</v>
      </c>
    </row>
    <row r="534" spans="1:8" hidden="1" outlineLevel="1">
      <c r="A534" s="988" t="s">
        <v>1078</v>
      </c>
      <c r="B534" s="793">
        <f>+VLOOKUP(A534,'Anlage 2a_Letztverbrauch'!$A$2281:$I$2661,9,FALSE)</f>
        <v>376400.30320000002</v>
      </c>
      <c r="C534" s="95">
        <v>0</v>
      </c>
      <c r="D534" s="95">
        <v>0</v>
      </c>
      <c r="E534" s="95">
        <f t="shared" si="18"/>
        <v>376400.30320000002</v>
      </c>
      <c r="F534" s="747">
        <f>+SUMIF('Anlage 2b_Korrekturen'!$B$647:$B$1026,A534,'Anlage 2b_Korrekturen'!$F$647:$F$1026)</f>
        <v>0</v>
      </c>
      <c r="G534" s="1094">
        <f t="shared" si="19"/>
        <v>376400.30320000002</v>
      </c>
      <c r="H534" t="str">
        <f>+VLOOKUP(A534,'Anlage 2a_Letztverbrauch'!$A$413:$J$792,10,FALSE)</f>
        <v>Energieversorgung Dahlenburg-Bleckede AG</v>
      </c>
    </row>
    <row r="535" spans="1:8" hidden="1" outlineLevel="1">
      <c r="A535" s="988" t="s">
        <v>1080</v>
      </c>
      <c r="B535" s="793">
        <f>+VLOOKUP(A535,'Anlage 2a_Letztverbrauch'!$A$2281:$I$2661,9,FALSE)</f>
        <v>738115.54784000013</v>
      </c>
      <c r="C535" s="95">
        <v>0</v>
      </c>
      <c r="D535" s="95">
        <v>0</v>
      </c>
      <c r="E535" s="95">
        <f t="shared" si="18"/>
        <v>738115.54784000013</v>
      </c>
      <c r="F535" s="747">
        <f>+SUMIF('Anlage 2b_Korrekturen'!$B$647:$B$1026,A535,'Anlage 2b_Korrekturen'!$F$647:$F$1026)</f>
        <v>0</v>
      </c>
      <c r="G535" s="1094">
        <f t="shared" si="19"/>
        <v>738115.54784000013</v>
      </c>
      <c r="H535" t="str">
        <f>+VLOOKUP(A535,'Anlage 2a_Letztverbrauch'!$A$413:$J$792,10,FALSE)</f>
        <v>Stadtwerke Buchholz in der Nordheide GmbH</v>
      </c>
    </row>
    <row r="536" spans="1:8" hidden="1" outlineLevel="1">
      <c r="A536" s="988" t="s">
        <v>1082</v>
      </c>
      <c r="B536" s="793">
        <f>+VLOOKUP(A536,'Anlage 2a_Letztverbrauch'!$A$2281:$I$2661,9,FALSE)</f>
        <v>266028.97232</v>
      </c>
      <c r="C536" s="95">
        <v>0</v>
      </c>
      <c r="D536" s="95">
        <v>0</v>
      </c>
      <c r="E536" s="95">
        <f t="shared" si="18"/>
        <v>266028.97232</v>
      </c>
      <c r="F536" s="747">
        <f>+SUMIF('Anlage 2b_Korrekturen'!$B$647:$B$1026,A536,'Anlage 2b_Korrekturen'!$F$647:$F$1026)</f>
        <v>0</v>
      </c>
      <c r="G536" s="1094">
        <f t="shared" si="19"/>
        <v>266028.97232</v>
      </c>
      <c r="H536" t="str">
        <f>+VLOOKUP(A536,'Anlage 2a_Letztverbrauch'!$A$413:$J$792,10,FALSE)</f>
        <v>Stadtwerke Bebra GmbH</v>
      </c>
    </row>
    <row r="537" spans="1:8" hidden="1" outlineLevel="1">
      <c r="A537" s="988" t="s">
        <v>1084</v>
      </c>
      <c r="B537" s="793">
        <f>+VLOOKUP(A537,'Anlage 2a_Letztverbrauch'!$A$2281:$I$2661,9,FALSE)</f>
        <v>486019.06432000006</v>
      </c>
      <c r="C537" s="95">
        <v>0</v>
      </c>
      <c r="D537" s="95">
        <v>0</v>
      </c>
      <c r="E537" s="95">
        <f t="shared" si="18"/>
        <v>486019.06432000006</v>
      </c>
      <c r="F537" s="747">
        <f>+SUMIF('Anlage 2b_Korrekturen'!$B$647:$B$1026,A537,'Anlage 2b_Korrekturen'!$F$647:$F$1026)</f>
        <v>866.00412000000006</v>
      </c>
      <c r="G537" s="1094">
        <f t="shared" si="19"/>
        <v>486885.06844000006</v>
      </c>
      <c r="H537" t="str">
        <f>+VLOOKUP(A537,'Anlage 2a_Letztverbrauch'!$A$413:$J$792,10,FALSE)</f>
        <v>Stadtwerke Bad Kissingen GmbH</v>
      </c>
    </row>
    <row r="538" spans="1:8" hidden="1" outlineLevel="1">
      <c r="A538" s="988" t="s">
        <v>1086</v>
      </c>
      <c r="B538" s="793">
        <f>+VLOOKUP(A538,'Anlage 2a_Letztverbrauch'!$A$2281:$I$2661,9,FALSE)</f>
        <v>691934.6041600001</v>
      </c>
      <c r="C538" s="95">
        <v>0</v>
      </c>
      <c r="D538" s="95">
        <v>0</v>
      </c>
      <c r="E538" s="95">
        <f t="shared" si="18"/>
        <v>691934.6041600001</v>
      </c>
      <c r="F538" s="747">
        <f>+SUMIF('Anlage 2b_Korrekturen'!$B$647:$B$1026,A538,'Anlage 2b_Korrekturen'!$F$647:$F$1026)</f>
        <v>2603.19175</v>
      </c>
      <c r="G538" s="1094">
        <f t="shared" si="19"/>
        <v>694537.7959100001</v>
      </c>
      <c r="H538" t="str">
        <f>+VLOOKUP(A538,'Anlage 2a_Letztverbrauch'!$A$413:$J$792,10,FALSE)</f>
        <v>Stadtwerke Bad Vilbel GmbH</v>
      </c>
    </row>
    <row r="539" spans="1:8" hidden="1" outlineLevel="1">
      <c r="A539" s="988" t="s">
        <v>1088</v>
      </c>
      <c r="B539" s="793">
        <f>+VLOOKUP(A539,'Anlage 2a_Letztverbrauch'!$A$2281:$I$2661,9,FALSE)</f>
        <v>682239.6457600001</v>
      </c>
      <c r="C539" s="95">
        <v>0</v>
      </c>
      <c r="D539" s="95">
        <v>0</v>
      </c>
      <c r="E539" s="95">
        <f t="shared" si="18"/>
        <v>682239.6457600001</v>
      </c>
      <c r="F539" s="747">
        <f>+SUMIF('Anlage 2b_Korrekturen'!$B$647:$B$1026,A539,'Anlage 2b_Korrekturen'!$F$647:$F$1026)</f>
        <v>0</v>
      </c>
      <c r="G539" s="1094">
        <f t="shared" si="19"/>
        <v>682239.6457600001</v>
      </c>
      <c r="H539" t="str">
        <f>+VLOOKUP(A539,'Anlage 2a_Letztverbrauch'!$A$413:$J$792,10,FALSE)</f>
        <v>Stadtwerke Eschwege GmbH</v>
      </c>
    </row>
    <row r="540" spans="1:8" hidden="1" outlineLevel="1">
      <c r="A540" s="988" t="s">
        <v>1090</v>
      </c>
      <c r="B540" s="793">
        <f>+VLOOKUP(A540,'Anlage 2a_Letztverbrauch'!$A$2281:$I$2661,9,FALSE)</f>
        <v>422349.56735999999</v>
      </c>
      <c r="C540" s="95">
        <v>0</v>
      </c>
      <c r="D540" s="95">
        <v>0</v>
      </c>
      <c r="E540" s="95">
        <f t="shared" si="18"/>
        <v>422349.56735999999</v>
      </c>
      <c r="F540" s="747">
        <f>+SUMIF('Anlage 2b_Korrekturen'!$B$647:$B$1026,A540,'Anlage 2b_Korrekturen'!$F$647:$F$1026)</f>
        <v>0</v>
      </c>
      <c r="G540" s="1094">
        <f t="shared" si="19"/>
        <v>422349.56735999999</v>
      </c>
      <c r="H540" t="str">
        <f>+VLOOKUP(A540,'Anlage 2a_Letztverbrauch'!$A$413:$J$792,10,FALSE)</f>
        <v>Stadtwerk Haßfurt GmbH</v>
      </c>
    </row>
    <row r="541" spans="1:8" hidden="1" outlineLevel="1">
      <c r="A541" s="988" t="s">
        <v>1092</v>
      </c>
      <c r="B541" s="793">
        <f>+VLOOKUP(A541,'Anlage 2a_Letztverbrauch'!$A$2281:$I$2661,9,FALSE)</f>
        <v>601699.89520000003</v>
      </c>
      <c r="C541" s="95">
        <v>0</v>
      </c>
      <c r="D541" s="95">
        <v>0</v>
      </c>
      <c r="E541" s="95">
        <f t="shared" si="18"/>
        <v>601699.89520000003</v>
      </c>
      <c r="F541" s="747">
        <f>+SUMIF('Anlage 2b_Korrekturen'!$B$647:$B$1026,A541,'Anlage 2b_Korrekturen'!$F$647:$F$1026)</f>
        <v>0</v>
      </c>
      <c r="G541" s="1094">
        <f t="shared" si="19"/>
        <v>601699.89520000003</v>
      </c>
      <c r="H541" t="str">
        <f>+VLOOKUP(A541,'Anlage 2a_Letztverbrauch'!$A$413:$J$792,10,FALSE)</f>
        <v>Stadtwerke Rotenburg (Wümme) GmbH</v>
      </c>
    </row>
    <row r="542" spans="1:8" hidden="1" outlineLevel="1">
      <c r="A542" s="988" t="s">
        <v>1474</v>
      </c>
      <c r="B542" s="793">
        <f>+VLOOKUP(A542,'Anlage 2a_Letztverbrauch'!$A$2281:$I$2661,9,FALSE)</f>
        <v>763037.23711999995</v>
      </c>
      <c r="C542" s="95">
        <v>0</v>
      </c>
      <c r="D542" s="95">
        <v>0</v>
      </c>
      <c r="E542" s="95">
        <f t="shared" si="18"/>
        <v>763037.23711999995</v>
      </c>
      <c r="F542" s="747">
        <f>+SUMIF('Anlage 2b_Korrekturen'!$B$647:$B$1026,A542,'Anlage 2b_Korrekturen'!$F$647:$F$1026)</f>
        <v>0</v>
      </c>
      <c r="G542" s="1094">
        <f t="shared" si="19"/>
        <v>763037.23711999995</v>
      </c>
      <c r="H542" t="str">
        <f>+VLOOKUP(A542,'Anlage 2a_Letztverbrauch'!$A$413:$J$792,10,FALSE)</f>
        <v>Stadtwerke Einbeck GmbH</v>
      </c>
    </row>
    <row r="543" spans="1:8" hidden="1" outlineLevel="1">
      <c r="A543" s="988" t="s">
        <v>1094</v>
      </c>
      <c r="B543" s="793">
        <f>+VLOOKUP(A543,'Anlage 2a_Letztverbrauch'!$A$2281:$I$2661,9,FALSE)</f>
        <v>415914.54191999999</v>
      </c>
      <c r="C543" s="95">
        <v>-4240.8999999999996</v>
      </c>
      <c r="D543" s="95">
        <v>0</v>
      </c>
      <c r="E543" s="95">
        <f t="shared" si="18"/>
        <v>411673.64191999997</v>
      </c>
      <c r="F543" s="747">
        <f>+SUMIF('Anlage 2b_Korrekturen'!$B$647:$B$1026,A543,'Anlage 2b_Korrekturen'!$F$647:$F$1026)</f>
        <v>0</v>
      </c>
      <c r="G543" s="1094">
        <f t="shared" si="19"/>
        <v>411673.64191999997</v>
      </c>
      <c r="H543" t="str">
        <f>+VLOOKUP(A543,'Anlage 2a_Letztverbrauch'!$A$413:$J$792,10,FALSE)</f>
        <v>Stadtwerke Hünfeld GmbH</v>
      </c>
    </row>
    <row r="544" spans="1:8" hidden="1" outlineLevel="1">
      <c r="A544" s="988" t="s">
        <v>1096</v>
      </c>
      <c r="B544" s="793">
        <f>+VLOOKUP(A544,'Anlage 2a_Letztverbrauch'!$A$2281:$I$2661,9,FALSE)</f>
        <v>187619.06352000003</v>
      </c>
      <c r="C544" s="95">
        <v>0</v>
      </c>
      <c r="D544" s="95">
        <v>0</v>
      </c>
      <c r="E544" s="95">
        <f t="shared" si="18"/>
        <v>187619.06352000003</v>
      </c>
      <c r="F544" s="747">
        <f>+SUMIF('Anlage 2b_Korrekturen'!$B$647:$B$1026,A544,'Anlage 2b_Korrekturen'!$F$647:$F$1026)</f>
        <v>-215.07241000000002</v>
      </c>
      <c r="G544" s="1094">
        <f t="shared" si="19"/>
        <v>187403.99111000003</v>
      </c>
      <c r="H544" t="str">
        <f>+VLOOKUP(A544,'Anlage 2a_Letztverbrauch'!$A$413:$J$792,10,FALSE)</f>
        <v>Gemeindewerke Bovenden GmbH &amp; Co. KG</v>
      </c>
    </row>
    <row r="545" spans="1:8" hidden="1" outlineLevel="1">
      <c r="A545" s="988" t="s">
        <v>1098</v>
      </c>
      <c r="B545" s="793">
        <f>+VLOOKUP(A545,'Anlage 2a_Letztverbrauch'!$A$2281:$I$2661,9,FALSE)</f>
        <v>156387.45456000001</v>
      </c>
      <c r="C545" s="95">
        <v>0</v>
      </c>
      <c r="D545" s="95">
        <v>0</v>
      </c>
      <c r="E545" s="95">
        <f t="shared" si="18"/>
        <v>156387.45456000001</v>
      </c>
      <c r="F545" s="747">
        <f>+SUMIF('Anlage 2b_Korrekturen'!$B$647:$B$1026,A545,'Anlage 2b_Korrekturen'!$F$647:$F$1026)</f>
        <v>0</v>
      </c>
      <c r="G545" s="1094">
        <f t="shared" si="19"/>
        <v>156387.45456000001</v>
      </c>
      <c r="H545" t="str">
        <f>+VLOOKUP(A545,'Anlage 2a_Letztverbrauch'!$A$413:$J$792,10,FALSE)</f>
        <v>Versorgungsbetriebe Bordesholm GmbH</v>
      </c>
    </row>
    <row r="546" spans="1:8" hidden="1" outlineLevel="1">
      <c r="A546" s="988" t="s">
        <v>1100</v>
      </c>
      <c r="B546" s="793">
        <f>+VLOOKUP(A546,'Anlage 2a_Letztverbrauch'!$A$2281:$I$2661,9,FALSE)</f>
        <v>6958184.3248000005</v>
      </c>
      <c r="C546" s="95">
        <v>0</v>
      </c>
      <c r="D546" s="95">
        <v>0</v>
      </c>
      <c r="E546" s="95">
        <f t="shared" si="18"/>
        <v>6958184.3248000005</v>
      </c>
      <c r="F546" s="747">
        <f>+SUMIF('Anlage 2b_Korrekturen'!$B$647:$B$1026,A546,'Anlage 2b_Korrekturen'!$F$647:$F$1026)</f>
        <v>0</v>
      </c>
      <c r="G546" s="1094">
        <f t="shared" si="19"/>
        <v>6958184.3248000005</v>
      </c>
      <c r="H546" t="str">
        <f>+VLOOKUP(A546,'Anlage 2a_Letztverbrauch'!$A$413:$J$792,10,FALSE)</f>
        <v>TraveNetz GmbH</v>
      </c>
    </row>
    <row r="547" spans="1:8" hidden="1" outlineLevel="1">
      <c r="A547" s="988" t="s">
        <v>521</v>
      </c>
      <c r="B547" s="793">
        <f>+VLOOKUP(A547,'Anlage 2a_Letztverbrauch'!$A$2281:$I$2661,9,FALSE)</f>
        <v>142249.92983087999</v>
      </c>
      <c r="C547" s="95">
        <v>0</v>
      </c>
      <c r="D547" s="95">
        <v>0</v>
      </c>
      <c r="E547" s="95">
        <f t="shared" si="18"/>
        <v>142249.92983087999</v>
      </c>
      <c r="F547" s="747">
        <f>+SUMIF('Anlage 2b_Korrekturen'!$B$647:$B$1026,A547,'Anlage 2b_Korrekturen'!$F$647:$F$1026)</f>
        <v>0</v>
      </c>
      <c r="G547" s="1094">
        <f t="shared" si="19"/>
        <v>142249.92983087999</v>
      </c>
      <c r="H547" t="str">
        <f>+VLOOKUP(A547,'Anlage 2a_Letztverbrauch'!$A$413:$J$792,10,FALSE)</f>
        <v>Netzgesellschaft Gütersloh mbH</v>
      </c>
    </row>
    <row r="548" spans="1:8" hidden="1" outlineLevel="1">
      <c r="A548" s="988" t="s">
        <v>1102</v>
      </c>
      <c r="B548" s="793">
        <f>+VLOOKUP(A548,'Anlage 2a_Letztverbrauch'!$A$2281:$I$2661,9,FALSE)</f>
        <v>235596.61408</v>
      </c>
      <c r="C548" s="95">
        <v>0</v>
      </c>
      <c r="D548" s="95">
        <v>0</v>
      </c>
      <c r="E548" s="95">
        <f t="shared" si="18"/>
        <v>235596.61408</v>
      </c>
      <c r="F548" s="747">
        <f>+SUMIF('Anlage 2b_Korrekturen'!$B$647:$B$1026,A548,'Anlage 2b_Korrekturen'!$F$647:$F$1026)</f>
        <v>0</v>
      </c>
      <c r="G548" s="1094">
        <f t="shared" si="19"/>
        <v>235596.61408</v>
      </c>
      <c r="H548" t="str">
        <f>+VLOOKUP(A548,'Anlage 2a_Letztverbrauch'!$A$413:$J$792,10,FALSE)</f>
        <v>Stadtwerke Dorfen GmbH</v>
      </c>
    </row>
    <row r="549" spans="1:8" hidden="1" outlineLevel="1">
      <c r="A549" s="988" t="s">
        <v>1104</v>
      </c>
      <c r="B549" s="793">
        <f>+VLOOKUP(A549,'Anlage 2a_Letztverbrauch'!$A$2281:$I$2661,9,FALSE)</f>
        <v>214432.31568</v>
      </c>
      <c r="C549" s="95">
        <v>0</v>
      </c>
      <c r="D549" s="95">
        <v>0</v>
      </c>
      <c r="E549" s="95">
        <f t="shared" si="18"/>
        <v>214432.31568</v>
      </c>
      <c r="F549" s="747">
        <f>+SUMIF('Anlage 2b_Korrekturen'!$B$647:$B$1026,A549,'Anlage 2b_Korrekturen'!$F$647:$F$1026)</f>
        <v>0</v>
      </c>
      <c r="G549" s="1094">
        <f t="shared" si="19"/>
        <v>214432.31568</v>
      </c>
      <c r="H549" t="str">
        <f>+VLOOKUP(A549,'Anlage 2a_Letztverbrauch'!$A$413:$J$792,10,FALSE)</f>
        <v>Stadtwerke Münchberg</v>
      </c>
    </row>
    <row r="550" spans="1:8" hidden="1" outlineLevel="1">
      <c r="A550" s="988" t="s">
        <v>1106</v>
      </c>
      <c r="B550" s="793">
        <f>+VLOOKUP(A550,'Anlage 2a_Letztverbrauch'!$A$2281:$I$2661,9,FALSE)</f>
        <v>514168.32608000003</v>
      </c>
      <c r="C550" s="95">
        <v>0</v>
      </c>
      <c r="D550" s="95">
        <v>0</v>
      </c>
      <c r="E550" s="95">
        <f t="shared" si="18"/>
        <v>514168.32608000003</v>
      </c>
      <c r="F550" s="747">
        <f>+SUMIF('Anlage 2b_Korrekturen'!$B$647:$B$1026,A550,'Anlage 2b_Korrekturen'!$F$647:$F$1026)</f>
        <v>-6990.2484900000009</v>
      </c>
      <c r="G550" s="1094">
        <f t="shared" si="19"/>
        <v>507178.07759</v>
      </c>
      <c r="H550" t="str">
        <f>+VLOOKUP(A550,'Anlage 2a_Letztverbrauch'!$A$413:$J$792,10,FALSE)</f>
        <v>Schleswiger Stadtwerke GmbH</v>
      </c>
    </row>
    <row r="551" spans="1:8" hidden="1" outlineLevel="1">
      <c r="A551" s="988" t="s">
        <v>1108</v>
      </c>
      <c r="B551" s="793">
        <f>+VLOOKUP(A551,'Anlage 2a_Letztverbrauch'!$A$2281:$I$2661,9,FALSE)</f>
        <v>269409.22223999997</v>
      </c>
      <c r="C551" s="95">
        <v>0</v>
      </c>
      <c r="D551" s="95">
        <v>0</v>
      </c>
      <c r="E551" s="95">
        <f t="shared" si="18"/>
        <v>269409.22223999997</v>
      </c>
      <c r="F551" s="747">
        <f>+SUMIF('Anlage 2b_Korrekturen'!$B$647:$B$1026,A551,'Anlage 2b_Korrekturen'!$F$647:$F$1026)</f>
        <v>0</v>
      </c>
      <c r="G551" s="1094">
        <f t="shared" si="19"/>
        <v>269409.22223999997</v>
      </c>
      <c r="H551" t="str">
        <f>+VLOOKUP(A551,'Anlage 2a_Letztverbrauch'!$A$413:$J$792,10,FALSE)</f>
        <v>Stadtwerke Wasserburg a. Inn</v>
      </c>
    </row>
    <row r="552" spans="1:8" hidden="1" outlineLevel="1">
      <c r="A552" s="988" t="s">
        <v>1110</v>
      </c>
      <c r="B552" s="793">
        <f>+VLOOKUP(A552,'Anlage 2a_Letztverbrauch'!$A$2281:$I$2661,9,FALSE)</f>
        <v>783872.70895999996</v>
      </c>
      <c r="C552" s="95">
        <v>0</v>
      </c>
      <c r="D552" s="95">
        <v>0</v>
      </c>
      <c r="E552" s="95">
        <f t="shared" si="18"/>
        <v>783872.70895999996</v>
      </c>
      <c r="F552" s="747">
        <f>+SUMIF('Anlage 2b_Korrekturen'!$B$647:$B$1026,A552,'Anlage 2b_Korrekturen'!$F$647:$F$1026)</f>
        <v>0</v>
      </c>
      <c r="G552" s="1094">
        <f t="shared" si="19"/>
        <v>783872.70895999996</v>
      </c>
      <c r="H552" t="str">
        <f>+VLOOKUP(A552,'Anlage 2a_Letztverbrauch'!$A$413:$J$792,10,FALSE)</f>
        <v>Stadtwerke Bad Hersfeld GmbH</v>
      </c>
    </row>
    <row r="553" spans="1:8" hidden="1" outlineLevel="1">
      <c r="A553" s="988" t="s">
        <v>1112</v>
      </c>
      <c r="B553" s="793">
        <f>+VLOOKUP(A553,'Anlage 2a_Letztverbrauch'!$A$2281:$I$2661,9,FALSE)</f>
        <v>499681.75344000006</v>
      </c>
      <c r="C553" s="95">
        <v>0</v>
      </c>
      <c r="D553" s="95">
        <v>0</v>
      </c>
      <c r="E553" s="95">
        <f t="shared" si="18"/>
        <v>499681.75344000006</v>
      </c>
      <c r="F553" s="747">
        <f>+SUMIF('Anlage 2b_Korrekturen'!$B$647:$B$1026,A553,'Anlage 2b_Korrekturen'!$F$647:$F$1026)</f>
        <v>0</v>
      </c>
      <c r="G553" s="1094">
        <f t="shared" si="19"/>
        <v>499681.75344000006</v>
      </c>
      <c r="H553" t="str">
        <f>+VLOOKUP(A553,'Anlage 2a_Letztverbrauch'!$A$413:$J$792,10,FALSE)</f>
        <v>Stadtwerke Quickborn GmbH</v>
      </c>
    </row>
    <row r="554" spans="1:8" hidden="1" outlineLevel="1">
      <c r="A554" s="988" t="s">
        <v>1114</v>
      </c>
      <c r="B554" s="793">
        <f>+VLOOKUP(A554,'Anlage 2a_Letztverbrauch'!$A$2281:$I$2661,9,FALSE)</f>
        <v>390985.02249280008</v>
      </c>
      <c r="C554" s="95">
        <v>0</v>
      </c>
      <c r="D554" s="95">
        <v>0</v>
      </c>
      <c r="E554" s="95">
        <f t="shared" si="18"/>
        <v>390985.02249280008</v>
      </c>
      <c r="F554" s="747">
        <f>+SUMIF('Anlage 2b_Korrekturen'!$B$647:$B$1026,A554,'Anlage 2b_Korrekturen'!$F$647:$F$1026)</f>
        <v>-555.48680999999999</v>
      </c>
      <c r="G554" s="1094">
        <f t="shared" si="19"/>
        <v>390429.53568280011</v>
      </c>
      <c r="H554" t="str">
        <f>+VLOOKUP(A554,'Anlage 2a_Letztverbrauch'!$A$413:$J$792,10,FALSE)</f>
        <v>Stadtwerke Bad Reichenhall KU</v>
      </c>
    </row>
    <row r="555" spans="1:8" hidden="1" outlineLevel="1">
      <c r="A555" s="988" t="s">
        <v>1116</v>
      </c>
      <c r="B555" s="793">
        <f>+VLOOKUP(A555,'Anlage 2a_Letztverbrauch'!$A$2281:$I$2661,9,FALSE)</f>
        <v>920461.34880000015</v>
      </c>
      <c r="C555" s="95">
        <v>0</v>
      </c>
      <c r="D555" s="95">
        <v>0</v>
      </c>
      <c r="E555" s="95">
        <f t="shared" si="18"/>
        <v>920461.34880000015</v>
      </c>
      <c r="F555" s="747">
        <f>+SUMIF('Anlage 2b_Korrekturen'!$B$647:$B$1026,A555,'Anlage 2b_Korrekturen'!$F$647:$F$1026)</f>
        <v>0</v>
      </c>
      <c r="G555" s="1094">
        <f t="shared" si="19"/>
        <v>920461.34880000015</v>
      </c>
      <c r="H555" t="str">
        <f>+VLOOKUP(A555,'Anlage 2a_Letztverbrauch'!$A$413:$J$792,10,FALSE)</f>
        <v>Stadtwerke Dachau</v>
      </c>
    </row>
    <row r="556" spans="1:8" hidden="1" outlineLevel="1">
      <c r="A556" s="988" t="s">
        <v>1118</v>
      </c>
      <c r="B556" s="793">
        <f>+VLOOKUP(A556,'Anlage 2a_Letztverbrauch'!$A$2281:$I$2661,9,FALSE)</f>
        <v>104162.99280000001</v>
      </c>
      <c r="C556" s="95">
        <v>0</v>
      </c>
      <c r="D556" s="95">
        <v>0</v>
      </c>
      <c r="E556" s="95">
        <f t="shared" si="18"/>
        <v>104162.99280000001</v>
      </c>
      <c r="F556" s="747">
        <f>+SUMIF('Anlage 2b_Korrekturen'!$B$647:$B$1026,A556,'Anlage 2b_Korrekturen'!$F$647:$F$1026)</f>
        <v>0</v>
      </c>
      <c r="G556" s="1094">
        <f t="shared" si="19"/>
        <v>104162.99280000001</v>
      </c>
      <c r="H556" t="str">
        <f>+VLOOKUP(A556,'Anlage 2a_Letztverbrauch'!$A$413:$J$792,10,FALSE)</f>
        <v>Stadtwerke Waldkirchen</v>
      </c>
    </row>
    <row r="557" spans="1:8" hidden="1" outlineLevel="1">
      <c r="A557" s="988" t="s">
        <v>1120</v>
      </c>
      <c r="B557" s="793">
        <f>+VLOOKUP(A557,'Anlage 2a_Letztverbrauch'!$A$2281:$I$2661,9,FALSE)</f>
        <v>16712377.912640002</v>
      </c>
      <c r="C557" s="95">
        <v>-61173.37</v>
      </c>
      <c r="D557" s="95">
        <v>0</v>
      </c>
      <c r="E557" s="95">
        <f t="shared" si="18"/>
        <v>16651204.542640002</v>
      </c>
      <c r="F557" s="747">
        <f>+SUMIF('Anlage 2b_Korrekturen'!$B$647:$B$1026,A557,'Anlage 2b_Korrekturen'!$F$647:$F$1026)</f>
        <v>0</v>
      </c>
      <c r="G557" s="1094">
        <f t="shared" si="19"/>
        <v>16651204.542640002</v>
      </c>
      <c r="H557" t="str">
        <f>+VLOOKUP(A557,'Anlage 2a_Letztverbrauch'!$A$413:$J$792,10,FALSE)</f>
        <v>enercity Netz GmbH</v>
      </c>
    </row>
    <row r="558" spans="1:8" hidden="1" outlineLevel="1">
      <c r="A558" s="988" t="s">
        <v>1122</v>
      </c>
      <c r="B558" s="793">
        <f>+VLOOKUP(A558,'Anlage 2a_Letztverbrauch'!$A$2281:$I$2661,9,FALSE)</f>
        <v>1664411.6742932799</v>
      </c>
      <c r="C558" s="95">
        <v>0</v>
      </c>
      <c r="D558" s="95">
        <v>0</v>
      </c>
      <c r="E558" s="95">
        <f t="shared" si="18"/>
        <v>1664411.6742932799</v>
      </c>
      <c r="F558" s="747">
        <f>+SUMIF('Anlage 2b_Korrekturen'!$B$647:$B$1026,A558,'Anlage 2b_Korrekturen'!$F$647:$F$1026)</f>
        <v>0</v>
      </c>
      <c r="G558" s="1094">
        <f t="shared" si="19"/>
        <v>1664411.6742932799</v>
      </c>
      <c r="H558" t="str">
        <f>+VLOOKUP(A558,'Anlage 2a_Letztverbrauch'!$A$413:$J$792,10,FALSE)</f>
        <v>e-werk Sachsenwald GmbH</v>
      </c>
    </row>
    <row r="559" spans="1:8" hidden="1" outlineLevel="1">
      <c r="A559" s="988" t="s">
        <v>1875</v>
      </c>
      <c r="B559" s="793">
        <f>+VLOOKUP(A559,'Anlage 2a_Letztverbrauch'!$A$2281:$I$2661,9,FALSE)</f>
        <v>15432.459040000002</v>
      </c>
      <c r="C559" s="95">
        <v>0</v>
      </c>
      <c r="D559" s="95">
        <v>0</v>
      </c>
      <c r="E559" s="95">
        <f t="shared" si="18"/>
        <v>15432.459040000002</v>
      </c>
      <c r="F559" s="747">
        <f>+SUMIF('Anlage 2b_Korrekturen'!$B$647:$B$1026,A559,'Anlage 2b_Korrekturen'!$F$647:$F$1026)</f>
        <v>-903</v>
      </c>
      <c r="G559" s="1094">
        <f t="shared" si="19"/>
        <v>14529.459040000002</v>
      </c>
      <c r="H559" t="str">
        <f>+VLOOKUP(A559,'Anlage 2a_Letztverbrauch'!$A$413:$J$792,10,FALSE)</f>
        <v>Elektrizitäts- und Wasserversorgungsgenossenschaft Vagen  eG</v>
      </c>
    </row>
    <row r="560" spans="1:8" hidden="1" outlineLevel="1">
      <c r="A560" s="988" t="s">
        <v>1124</v>
      </c>
      <c r="B560" s="793">
        <f>+VLOOKUP(A560,'Anlage 2a_Letztverbrauch'!$A$2281:$I$2661,9,FALSE)</f>
        <v>222934.03946879998</v>
      </c>
      <c r="C560" s="95">
        <v>0</v>
      </c>
      <c r="D560" s="95">
        <v>0</v>
      </c>
      <c r="E560" s="95">
        <f t="shared" si="18"/>
        <v>222934.03946879998</v>
      </c>
      <c r="F560" s="747">
        <f>+SUMIF('Anlage 2b_Korrekturen'!$B$647:$B$1026,A560,'Anlage 2b_Korrekturen'!$F$647:$F$1026)</f>
        <v>1912.9476180000001</v>
      </c>
      <c r="G560" s="1094">
        <f t="shared" si="19"/>
        <v>224846.98708679999</v>
      </c>
      <c r="H560" t="str">
        <f>+VLOOKUP(A560,'Anlage 2a_Letztverbrauch'!$A$413:$J$792,10,FALSE)</f>
        <v>Elektrizitätsgenossenschaft Vogling &amp; Angrenzer eG</v>
      </c>
    </row>
    <row r="561" spans="1:8" hidden="1" outlineLevel="1">
      <c r="A561" s="988" t="s">
        <v>1126</v>
      </c>
      <c r="B561" s="793">
        <f>+VLOOKUP(A561,'Anlage 2a_Letztverbrauch'!$A$2281:$I$2661,9,FALSE)</f>
        <v>752215.80667199998</v>
      </c>
      <c r="C561" s="95">
        <v>0</v>
      </c>
      <c r="D561" s="95">
        <v>0</v>
      </c>
      <c r="E561" s="95">
        <f t="shared" si="18"/>
        <v>752215.80667199998</v>
      </c>
      <c r="F561" s="747">
        <f>+SUMIF('Anlage 2b_Korrekturen'!$B$647:$B$1026,A561,'Anlage 2b_Korrekturen'!$F$647:$F$1026)</f>
        <v>0</v>
      </c>
      <c r="G561" s="1094">
        <f t="shared" si="19"/>
        <v>752215.80667199998</v>
      </c>
      <c r="H561" t="str">
        <f>+VLOOKUP(A561,'Anlage 2a_Letztverbrauch'!$A$413:$J$792,10,FALSE)</f>
        <v>Stadtwerke Munster-Bispingen GmbH</v>
      </c>
    </row>
    <row r="562" spans="1:8" hidden="1" outlineLevel="1">
      <c r="A562" s="988" t="s">
        <v>1128</v>
      </c>
      <c r="B562" s="793">
        <f>+VLOOKUP(A562,'Anlage 2a_Letztverbrauch'!$A$2281:$I$2661,9,FALSE)</f>
        <v>173694.85344000001</v>
      </c>
      <c r="C562" s="95">
        <v>0</v>
      </c>
      <c r="D562" s="95">
        <v>0</v>
      </c>
      <c r="E562" s="95">
        <f t="shared" si="18"/>
        <v>173694.85344000001</v>
      </c>
      <c r="F562" s="747">
        <f>+SUMIF('Anlage 2b_Korrekturen'!$B$647:$B$1026,A562,'Anlage 2b_Korrekturen'!$F$647:$F$1026)</f>
        <v>0</v>
      </c>
      <c r="G562" s="1094">
        <f t="shared" si="19"/>
        <v>173694.85344000001</v>
      </c>
      <c r="H562" t="str">
        <f>+VLOOKUP(A562,'Anlage 2a_Letztverbrauch'!$A$413:$J$792,10,FALSE)</f>
        <v>Energieversorgung Gemünden GmbH</v>
      </c>
    </row>
    <row r="563" spans="1:8" hidden="1" outlineLevel="1">
      <c r="A563" s="988" t="s">
        <v>1130</v>
      </c>
      <c r="B563" s="793">
        <f>+VLOOKUP(A563,'Anlage 2a_Letztverbrauch'!$A$2281:$I$2661,9,FALSE)</f>
        <v>826991.03792000015</v>
      </c>
      <c r="C563" s="95">
        <v>0</v>
      </c>
      <c r="D563" s="95">
        <v>0</v>
      </c>
      <c r="E563" s="95">
        <f t="shared" si="18"/>
        <v>826991.03792000015</v>
      </c>
      <c r="F563" s="747">
        <f>+SUMIF('Anlage 2b_Korrekturen'!$B$647:$B$1026,A563,'Anlage 2b_Korrekturen'!$F$647:$F$1026)</f>
        <v>20057.717550000001</v>
      </c>
      <c r="G563" s="1094">
        <f t="shared" si="19"/>
        <v>847048.75547000021</v>
      </c>
      <c r="H563" t="str">
        <f>+VLOOKUP(A563,'Anlage 2a_Letztverbrauch'!$A$413:$J$792,10,FALSE)</f>
        <v>Stadtwerke Uelzen GmbH</v>
      </c>
    </row>
    <row r="564" spans="1:8" hidden="1" outlineLevel="1">
      <c r="A564" s="988" t="s">
        <v>1132</v>
      </c>
      <c r="B564" s="793">
        <f>+VLOOKUP(A564,'Anlage 2a_Letztverbrauch'!$A$2281:$I$2661,9,FALSE)</f>
        <v>121588.01904000001</v>
      </c>
      <c r="C564" s="95">
        <v>0</v>
      </c>
      <c r="D564" s="95">
        <v>0</v>
      </c>
      <c r="E564" s="95">
        <f t="shared" si="18"/>
        <v>121588.01904000001</v>
      </c>
      <c r="F564" s="747">
        <f>+SUMIF('Anlage 2b_Korrekturen'!$B$647:$B$1026,A564,'Anlage 2b_Korrekturen'!$F$647:$F$1026)</f>
        <v>0</v>
      </c>
      <c r="G564" s="1094">
        <f t="shared" si="19"/>
        <v>121588.01904000001</v>
      </c>
      <c r="H564" t="str">
        <f>+VLOOKUP(A564,'Anlage 2a_Letztverbrauch'!$A$413:$J$792,10,FALSE)</f>
        <v>Stadtwerke Wertheim GmbH</v>
      </c>
    </row>
    <row r="565" spans="1:8" hidden="1" outlineLevel="1">
      <c r="A565" s="988" t="s">
        <v>1134</v>
      </c>
      <c r="B565" s="793">
        <f>+VLOOKUP(A565,'Anlage 2a_Letztverbrauch'!$A$2281:$I$2661,9,FALSE)</f>
        <v>518947.62719999999</v>
      </c>
      <c r="C565" s="95">
        <v>0</v>
      </c>
      <c r="D565" s="95">
        <v>0</v>
      </c>
      <c r="E565" s="95">
        <f t="shared" si="18"/>
        <v>518947.62719999999</v>
      </c>
      <c r="F565" s="747">
        <f>+SUMIF('Anlage 2b_Korrekturen'!$B$647:$B$1026,A565,'Anlage 2b_Korrekturen'!$F$647:$F$1026)</f>
        <v>375.34198000000009</v>
      </c>
      <c r="G565" s="1094">
        <f t="shared" si="19"/>
        <v>519322.96918000001</v>
      </c>
      <c r="H565" t="str">
        <f>+VLOOKUP(A565,'Anlage 2a_Letztverbrauch'!$A$413:$J$792,10,FALSE)</f>
        <v>Stadtwerke Plattling</v>
      </c>
    </row>
    <row r="566" spans="1:8" hidden="1" outlineLevel="1">
      <c r="A566" s="988" t="s">
        <v>1136</v>
      </c>
      <c r="B566" s="793">
        <f>+VLOOKUP(A566,'Anlage 2a_Letztverbrauch'!$A$2281:$I$2661,9,FALSE)</f>
        <v>107196.304</v>
      </c>
      <c r="C566" s="95">
        <v>0</v>
      </c>
      <c r="D566" s="95">
        <v>0</v>
      </c>
      <c r="E566" s="95">
        <f t="shared" si="18"/>
        <v>107196.304</v>
      </c>
      <c r="F566" s="747">
        <f>+SUMIF('Anlage 2b_Korrekturen'!$B$647:$B$1026,A566,'Anlage 2b_Korrekturen'!$F$647:$F$1026)</f>
        <v>0</v>
      </c>
      <c r="G566" s="1094">
        <f t="shared" si="19"/>
        <v>107196.304</v>
      </c>
      <c r="H566" t="str">
        <f>+VLOOKUP(A566,'Anlage 2a_Letztverbrauch'!$A$413:$J$792,10,FALSE)</f>
        <v>Cramer-Mühle GmbH &amp; Co. KG</v>
      </c>
    </row>
    <row r="567" spans="1:8" hidden="1" outlineLevel="1">
      <c r="A567" s="988" t="s">
        <v>1138</v>
      </c>
      <c r="B567" s="793">
        <f>+VLOOKUP(A567,'Anlage 2a_Letztverbrauch'!$A$2281:$I$2661,9,FALSE)</f>
        <v>68827.500320000006</v>
      </c>
      <c r="C567" s="95">
        <v>0</v>
      </c>
      <c r="D567" s="95">
        <v>0</v>
      </c>
      <c r="E567" s="95">
        <f t="shared" si="18"/>
        <v>68827.500320000006</v>
      </c>
      <c r="F567" s="747">
        <f>+SUMIF('Anlage 2b_Korrekturen'!$B$647:$B$1026,A567,'Anlage 2b_Korrekturen'!$F$647:$F$1026)</f>
        <v>-22.336560000000002</v>
      </c>
      <c r="G567" s="1094">
        <f t="shared" si="19"/>
        <v>68805.16376000001</v>
      </c>
      <c r="H567" t="str">
        <f>+VLOOKUP(A567,'Anlage 2a_Letztverbrauch'!$A$413:$J$792,10,FALSE)</f>
        <v>E-Werke Haniel Haimhausen GmbH &amp; Co. KG</v>
      </c>
    </row>
    <row r="568" spans="1:8" hidden="1" outlineLevel="1">
      <c r="A568" s="988" t="s">
        <v>1140</v>
      </c>
      <c r="B568" s="793">
        <f>+VLOOKUP(A568,'Anlage 2a_Letztverbrauch'!$A$2281:$I$2661,9,FALSE)</f>
        <v>1142886.6243200002</v>
      </c>
      <c r="C568" s="95">
        <v>0</v>
      </c>
      <c r="D568" s="95">
        <v>0</v>
      </c>
      <c r="E568" s="95">
        <f t="shared" si="18"/>
        <v>1142886.6243200002</v>
      </c>
      <c r="F568" s="747">
        <f>+SUMIF('Anlage 2b_Korrekturen'!$B$647:$B$1026,A568,'Anlage 2b_Korrekturen'!$F$647:$F$1026)</f>
        <v>-68935.191510000004</v>
      </c>
      <c r="G568" s="1094">
        <f t="shared" si="19"/>
        <v>1073951.4328100001</v>
      </c>
      <c r="H568" t="str">
        <f>+VLOOKUP(A568,'Anlage 2a_Letztverbrauch'!$A$413:$J$792,10,FALSE)</f>
        <v>Stadtwerke Stade GmbH</v>
      </c>
    </row>
    <row r="569" spans="1:8" hidden="1" outlineLevel="1">
      <c r="A569" s="988" t="s">
        <v>1142</v>
      </c>
      <c r="B569" s="793">
        <f>+VLOOKUP(A569,'Anlage 2a_Letztverbrauch'!$A$2281:$I$2661,9,FALSE)</f>
        <v>204234.98592000001</v>
      </c>
      <c r="C569" s="95">
        <v>0</v>
      </c>
      <c r="D569" s="95">
        <v>0</v>
      </c>
      <c r="E569" s="95">
        <f t="shared" si="18"/>
        <v>204234.98592000001</v>
      </c>
      <c r="F569" s="747">
        <f>+SUMIF('Anlage 2b_Korrekturen'!$B$647:$B$1026,A569,'Anlage 2b_Korrekturen'!$F$647:$F$1026)</f>
        <v>0</v>
      </c>
      <c r="G569" s="1094">
        <f t="shared" si="19"/>
        <v>204234.98592000001</v>
      </c>
      <c r="H569" t="str">
        <f>+VLOOKUP(A569,'Anlage 2a_Letztverbrauch'!$A$413:$J$792,10,FALSE)</f>
        <v>Stadtwerke Zwiesel</v>
      </c>
    </row>
    <row r="570" spans="1:8" hidden="1" outlineLevel="1">
      <c r="A570" s="988" t="s">
        <v>1144</v>
      </c>
      <c r="B570" s="793">
        <f>+VLOOKUP(A570,'Anlage 2a_Letztverbrauch'!$A$2281:$I$2661,9,FALSE)</f>
        <v>242980.04496</v>
      </c>
      <c r="C570" s="95">
        <v>0</v>
      </c>
      <c r="D570" s="95">
        <v>0</v>
      </c>
      <c r="E570" s="95">
        <f t="shared" si="18"/>
        <v>242980.04496</v>
      </c>
      <c r="F570" s="747">
        <f>+SUMIF('Anlage 2b_Korrekturen'!$B$647:$B$1026,A570,'Anlage 2b_Korrekturen'!$F$647:$F$1026)</f>
        <v>0</v>
      </c>
      <c r="G570" s="1094">
        <f t="shared" si="19"/>
        <v>242980.04496</v>
      </c>
      <c r="H570" t="str">
        <f>+VLOOKUP(A570,'Anlage 2a_Letztverbrauch'!$A$413:$J$792,10,FALSE)</f>
        <v>Stadtwerke Heilsbronn</v>
      </c>
    </row>
    <row r="571" spans="1:8" hidden="1" outlineLevel="1">
      <c r="A571" s="988" t="s">
        <v>1146</v>
      </c>
      <c r="B571" s="793">
        <f>+VLOOKUP(A571,'Anlage 2a_Letztverbrauch'!$A$2281:$I$2661,9,FALSE)</f>
        <v>113469.72383999999</v>
      </c>
      <c r="C571" s="95">
        <v>0</v>
      </c>
      <c r="D571" s="95">
        <v>0</v>
      </c>
      <c r="E571" s="95">
        <f t="shared" si="18"/>
        <v>113469.72383999999</v>
      </c>
      <c r="F571" s="747">
        <f>+SUMIF('Anlage 2b_Korrekturen'!$B$647:$B$1026,A571,'Anlage 2b_Korrekturen'!$F$647:$F$1026)</f>
        <v>1983.7676800000002</v>
      </c>
      <c r="G571" s="1094">
        <f t="shared" si="19"/>
        <v>115453.49152</v>
      </c>
      <c r="H571" t="str">
        <f>+VLOOKUP(A571,'Anlage 2a_Letztverbrauch'!$A$413:$J$792,10,FALSE)</f>
        <v>Stadtwerke Bad Sachsa GmbH</v>
      </c>
    </row>
    <row r="572" spans="1:8" hidden="1" outlineLevel="1">
      <c r="A572" s="988" t="s">
        <v>1148</v>
      </c>
      <c r="B572" s="793">
        <f>+VLOOKUP(A572,'Anlage 2a_Letztverbrauch'!$A$2281:$I$2661,9,FALSE)</f>
        <v>39725.601920000001</v>
      </c>
      <c r="C572" s="95">
        <v>0</v>
      </c>
      <c r="D572" s="95">
        <v>0</v>
      </c>
      <c r="E572" s="95">
        <f t="shared" si="18"/>
        <v>39725.601920000001</v>
      </c>
      <c r="F572" s="747">
        <f>+SUMIF('Anlage 2b_Korrekturen'!$B$647:$B$1026,A572,'Anlage 2b_Korrekturen'!$F$647:$F$1026)</f>
        <v>0</v>
      </c>
      <c r="G572" s="1094">
        <f t="shared" si="19"/>
        <v>39725.601920000001</v>
      </c>
      <c r="H572" t="str">
        <f>+VLOOKUP(A572,'Anlage 2a_Letztverbrauch'!$A$413:$J$792,10,FALSE)</f>
        <v>Elektrizitätsgenossenschaft Ohlstadt e. G.</v>
      </c>
    </row>
    <row r="573" spans="1:8" hidden="1" outlineLevel="1">
      <c r="A573" s="988" t="s">
        <v>1150</v>
      </c>
      <c r="B573" s="793">
        <f>+VLOOKUP(A573,'Anlage 2a_Letztverbrauch'!$A$2281:$I$2661,9,FALSE)</f>
        <v>222247.51264000003</v>
      </c>
      <c r="C573" s="95">
        <v>0</v>
      </c>
      <c r="D573" s="95">
        <v>0</v>
      </c>
      <c r="E573" s="95">
        <f t="shared" si="18"/>
        <v>222247.51264000003</v>
      </c>
      <c r="F573" s="747">
        <f>+SUMIF('Anlage 2b_Korrekturen'!$B$647:$B$1026,A573,'Anlage 2b_Korrekturen'!$F$647:$F$1026)</f>
        <v>-1143.0976000000001</v>
      </c>
      <c r="G573" s="1094">
        <f t="shared" si="19"/>
        <v>221104.41504000002</v>
      </c>
      <c r="H573" t="str">
        <f>+VLOOKUP(A573,'Anlage 2a_Letztverbrauch'!$A$413:$J$792,10,FALSE)</f>
        <v>Stadtwerke Glückstadt GmbH</v>
      </c>
    </row>
    <row r="574" spans="1:8" hidden="1" outlineLevel="1">
      <c r="A574" s="988" t="s">
        <v>1152</v>
      </c>
      <c r="B574" s="793">
        <f>+VLOOKUP(A574,'Anlage 2a_Letztverbrauch'!$A$2281:$I$2661,9,FALSE)</f>
        <v>111907.08592</v>
      </c>
      <c r="C574" s="95">
        <v>0</v>
      </c>
      <c r="D574" s="95">
        <v>0</v>
      </c>
      <c r="E574" s="95">
        <f t="shared" si="18"/>
        <v>111907.08592</v>
      </c>
      <c r="F574" s="747">
        <f>+SUMIF('Anlage 2b_Korrekturen'!$B$647:$B$1026,A574,'Anlage 2b_Korrekturen'!$F$647:$F$1026)</f>
        <v>0</v>
      </c>
      <c r="G574" s="1094">
        <f t="shared" si="19"/>
        <v>111907.08592</v>
      </c>
      <c r="H574" t="str">
        <f>+VLOOKUP(A574,'Anlage 2a_Letztverbrauch'!$A$413:$J$792,10,FALSE)</f>
        <v>Stadtwerke Hammelburg GmbH</v>
      </c>
    </row>
    <row r="575" spans="1:8" hidden="1" outlineLevel="1">
      <c r="A575" s="988" t="s">
        <v>1154</v>
      </c>
      <c r="B575" s="793">
        <f>+VLOOKUP(A575,'Anlage 2a_Letztverbrauch'!$A$2281:$I$2661,9,FALSE)</f>
        <v>55170.256000000008</v>
      </c>
      <c r="C575" s="95">
        <v>0</v>
      </c>
      <c r="D575" s="95">
        <v>0</v>
      </c>
      <c r="E575" s="95">
        <f t="shared" si="18"/>
        <v>55170.256000000008</v>
      </c>
      <c r="F575" s="747">
        <f>+SUMIF('Anlage 2b_Korrekturen'!$B$647:$B$1026,A575,'Anlage 2b_Korrekturen'!$F$647:$F$1026)</f>
        <v>-60.73019</v>
      </c>
      <c r="G575" s="1094">
        <f t="shared" si="19"/>
        <v>55109.525810000006</v>
      </c>
      <c r="H575" t="str">
        <f>+VLOOKUP(A575,'Anlage 2a_Letztverbrauch'!$A$413:$J$792,10,FALSE)</f>
        <v>Kommunalunternehmen Stadtwerke Klingenberg (AöR)</v>
      </c>
    </row>
    <row r="576" spans="1:8" hidden="1" outlineLevel="1">
      <c r="A576" s="988" t="s">
        <v>1156</v>
      </c>
      <c r="B576" s="793">
        <f>+VLOOKUP(A576,'Anlage 2a_Letztverbrauch'!$A$2281:$I$2661,9,FALSE)</f>
        <v>186568.18432</v>
      </c>
      <c r="C576" s="95">
        <v>0</v>
      </c>
      <c r="D576" s="95">
        <v>0</v>
      </c>
      <c r="E576" s="95">
        <f t="shared" si="18"/>
        <v>186568.18432</v>
      </c>
      <c r="F576" s="747">
        <f>+SUMIF('Anlage 2b_Korrekturen'!$B$647:$B$1026,A576,'Anlage 2b_Korrekturen'!$F$647:$F$1026)</f>
        <v>0</v>
      </c>
      <c r="G576" s="1094">
        <f t="shared" si="19"/>
        <v>186568.18432</v>
      </c>
      <c r="H576" t="str">
        <f>+VLOOKUP(A576,'Anlage 2a_Letztverbrauch'!$A$413:$J$792,10,FALSE)</f>
        <v>Stadtwerke Tirschenreuth</v>
      </c>
    </row>
    <row r="577" spans="1:8" hidden="1" outlineLevel="1">
      <c r="A577" s="988" t="s">
        <v>1158</v>
      </c>
      <c r="B577" s="793">
        <f>+VLOOKUP(A577,'Anlage 2a_Letztverbrauch'!$A$2281:$I$2661,9,FALSE)</f>
        <v>134775.18031999998</v>
      </c>
      <c r="C577" s="95">
        <v>0</v>
      </c>
      <c r="D577" s="95">
        <v>0</v>
      </c>
      <c r="E577" s="95">
        <f t="shared" si="18"/>
        <v>134775.18031999998</v>
      </c>
      <c r="F577" s="747">
        <f>+SUMIF('Anlage 2b_Korrekturen'!$B$647:$B$1026,A577,'Anlage 2b_Korrekturen'!$F$647:$F$1026)</f>
        <v>0</v>
      </c>
      <c r="G577" s="1094">
        <f t="shared" si="19"/>
        <v>134775.18031999998</v>
      </c>
      <c r="H577" t="str">
        <f>+VLOOKUP(A577,'Anlage 2a_Letztverbrauch'!$A$413:$J$792,10,FALSE)</f>
        <v>Stadtwerke Uslar GmbH</v>
      </c>
    </row>
    <row r="578" spans="1:8" hidden="1" outlineLevel="1">
      <c r="A578" s="988" t="s">
        <v>1160</v>
      </c>
      <c r="B578" s="793">
        <f>+VLOOKUP(A578,'Anlage 2a_Letztverbrauch'!$A$2281:$I$2661,9,FALSE)</f>
        <v>2479969.87210576</v>
      </c>
      <c r="C578" s="95">
        <v>0</v>
      </c>
      <c r="D578" s="95">
        <v>0</v>
      </c>
      <c r="E578" s="95">
        <f t="shared" si="18"/>
        <v>2479969.87210576</v>
      </c>
      <c r="F578" s="747">
        <f>+SUMIF('Anlage 2b_Korrekturen'!$B$647:$B$1026,A578,'Anlage 2b_Korrekturen'!$F$647:$F$1026)</f>
        <v>-9187.4164894300011</v>
      </c>
      <c r="G578" s="1094">
        <f t="shared" si="19"/>
        <v>2470782.4556163303</v>
      </c>
      <c r="H578" t="str">
        <f>+VLOOKUP(A578,'Anlage 2a_Letztverbrauch'!$A$413:$J$792,10,FALSE)</f>
        <v>Stadtwerke Flensburg GmbH</v>
      </c>
    </row>
    <row r="579" spans="1:8" hidden="1" outlineLevel="1">
      <c r="A579" s="988" t="s">
        <v>1162</v>
      </c>
      <c r="B579" s="793">
        <f>+VLOOKUP(A579,'Anlage 2a_Letztverbrauch'!$A$2281:$I$2661,9,FALSE)</f>
        <v>536774.55839999998</v>
      </c>
      <c r="C579" s="95">
        <v>0</v>
      </c>
      <c r="D579" s="95">
        <v>0</v>
      </c>
      <c r="E579" s="95">
        <f t="shared" si="18"/>
        <v>536774.55839999998</v>
      </c>
      <c r="F579" s="747">
        <f>+SUMIF('Anlage 2b_Korrekturen'!$B$647:$B$1026,A579,'Anlage 2b_Korrekturen'!$F$647:$F$1026)</f>
        <v>0</v>
      </c>
      <c r="G579" s="1094">
        <f t="shared" si="19"/>
        <v>536774.55839999998</v>
      </c>
      <c r="H579" t="str">
        <f>+VLOOKUP(A579,'Anlage 2a_Letztverbrauch'!$A$413:$J$792,10,FALSE)</f>
        <v>Versorgungsbetriebe Hann. Münden GmbH</v>
      </c>
    </row>
    <row r="580" spans="1:8" hidden="1" outlineLevel="1">
      <c r="A580" s="988" t="s">
        <v>1164</v>
      </c>
      <c r="B580" s="793">
        <f>+VLOOKUP(A580,'Anlage 2a_Letztverbrauch'!$A$2281:$I$2661,9,FALSE)</f>
        <v>851947.07536000002</v>
      </c>
      <c r="C580" s="95">
        <v>0</v>
      </c>
      <c r="D580" s="95">
        <v>0</v>
      </c>
      <c r="E580" s="95">
        <f t="shared" si="18"/>
        <v>851947.07536000002</v>
      </c>
      <c r="F580" s="747">
        <f>+SUMIF('Anlage 2b_Korrekturen'!$B$647:$B$1026,A580,'Anlage 2b_Korrekturen'!$F$647:$F$1026)</f>
        <v>670.72207000000003</v>
      </c>
      <c r="G580" s="1094">
        <f t="shared" si="19"/>
        <v>852617.79743000004</v>
      </c>
      <c r="H580" t="str">
        <f>+VLOOKUP(A580,'Anlage 2a_Letztverbrauch'!$A$413:$J$792,10,FALSE)</f>
        <v>Stadtwerke Itzehoe GmbH</v>
      </c>
    </row>
    <row r="581" spans="1:8" hidden="1" outlineLevel="1">
      <c r="A581" s="988" t="s">
        <v>1166</v>
      </c>
      <c r="B581" s="793">
        <f>+VLOOKUP(A581,'Anlage 2a_Letztverbrauch'!$A$2281:$I$2661,9,FALSE)</f>
        <v>20908.720799999999</v>
      </c>
      <c r="C581" s="95">
        <v>0</v>
      </c>
      <c r="D581" s="95">
        <v>0</v>
      </c>
      <c r="E581" s="95">
        <f t="shared" si="18"/>
        <v>20908.720799999999</v>
      </c>
      <c r="F581" s="747">
        <f>+SUMIF('Anlage 2b_Korrekturen'!$B$647:$B$1026,A581,'Anlage 2b_Korrekturen'!$F$647:$F$1026)</f>
        <v>0</v>
      </c>
      <c r="G581" s="1094">
        <f t="shared" si="19"/>
        <v>20908.720799999999</v>
      </c>
      <c r="H581" t="str">
        <f>+VLOOKUP(A581,'Anlage 2a_Letztverbrauch'!$A$413:$J$792,10,FALSE)</f>
        <v>Gemeindewerke Stammbach Kommunalunternehmen AdöR</v>
      </c>
    </row>
    <row r="582" spans="1:8" hidden="1" outlineLevel="1">
      <c r="A582" s="988" t="s">
        <v>1168</v>
      </c>
      <c r="B582" s="793">
        <f>+VLOOKUP(A582,'Anlage 2a_Letztverbrauch'!$A$2281:$I$2661,9,FALSE)</f>
        <v>187860.30096000002</v>
      </c>
      <c r="C582" s="95">
        <v>0</v>
      </c>
      <c r="D582" s="95">
        <v>0</v>
      </c>
      <c r="E582" s="95">
        <f t="shared" si="18"/>
        <v>187860.30096000002</v>
      </c>
      <c r="F582" s="747">
        <f>+SUMIF('Anlage 2b_Korrekturen'!$B$647:$B$1026,A582,'Anlage 2b_Korrekturen'!$F$647:$F$1026)</f>
        <v>0</v>
      </c>
      <c r="G582" s="1094">
        <f t="shared" si="19"/>
        <v>187860.30096000002</v>
      </c>
      <c r="H582" t="str">
        <f>+VLOOKUP(A582,'Anlage 2a_Letztverbrauch'!$A$413:$J$792,10,FALSE)</f>
        <v>Stadtwerke Bad Neustadt a. d. Saale</v>
      </c>
    </row>
    <row r="583" spans="1:8" hidden="1" outlineLevel="1">
      <c r="A583" s="988" t="s">
        <v>1170</v>
      </c>
      <c r="B583" s="793">
        <f>+VLOOKUP(A583,'Anlage 2a_Letztverbrauch'!$A$2281:$I$2661,9,FALSE)</f>
        <v>370079.74976000004</v>
      </c>
      <c r="C583" s="95">
        <v>0</v>
      </c>
      <c r="D583" s="95">
        <v>0</v>
      </c>
      <c r="E583" s="95">
        <f t="shared" si="18"/>
        <v>370079.74976000004</v>
      </c>
      <c r="F583" s="747">
        <f>+SUMIF('Anlage 2b_Korrekturen'!$B$647:$B$1026,A583,'Anlage 2b_Korrekturen'!$F$647:$F$1026)</f>
        <v>-352.89196000000004</v>
      </c>
      <c r="G583" s="1094">
        <f t="shared" si="19"/>
        <v>369726.85780000006</v>
      </c>
      <c r="H583" t="str">
        <f>+VLOOKUP(A583,'Anlage 2a_Letztverbrauch'!$A$413:$J$792,10,FALSE)</f>
        <v>Stadtwerke Vilshofen GmbH</v>
      </c>
    </row>
    <row r="584" spans="1:8" hidden="1" outlineLevel="1">
      <c r="A584" s="988" t="s">
        <v>1172</v>
      </c>
      <c r="B584" s="793">
        <f>+VLOOKUP(A584,'Anlage 2a_Letztverbrauch'!$A$2281:$I$2661,9,FALSE)</f>
        <v>247560.10576000001</v>
      </c>
      <c r="C584" s="95">
        <v>0</v>
      </c>
      <c r="D584" s="95">
        <v>0</v>
      </c>
      <c r="E584" s="95">
        <f t="shared" si="18"/>
        <v>247560.10576000001</v>
      </c>
      <c r="F584" s="747">
        <f>+SUMIF('Anlage 2b_Korrekturen'!$B$647:$B$1026,A584,'Anlage 2b_Korrekturen'!$F$647:$F$1026)</f>
        <v>-41.665500000000002</v>
      </c>
      <c r="G584" s="1094">
        <f t="shared" si="19"/>
        <v>247518.44026</v>
      </c>
      <c r="H584" t="str">
        <f>+VLOOKUP(A584,'Anlage 2a_Letztverbrauch'!$A$413:$J$792,10,FALSE)</f>
        <v>Gemeindewerke Georgensgmünd</v>
      </c>
    </row>
    <row r="585" spans="1:8" hidden="1" outlineLevel="1">
      <c r="A585" s="988" t="s">
        <v>1174</v>
      </c>
      <c r="B585" s="793">
        <f>+VLOOKUP(A585,'Anlage 2a_Letztverbrauch'!$A$2281:$I$2661,9,FALSE)</f>
        <v>2180622.36576</v>
      </c>
      <c r="C585" s="95">
        <v>0</v>
      </c>
      <c r="D585" s="95">
        <v>0</v>
      </c>
      <c r="E585" s="95">
        <f t="shared" si="18"/>
        <v>2180622.36576</v>
      </c>
      <c r="F585" s="747">
        <f>+SUMIF('Anlage 2b_Korrekturen'!$B$647:$B$1026,A585,'Anlage 2b_Korrekturen'!$F$647:$F$1026)</f>
        <v>-1731.9652700000001</v>
      </c>
      <c r="G585" s="1094">
        <f t="shared" si="19"/>
        <v>2178890.4004899999</v>
      </c>
      <c r="H585" t="str">
        <f>+VLOOKUP(A585,'Anlage 2a_Letztverbrauch'!$A$413:$J$792,10,FALSE)</f>
        <v>Stadtwerke Norderstedt</v>
      </c>
    </row>
    <row r="586" spans="1:8" hidden="1" outlineLevel="1">
      <c r="A586" s="988" t="s">
        <v>1176</v>
      </c>
      <c r="B586" s="793">
        <f>+VLOOKUP(A586,'Anlage 2a_Letztverbrauch'!$A$2281:$I$2661,9,FALSE)</f>
        <v>2371536.0580799999</v>
      </c>
      <c r="C586" s="95">
        <v>0</v>
      </c>
      <c r="D586" s="95">
        <v>0</v>
      </c>
      <c r="E586" s="95">
        <f t="shared" si="18"/>
        <v>2371536.0580799999</v>
      </c>
      <c r="F586" s="747">
        <f>+SUMIF('Anlage 2b_Korrekturen'!$B$647:$B$1026,A586,'Anlage 2b_Korrekturen'!$F$647:$F$1026)</f>
        <v>6337.7380132000008</v>
      </c>
      <c r="G586" s="1094">
        <f t="shared" si="19"/>
        <v>2377873.7960931999</v>
      </c>
      <c r="H586" t="str">
        <f>+VLOOKUP(A586,'Anlage 2a_Letztverbrauch'!$A$413:$J$792,10,FALSE)</f>
        <v>Stadtwerke Bayreuth Energie und Wasser GmbH</v>
      </c>
    </row>
    <row r="587" spans="1:8" hidden="1" outlineLevel="1">
      <c r="A587" s="988" t="s">
        <v>1178</v>
      </c>
      <c r="B587" s="793">
        <f>+VLOOKUP(A587,'Anlage 2a_Letztverbrauch'!$A$2281:$I$2661,9,FALSE)</f>
        <v>117006.82336000001</v>
      </c>
      <c r="C587" s="95">
        <v>0</v>
      </c>
      <c r="D587" s="95">
        <v>0</v>
      </c>
      <c r="E587" s="95">
        <f t="shared" ref="E587:E650" si="20">B587+C587+D587</f>
        <v>117006.82336000001</v>
      </c>
      <c r="F587" s="747">
        <f>+SUMIF('Anlage 2b_Korrekturen'!$B$647:$B$1026,A587,'Anlage 2b_Korrekturen'!$F$647:$F$1026)</f>
        <v>-2125.3456099999999</v>
      </c>
      <c r="G587" s="1094">
        <f t="shared" ref="G587:G650" si="21">E587+F587</f>
        <v>114881.47775000001</v>
      </c>
      <c r="H587" t="str">
        <f>+VLOOKUP(A587,'Anlage 2a_Letztverbrauch'!$A$413:$J$792,10,FALSE)</f>
        <v>Energiegenossenschaft für Wittmund eG</v>
      </c>
    </row>
    <row r="588" spans="1:8" hidden="1" outlineLevel="1">
      <c r="A588" s="988" t="s">
        <v>1877</v>
      </c>
      <c r="B588" s="793">
        <f>+VLOOKUP(A588,'Anlage 2a_Letztverbrauch'!$A$2281:$I$2661,9,FALSE)</f>
        <v>0</v>
      </c>
      <c r="C588" s="95">
        <v>0</v>
      </c>
      <c r="D588" s="95">
        <v>0</v>
      </c>
      <c r="E588" s="95">
        <f t="shared" si="20"/>
        <v>0</v>
      </c>
      <c r="F588" s="747">
        <f>+SUMIF('Anlage 2b_Korrekturen'!$B$647:$B$1026,A588,'Anlage 2b_Korrekturen'!$F$647:$F$1026)</f>
        <v>0</v>
      </c>
      <c r="G588" s="1094">
        <f t="shared" si="21"/>
        <v>0</v>
      </c>
      <c r="H588" t="str">
        <f>+VLOOKUP(A588,'Anlage 2a_Letztverbrauch'!$A$413:$J$792,10,FALSE)</f>
        <v>Eichenmüller GmbH &amp; Co. KG</v>
      </c>
    </row>
    <row r="589" spans="1:8" hidden="1" outlineLevel="1">
      <c r="A589" s="988" t="s">
        <v>1180</v>
      </c>
      <c r="B589" s="793">
        <f>+VLOOKUP(A589,'Anlage 2a_Letztverbrauch'!$A$2281:$I$2661,9,FALSE)</f>
        <v>108993.37008000001</v>
      </c>
      <c r="C589" s="95">
        <v>0</v>
      </c>
      <c r="D589" s="95">
        <v>0</v>
      </c>
      <c r="E589" s="95">
        <f t="shared" si="20"/>
        <v>108993.37008000001</v>
      </c>
      <c r="F589" s="747">
        <f>+SUMIF('Anlage 2b_Korrekturen'!$B$647:$B$1026,A589,'Anlage 2b_Korrekturen'!$F$647:$F$1026)</f>
        <v>0</v>
      </c>
      <c r="G589" s="1094">
        <f t="shared" si="21"/>
        <v>108993.37008000001</v>
      </c>
      <c r="H589" t="str">
        <f>+VLOOKUP(A589,'Anlage 2a_Letztverbrauch'!$A$413:$J$792,10,FALSE)</f>
        <v>Stromversorgung Inzell eG</v>
      </c>
    </row>
    <row r="590" spans="1:8" hidden="1" outlineLevel="1">
      <c r="A590" s="988" t="s">
        <v>1182</v>
      </c>
      <c r="B590" s="793">
        <f>+VLOOKUP(A590,'Anlage 2a_Letztverbrauch'!$A$2281:$I$2661,9,FALSE)</f>
        <v>138451.14848</v>
      </c>
      <c r="C590" s="95">
        <v>0</v>
      </c>
      <c r="D590" s="95">
        <v>0</v>
      </c>
      <c r="E590" s="95">
        <f t="shared" si="20"/>
        <v>138451.14848</v>
      </c>
      <c r="F590" s="747">
        <f>+SUMIF('Anlage 2b_Korrekturen'!$B$647:$B$1026,A590,'Anlage 2b_Korrekturen'!$F$647:$F$1026)</f>
        <v>315.7713</v>
      </c>
      <c r="G590" s="1094">
        <f t="shared" si="21"/>
        <v>138766.91978</v>
      </c>
      <c r="H590" t="str">
        <f>+VLOOKUP(A590,'Anlage 2a_Letztverbrauch'!$A$413:$J$792,10,FALSE)</f>
        <v>Stadtwerke Bad Sooden-Allendorf</v>
      </c>
    </row>
    <row r="591" spans="1:8" hidden="1" outlineLevel="1">
      <c r="A591" s="988" t="s">
        <v>1184</v>
      </c>
      <c r="B591" s="793">
        <f>+VLOOKUP(A591,'Anlage 2a_Letztverbrauch'!$A$2281:$I$2661,9,FALSE)</f>
        <v>945191.17776000011</v>
      </c>
      <c r="C591" s="95">
        <v>0</v>
      </c>
      <c r="D591" s="95">
        <v>0</v>
      </c>
      <c r="E591" s="95">
        <f t="shared" si="20"/>
        <v>945191.17776000011</v>
      </c>
      <c r="F591" s="747">
        <f>+SUMIF('Anlage 2b_Korrekturen'!$B$647:$B$1026,A591,'Anlage 2b_Korrekturen'!$F$647:$F$1026)</f>
        <v>0</v>
      </c>
      <c r="G591" s="1094">
        <f t="shared" si="21"/>
        <v>945191.17776000011</v>
      </c>
      <c r="H591" t="str">
        <f>+VLOOKUP(A591,'Anlage 2a_Letztverbrauch'!$A$413:$J$792,10,FALSE)</f>
        <v>Stadtwerke Deggendorf GmbH</v>
      </c>
    </row>
    <row r="592" spans="1:8" hidden="1" outlineLevel="1">
      <c r="A592" s="988" t="s">
        <v>1186</v>
      </c>
      <c r="B592" s="793">
        <f>+VLOOKUP(A592,'Anlage 2a_Letztverbrauch'!$A$2281:$I$2661,9,FALSE)</f>
        <v>574413.62768000003</v>
      </c>
      <c r="C592" s="95">
        <v>0</v>
      </c>
      <c r="D592" s="95">
        <v>0</v>
      </c>
      <c r="E592" s="95">
        <f t="shared" si="20"/>
        <v>574413.62768000003</v>
      </c>
      <c r="F592" s="747">
        <f>+SUMIF('Anlage 2b_Korrekturen'!$B$647:$B$1026,A592,'Anlage 2b_Korrekturen'!$F$647:$F$1026)</f>
        <v>545.15332000000001</v>
      </c>
      <c r="G592" s="1094">
        <f t="shared" si="21"/>
        <v>574958.78100000008</v>
      </c>
      <c r="H592" t="str">
        <f>+VLOOKUP(A592,'Anlage 2a_Letztverbrauch'!$A$413:$J$792,10,FALSE)</f>
        <v>Stadtwerke Northeim GmbH</v>
      </c>
    </row>
    <row r="593" spans="1:8" hidden="1" outlineLevel="1">
      <c r="A593" s="988" t="s">
        <v>1188</v>
      </c>
      <c r="B593" s="793">
        <f>+VLOOKUP(A593,'Anlage 2a_Letztverbrauch'!$A$2281:$I$2661,9,FALSE)</f>
        <v>160762.19392000002</v>
      </c>
      <c r="C593" s="95">
        <v>0</v>
      </c>
      <c r="D593" s="95">
        <v>0</v>
      </c>
      <c r="E593" s="95">
        <f t="shared" si="20"/>
        <v>160762.19392000002</v>
      </c>
      <c r="F593" s="747">
        <f>+SUMIF('Anlage 2b_Korrekturen'!$B$647:$B$1026,A593,'Anlage 2b_Korrekturen'!$F$647:$F$1026)</f>
        <v>0</v>
      </c>
      <c r="G593" s="1094">
        <f t="shared" si="21"/>
        <v>160762.19392000002</v>
      </c>
      <c r="H593" t="str">
        <f>+VLOOKUP(A593,'Anlage 2a_Letztverbrauch'!$A$413:$J$792,10,FALSE)</f>
        <v>Stadtwerke Röthenbach a.d. Pegnitz GmbH</v>
      </c>
    </row>
    <row r="594" spans="1:8" hidden="1" outlineLevel="1">
      <c r="A594" s="988" t="s">
        <v>1190</v>
      </c>
      <c r="B594" s="793">
        <f>+VLOOKUP(A594,'Anlage 2a_Letztverbrauch'!$A$2281:$I$2661,9,FALSE)</f>
        <v>576694.57254560012</v>
      </c>
      <c r="C594" s="95">
        <v>0</v>
      </c>
      <c r="D594" s="95">
        <v>0</v>
      </c>
      <c r="E594" s="95">
        <f t="shared" si="20"/>
        <v>576694.57254560012</v>
      </c>
      <c r="F594" s="747">
        <f>+SUMIF('Anlage 2b_Korrekturen'!$B$647:$B$1026,A594,'Anlage 2b_Korrekturen'!$F$647:$F$1026)</f>
        <v>-5905.1097724000001</v>
      </c>
      <c r="G594" s="1094">
        <f t="shared" si="21"/>
        <v>570789.46277320012</v>
      </c>
      <c r="H594" t="str">
        <f>+VLOOKUP(A594,'Anlage 2a_Letztverbrauch'!$A$413:$J$792,10,FALSE)</f>
        <v>KWH Netz GmbH</v>
      </c>
    </row>
    <row r="595" spans="1:8" hidden="1" outlineLevel="1">
      <c r="A595" s="988" t="s">
        <v>1192</v>
      </c>
      <c r="B595" s="793">
        <f>+VLOOKUP(A595,'Anlage 2a_Letztverbrauch'!$A$2281:$I$2661,9,FALSE)</f>
        <v>778882.54975999997</v>
      </c>
      <c r="C595" s="95">
        <v>0</v>
      </c>
      <c r="D595" s="95">
        <v>0</v>
      </c>
      <c r="E595" s="95">
        <f t="shared" si="20"/>
        <v>778882.54975999997</v>
      </c>
      <c r="F595" s="747">
        <f>+SUMIF('Anlage 2b_Korrekturen'!$B$647:$B$1026,A595,'Anlage 2b_Korrekturen'!$F$647:$F$1026)</f>
        <v>0</v>
      </c>
      <c r="G595" s="1094">
        <f t="shared" si="21"/>
        <v>778882.54975999997</v>
      </c>
      <c r="H595" t="str">
        <f>+VLOOKUP(A595,'Anlage 2a_Letztverbrauch'!$A$413:$J$792,10,FALSE)</f>
        <v>Fischereihafen-Betriebsgesellschaft mbH</v>
      </c>
    </row>
    <row r="596" spans="1:8" hidden="1" outlineLevel="1">
      <c r="A596" s="988" t="s">
        <v>1194</v>
      </c>
      <c r="B596" s="793">
        <f>+VLOOKUP(A596,'Anlage 2a_Letztverbrauch'!$A$2281:$I$2661,9,FALSE)</f>
        <v>284592.03392000002</v>
      </c>
      <c r="C596" s="95">
        <v>0</v>
      </c>
      <c r="D596" s="95">
        <v>0</v>
      </c>
      <c r="E596" s="95">
        <f t="shared" si="20"/>
        <v>284592.03392000002</v>
      </c>
      <c r="F596" s="747">
        <f>+SUMIF('Anlage 2b_Korrekturen'!$B$647:$B$1026,A596,'Anlage 2b_Korrekturen'!$F$647:$F$1026)</f>
        <v>-1065.3229200000001</v>
      </c>
      <c r="G596" s="1094">
        <f t="shared" si="21"/>
        <v>283526.71100000001</v>
      </c>
      <c r="H596" t="str">
        <f>+VLOOKUP(A596,'Anlage 2a_Letztverbrauch'!$A$413:$J$792,10,FALSE)</f>
        <v>Gemeindewerke Wendelstein KU</v>
      </c>
    </row>
    <row r="597" spans="1:8" hidden="1" outlineLevel="1">
      <c r="A597" s="988" t="s">
        <v>1196</v>
      </c>
      <c r="B597" s="793">
        <f>+VLOOKUP(A597,'Anlage 2a_Letztverbrauch'!$A$2281:$I$2661,9,FALSE)</f>
        <v>635824.62815999996</v>
      </c>
      <c r="C597" s="95">
        <v>0</v>
      </c>
      <c r="D597" s="95">
        <v>0</v>
      </c>
      <c r="E597" s="95">
        <f t="shared" si="20"/>
        <v>635824.62815999996</v>
      </c>
      <c r="F597" s="747">
        <f>+SUMIF('Anlage 2b_Korrekturen'!$B$647:$B$1026,A597,'Anlage 2b_Korrekturen'!$F$647:$F$1026)</f>
        <v>-2492.07377</v>
      </c>
      <c r="G597" s="1094">
        <f t="shared" si="21"/>
        <v>633332.55438999995</v>
      </c>
      <c r="H597" t="str">
        <f>+VLOOKUP(A597,'Anlage 2a_Letztverbrauch'!$A$413:$J$792,10,FALSE)</f>
        <v>Elektrizitätswerk Tegernsee Carl Miller KG</v>
      </c>
    </row>
    <row r="598" spans="1:8" hidden="1" outlineLevel="1">
      <c r="A598" s="988" t="s">
        <v>1198</v>
      </c>
      <c r="B598" s="793">
        <f>+VLOOKUP(A598,'Anlage 2a_Letztverbrauch'!$A$2281:$I$2661,9,FALSE)</f>
        <v>13374504.596480001</v>
      </c>
      <c r="C598" s="95">
        <v>0</v>
      </c>
      <c r="D598" s="95">
        <v>0</v>
      </c>
      <c r="E598" s="95">
        <f t="shared" si="20"/>
        <v>13374504.596480001</v>
      </c>
      <c r="F598" s="747">
        <f>+SUMIF('Anlage 2b_Korrekturen'!$B$647:$B$1026,A598,'Anlage 2b_Korrekturen'!$F$647:$F$1026)</f>
        <v>0</v>
      </c>
      <c r="G598" s="1094">
        <f t="shared" si="21"/>
        <v>13374504.596480001</v>
      </c>
      <c r="H598" t="str">
        <f>+VLOOKUP(A598,'Anlage 2a_Letztverbrauch'!$A$413:$J$792,10,FALSE)</f>
        <v>wesernetz Bremen GmbH</v>
      </c>
    </row>
    <row r="599" spans="1:8" hidden="1" outlineLevel="1">
      <c r="A599" s="988" t="s">
        <v>1200</v>
      </c>
      <c r="B599" s="793">
        <f>+VLOOKUP(A599,'Anlage 2a_Letztverbrauch'!$A$2281:$I$2661,9,FALSE)</f>
        <v>1568347.79648</v>
      </c>
      <c r="C599" s="95">
        <v>0</v>
      </c>
      <c r="D599" s="95">
        <v>0</v>
      </c>
      <c r="E599" s="95">
        <f t="shared" si="20"/>
        <v>1568347.79648</v>
      </c>
      <c r="F599" s="747">
        <f>+SUMIF('Anlage 2b_Korrekturen'!$B$647:$B$1026,A599,'Anlage 2b_Korrekturen'!$F$647:$F$1026)</f>
        <v>342.45972</v>
      </c>
      <c r="G599" s="1094">
        <f t="shared" si="21"/>
        <v>1568690.2561999999</v>
      </c>
      <c r="H599" t="str">
        <f>+VLOOKUP(A599,'Anlage 2a_Letztverbrauch'!$A$413:$J$792,10,FALSE)</f>
        <v>Stadtwerke Straubing Strom und Gas GmbH</v>
      </c>
    </row>
    <row r="600" spans="1:8" hidden="1" outlineLevel="1">
      <c r="A600" s="988" t="s">
        <v>1202</v>
      </c>
      <c r="B600" s="793">
        <f>+VLOOKUP(A600,'Anlage 2a_Letztverbrauch'!$A$2281:$I$2661,9,FALSE)</f>
        <v>127345.44895999999</v>
      </c>
      <c r="C600" s="95">
        <v>0</v>
      </c>
      <c r="D600" s="95">
        <v>0</v>
      </c>
      <c r="E600" s="95">
        <f t="shared" si="20"/>
        <v>127345.44895999999</v>
      </c>
      <c r="F600" s="747">
        <f>+SUMIF('Anlage 2b_Korrekturen'!$B$647:$B$1026,A600,'Anlage 2b_Korrekturen'!$F$647:$F$1026)</f>
        <v>0</v>
      </c>
      <c r="G600" s="1094">
        <f t="shared" si="21"/>
        <v>127345.44895999999</v>
      </c>
      <c r="H600" t="str">
        <f>+VLOOKUP(A600,'Anlage 2a_Letztverbrauch'!$A$413:$J$792,10,FALSE)</f>
        <v>Stadtwerke Schlitz</v>
      </c>
    </row>
    <row r="601" spans="1:8" hidden="1" outlineLevel="1">
      <c r="A601" s="988" t="s">
        <v>1204</v>
      </c>
      <c r="B601" s="793">
        <f>+VLOOKUP(A601,'Anlage 2a_Letztverbrauch'!$A$2281:$I$2661,9,FALSE)</f>
        <v>40154031.234400004</v>
      </c>
      <c r="C601" s="95">
        <v>-35015.74</v>
      </c>
      <c r="D601" s="95">
        <v>0</v>
      </c>
      <c r="E601" s="95">
        <f t="shared" si="20"/>
        <v>40119015.494400002</v>
      </c>
      <c r="F601" s="747">
        <f>+SUMIF('Anlage 2b_Korrekturen'!$B$647:$B$1026,A601,'Anlage 2b_Korrekturen'!$F$647:$F$1026)</f>
        <v>121117.24737000001</v>
      </c>
      <c r="G601" s="1094">
        <f t="shared" si="21"/>
        <v>40240132.741769999</v>
      </c>
      <c r="H601" t="str">
        <f>+VLOOKUP(A601,'Anlage 2a_Letztverbrauch'!$A$413:$J$792,10,FALSE)</f>
        <v>SWM Infrastruktur GmbH &amp; Co. KG</v>
      </c>
    </row>
    <row r="602" spans="1:8" hidden="1" outlineLevel="1">
      <c r="A602" s="988" t="s">
        <v>1206</v>
      </c>
      <c r="B602" s="793">
        <f>+VLOOKUP(A602,'Anlage 2a_Letztverbrauch'!$A$2281:$I$2661,9,FALSE)</f>
        <v>548687.62991999998</v>
      </c>
      <c r="C602" s="95">
        <v>0</v>
      </c>
      <c r="D602" s="95">
        <v>0</v>
      </c>
      <c r="E602" s="95">
        <f t="shared" si="20"/>
        <v>548687.62991999998</v>
      </c>
      <c r="F602" s="747">
        <f>+SUMIF('Anlage 2b_Korrekturen'!$B$647:$B$1026,A602,'Anlage 2b_Korrekturen'!$F$647:$F$1026)</f>
        <v>0</v>
      </c>
      <c r="G602" s="1094">
        <f t="shared" si="21"/>
        <v>548687.62991999998</v>
      </c>
      <c r="H602" t="str">
        <f>+VLOOKUP(A602,'Anlage 2a_Letztverbrauch'!$A$413:$J$792,10,FALSE)</f>
        <v>SW Südholstein GmbH ehemals SW Tornesch-Netz GmbH</v>
      </c>
    </row>
    <row r="603" spans="1:8" hidden="1" outlineLevel="1">
      <c r="A603" s="988" t="s">
        <v>1208</v>
      </c>
      <c r="B603" s="793">
        <f>+VLOOKUP(A603,'Anlage 2a_Letztverbrauch'!$A$2281:$I$2661,9,FALSE)</f>
        <v>349560.24687999999</v>
      </c>
      <c r="C603" s="95">
        <v>0</v>
      </c>
      <c r="D603" s="95">
        <v>0</v>
      </c>
      <c r="E603" s="95">
        <f t="shared" si="20"/>
        <v>349560.24687999999</v>
      </c>
      <c r="F603" s="747">
        <f>+SUMIF('Anlage 2b_Korrekturen'!$B$647:$B$1026,A603,'Anlage 2b_Korrekturen'!$F$647:$F$1026)</f>
        <v>0</v>
      </c>
      <c r="G603" s="1094">
        <f t="shared" si="21"/>
        <v>349560.24687999999</v>
      </c>
      <c r="H603" t="str">
        <f>+VLOOKUP(A603,'Anlage 2a_Letztverbrauch'!$A$413:$J$792,10,FALSE)</f>
        <v>Stadtwerke Oerlinghausen GmbH</v>
      </c>
    </row>
    <row r="604" spans="1:8" hidden="1" outlineLevel="1">
      <c r="A604" s="988" t="s">
        <v>1210</v>
      </c>
      <c r="B604" s="793">
        <f>+VLOOKUP(A604,'Anlage 2a_Letztverbrauch'!$A$2281:$I$2661,9,FALSE)</f>
        <v>6609851.4867200004</v>
      </c>
      <c r="C604" s="95">
        <v>0</v>
      </c>
      <c r="D604" s="95">
        <v>0</v>
      </c>
      <c r="E604" s="95">
        <f t="shared" si="20"/>
        <v>6609851.4867200004</v>
      </c>
      <c r="F604" s="747">
        <f>+SUMIF('Anlage 2b_Korrekturen'!$B$647:$B$1026,A604,'Anlage 2b_Korrekturen'!$F$647:$F$1026)</f>
        <v>0</v>
      </c>
      <c r="G604" s="1094">
        <f t="shared" si="21"/>
        <v>6609851.4867200004</v>
      </c>
      <c r="H604" t="str">
        <f>+VLOOKUP(A604,'Anlage 2a_Letztverbrauch'!$A$413:$J$792,10,FALSE)</f>
        <v>Braunschweiger Netz GmbH</v>
      </c>
    </row>
    <row r="605" spans="1:8" hidden="1" outlineLevel="1">
      <c r="A605" s="988" t="s">
        <v>1212</v>
      </c>
      <c r="B605" s="793">
        <f>+VLOOKUP(A605,'Anlage 2a_Letztverbrauch'!$A$2281:$I$2661,9,FALSE)</f>
        <v>423282.43215999997</v>
      </c>
      <c r="C605" s="95">
        <v>0</v>
      </c>
      <c r="D605" s="95">
        <v>0</v>
      </c>
      <c r="E605" s="95">
        <f t="shared" si="20"/>
        <v>423282.43215999997</v>
      </c>
      <c r="F605" s="747">
        <f>+SUMIF('Anlage 2b_Korrekturen'!$B$647:$B$1026,A605,'Anlage 2b_Korrekturen'!$F$647:$F$1026)</f>
        <v>0</v>
      </c>
      <c r="G605" s="1094">
        <f t="shared" si="21"/>
        <v>423282.43215999997</v>
      </c>
      <c r="H605" t="str">
        <f>+VLOOKUP(A605,'Anlage 2a_Letztverbrauch'!$A$413:$J$792,10,FALSE)</f>
        <v>Stadtwerke Bad Harzburg GmbH</v>
      </c>
    </row>
    <row r="606" spans="1:8" hidden="1" outlineLevel="1">
      <c r="A606" s="988" t="s">
        <v>1214</v>
      </c>
      <c r="B606" s="793">
        <f>+VLOOKUP(A606,'Anlage 2a_Letztverbrauch'!$A$2281:$I$2661,9,FALSE)</f>
        <v>171880.14216799999</v>
      </c>
      <c r="C606" s="95">
        <v>0</v>
      </c>
      <c r="D606" s="95">
        <v>0</v>
      </c>
      <c r="E606" s="95">
        <f t="shared" si="20"/>
        <v>171880.14216799999</v>
      </c>
      <c r="F606" s="747">
        <f>+SUMIF('Anlage 2b_Korrekturen'!$B$647:$B$1026,A606,'Anlage 2b_Korrekturen'!$F$647:$F$1026)</f>
        <v>0</v>
      </c>
      <c r="G606" s="1094">
        <f t="shared" si="21"/>
        <v>171880.14216799999</v>
      </c>
      <c r="H606" t="str">
        <f>+VLOOKUP(A606,'Anlage 2a_Letztverbrauch'!$A$413:$J$792,10,FALSE)</f>
        <v>Versorgungsbetriebe Kronshagen GmbH</v>
      </c>
    </row>
    <row r="607" spans="1:8" hidden="1" outlineLevel="1">
      <c r="A607" s="988" t="s">
        <v>1216</v>
      </c>
      <c r="B607" s="793">
        <f>+VLOOKUP(A607,'Anlage 2a_Letztverbrauch'!$A$2281:$I$2661,9,FALSE)</f>
        <v>240367.79392</v>
      </c>
      <c r="C607" s="95">
        <v>0</v>
      </c>
      <c r="D607" s="95">
        <v>0</v>
      </c>
      <c r="E607" s="95">
        <f t="shared" si="20"/>
        <v>240367.79392</v>
      </c>
      <c r="F607" s="747">
        <f>+SUMIF('Anlage 2b_Korrekturen'!$B$647:$B$1026,A607,'Anlage 2b_Korrekturen'!$F$647:$F$1026)</f>
        <v>0</v>
      </c>
      <c r="G607" s="1094">
        <f t="shared" si="21"/>
        <v>240367.79392</v>
      </c>
      <c r="H607" t="str">
        <f>+VLOOKUP(A607,'Anlage 2a_Letztverbrauch'!$A$413:$J$792,10,FALSE)</f>
        <v>KBG Kraftstrom-Bezugsgenossenschaft Homberg e.G.</v>
      </c>
    </row>
    <row r="608" spans="1:8" hidden="1" outlineLevel="1">
      <c r="A608" s="988" t="s">
        <v>1218</v>
      </c>
      <c r="B608" s="793">
        <f>+VLOOKUP(A608,'Anlage 2a_Letztverbrauch'!$A$2281:$I$2661,9,FALSE)</f>
        <v>392600.98415999999</v>
      </c>
      <c r="C608" s="95">
        <v>0</v>
      </c>
      <c r="D608" s="95">
        <v>0</v>
      </c>
      <c r="E608" s="95">
        <f t="shared" si="20"/>
        <v>392600.98415999999</v>
      </c>
      <c r="F608" s="747">
        <f>+SUMIF('Anlage 2b_Korrekturen'!$B$647:$B$1026,A608,'Anlage 2b_Korrekturen'!$F$647:$F$1026)</f>
        <v>0</v>
      </c>
      <c r="G608" s="1094">
        <f t="shared" si="21"/>
        <v>392600.98415999999</v>
      </c>
      <c r="H608" t="str">
        <f>+VLOOKUP(A608,'Anlage 2a_Letztverbrauch'!$A$413:$J$792,10,FALSE)</f>
        <v>Wirtschaftsbetriebe der Stadt Norden GmbH</v>
      </c>
    </row>
    <row r="609" spans="1:8" hidden="1" outlineLevel="1">
      <c r="A609" s="988" t="s">
        <v>1220</v>
      </c>
      <c r="B609" s="793">
        <f>+VLOOKUP(A609,'Anlage 2a_Letztverbrauch'!$A$2281:$I$2661,9,FALSE)</f>
        <v>405568.83807999996</v>
      </c>
      <c r="C609" s="95">
        <v>0</v>
      </c>
      <c r="D609" s="95">
        <v>0</v>
      </c>
      <c r="E609" s="95">
        <f t="shared" si="20"/>
        <v>405568.83807999996</v>
      </c>
      <c r="F609" s="747">
        <f>+SUMIF('Anlage 2b_Korrekturen'!$B$647:$B$1026,A609,'Anlage 2b_Korrekturen'!$F$647:$F$1026)</f>
        <v>0</v>
      </c>
      <c r="G609" s="1094">
        <f t="shared" si="21"/>
        <v>405568.83807999996</v>
      </c>
      <c r="H609" t="str">
        <f>+VLOOKUP(A609,'Anlage 2a_Letztverbrauch'!$A$413:$J$792,10,FALSE)</f>
        <v>Stadtwerke Dingolfing GmbH</v>
      </c>
    </row>
    <row r="610" spans="1:8" hidden="1" outlineLevel="1">
      <c r="A610" s="988" t="s">
        <v>1476</v>
      </c>
      <c r="B610" s="793">
        <f>+VLOOKUP(A610,'Anlage 2a_Letztverbrauch'!$A$2281:$I$2661,9,FALSE)</f>
        <v>1555188.10192</v>
      </c>
      <c r="C610" s="95">
        <v>0</v>
      </c>
      <c r="D610" s="95">
        <v>0</v>
      </c>
      <c r="E610" s="95">
        <f t="shared" si="20"/>
        <v>1555188.10192</v>
      </c>
      <c r="F610" s="747">
        <f>+SUMIF('Anlage 2b_Korrekturen'!$B$647:$B$1026,A610,'Anlage 2b_Korrekturen'!$F$647:$F$1026)</f>
        <v>-83.657939999999996</v>
      </c>
      <c r="G610" s="1094">
        <f t="shared" si="21"/>
        <v>1555104.44398</v>
      </c>
      <c r="H610" t="str">
        <f>+VLOOKUP(A610,'Anlage 2a_Letztverbrauch'!$A$413:$J$792,10,FALSE)</f>
        <v>Stadtwerke Rosenheim Netze GmbH</v>
      </c>
    </row>
    <row r="611" spans="1:8" hidden="1" outlineLevel="1">
      <c r="A611" s="988" t="s">
        <v>1222</v>
      </c>
      <c r="B611" s="793">
        <f>+VLOOKUP(A611,'Anlage 2a_Letztverbrauch'!$A$2281:$I$2661,9,FALSE)</f>
        <v>376214.44528000004</v>
      </c>
      <c r="C611" s="95">
        <v>0</v>
      </c>
      <c r="D611" s="95">
        <v>0</v>
      </c>
      <c r="E611" s="95">
        <f t="shared" si="20"/>
        <v>376214.44528000004</v>
      </c>
      <c r="F611" s="747">
        <f>+SUMIF('Anlage 2b_Korrekturen'!$B$647:$B$1026,A611,'Anlage 2b_Korrekturen'!$F$647:$F$1026)</f>
        <v>0</v>
      </c>
      <c r="G611" s="1094">
        <f t="shared" si="21"/>
        <v>376214.44528000004</v>
      </c>
      <c r="H611" t="str">
        <f>+VLOOKUP(A611,'Anlage 2a_Letztverbrauch'!$A$413:$J$792,10,FALSE)</f>
        <v>Stadtwerke Neunburg vorm Wald Strom GmbH</v>
      </c>
    </row>
    <row r="612" spans="1:8" hidden="1" outlineLevel="1">
      <c r="A612" s="988" t="s">
        <v>1224</v>
      </c>
      <c r="B612" s="793">
        <f>+VLOOKUP(A612,'Anlage 2a_Letztverbrauch'!$A$2281:$I$2661,9,FALSE)</f>
        <v>355002.07520000002</v>
      </c>
      <c r="C612" s="95">
        <v>0</v>
      </c>
      <c r="D612" s="95">
        <v>0</v>
      </c>
      <c r="E612" s="95">
        <f t="shared" si="20"/>
        <v>355002.07520000002</v>
      </c>
      <c r="F612" s="747">
        <f>+SUMIF('Anlage 2b_Korrekturen'!$B$647:$B$1026,A612,'Anlage 2b_Korrekturen'!$F$647:$F$1026)</f>
        <v>0</v>
      </c>
      <c r="G612" s="1094">
        <f t="shared" si="21"/>
        <v>355002.07520000002</v>
      </c>
      <c r="H612" t="str">
        <f>+VLOOKUP(A612,'Anlage 2a_Letztverbrauch'!$A$413:$J$792,10,FALSE)</f>
        <v>Stadtwerke Bad Aibling</v>
      </c>
    </row>
    <row r="613" spans="1:8" hidden="1" outlineLevel="1">
      <c r="A613" s="988" t="s">
        <v>1226</v>
      </c>
      <c r="B613" s="793">
        <f>+VLOOKUP(A613,'Anlage 2a_Letztverbrauch'!$A$2281:$I$2661,9,FALSE)</f>
        <v>385647.53503999999</v>
      </c>
      <c r="C613" s="95">
        <v>0</v>
      </c>
      <c r="D613" s="95">
        <v>0</v>
      </c>
      <c r="E613" s="95">
        <f t="shared" si="20"/>
        <v>385647.53503999999</v>
      </c>
      <c r="F613" s="747">
        <f>+SUMIF('Anlage 2b_Korrekturen'!$B$647:$B$1026,A613,'Anlage 2b_Korrekturen'!$F$647:$F$1026)</f>
        <v>0</v>
      </c>
      <c r="G613" s="1094">
        <f t="shared" si="21"/>
        <v>385647.53503999999</v>
      </c>
      <c r="H613" t="str">
        <f>+VLOOKUP(A613,'Anlage 2a_Letztverbrauch'!$A$413:$J$792,10,FALSE)</f>
        <v>SVH Stromversorgung Haar GmbH</v>
      </c>
    </row>
    <row r="614" spans="1:8" hidden="1" outlineLevel="1">
      <c r="A614" s="988" t="s">
        <v>1228</v>
      </c>
      <c r="B614" s="793">
        <f>+VLOOKUP(A614,'Anlage 2a_Letztverbrauch'!$A$2281:$I$2661,9,FALSE)</f>
        <v>943533.74128000007</v>
      </c>
      <c r="C614" s="95">
        <v>0</v>
      </c>
      <c r="D614" s="95">
        <v>0</v>
      </c>
      <c r="E614" s="95">
        <f t="shared" si="20"/>
        <v>943533.74128000007</v>
      </c>
      <c r="F614" s="747">
        <f>+SUMIF('Anlage 2b_Korrekturen'!$B$647:$B$1026,A614,'Anlage 2b_Korrekturen'!$F$647:$F$1026)</f>
        <v>-531.46416999999997</v>
      </c>
      <c r="G614" s="1094">
        <f t="shared" si="21"/>
        <v>943002.27711000002</v>
      </c>
      <c r="H614" t="str">
        <f>+VLOOKUP(A614,'Anlage 2a_Letztverbrauch'!$A$413:$J$792,10,FALSE)</f>
        <v>Stadtwerke Neumarkt i.d.OPf. Energie GmbH</v>
      </c>
    </row>
    <row r="615" spans="1:8" hidden="1" outlineLevel="1">
      <c r="A615" s="988" t="s">
        <v>1230</v>
      </c>
      <c r="B615" s="793">
        <f>+VLOOKUP(A615,'Anlage 2a_Letztverbrauch'!$A$2281:$I$2661,9,FALSE)</f>
        <v>342257.85167999996</v>
      </c>
      <c r="C615" s="95">
        <v>0</v>
      </c>
      <c r="D615" s="95">
        <v>0</v>
      </c>
      <c r="E615" s="95">
        <f t="shared" si="20"/>
        <v>342257.85167999996</v>
      </c>
      <c r="F615" s="747">
        <f>+SUMIF('Anlage 2b_Korrekturen'!$B$647:$B$1026,A615,'Anlage 2b_Korrekturen'!$F$647:$F$1026)</f>
        <v>-14.883989999999999</v>
      </c>
      <c r="G615" s="1094">
        <f t="shared" si="21"/>
        <v>342242.96768999996</v>
      </c>
      <c r="H615" t="str">
        <f>+VLOOKUP(A615,'Anlage 2a_Letztverbrauch'!$A$413:$J$792,10,FALSE)</f>
        <v>Licht- und Kraftwerke Helmbrechts</v>
      </c>
    </row>
    <row r="616" spans="1:8" hidden="1" outlineLevel="1">
      <c r="A616" s="988" t="s">
        <v>1232</v>
      </c>
      <c r="B616" s="793">
        <f>+VLOOKUP(A616,'Anlage 2a_Letztverbrauch'!$A$2281:$I$2661,9,FALSE)</f>
        <v>133129.76176000002</v>
      </c>
      <c r="C616" s="95">
        <v>0</v>
      </c>
      <c r="D616" s="95">
        <v>0</v>
      </c>
      <c r="E616" s="95">
        <f t="shared" si="20"/>
        <v>133129.76176000002</v>
      </c>
      <c r="F616" s="747">
        <f>+SUMIF('Anlage 2b_Korrekturen'!$B$647:$B$1026,A616,'Anlage 2b_Korrekturen'!$F$647:$F$1026)</f>
        <v>0</v>
      </c>
      <c r="G616" s="1094">
        <f t="shared" si="21"/>
        <v>133129.76176000002</v>
      </c>
      <c r="H616" t="str">
        <f>+VLOOKUP(A616,'Anlage 2a_Letztverbrauch'!$A$413:$J$792,10,FALSE)</f>
        <v>Strotög GmbH Strom aus Töging</v>
      </c>
    </row>
    <row r="617" spans="1:8" hidden="1" outlineLevel="1">
      <c r="A617" s="988" t="s">
        <v>1234</v>
      </c>
      <c r="B617" s="793">
        <f>+VLOOKUP(A617,'Anlage 2a_Letztverbrauch'!$A$2281:$I$2661,9,FALSE)</f>
        <v>155450.06906720001</v>
      </c>
      <c r="C617" s="95">
        <v>0</v>
      </c>
      <c r="D617" s="95">
        <v>0</v>
      </c>
      <c r="E617" s="95">
        <f t="shared" si="20"/>
        <v>155450.06906720001</v>
      </c>
      <c r="F617" s="747">
        <f>+SUMIF('Anlage 2b_Korrekturen'!$B$647:$B$1026,A617,'Anlage 2b_Korrekturen'!$F$647:$F$1026)</f>
        <v>0</v>
      </c>
      <c r="G617" s="1094">
        <f t="shared" si="21"/>
        <v>155450.06906720001</v>
      </c>
      <c r="H617" t="str">
        <f>+VLOOKUP(A617,'Anlage 2a_Letztverbrauch'!$A$413:$J$792,10,FALSE)</f>
        <v>Stromversorgung Schierling eG</v>
      </c>
    </row>
    <row r="618" spans="1:8" hidden="1" outlineLevel="1">
      <c r="A618" s="988" t="s">
        <v>1236</v>
      </c>
      <c r="B618" s="793">
        <f>+VLOOKUP(A618,'Anlage 2a_Letztverbrauch'!$A$2281:$I$2661,9,FALSE)</f>
        <v>366343.35744000005</v>
      </c>
      <c r="C618" s="95">
        <v>0</v>
      </c>
      <c r="D618" s="95">
        <v>0</v>
      </c>
      <c r="E618" s="95">
        <f t="shared" si="20"/>
        <v>366343.35744000005</v>
      </c>
      <c r="F618" s="747">
        <f>+SUMIF('Anlage 2b_Korrekturen'!$B$647:$B$1026,A618,'Anlage 2b_Korrekturen'!$F$647:$F$1026)</f>
        <v>0</v>
      </c>
      <c r="G618" s="1094">
        <f t="shared" si="21"/>
        <v>366343.35744000005</v>
      </c>
      <c r="H618" t="str">
        <f>+VLOOKUP(A618,'Anlage 2a_Letztverbrauch'!$A$413:$J$792,10,FALSE)</f>
        <v>Stadtwerke Neustadt in Holstein</v>
      </c>
    </row>
    <row r="619" spans="1:8" hidden="1" outlineLevel="1">
      <c r="A619" s="988" t="s">
        <v>1238</v>
      </c>
      <c r="B619" s="793">
        <f>+VLOOKUP(A619,'Anlage 2a_Letztverbrauch'!$A$2281:$I$2661,9,FALSE)</f>
        <v>5605532.4430400003</v>
      </c>
      <c r="C619" s="95">
        <v>0</v>
      </c>
      <c r="D619" s="95">
        <v>0</v>
      </c>
      <c r="E619" s="95">
        <f t="shared" si="20"/>
        <v>5605532.4430400003</v>
      </c>
      <c r="F619" s="747">
        <f>+SUMIF('Anlage 2b_Korrekturen'!$B$647:$B$1026,A619,'Anlage 2b_Korrekturen'!$F$647:$F$1026)</f>
        <v>0</v>
      </c>
      <c r="G619" s="1094">
        <f t="shared" si="21"/>
        <v>5605532.4430400003</v>
      </c>
      <c r="H619" t="str">
        <f>+VLOOKUP(A619,'Anlage 2a_Letztverbrauch'!$A$413:$J$792,10,FALSE)</f>
        <v>SW Kiel Netz GmbH</v>
      </c>
    </row>
    <row r="620" spans="1:8" hidden="1" outlineLevel="1">
      <c r="A620" s="988" t="s">
        <v>1879</v>
      </c>
      <c r="B620" s="793">
        <f>+VLOOKUP(A620,'Anlage 2a_Letztverbrauch'!$A$2281:$I$2661,9,FALSE)</f>
        <v>39875.760320000001</v>
      </c>
      <c r="C620" s="95">
        <v>0</v>
      </c>
      <c r="D620" s="95">
        <v>0</v>
      </c>
      <c r="E620" s="95">
        <f t="shared" si="20"/>
        <v>39875.760320000001</v>
      </c>
      <c r="F620" s="747">
        <f>+SUMIF('Anlage 2b_Korrekturen'!$B$647:$B$1026,A620,'Anlage 2b_Korrekturen'!$F$647:$F$1026)</f>
        <v>0</v>
      </c>
      <c r="G620" s="1094">
        <f t="shared" si="21"/>
        <v>39875.760320000001</v>
      </c>
      <c r="H620" t="str">
        <f>+VLOOKUP(A620,'Anlage 2a_Letztverbrauch'!$A$413:$J$792,10,FALSE)</f>
        <v>EW Geiger GmbH</v>
      </c>
    </row>
    <row r="621" spans="1:8" hidden="1" outlineLevel="1">
      <c r="A621" s="988" t="s">
        <v>1240</v>
      </c>
      <c r="B621" s="793">
        <f>+VLOOKUP(A621,'Anlage 2a_Letztverbrauch'!$A$2281:$I$2661,9,FALSE)</f>
        <v>125730.57376</v>
      </c>
      <c r="C621" s="95">
        <v>0</v>
      </c>
      <c r="D621" s="95">
        <v>0</v>
      </c>
      <c r="E621" s="95">
        <f t="shared" si="20"/>
        <v>125730.57376</v>
      </c>
      <c r="F621" s="747">
        <f>+SUMIF('Anlage 2b_Korrekturen'!$B$647:$B$1026,A621,'Anlage 2b_Korrekturen'!$F$647:$F$1026)</f>
        <v>1133.69757</v>
      </c>
      <c r="G621" s="1094">
        <f t="shared" si="21"/>
        <v>126864.27133</v>
      </c>
      <c r="H621" t="str">
        <f>+VLOOKUP(A621,'Anlage 2a_Letztverbrauch'!$A$413:$J$792,10,FALSE)</f>
        <v>Gemeindewerke Neuendettelsau</v>
      </c>
    </row>
    <row r="622" spans="1:8" hidden="1" outlineLevel="1">
      <c r="A622" s="988" t="s">
        <v>1242</v>
      </c>
      <c r="B622" s="793">
        <f>+VLOOKUP(A622,'Anlage 2a_Letztverbrauch'!$A$2281:$I$2661,9,FALSE)</f>
        <v>1165729.5086400001</v>
      </c>
      <c r="C622" s="95">
        <v>0</v>
      </c>
      <c r="D622" s="95">
        <v>0</v>
      </c>
      <c r="E622" s="95">
        <f t="shared" si="20"/>
        <v>1165729.5086400001</v>
      </c>
      <c r="F622" s="747">
        <f>+SUMIF('Anlage 2b_Korrekturen'!$B$647:$B$1026,A622,'Anlage 2b_Korrekturen'!$F$647:$F$1026)</f>
        <v>12390.902180000001</v>
      </c>
      <c r="G622" s="1094">
        <f t="shared" si="21"/>
        <v>1178120.4108200001</v>
      </c>
      <c r="H622" t="str">
        <f>+VLOOKUP(A622,'Anlage 2a_Letztverbrauch'!$A$413:$J$792,10,FALSE)</f>
        <v>Stadtwerke Achim AG</v>
      </c>
    </row>
    <row r="623" spans="1:8" hidden="1" outlineLevel="1">
      <c r="A623" s="988" t="s">
        <v>1244</v>
      </c>
      <c r="B623" s="793">
        <f>+VLOOKUP(A623,'Anlage 2a_Letztverbrauch'!$A$2281:$I$2661,9,FALSE)</f>
        <v>106761.26448000001</v>
      </c>
      <c r="C623" s="95">
        <v>0</v>
      </c>
      <c r="D623" s="95">
        <v>0</v>
      </c>
      <c r="E623" s="95">
        <f t="shared" si="20"/>
        <v>106761.26448000001</v>
      </c>
      <c r="F623" s="747">
        <f>+SUMIF('Anlage 2b_Korrekturen'!$B$647:$B$1026,A623,'Anlage 2b_Korrekturen'!$F$647:$F$1026)</f>
        <v>0</v>
      </c>
      <c r="G623" s="1094">
        <f t="shared" si="21"/>
        <v>106761.26448000001</v>
      </c>
      <c r="H623" t="str">
        <f>+VLOOKUP(A623,'Anlage 2a_Letztverbrauch'!$A$413:$J$792,10,FALSE)</f>
        <v>Stadtwerke Uffenheim</v>
      </c>
    </row>
    <row r="624" spans="1:8" hidden="1" outlineLevel="1">
      <c r="A624" s="988" t="s">
        <v>1246</v>
      </c>
      <c r="B624" s="793">
        <f>+VLOOKUP(A624,'Anlage 2a_Letztverbrauch'!$A$2281:$I$2661,9,FALSE)</f>
        <v>759534.41359999997</v>
      </c>
      <c r="C624" s="95">
        <v>0</v>
      </c>
      <c r="D624" s="95">
        <v>0</v>
      </c>
      <c r="E624" s="95">
        <f t="shared" si="20"/>
        <v>759534.41359999997</v>
      </c>
      <c r="F624" s="747">
        <f>+SUMIF('Anlage 2b_Korrekturen'!$B$647:$B$1026,A624,'Anlage 2b_Korrekturen'!$F$647:$F$1026)</f>
        <v>5107.8125900000005</v>
      </c>
      <c r="G624" s="1094">
        <f t="shared" si="21"/>
        <v>764642.22618999996</v>
      </c>
      <c r="H624" t="str">
        <f>+VLOOKUP(A624,'Anlage 2a_Letztverbrauch'!$A$413:$J$792,10,FALSE)</f>
        <v>Stadtwerke Neuburg an der Donau</v>
      </c>
    </row>
    <row r="625" spans="1:8" hidden="1" outlineLevel="1">
      <c r="A625" s="988" t="s">
        <v>1248</v>
      </c>
      <c r="B625" s="793">
        <f>+VLOOKUP(A625,'Anlage 2a_Letztverbrauch'!$A$2281:$I$2661,9,FALSE)</f>
        <v>96325.563999999998</v>
      </c>
      <c r="C625" s="95">
        <v>0</v>
      </c>
      <c r="D625" s="95">
        <v>0</v>
      </c>
      <c r="E625" s="95">
        <f t="shared" si="20"/>
        <v>96325.563999999998</v>
      </c>
      <c r="F625" s="747">
        <f>+SUMIF('Anlage 2b_Korrekturen'!$B$647:$B$1026,A625,'Anlage 2b_Korrekturen'!$F$647:$F$1026)</f>
        <v>0</v>
      </c>
      <c r="G625" s="1094">
        <f t="shared" si="21"/>
        <v>96325.563999999998</v>
      </c>
      <c r="H625" t="str">
        <f>+VLOOKUP(A625,'Anlage 2a_Letztverbrauch'!$A$413:$J$792,10,FALSE)</f>
        <v>Gemeindewerke Pleinfeld</v>
      </c>
    </row>
    <row r="626" spans="1:8" hidden="1" outlineLevel="1">
      <c r="A626" s="988" t="s">
        <v>1250</v>
      </c>
      <c r="B626" s="793">
        <f>+VLOOKUP(A626,'Anlage 2a_Letztverbrauch'!$A$2281:$I$2661,9,FALSE)</f>
        <v>2249548.5219200002</v>
      </c>
      <c r="C626" s="95">
        <v>0</v>
      </c>
      <c r="D626" s="95">
        <v>0</v>
      </c>
      <c r="E626" s="95">
        <f t="shared" si="20"/>
        <v>2249548.5219200002</v>
      </c>
      <c r="F626" s="747">
        <f>+SUMIF('Anlage 2b_Korrekturen'!$B$647:$B$1026,A626,'Anlage 2b_Korrekturen'!$F$647:$F$1026)</f>
        <v>0</v>
      </c>
      <c r="G626" s="1094">
        <f t="shared" si="21"/>
        <v>2249548.5219200002</v>
      </c>
      <c r="H626" t="str">
        <f>+VLOOKUP(A626,'Anlage 2a_Letztverbrauch'!$A$413:$J$792,10,FALSE)</f>
        <v>Stadtwerke Landshut</v>
      </c>
    </row>
    <row r="627" spans="1:8" hidden="1" outlineLevel="1">
      <c r="A627" s="988" t="s">
        <v>1252</v>
      </c>
      <c r="B627" s="793">
        <f>+VLOOKUP(A627,'Anlage 2a_Letztverbrauch'!$A$2281:$I$2661,9,FALSE)</f>
        <v>299188.09951999999</v>
      </c>
      <c r="C627" s="95">
        <v>0</v>
      </c>
      <c r="D627" s="95">
        <v>0</v>
      </c>
      <c r="E627" s="95">
        <f t="shared" si="20"/>
        <v>299188.09951999999</v>
      </c>
      <c r="F627" s="747">
        <f>+SUMIF('Anlage 2b_Korrekturen'!$B$647:$B$1026,A627,'Anlage 2b_Korrekturen'!$F$647:$F$1026)</f>
        <v>0</v>
      </c>
      <c r="G627" s="1094">
        <f t="shared" si="21"/>
        <v>299188.09951999999</v>
      </c>
      <c r="H627" t="str">
        <f>+VLOOKUP(A627,'Anlage 2a_Letztverbrauch'!$A$413:$J$792,10,FALSE)</f>
        <v>Stadtwerke Eichstätt Versorgungs-GmbH</v>
      </c>
    </row>
    <row r="628" spans="1:8" hidden="1" outlineLevel="1">
      <c r="A628" s="988" t="s">
        <v>1254</v>
      </c>
      <c r="B628" s="793">
        <f>+VLOOKUP(A628,'Anlage 2a_Letztverbrauch'!$A$2281:$I$2661,9,FALSE)</f>
        <v>651364.92703999998</v>
      </c>
      <c r="C628" s="95">
        <v>0</v>
      </c>
      <c r="D628" s="95">
        <v>0</v>
      </c>
      <c r="E628" s="95">
        <f t="shared" si="20"/>
        <v>651364.92703999998</v>
      </c>
      <c r="F628" s="747">
        <f>+SUMIF('Anlage 2b_Korrekturen'!$B$647:$B$1026,A628,'Anlage 2b_Korrekturen'!$F$647:$F$1026)</f>
        <v>-655.11279999999999</v>
      </c>
      <c r="G628" s="1094">
        <f t="shared" si="21"/>
        <v>650709.81423999998</v>
      </c>
      <c r="H628" t="str">
        <f>+VLOOKUP(A628,'Anlage 2a_Letztverbrauch'!$A$413:$J$792,10,FALSE)</f>
        <v>StWL Städtische Werke Lauf a.d. Pegnitz GmbH</v>
      </c>
    </row>
    <row r="629" spans="1:8" hidden="1" outlineLevel="1">
      <c r="A629" s="988" t="s">
        <v>1256</v>
      </c>
      <c r="B629" s="793">
        <f>+VLOOKUP(A629,'Anlage 2a_Letztverbrauch'!$A$2281:$I$2661,9,FALSE)</f>
        <v>94815.858719999989</v>
      </c>
      <c r="C629" s="95">
        <v>0</v>
      </c>
      <c r="D629" s="95">
        <v>0</v>
      </c>
      <c r="E629" s="95">
        <f t="shared" si="20"/>
        <v>94815.858719999989</v>
      </c>
      <c r="F629" s="747">
        <f>+SUMIF('Anlage 2b_Korrekturen'!$B$647:$B$1026,A629,'Anlage 2b_Korrekturen'!$F$647:$F$1026)</f>
        <v>-279.98746</v>
      </c>
      <c r="G629" s="1094">
        <f t="shared" si="21"/>
        <v>94535.871259999985</v>
      </c>
      <c r="H629" t="str">
        <f>+VLOOKUP(A629,'Anlage 2a_Letztverbrauch'!$A$413:$J$792,10,FALSE)</f>
        <v>Stromversorgung Neunkirchen GmbH</v>
      </c>
    </row>
    <row r="630" spans="1:8" hidden="1" outlineLevel="1">
      <c r="A630" s="988" t="s">
        <v>1258</v>
      </c>
      <c r="B630" s="793">
        <f>+VLOOKUP(A630,'Anlage 2a_Letztverbrauch'!$A$2281:$I$2661,9,FALSE)</f>
        <v>120521.05472000001</v>
      </c>
      <c r="C630" s="95">
        <v>0</v>
      </c>
      <c r="D630" s="95">
        <v>0</v>
      </c>
      <c r="E630" s="95">
        <f t="shared" si="20"/>
        <v>120521.05472000001</v>
      </c>
      <c r="F630" s="747">
        <f>+SUMIF('Anlage 2b_Korrekturen'!$B$647:$B$1026,A630,'Anlage 2b_Korrekturen'!$F$647:$F$1026)</f>
        <v>230.48985999999999</v>
      </c>
      <c r="G630" s="1094">
        <f t="shared" si="21"/>
        <v>120751.54458000002</v>
      </c>
      <c r="H630" t="str">
        <f>+VLOOKUP(A630,'Anlage 2a_Letztverbrauch'!$A$413:$J$792,10,FALSE)</f>
        <v>Versorgungsbetrieb Waldbüttelbrunn GmbH</v>
      </c>
    </row>
    <row r="631" spans="1:8" hidden="1" outlineLevel="1">
      <c r="A631" s="988" t="s">
        <v>1260</v>
      </c>
      <c r="B631" s="793">
        <f>+VLOOKUP(A631,'Anlage 2a_Letztverbrauch'!$A$2281:$I$2661,9,FALSE)</f>
        <v>7235967.4480000008</v>
      </c>
      <c r="C631" s="95">
        <v>0</v>
      </c>
      <c r="D631" s="95">
        <v>0</v>
      </c>
      <c r="E631" s="95">
        <f t="shared" si="20"/>
        <v>7235967.4480000008</v>
      </c>
      <c r="F631" s="747">
        <f>+SUMIF('Anlage 2b_Korrekturen'!$B$647:$B$1026,A631,'Anlage 2b_Korrekturen'!$F$647:$F$1026)</f>
        <v>48808.272810000002</v>
      </c>
      <c r="G631" s="1094">
        <f t="shared" si="21"/>
        <v>7284775.7208100008</v>
      </c>
      <c r="H631" t="str">
        <f>+VLOOKUP(A631,'Anlage 2a_Letztverbrauch'!$A$413:$J$792,10,FALSE)</f>
        <v>Bielefelder Netz GmbH</v>
      </c>
    </row>
    <row r="632" spans="1:8" hidden="1" outlineLevel="1">
      <c r="A632" s="988" t="s">
        <v>1262</v>
      </c>
      <c r="B632" s="793">
        <f>+VLOOKUP(A632,'Anlage 2a_Letztverbrauch'!$A$2281:$I$2661,9,FALSE)</f>
        <v>1078070.9969600001</v>
      </c>
      <c r="C632" s="95">
        <v>0</v>
      </c>
      <c r="D632" s="95">
        <v>0</v>
      </c>
      <c r="E632" s="95">
        <f t="shared" si="20"/>
        <v>1078070.9969600001</v>
      </c>
      <c r="F632" s="747">
        <f>+SUMIF('Anlage 2b_Korrekturen'!$B$647:$B$1026,A632,'Anlage 2b_Korrekturen'!$F$647:$F$1026)</f>
        <v>0</v>
      </c>
      <c r="G632" s="1094">
        <f t="shared" si="21"/>
        <v>1078070.9969600001</v>
      </c>
      <c r="H632" t="str">
        <f>+VLOOKUP(A632,'Anlage 2a_Letztverbrauch'!$A$413:$J$792,10,FALSE)</f>
        <v>Stadtwerke Buxtehude GmbH</v>
      </c>
    </row>
    <row r="633" spans="1:8" hidden="1" outlineLevel="1">
      <c r="A633" s="988" t="s">
        <v>1881</v>
      </c>
      <c r="B633" s="793">
        <f>+VLOOKUP(A633,'Anlage 2a_Letztverbrauch'!$A$2281:$I$2661,9,FALSE)</f>
        <v>11327.7752</v>
      </c>
      <c r="C633" s="95">
        <v>0</v>
      </c>
      <c r="D633" s="95">
        <v>0</v>
      </c>
      <c r="E633" s="95">
        <f t="shared" si="20"/>
        <v>11327.7752</v>
      </c>
      <c r="F633" s="747">
        <f>+SUMIF('Anlage 2b_Korrekturen'!$B$647:$B$1026,A633,'Anlage 2b_Korrekturen'!$F$647:$F$1026)</f>
        <v>0</v>
      </c>
      <c r="G633" s="1094">
        <f t="shared" si="21"/>
        <v>11327.7752</v>
      </c>
      <c r="H633" t="str">
        <f>+VLOOKUP(A633,'Anlage 2a_Letztverbrauch'!$A$413:$J$792,10,FALSE)</f>
        <v>Elektrizitätswerk Oberwössen e.G.</v>
      </c>
    </row>
    <row r="634" spans="1:8" hidden="1" outlineLevel="1">
      <c r="A634" s="988" t="s">
        <v>1883</v>
      </c>
      <c r="B634" s="793">
        <f>+VLOOKUP(A634,'Anlage 2a_Letztverbrauch'!$A$2281:$I$2661,9,FALSE)</f>
        <v>143189.42992</v>
      </c>
      <c r="C634" s="95">
        <v>0</v>
      </c>
      <c r="D634" s="95">
        <v>0</v>
      </c>
      <c r="E634" s="95">
        <f t="shared" si="20"/>
        <v>143189.42992</v>
      </c>
      <c r="F634" s="747">
        <f>+SUMIF('Anlage 2b_Korrekturen'!$B$647:$B$1026,A634,'Anlage 2b_Korrekturen'!$F$647:$F$1026)</f>
        <v>0</v>
      </c>
      <c r="G634" s="1094">
        <f t="shared" si="21"/>
        <v>143189.42992</v>
      </c>
      <c r="H634" t="str">
        <f>+VLOOKUP(A634,'Anlage 2a_Letztverbrauch'!$A$413:$J$792,10,FALSE)</f>
        <v>E-Werk Wanfried von Scharfenberg GmbH &amp; Co. KG</v>
      </c>
    </row>
    <row r="635" spans="1:8" hidden="1" outlineLevel="1">
      <c r="A635" s="988" t="s">
        <v>1264</v>
      </c>
      <c r="B635" s="793">
        <f>+VLOOKUP(A635,'Anlage 2a_Letztverbrauch'!$A$2281:$I$2661,9,FALSE)</f>
        <v>137622.58111999999</v>
      </c>
      <c r="C635" s="95">
        <v>0</v>
      </c>
      <c r="D635" s="95">
        <v>0</v>
      </c>
      <c r="E635" s="95">
        <f t="shared" si="20"/>
        <v>137622.58111999999</v>
      </c>
      <c r="F635" s="747">
        <f>+SUMIF('Anlage 2b_Korrekturen'!$B$647:$B$1026,A635,'Anlage 2b_Korrekturen'!$F$647:$F$1026)</f>
        <v>0</v>
      </c>
      <c r="G635" s="1094">
        <f t="shared" si="21"/>
        <v>137622.58111999999</v>
      </c>
      <c r="H635" t="str">
        <f>+VLOOKUP(A635,'Anlage 2a_Letztverbrauch'!$A$413:$J$792,10,FALSE)</f>
        <v>Elektrizitäts-Genossenschaft Tacherting-Feichten e.G.</v>
      </c>
    </row>
    <row r="636" spans="1:8" hidden="1" outlineLevel="1">
      <c r="A636" s="988" t="s">
        <v>1482</v>
      </c>
      <c r="B636" s="793">
        <f>+VLOOKUP(A636,'Anlage 2a_Letztverbrauch'!$A$2281:$I$2661,9,FALSE)</f>
        <v>569238.39120000007</v>
      </c>
      <c r="C636" s="95">
        <v>0</v>
      </c>
      <c r="D636" s="95">
        <v>0</v>
      </c>
      <c r="E636" s="95">
        <f t="shared" si="20"/>
        <v>569238.39120000007</v>
      </c>
      <c r="F636" s="747">
        <f>+SUMIF('Anlage 2b_Korrekturen'!$B$647:$B$1026,A636,'Anlage 2b_Korrekturen'!$F$647:$F$1026)</f>
        <v>0</v>
      </c>
      <c r="G636" s="1094">
        <f t="shared" si="21"/>
        <v>569238.39120000007</v>
      </c>
      <c r="H636" t="str">
        <f>+VLOOKUP(A636,'Anlage 2a_Letztverbrauch'!$A$413:$J$792,10,FALSE)</f>
        <v>Stadtwerke Weißenburg GmbH</v>
      </c>
    </row>
    <row r="637" spans="1:8" hidden="1" outlineLevel="1">
      <c r="A637" s="988" t="s">
        <v>1266</v>
      </c>
      <c r="B637" s="793">
        <f>+VLOOKUP(A637,'Anlage 2a_Letztverbrauch'!$A$2281:$I$2661,9,FALSE)</f>
        <v>285836.95136000001</v>
      </c>
      <c r="C637" s="95">
        <v>0</v>
      </c>
      <c r="D637" s="95">
        <v>0</v>
      </c>
      <c r="E637" s="95">
        <f t="shared" si="20"/>
        <v>285836.95136000001</v>
      </c>
      <c r="F637" s="747">
        <f>+SUMIF('Anlage 2b_Korrekturen'!$B$647:$B$1026,A637,'Anlage 2b_Korrekturen'!$F$647:$F$1026)</f>
        <v>0</v>
      </c>
      <c r="G637" s="1094">
        <f t="shared" si="21"/>
        <v>285836.95136000001</v>
      </c>
      <c r="H637" t="str">
        <f>+VLOOKUP(A637,'Anlage 2a_Letztverbrauch'!$A$413:$J$792,10,FALSE)</f>
        <v>Butzbacher Netzbetriebe GmbH &amp; Co. KG</v>
      </c>
    </row>
    <row r="638" spans="1:8" hidden="1" outlineLevel="1">
      <c r="A638" s="988" t="s">
        <v>1268</v>
      </c>
      <c r="B638" s="793">
        <f>+VLOOKUP(A638,'Anlage 2a_Letztverbrauch'!$A$2281:$I$2661,9,FALSE)</f>
        <v>5106252.3531200001</v>
      </c>
      <c r="C638" s="95">
        <v>0</v>
      </c>
      <c r="D638" s="95">
        <v>0</v>
      </c>
      <c r="E638" s="95">
        <f t="shared" si="20"/>
        <v>5106252.3531200001</v>
      </c>
      <c r="F638" s="747">
        <f>+SUMIF('Anlage 2b_Korrekturen'!$B$647:$B$1026,A638,'Anlage 2b_Korrekturen'!$F$647:$F$1026)</f>
        <v>0</v>
      </c>
      <c r="G638" s="1094">
        <f t="shared" si="21"/>
        <v>5106252.3531200001</v>
      </c>
      <c r="H638" t="str">
        <f>+VLOOKUP(A638,'Anlage 2a_Letztverbrauch'!$A$413:$J$792,10,FALSE)</f>
        <v>Celle-Uelzen Netz GmbH</v>
      </c>
    </row>
    <row r="639" spans="1:8" hidden="1" outlineLevel="1">
      <c r="A639" s="988" t="s">
        <v>1270</v>
      </c>
      <c r="B639" s="793">
        <f>+VLOOKUP(A639,'Anlage 2a_Letztverbrauch'!$A$2281:$I$2661,9,FALSE)</f>
        <v>436480.99340800004</v>
      </c>
      <c r="C639" s="95">
        <v>0</v>
      </c>
      <c r="D639" s="95">
        <v>0</v>
      </c>
      <c r="E639" s="95">
        <f t="shared" si="20"/>
        <v>436480.99340800004</v>
      </c>
      <c r="F639" s="747">
        <f>+SUMIF('Anlage 2b_Korrekturen'!$B$647:$B$1026,A639,'Anlage 2b_Korrekturen'!$F$647:$F$1026)</f>
        <v>0</v>
      </c>
      <c r="G639" s="1094">
        <f t="shared" si="21"/>
        <v>436480.99340800004</v>
      </c>
      <c r="H639" t="str">
        <f>+VLOOKUP(A639,'Anlage 2a_Letztverbrauch'!$A$413:$J$792,10,FALSE)</f>
        <v>Stadtwerke Zirndorf GmbH</v>
      </c>
    </row>
    <row r="640" spans="1:8" hidden="1" outlineLevel="1">
      <c r="A640" s="988" t="s">
        <v>1272</v>
      </c>
      <c r="B640" s="793">
        <f>+VLOOKUP(A640,'Anlage 2a_Letztverbrauch'!$A$2281:$I$2661,9,FALSE)</f>
        <v>227650.40080000003</v>
      </c>
      <c r="C640" s="95">
        <v>0</v>
      </c>
      <c r="D640" s="95">
        <v>0</v>
      </c>
      <c r="E640" s="95">
        <f t="shared" si="20"/>
        <v>227650.40080000003</v>
      </c>
      <c r="F640" s="747">
        <f>+SUMIF('Anlage 2b_Korrekturen'!$B$647:$B$1026,A640,'Anlage 2b_Korrekturen'!$F$647:$F$1026)</f>
        <v>-1247.7821200000001</v>
      </c>
      <c r="G640" s="1094">
        <f t="shared" si="21"/>
        <v>226402.61868000004</v>
      </c>
      <c r="H640" t="str">
        <f>+VLOOKUP(A640,'Anlage 2a_Letztverbrauch'!$A$413:$J$792,10,FALSE)</f>
        <v>Stadtwerke Clausthal-Zellerfeld GmbH</v>
      </c>
    </row>
    <row r="641" spans="1:8" hidden="1" outlineLevel="1">
      <c r="A641" s="988" t="s">
        <v>1274</v>
      </c>
      <c r="B641" s="793">
        <f>+VLOOKUP(A641,'Anlage 2a_Letztverbrauch'!$A$2281:$I$2661,9,FALSE)</f>
        <v>921814.3094400001</v>
      </c>
      <c r="C641" s="95">
        <v>0</v>
      </c>
      <c r="D641" s="95">
        <v>0</v>
      </c>
      <c r="E641" s="95">
        <f t="shared" si="20"/>
        <v>921814.3094400001</v>
      </c>
      <c r="F641" s="747">
        <f>+SUMIF('Anlage 2b_Korrekturen'!$B$647:$B$1026,A641,'Anlage 2b_Korrekturen'!$F$647:$F$1026)</f>
        <v>-8453.5930800000006</v>
      </c>
      <c r="G641" s="1094">
        <f t="shared" si="21"/>
        <v>913360.71636000008</v>
      </c>
      <c r="H641" t="str">
        <f>+VLOOKUP(A641,'Anlage 2a_Letztverbrauch'!$A$413:$J$792,10,FALSE)</f>
        <v>Energieversorgung Sylt GmbH</v>
      </c>
    </row>
    <row r="642" spans="1:8" hidden="1" outlineLevel="1">
      <c r="A642" s="988" t="s">
        <v>1276</v>
      </c>
      <c r="B642" s="793">
        <f>+VLOOKUP(A642,'Anlage 2a_Letztverbrauch'!$A$2281:$I$2661,9,FALSE)</f>
        <v>453162.64832000004</v>
      </c>
      <c r="C642" s="95">
        <v>0</v>
      </c>
      <c r="D642" s="95">
        <v>0</v>
      </c>
      <c r="E642" s="95">
        <f t="shared" si="20"/>
        <v>453162.64832000004</v>
      </c>
      <c r="F642" s="747">
        <f>+SUMIF('Anlage 2b_Korrekturen'!$B$647:$B$1026,A642,'Anlage 2b_Korrekturen'!$F$647:$F$1026)</f>
        <v>-5038.2735200000006</v>
      </c>
      <c r="G642" s="1094">
        <f t="shared" si="21"/>
        <v>448124.37480000005</v>
      </c>
      <c r="H642" t="str">
        <f>+VLOOKUP(A642,'Anlage 2a_Letztverbrauch'!$A$413:$J$792,10,FALSE)</f>
        <v>ews-Netz GmbH</v>
      </c>
    </row>
    <row r="643" spans="1:8" hidden="1" outlineLevel="1">
      <c r="A643" s="988" t="s">
        <v>1278</v>
      </c>
      <c r="B643" s="793">
        <f>+VLOOKUP(A643,'Anlage 2a_Letztverbrauch'!$A$2281:$I$2661,9,FALSE)</f>
        <v>220354.42784000002</v>
      </c>
      <c r="C643" s="95">
        <v>0</v>
      </c>
      <c r="D643" s="95">
        <v>0</v>
      </c>
      <c r="E643" s="95">
        <f t="shared" si="20"/>
        <v>220354.42784000002</v>
      </c>
      <c r="F643" s="747">
        <f>+SUMIF('Anlage 2b_Korrekturen'!$B$647:$B$1026,A643,'Anlage 2b_Korrekturen'!$F$647:$F$1026)</f>
        <v>0</v>
      </c>
      <c r="G643" s="1094">
        <f t="shared" si="21"/>
        <v>220354.42784000002</v>
      </c>
      <c r="H643" t="str">
        <f>+VLOOKUP(A643,'Anlage 2a_Letztverbrauch'!$A$413:$J$792,10,FALSE)</f>
        <v>EVU der Gemeinde Gochsheim</v>
      </c>
    </row>
    <row r="644" spans="1:8" hidden="1" outlineLevel="1">
      <c r="A644" s="988" t="s">
        <v>1885</v>
      </c>
      <c r="B644" s="793">
        <f>+VLOOKUP(A644,'Anlage 2a_Letztverbrauch'!$A$2281:$I$2661,9,FALSE)</f>
        <v>74349.944480000006</v>
      </c>
      <c r="C644" s="95">
        <v>0</v>
      </c>
      <c r="D644" s="95">
        <v>0</v>
      </c>
      <c r="E644" s="95">
        <f t="shared" si="20"/>
        <v>74349.944480000006</v>
      </c>
      <c r="F644" s="747">
        <f>+SUMIF('Anlage 2b_Korrekturen'!$B$647:$B$1026,A644,'Anlage 2b_Korrekturen'!$F$647:$F$1026)</f>
        <v>0</v>
      </c>
      <c r="G644" s="1094">
        <f t="shared" si="21"/>
        <v>74349.944480000006</v>
      </c>
      <c r="H644" t="str">
        <f>+VLOOKUP(A644,'Anlage 2a_Letztverbrauch'!$A$413:$J$792,10,FALSE)</f>
        <v>Elektrizitätsgenossenschaft Wolkersdorf und Umgebung e.G.</v>
      </c>
    </row>
    <row r="645" spans="1:8" hidden="1" outlineLevel="1">
      <c r="A645" s="988" t="s">
        <v>1280</v>
      </c>
      <c r="B645" s="793">
        <f>+VLOOKUP(A645,'Anlage 2a_Letztverbrauch'!$A$2281:$I$2661,9,FALSE)</f>
        <v>310271.59344000003</v>
      </c>
      <c r="C645" s="95">
        <v>0</v>
      </c>
      <c r="D645" s="95">
        <v>0</v>
      </c>
      <c r="E645" s="95">
        <f t="shared" si="20"/>
        <v>310271.59344000003</v>
      </c>
      <c r="F645" s="747">
        <f>+SUMIF('Anlage 2b_Korrekturen'!$B$647:$B$1026,A645,'Anlage 2b_Korrekturen'!$F$647:$F$1026)</f>
        <v>-434.05597000000006</v>
      </c>
      <c r="G645" s="1094">
        <f t="shared" si="21"/>
        <v>309837.53747000004</v>
      </c>
      <c r="H645" t="str">
        <f>+VLOOKUP(A645,'Anlage 2a_Letztverbrauch'!$A$413:$J$792,10,FALSE)</f>
        <v>Stadtwerke Treuchtlingen KU</v>
      </c>
    </row>
    <row r="646" spans="1:8" hidden="1" outlineLevel="1">
      <c r="A646" s="988" t="s">
        <v>1282</v>
      </c>
      <c r="B646" s="793">
        <f>+VLOOKUP(A646,'Anlage 2a_Letztverbrauch'!$A$2281:$I$2661,9,FALSE)</f>
        <v>28586935.41632</v>
      </c>
      <c r="C646" s="95">
        <v>0</v>
      </c>
      <c r="D646" s="95">
        <v>0</v>
      </c>
      <c r="E646" s="95">
        <f t="shared" si="20"/>
        <v>28586935.41632</v>
      </c>
      <c r="F646" s="747">
        <f>+SUMIF('Anlage 2b_Korrekturen'!$B$647:$B$1026,A646,'Anlage 2b_Korrekturen'!$F$647:$F$1026)</f>
        <v>-453657.09081000002</v>
      </c>
      <c r="G646" s="1094">
        <f t="shared" si="21"/>
        <v>28133278.325509999</v>
      </c>
      <c r="H646" t="str">
        <f>+VLOOKUP(A646,'Anlage 2a_Letztverbrauch'!$A$413:$J$792,10,FALSE)</f>
        <v>NRM Netzdienste Rhein-Main GmbH</v>
      </c>
    </row>
    <row r="647" spans="1:8" hidden="1" outlineLevel="1">
      <c r="A647" s="988" t="s">
        <v>1284</v>
      </c>
      <c r="B647" s="793">
        <f>+VLOOKUP(A647,'Anlage 2a_Letztverbrauch'!$A$2281:$I$2661,9,FALSE)</f>
        <v>238321.34288000001</v>
      </c>
      <c r="C647" s="95">
        <v>0</v>
      </c>
      <c r="D647" s="95">
        <v>0</v>
      </c>
      <c r="E647" s="95">
        <f t="shared" si="20"/>
        <v>238321.34288000001</v>
      </c>
      <c r="F647" s="747">
        <f>+SUMIF('Anlage 2b_Korrekturen'!$B$647:$B$1026,A647,'Anlage 2b_Korrekturen'!$F$647:$F$1026)</f>
        <v>45.105140000000006</v>
      </c>
      <c r="G647" s="1094">
        <f t="shared" si="21"/>
        <v>238366.44802000001</v>
      </c>
      <c r="H647" t="str">
        <f>+VLOOKUP(A647,'Anlage 2a_Letztverbrauch'!$A$413:$J$792,10,FALSE)</f>
        <v>Stadtwerke Haiger</v>
      </c>
    </row>
    <row r="648" spans="1:8" hidden="1" outlineLevel="1">
      <c r="A648" s="988" t="s">
        <v>1286</v>
      </c>
      <c r="B648" s="793">
        <f>+VLOOKUP(A648,'Anlage 2a_Letztverbrauch'!$A$2281:$I$2661,9,FALSE)</f>
        <v>1285548.64992</v>
      </c>
      <c r="C648" s="95">
        <v>0</v>
      </c>
      <c r="D648" s="95">
        <v>0</v>
      </c>
      <c r="E648" s="95">
        <f t="shared" si="20"/>
        <v>1285548.64992</v>
      </c>
      <c r="F648" s="747">
        <f>+SUMIF('Anlage 2b_Korrekturen'!$B$647:$B$1026,A648,'Anlage 2b_Korrekturen'!$F$647:$F$1026)</f>
        <v>-1528.7567000000001</v>
      </c>
      <c r="G648" s="1094">
        <f t="shared" si="21"/>
        <v>1284019.89322</v>
      </c>
      <c r="H648" t="str">
        <f>+VLOOKUP(A648,'Anlage 2a_Letztverbrauch'!$A$413:$J$792,10,FALSE)</f>
        <v>Energie- und Wassergesellschaft mbH</v>
      </c>
    </row>
    <row r="649" spans="1:8" hidden="1" outlineLevel="1">
      <c r="A649" s="988" t="s">
        <v>1887</v>
      </c>
      <c r="B649" s="793">
        <f>+VLOOKUP(A649,'Anlage 2a_Letztverbrauch'!$A$2281:$I$2661,9,FALSE)</f>
        <v>43198.452799999999</v>
      </c>
      <c r="C649" s="95">
        <v>0</v>
      </c>
      <c r="D649" s="95">
        <v>0</v>
      </c>
      <c r="E649" s="95">
        <f t="shared" si="20"/>
        <v>43198.452799999999</v>
      </c>
      <c r="F649" s="747">
        <f>+SUMIF('Anlage 2b_Korrekturen'!$B$647:$B$1026,A649,'Anlage 2b_Korrekturen'!$F$647:$F$1026)</f>
        <v>0</v>
      </c>
      <c r="G649" s="1094">
        <f t="shared" si="21"/>
        <v>43198.452799999999</v>
      </c>
      <c r="H649" t="str">
        <f>+VLOOKUP(A649,'Anlage 2a_Letztverbrauch'!$A$413:$J$792,10,FALSE)</f>
        <v>Elektrizitätswerk Unterwössen Döllerer &amp; Greimel Netz GmbH &amp; Co. KG</v>
      </c>
    </row>
    <row r="650" spans="1:8" hidden="1" outlineLevel="1">
      <c r="A650" s="988" t="s">
        <v>1288</v>
      </c>
      <c r="B650" s="793">
        <f>+VLOOKUP(A650,'Anlage 2a_Letztverbrauch'!$A$2281:$I$2661,9,FALSE)</f>
        <v>7091074.2283199998</v>
      </c>
      <c r="C650" s="95">
        <v>0</v>
      </c>
      <c r="D650" s="95">
        <v>0</v>
      </c>
      <c r="E650" s="95">
        <f t="shared" si="20"/>
        <v>7091074.2283199998</v>
      </c>
      <c r="F650" s="747">
        <f>+SUMIF('Anlage 2b_Korrekturen'!$B$647:$B$1026,A650,'Anlage 2b_Korrekturen'!$F$647:$F$1026)</f>
        <v>-10930.812300000001</v>
      </c>
      <c r="G650" s="1094">
        <f t="shared" si="21"/>
        <v>7080143.4160199994</v>
      </c>
      <c r="H650" t="str">
        <f>+VLOOKUP(A650,'Anlage 2a_Letztverbrauch'!$A$413:$J$792,10,FALSE)</f>
        <v>LSW Netz GmbH &amp; Co. KG</v>
      </c>
    </row>
    <row r="651" spans="1:8" hidden="1" outlineLevel="1">
      <c r="A651" s="988" t="s">
        <v>1889</v>
      </c>
      <c r="B651" s="793">
        <f>+VLOOKUP(A651,'Anlage 2a_Letztverbrauch'!$A$2281:$I$2661,9,FALSE)</f>
        <v>40265.076640000007</v>
      </c>
      <c r="C651" s="95">
        <v>0</v>
      </c>
      <c r="D651" s="95">
        <v>0</v>
      </c>
      <c r="E651" s="95">
        <f t="shared" ref="E651:E714" si="22">B651+C651+D651</f>
        <v>40265.076640000007</v>
      </c>
      <c r="F651" s="747">
        <f>+SUMIF('Anlage 2b_Korrekturen'!$B$647:$B$1026,A651,'Anlage 2b_Korrekturen'!$F$647:$F$1026)</f>
        <v>0</v>
      </c>
      <c r="G651" s="1094">
        <f t="shared" ref="G651:G714" si="23">E651+F651</f>
        <v>40265.076640000007</v>
      </c>
      <c r="H651" t="str">
        <f>+VLOOKUP(A651,'Anlage 2a_Letztverbrauch'!$A$413:$J$792,10,FALSE)</f>
        <v>Markt Thüngen</v>
      </c>
    </row>
    <row r="652" spans="1:8" hidden="1" outlineLevel="1">
      <c r="A652" s="988" t="s">
        <v>1290</v>
      </c>
      <c r="B652" s="793">
        <f>+VLOOKUP(A652,'Anlage 2a_Letztverbrauch'!$A$2281:$I$2661,9,FALSE)</f>
        <v>383870.75248000002</v>
      </c>
      <c r="C652" s="95">
        <v>0</v>
      </c>
      <c r="D652" s="95">
        <v>0</v>
      </c>
      <c r="E652" s="95">
        <f t="shared" si="22"/>
        <v>383870.75248000002</v>
      </c>
      <c r="F652" s="747">
        <f>+SUMIF('Anlage 2b_Korrekturen'!$B$647:$B$1026,A652,'Anlage 2b_Korrekturen'!$F$647:$F$1026)</f>
        <v>-319.00736000000001</v>
      </c>
      <c r="G652" s="1094">
        <f t="shared" si="23"/>
        <v>383551.74512000004</v>
      </c>
      <c r="H652" t="str">
        <f>+VLOOKUP(A652,'Anlage 2a_Letztverbrauch'!$A$413:$J$792,10,FALSE)</f>
        <v>Stadtwerke Bad Pyrmont GmbH</v>
      </c>
    </row>
    <row r="653" spans="1:8" hidden="1" outlineLevel="1">
      <c r="A653" s="988" t="s">
        <v>1292</v>
      </c>
      <c r="B653" s="793">
        <f>+VLOOKUP(A653,'Anlage 2a_Letztverbrauch'!$A$2281:$I$2661,9,FALSE)</f>
        <v>40238.200320000004</v>
      </c>
      <c r="C653" s="95">
        <v>0</v>
      </c>
      <c r="D653" s="95">
        <v>0</v>
      </c>
      <c r="E653" s="95">
        <f t="shared" si="22"/>
        <v>40238.200320000004</v>
      </c>
      <c r="F653" s="747">
        <f>+SUMIF('Anlage 2b_Korrekturen'!$B$647:$B$1026,A653,'Anlage 2b_Korrekturen'!$F$647:$F$1026)</f>
        <v>-1486</v>
      </c>
      <c r="G653" s="1094">
        <f t="shared" si="23"/>
        <v>38752.200320000004</v>
      </c>
      <c r="H653" t="str">
        <f>+VLOOKUP(A653,'Anlage 2a_Letztverbrauch'!$A$413:$J$792,10,FALSE)</f>
        <v>Stromversorgung Seebruck eG</v>
      </c>
    </row>
    <row r="654" spans="1:8" hidden="1" outlineLevel="1">
      <c r="A654" s="988" t="s">
        <v>1294</v>
      </c>
      <c r="B654" s="793">
        <f>+VLOOKUP(A654,'Anlage 2a_Letztverbrauch'!$A$2281:$I$2661,9,FALSE)</f>
        <v>119376.42656000001</v>
      </c>
      <c r="C654" s="95">
        <v>0</v>
      </c>
      <c r="D654" s="95">
        <v>0</v>
      </c>
      <c r="E654" s="95">
        <f t="shared" si="22"/>
        <v>119376.42656000001</v>
      </c>
      <c r="F654" s="747">
        <f>+SUMIF('Anlage 2b_Korrekturen'!$B$647:$B$1026,A654,'Anlage 2b_Korrekturen'!$F$647:$F$1026)</f>
        <v>-243.65157000000002</v>
      </c>
      <c r="G654" s="1094">
        <f t="shared" si="23"/>
        <v>119132.77499000001</v>
      </c>
      <c r="H654" t="str">
        <f>+VLOOKUP(A654,'Anlage 2a_Letztverbrauch'!$A$413:$J$792,10,FALSE)</f>
        <v>Stadtwerke Bogen GmbH</v>
      </c>
    </row>
    <row r="655" spans="1:8" hidden="1" outlineLevel="1">
      <c r="A655" s="988" t="s">
        <v>1296</v>
      </c>
      <c r="B655" s="793">
        <f>+VLOOKUP(A655,'Anlage 2a_Letztverbrauch'!$A$2281:$I$2661,9,FALSE)</f>
        <v>50760.446880000003</v>
      </c>
      <c r="C655" s="95">
        <v>0</v>
      </c>
      <c r="D655" s="95">
        <v>0</v>
      </c>
      <c r="E655" s="95">
        <f t="shared" si="22"/>
        <v>50760.446880000003</v>
      </c>
      <c r="F655" s="747">
        <f>+SUMIF('Anlage 2b_Korrekturen'!$B$647:$B$1026,A655,'Anlage 2b_Korrekturen'!$F$647:$F$1026)</f>
        <v>22.80078</v>
      </c>
      <c r="G655" s="1094">
        <f t="shared" si="23"/>
        <v>50783.247660000001</v>
      </c>
      <c r="H655" t="str">
        <f>+VLOOKUP(A655,'Anlage 2a_Letztverbrauch'!$A$413:$J$792,10,FALSE)</f>
        <v>Elektrizitätsgenossenschaft Unterneukirchen eG</v>
      </c>
    </row>
    <row r="656" spans="1:8" hidden="1" outlineLevel="1">
      <c r="A656" s="988" t="s">
        <v>1298</v>
      </c>
      <c r="B656" s="793">
        <f>+VLOOKUP(A656,'Anlage 2a_Letztverbrauch'!$A$2281:$I$2661,9,FALSE)</f>
        <v>65347.912319999996</v>
      </c>
      <c r="C656" s="95">
        <v>0</v>
      </c>
      <c r="D656" s="95">
        <v>0</v>
      </c>
      <c r="E656" s="95">
        <f t="shared" si="22"/>
        <v>65347.912319999996</v>
      </c>
      <c r="F656" s="747">
        <f>+SUMIF('Anlage 2b_Korrekturen'!$B$647:$B$1026,A656,'Anlage 2b_Korrekturen'!$F$647:$F$1026)</f>
        <v>0</v>
      </c>
      <c r="G656" s="1094">
        <f t="shared" si="23"/>
        <v>65347.912319999996</v>
      </c>
      <c r="H656" t="str">
        <f>+VLOOKUP(A656,'Anlage 2a_Letztverbrauch'!$A$413:$J$792,10,FALSE)</f>
        <v>Elektrizitäts-Genossenschaft Schonstett eG</v>
      </c>
    </row>
    <row r="657" spans="1:8" hidden="1" outlineLevel="1">
      <c r="A657" s="988" t="s">
        <v>1300</v>
      </c>
      <c r="B657" s="793">
        <f>+VLOOKUP(A657,'Anlage 2a_Letztverbrauch'!$A$2281:$I$2661,9,FALSE)</f>
        <v>505732.20543999999</v>
      </c>
      <c r="C657" s="95">
        <v>0</v>
      </c>
      <c r="D657" s="95">
        <v>0</v>
      </c>
      <c r="E657" s="95">
        <f t="shared" si="22"/>
        <v>505732.20543999999</v>
      </c>
      <c r="F657" s="747">
        <f>+SUMIF('Anlage 2b_Korrekturen'!$B$647:$B$1026,A657,'Anlage 2b_Korrekturen'!$F$647:$F$1026)</f>
        <v>0</v>
      </c>
      <c r="G657" s="1094">
        <f t="shared" si="23"/>
        <v>505732.20543999999</v>
      </c>
      <c r="H657" t="str">
        <f>+VLOOKUP(A657,'Anlage 2a_Letztverbrauch'!$A$413:$J$792,10,FALSE)</f>
        <v>Gemeindewerke Holzkirchen GmbH</v>
      </c>
    </row>
    <row r="658" spans="1:8" hidden="1" outlineLevel="1">
      <c r="A658" s="988" t="s">
        <v>1891</v>
      </c>
      <c r="B658" s="793">
        <f>+VLOOKUP(A658,'Anlage 2a_Letztverbrauch'!$A$2281:$I$2661,9,FALSE)</f>
        <v>106806.10208000001</v>
      </c>
      <c r="C658" s="95">
        <v>0</v>
      </c>
      <c r="D658" s="95">
        <v>0</v>
      </c>
      <c r="E658" s="95">
        <f t="shared" si="22"/>
        <v>106806.10208000001</v>
      </c>
      <c r="F658" s="747">
        <f>+SUMIF('Anlage 2b_Korrekturen'!$B$647:$B$1026,A658,'Anlage 2b_Korrekturen'!$F$647:$F$1026)</f>
        <v>-209.31447</v>
      </c>
      <c r="G658" s="1094">
        <f t="shared" si="23"/>
        <v>106596.78761000001</v>
      </c>
      <c r="H658" t="str">
        <f>+VLOOKUP(A658,'Anlage 2a_Letztverbrauch'!$A$413:$J$792,10,FALSE)</f>
        <v>Raiffeisenbank Altmühl-Jura eG</v>
      </c>
    </row>
    <row r="659" spans="1:8" hidden="1" outlineLevel="1">
      <c r="A659" s="988" t="s">
        <v>1302</v>
      </c>
      <c r="B659" s="793">
        <f>+VLOOKUP(A659,'Anlage 2a_Letztverbrauch'!$A$2281:$I$2661,9,FALSE)</f>
        <v>171064.66080000001</v>
      </c>
      <c r="C659" s="95">
        <v>0</v>
      </c>
      <c r="D659" s="95">
        <v>0</v>
      </c>
      <c r="E659" s="95">
        <f t="shared" si="22"/>
        <v>171064.66080000001</v>
      </c>
      <c r="F659" s="747">
        <f>+SUMIF('Anlage 2b_Korrekturen'!$B$647:$B$1026,A659,'Anlage 2b_Korrekturen'!$F$647:$F$1026)</f>
        <v>-5600.3101800000004</v>
      </c>
      <c r="G659" s="1094">
        <f t="shared" si="23"/>
        <v>165464.35062000001</v>
      </c>
      <c r="H659" t="str">
        <f>+VLOOKUP(A659,'Anlage 2a_Letztverbrauch'!$A$413:$J$792,10,FALSE)</f>
        <v>Stadtwerke Trostberg GmbH &amp; Co. KG</v>
      </c>
    </row>
    <row r="660" spans="1:8" hidden="1" outlineLevel="1">
      <c r="A660" s="988" t="s">
        <v>1484</v>
      </c>
      <c r="B660" s="793">
        <f>+VLOOKUP(A660,'Anlage 2a_Letztverbrauch'!$A$2281:$I$2661,9,FALSE)</f>
        <v>234875.99808000002</v>
      </c>
      <c r="C660" s="95">
        <v>0</v>
      </c>
      <c r="D660" s="95">
        <v>0</v>
      </c>
      <c r="E660" s="95">
        <f t="shared" si="22"/>
        <v>234875.99808000002</v>
      </c>
      <c r="F660" s="747">
        <f>+SUMIF('Anlage 2b_Korrekturen'!$B$647:$B$1026,A660,'Anlage 2b_Korrekturen'!$F$647:$F$1026)</f>
        <v>0</v>
      </c>
      <c r="G660" s="1094">
        <f t="shared" si="23"/>
        <v>234875.99808000002</v>
      </c>
      <c r="H660" t="str">
        <f>+VLOOKUP(A660,'Anlage 2a_Letztverbrauch'!$A$413:$J$792,10,FALSE)</f>
        <v>Stadtwerke Norderney GmbH</v>
      </c>
    </row>
    <row r="661" spans="1:8" hidden="1" outlineLevel="1">
      <c r="A661" s="988" t="s">
        <v>1304</v>
      </c>
      <c r="B661" s="793">
        <f>+VLOOKUP(A661,'Anlage 2a_Letztverbrauch'!$A$2281:$I$2661,9,FALSE)</f>
        <v>503305.09727999999</v>
      </c>
      <c r="C661" s="95">
        <v>0</v>
      </c>
      <c r="D661" s="95">
        <v>0</v>
      </c>
      <c r="E661" s="95">
        <f t="shared" si="22"/>
        <v>503305.09727999999</v>
      </c>
      <c r="F661" s="747">
        <f>+SUMIF('Anlage 2b_Korrekturen'!$B$647:$B$1026,A661,'Anlage 2b_Korrekturen'!$F$647:$F$1026)</f>
        <v>814.67270000000008</v>
      </c>
      <c r="G661" s="1094">
        <f t="shared" si="23"/>
        <v>504119.76997999998</v>
      </c>
      <c r="H661" t="str">
        <f>+VLOOKUP(A661,'Anlage 2a_Letztverbrauch'!$A$413:$J$792,10,FALSE)</f>
        <v>Gemeindewerke Steinhagen GmbH</v>
      </c>
    </row>
    <row r="662" spans="1:8" hidden="1" outlineLevel="1">
      <c r="A662" s="988" t="s">
        <v>1306</v>
      </c>
      <c r="B662" s="793">
        <f>+VLOOKUP(A662,'Anlage 2a_Letztverbrauch'!$A$2281:$I$2661,9,FALSE)</f>
        <v>295759.51951503998</v>
      </c>
      <c r="C662" s="95">
        <v>0</v>
      </c>
      <c r="D662" s="95">
        <v>0</v>
      </c>
      <c r="E662" s="95">
        <f t="shared" si="22"/>
        <v>295759.51951503998</v>
      </c>
      <c r="F662" s="747">
        <f>+SUMIF('Anlage 2b_Korrekturen'!$B$647:$B$1026,A662,'Anlage 2b_Korrekturen'!$F$647:$F$1026)</f>
        <v>0</v>
      </c>
      <c r="G662" s="1094">
        <f t="shared" si="23"/>
        <v>295759.51951503998</v>
      </c>
      <c r="H662" t="str">
        <f>+VLOOKUP(A662,'Anlage 2a_Letztverbrauch'!$A$413:$J$792,10,FALSE)</f>
        <v>SWR Energie GmbH &amp; Co. KG</v>
      </c>
    </row>
    <row r="663" spans="1:8" hidden="1" outlineLevel="1">
      <c r="A663" s="988" t="s">
        <v>1308</v>
      </c>
      <c r="B663" s="793">
        <f>+VLOOKUP(A663,'Anlage 2a_Letztverbrauch'!$A$2281:$I$2661,9,FALSE)</f>
        <v>474412.48256000003</v>
      </c>
      <c r="C663" s="95">
        <v>0</v>
      </c>
      <c r="D663" s="95">
        <v>0</v>
      </c>
      <c r="E663" s="95">
        <f t="shared" si="22"/>
        <v>474412.48256000003</v>
      </c>
      <c r="F663" s="747">
        <f>+SUMIF('Anlage 2b_Korrekturen'!$B$647:$B$1026,A663,'Anlage 2b_Korrekturen'!$F$647:$F$1026)</f>
        <v>0</v>
      </c>
      <c r="G663" s="1094">
        <f t="shared" si="23"/>
        <v>474412.48256000003</v>
      </c>
      <c r="H663" t="str">
        <f>+VLOOKUP(A663,'Anlage 2a_Letztverbrauch'!$A$413:$J$792,10,FALSE)</f>
        <v>SVI Stromversorgung Ismaning GmbH</v>
      </c>
    </row>
    <row r="664" spans="1:8" hidden="1" outlineLevel="1">
      <c r="A664" s="988" t="s">
        <v>1893</v>
      </c>
      <c r="B664" s="793">
        <f>+VLOOKUP(A664,'Anlage 2a_Letztverbrauch'!$A$2281:$I$2661,9,FALSE)</f>
        <v>59187.055520000002</v>
      </c>
      <c r="C664" s="95">
        <v>0</v>
      </c>
      <c r="D664" s="95">
        <v>0</v>
      </c>
      <c r="E664" s="95">
        <f t="shared" si="22"/>
        <v>59187.055520000002</v>
      </c>
      <c r="F664" s="747">
        <f>+SUMIF('Anlage 2b_Korrekturen'!$B$647:$B$1026,A664,'Anlage 2b_Korrekturen'!$F$647:$F$1026)</f>
        <v>0</v>
      </c>
      <c r="G664" s="1094">
        <f t="shared" si="23"/>
        <v>59187.055520000002</v>
      </c>
      <c r="H664" t="str">
        <f>+VLOOKUP(A664,'Anlage 2a_Letztverbrauch'!$A$413:$J$792,10,FALSE)</f>
        <v>Westenthanner Energieversorgung GmbH</v>
      </c>
    </row>
    <row r="665" spans="1:8" hidden="1" outlineLevel="1">
      <c r="A665" s="988" t="s">
        <v>1310</v>
      </c>
      <c r="B665" s="793">
        <f>+VLOOKUP(A665,'Anlage 2a_Letztverbrauch'!$A$2281:$I$2661,9,FALSE)</f>
        <v>364956.95392000006</v>
      </c>
      <c r="C665" s="95">
        <v>0</v>
      </c>
      <c r="D665" s="95">
        <v>0</v>
      </c>
      <c r="E665" s="95">
        <f t="shared" si="22"/>
        <v>364956.95392000006</v>
      </c>
      <c r="F665" s="747">
        <f>+SUMIF('Anlage 2b_Korrekturen'!$B$647:$B$1026,A665,'Anlage 2b_Korrekturen'!$F$647:$F$1026)</f>
        <v>0</v>
      </c>
      <c r="G665" s="1094">
        <f t="shared" si="23"/>
        <v>364956.95392000006</v>
      </c>
      <c r="H665" t="str">
        <f>+VLOOKUP(A665,'Anlage 2a_Letztverbrauch'!$A$413:$J$792,10,FALSE)</f>
        <v>Stadtwerke Bad Tölz GmbH</v>
      </c>
    </row>
    <row r="666" spans="1:8" hidden="1" outlineLevel="1">
      <c r="A666" s="988" t="s">
        <v>1312</v>
      </c>
      <c r="B666" s="793">
        <f>+VLOOKUP(A666,'Anlage 2a_Letztverbrauch'!$A$2281:$I$2661,9,FALSE)</f>
        <v>975211.73200000008</v>
      </c>
      <c r="C666" s="95">
        <v>0</v>
      </c>
      <c r="D666" s="95">
        <v>0</v>
      </c>
      <c r="E666" s="95">
        <f t="shared" si="22"/>
        <v>975211.73200000008</v>
      </c>
      <c r="F666" s="747">
        <f>+SUMIF('Anlage 2b_Korrekturen'!$B$647:$B$1026,A666,'Anlage 2b_Korrekturen'!$F$647:$F$1026)</f>
        <v>19826.215520000002</v>
      </c>
      <c r="G666" s="1094">
        <f t="shared" si="23"/>
        <v>995037.94752000005</v>
      </c>
      <c r="H666" t="str">
        <f>+VLOOKUP(A666,'Anlage 2a_Letztverbrauch'!$A$413:$J$792,10,FALSE)</f>
        <v>SEW Stromversorgungs-GmbH</v>
      </c>
    </row>
    <row r="667" spans="1:8" hidden="1" outlineLevel="1">
      <c r="A667" s="988" t="s">
        <v>1314</v>
      </c>
      <c r="B667" s="793">
        <f>+VLOOKUP(A667,'Anlage 2a_Letztverbrauch'!$A$2281:$I$2661,9,FALSE)</f>
        <v>335218.90608000004</v>
      </c>
      <c r="C667" s="95">
        <v>0</v>
      </c>
      <c r="D667" s="95">
        <v>0</v>
      </c>
      <c r="E667" s="95">
        <f t="shared" si="22"/>
        <v>335218.90608000004</v>
      </c>
      <c r="F667" s="747">
        <f>+SUMIF('Anlage 2b_Korrekturen'!$B$647:$B$1026,A667,'Anlage 2b_Korrekturen'!$F$647:$F$1026)</f>
        <v>0</v>
      </c>
      <c r="G667" s="1094">
        <f t="shared" si="23"/>
        <v>335218.90608000004</v>
      </c>
      <c r="H667" t="str">
        <f>+VLOOKUP(A667,'Anlage 2a_Letztverbrauch'!$A$413:$J$792,10,FALSE)</f>
        <v>Stadtwerke Schwentinental GmbH</v>
      </c>
    </row>
    <row r="668" spans="1:8" hidden="1" outlineLevel="1">
      <c r="A668" s="988" t="s">
        <v>1316</v>
      </c>
      <c r="B668" s="793">
        <f>+VLOOKUP(A668,'Anlage 2a_Letztverbrauch'!$A$2281:$I$2661,9,FALSE)</f>
        <v>1842611.00544</v>
      </c>
      <c r="C668" s="95">
        <v>0</v>
      </c>
      <c r="D668" s="95">
        <v>0</v>
      </c>
      <c r="E668" s="95">
        <f t="shared" si="22"/>
        <v>1842611.00544</v>
      </c>
      <c r="F668" s="747">
        <f>+SUMIF('Anlage 2b_Korrekturen'!$B$647:$B$1026,A668,'Anlage 2b_Korrekturen'!$F$647:$F$1026)</f>
        <v>0</v>
      </c>
      <c r="G668" s="1094">
        <f t="shared" si="23"/>
        <v>1842611.00544</v>
      </c>
      <c r="H668" t="str">
        <f>+VLOOKUP(A668,'Anlage 2a_Letztverbrauch'!$A$413:$J$792,10,FALSE)</f>
        <v>wesernetz Bremerhaven GmbH</v>
      </c>
    </row>
    <row r="669" spans="1:8" hidden="1" outlineLevel="1">
      <c r="A669" s="988" t="s">
        <v>1318</v>
      </c>
      <c r="B669" s="793">
        <f>+VLOOKUP(A669,'Anlage 2a_Letztverbrauch'!$A$2281:$I$2661,9,FALSE)</f>
        <v>1133776.9819199999</v>
      </c>
      <c r="C669" s="95">
        <v>0</v>
      </c>
      <c r="D669" s="95">
        <v>0</v>
      </c>
      <c r="E669" s="95">
        <f t="shared" si="22"/>
        <v>1133776.9819199999</v>
      </c>
      <c r="F669" s="747">
        <f>+SUMIF('Anlage 2b_Korrekturen'!$B$647:$B$1026,A669,'Anlage 2b_Korrekturen'!$F$647:$F$1026)</f>
        <v>0</v>
      </c>
      <c r="G669" s="1094">
        <f t="shared" si="23"/>
        <v>1133776.9819199999</v>
      </c>
      <c r="H669" t="str">
        <f>+VLOOKUP(A669,'Anlage 2a_Letztverbrauch'!$A$413:$J$792,10,FALSE)</f>
        <v>Freisinger Stadtwerke Versorgungs-GmbH</v>
      </c>
    </row>
    <row r="670" spans="1:8" hidden="1" outlineLevel="1">
      <c r="A670" s="988" t="s">
        <v>1320</v>
      </c>
      <c r="B670" s="793">
        <f>+VLOOKUP(A670,'Anlage 2a_Letztverbrauch'!$A$2281:$I$2661,9,FALSE)</f>
        <v>2153960.22976</v>
      </c>
      <c r="C670" s="95">
        <v>0</v>
      </c>
      <c r="D670" s="95">
        <v>0</v>
      </c>
      <c r="E670" s="95">
        <f t="shared" si="22"/>
        <v>2153960.22976</v>
      </c>
      <c r="F670" s="747">
        <f>+SUMIF('Anlage 2b_Korrekturen'!$B$647:$B$1026,A670,'Anlage 2b_Korrekturen'!$F$647:$F$1026)</f>
        <v>0</v>
      </c>
      <c r="G670" s="1094">
        <f t="shared" si="23"/>
        <v>2153960.22976</v>
      </c>
      <c r="H670" t="str">
        <f>+VLOOKUP(A670,'Anlage 2a_Letztverbrauch'!$A$413:$J$792,10,FALSE)</f>
        <v>GEW Wilhelmshaven GmbH</v>
      </c>
    </row>
    <row r="671" spans="1:8" hidden="1" outlineLevel="1">
      <c r="A671" s="988" t="s">
        <v>1322</v>
      </c>
      <c r="B671" s="793">
        <f>+VLOOKUP(A671,'Anlage 2a_Letztverbrauch'!$A$2281:$I$2661,9,FALSE)</f>
        <v>83594.473599999998</v>
      </c>
      <c r="C671" s="95">
        <v>0</v>
      </c>
      <c r="D671" s="95">
        <v>0</v>
      </c>
      <c r="E671" s="95">
        <f t="shared" si="22"/>
        <v>83594.473599999998</v>
      </c>
      <c r="F671" s="747">
        <f>+SUMIF('Anlage 2b_Korrekturen'!$B$647:$B$1026,A671,'Anlage 2b_Korrekturen'!$F$647:$F$1026)</f>
        <v>0</v>
      </c>
      <c r="G671" s="1094">
        <f t="shared" si="23"/>
        <v>83594.473599999998</v>
      </c>
      <c r="H671" t="str">
        <f>+VLOOKUP(A671,'Anlage 2a_Letztverbrauch'!$A$413:$J$792,10,FALSE)</f>
        <v>Gemeindewerke Oberaudorf</v>
      </c>
    </row>
    <row r="672" spans="1:8" hidden="1" outlineLevel="1">
      <c r="A672" s="988" t="s">
        <v>1324</v>
      </c>
      <c r="B672" s="793">
        <f>+VLOOKUP(A672,'Anlage 2a_Letztverbrauch'!$A$2281:$I$2661,9,FALSE)</f>
        <v>92853.126400000008</v>
      </c>
      <c r="C672" s="95">
        <v>0</v>
      </c>
      <c r="D672" s="95">
        <v>0</v>
      </c>
      <c r="E672" s="95">
        <f t="shared" si="22"/>
        <v>92853.126400000008</v>
      </c>
      <c r="F672" s="747">
        <f>+SUMIF('Anlage 2b_Korrekturen'!$B$647:$B$1026,A672,'Anlage 2b_Korrekturen'!$F$647:$F$1026)</f>
        <v>0</v>
      </c>
      <c r="G672" s="1094">
        <f t="shared" si="23"/>
        <v>92853.126400000008</v>
      </c>
      <c r="H672" t="str">
        <f>+VLOOKUP(A672,'Anlage 2a_Letztverbrauch'!$A$413:$J$792,10,FALSE)</f>
        <v>Stadtwerke Windsbach</v>
      </c>
    </row>
    <row r="673" spans="1:8" hidden="1" outlineLevel="1">
      <c r="A673" s="988" t="s">
        <v>1326</v>
      </c>
      <c r="B673" s="793">
        <f>+VLOOKUP(A673,'Anlage 2a_Letztverbrauch'!$A$2281:$I$2661,9,FALSE)</f>
        <v>390667.11583999998</v>
      </c>
      <c r="C673" s="95">
        <v>-24084.2</v>
      </c>
      <c r="D673" s="95">
        <v>0</v>
      </c>
      <c r="E673" s="95">
        <f t="shared" si="22"/>
        <v>366582.91583999997</v>
      </c>
      <c r="F673" s="747">
        <f>+SUMIF('Anlage 2b_Korrekturen'!$B$647:$B$1026,A673,'Anlage 2b_Korrekturen'!$F$647:$F$1026)</f>
        <v>-292.49423999999999</v>
      </c>
      <c r="G673" s="1094">
        <f t="shared" si="23"/>
        <v>366290.4216</v>
      </c>
      <c r="H673" t="str">
        <f>+VLOOKUP(A673,'Anlage 2a_Letztverbrauch'!$A$413:$J$792,10,FALSE)</f>
        <v>SWW Wunsiedel GmbH</v>
      </c>
    </row>
    <row r="674" spans="1:8" hidden="1" outlineLevel="1">
      <c r="A674" s="988" t="s">
        <v>1328</v>
      </c>
      <c r="B674" s="793">
        <f>+VLOOKUP(A674,'Anlage 2a_Letztverbrauch'!$A$2281:$I$2661,9,FALSE)</f>
        <v>2123729.3695999999</v>
      </c>
      <c r="C674" s="95">
        <v>0</v>
      </c>
      <c r="D674" s="95">
        <v>0</v>
      </c>
      <c r="E674" s="95">
        <f t="shared" si="22"/>
        <v>2123729.3695999999</v>
      </c>
      <c r="F674" s="747">
        <f>+SUMIF('Anlage 2b_Korrekturen'!$B$647:$B$1026,A674,'Anlage 2b_Korrekturen'!$F$647:$F$1026)</f>
        <v>-12570.186824140001</v>
      </c>
      <c r="G674" s="1094">
        <f t="shared" si="23"/>
        <v>2111159.1827758597</v>
      </c>
      <c r="H674" t="str">
        <f>+VLOOKUP(A674,'Anlage 2a_Letztverbrauch'!$A$413:$J$792,10,FALSE)</f>
        <v>SÜC Energie und H2O GmbH</v>
      </c>
    </row>
    <row r="675" spans="1:8" hidden="1" outlineLevel="1">
      <c r="A675" s="988" t="s">
        <v>1330</v>
      </c>
      <c r="B675" s="793">
        <f>+VLOOKUP(A675,'Anlage 2a_Letztverbrauch'!$A$2281:$I$2661,9,FALSE)</f>
        <v>5309872.3259199997</v>
      </c>
      <c r="C675" s="95">
        <v>0</v>
      </c>
      <c r="D675" s="95">
        <v>0</v>
      </c>
      <c r="E675" s="95">
        <f t="shared" si="22"/>
        <v>5309872.3259199997</v>
      </c>
      <c r="F675" s="747">
        <f>+SUMIF('Anlage 2b_Korrekturen'!$B$647:$B$1026,A675,'Anlage 2b_Korrekturen'!$F$647:$F$1026)</f>
        <v>0</v>
      </c>
      <c r="G675" s="1094">
        <f t="shared" si="23"/>
        <v>5309872.3259199997</v>
      </c>
      <c r="H675" t="str">
        <f>+VLOOKUP(A675,'Anlage 2a_Letztverbrauch'!$A$413:$J$792,10,FALSE)</f>
        <v>VW Kraftwerk GmbH</v>
      </c>
    </row>
    <row r="676" spans="1:8" hidden="1" outlineLevel="1">
      <c r="A676" s="988" t="s">
        <v>1332</v>
      </c>
      <c r="B676" s="793">
        <f>+VLOOKUP(A676,'Anlage 2a_Letztverbrauch'!$A$2281:$I$2661,9,FALSE)</f>
        <v>3804580.2367593604</v>
      </c>
      <c r="C676" s="95">
        <v>0</v>
      </c>
      <c r="D676" s="95">
        <v>0</v>
      </c>
      <c r="E676" s="95">
        <f t="shared" si="22"/>
        <v>3804580.2367593604</v>
      </c>
      <c r="F676" s="747">
        <f>+SUMIF('Anlage 2b_Korrekturen'!$B$647:$B$1026,A676,'Anlage 2b_Korrekturen'!$F$647:$F$1026)</f>
        <v>0</v>
      </c>
      <c r="G676" s="1094">
        <f t="shared" si="23"/>
        <v>3804580.2367593604</v>
      </c>
      <c r="H676" t="str">
        <f>+VLOOKUP(A676,'Anlage 2a_Letztverbrauch'!$A$413:$J$792,10,FALSE)</f>
        <v>Erlanger Stadtwerke AG</v>
      </c>
    </row>
    <row r="677" spans="1:8" hidden="1" outlineLevel="1">
      <c r="A677" s="988" t="s">
        <v>499</v>
      </c>
      <c r="B677" s="793">
        <f>+VLOOKUP(A677,'Anlage 2a_Letztverbrauch'!$A$2281:$I$2661,9,FALSE)</f>
        <v>215829.07087999998</v>
      </c>
      <c r="C677" s="95">
        <v>0</v>
      </c>
      <c r="D677" s="95">
        <v>0</v>
      </c>
      <c r="E677" s="95">
        <f t="shared" si="22"/>
        <v>215829.07087999998</v>
      </c>
      <c r="F677" s="747">
        <f>+SUMIF('Anlage 2b_Korrekturen'!$B$647:$B$1026,A677,'Anlage 2b_Korrekturen'!$F$647:$F$1026)</f>
        <v>-363.24772000000002</v>
      </c>
      <c r="G677" s="1094">
        <f t="shared" si="23"/>
        <v>215465.82315999997</v>
      </c>
      <c r="H677" t="str">
        <f>+VLOOKUP(A677,'Anlage 2a_Letztverbrauch'!$A$413:$J$792,10,FALSE)</f>
        <v>Stadtwerke Weilburg GmbH</v>
      </c>
    </row>
    <row r="678" spans="1:8" hidden="1" outlineLevel="1">
      <c r="A678" s="988" t="s">
        <v>1334</v>
      </c>
      <c r="B678" s="793">
        <f>+VLOOKUP(A678,'Anlage 2a_Letztverbrauch'!$A$2281:$I$2661,9,FALSE)</f>
        <v>2352030.2916800003</v>
      </c>
      <c r="C678" s="95">
        <v>0</v>
      </c>
      <c r="D678" s="95">
        <v>0</v>
      </c>
      <c r="E678" s="95">
        <f t="shared" si="22"/>
        <v>2352030.2916800003</v>
      </c>
      <c r="F678" s="747">
        <f>+SUMIF('Anlage 2b_Korrekturen'!$B$647:$B$1026,A678,'Anlage 2b_Korrekturen'!$F$647:$F$1026)</f>
        <v>-12944.92713</v>
      </c>
      <c r="G678" s="1094">
        <f t="shared" si="23"/>
        <v>2339085.3645500001</v>
      </c>
      <c r="H678" t="str">
        <f>+VLOOKUP(A678,'Anlage 2a_Letztverbrauch'!$A$413:$J$792,10,FALSE)</f>
        <v>Stadtwerke Hameln Weserbergland GmbH</v>
      </c>
    </row>
    <row r="679" spans="1:8" hidden="1" outlineLevel="1">
      <c r="A679" s="988" t="s">
        <v>1336</v>
      </c>
      <c r="B679" s="793">
        <f>+VLOOKUP(A679,'Anlage 2a_Letztverbrauch'!$A$2281:$I$2661,9,FALSE)</f>
        <v>430923.25776000001</v>
      </c>
      <c r="C679" s="95">
        <v>0</v>
      </c>
      <c r="D679" s="95">
        <v>0</v>
      </c>
      <c r="E679" s="95">
        <f t="shared" si="22"/>
        <v>430923.25776000001</v>
      </c>
      <c r="F679" s="747">
        <f>+SUMIF('Anlage 2b_Korrekturen'!$B$647:$B$1026,A679,'Anlage 2b_Korrekturen'!$F$647:$F$1026)</f>
        <v>0</v>
      </c>
      <c r="G679" s="1094">
        <f t="shared" si="23"/>
        <v>430923.25776000001</v>
      </c>
      <c r="H679" t="str">
        <f>+VLOOKUP(A679,'Anlage 2a_Letztverbrauch'!$A$413:$J$792,10,FALSE)</f>
        <v>Elektrizitätswerk Goldbach-Hösbach GmbH &amp; Co. KG</v>
      </c>
    </row>
    <row r="680" spans="1:8" hidden="1" outlineLevel="1">
      <c r="A680" s="988" t="s">
        <v>1895</v>
      </c>
      <c r="B680" s="793">
        <f>+VLOOKUP(A680,'Anlage 2a_Letztverbrauch'!$A$2281:$I$2661,9,FALSE)</f>
        <v>74327.509279999998</v>
      </c>
      <c r="C680" s="95">
        <v>0</v>
      </c>
      <c r="D680" s="95">
        <v>0</v>
      </c>
      <c r="E680" s="95">
        <f t="shared" si="22"/>
        <v>74327.509279999998</v>
      </c>
      <c r="F680" s="747">
        <f>+SUMIF('Anlage 2b_Korrekturen'!$B$647:$B$1026,A680,'Anlage 2b_Korrekturen'!$F$647:$F$1026)</f>
        <v>0</v>
      </c>
      <c r="G680" s="1094">
        <f t="shared" si="23"/>
        <v>74327.509279999998</v>
      </c>
      <c r="H680" t="str">
        <f>+VLOOKUP(A680,'Anlage 2a_Letztverbrauch'!$A$413:$J$792,10,FALSE)</f>
        <v>Gemeindewerke Gangkofen</v>
      </c>
    </row>
    <row r="681" spans="1:8" hidden="1" outlineLevel="1">
      <c r="A681" s="988" t="s">
        <v>748</v>
      </c>
      <c r="B681" s="793">
        <f>+VLOOKUP(A681,'Anlage 2a_Letztverbrauch'!$A$2281:$I$2661,9,FALSE)</f>
        <v>470978.28976000001</v>
      </c>
      <c r="C681" s="95">
        <v>0</v>
      </c>
      <c r="D681" s="95">
        <v>0</v>
      </c>
      <c r="E681" s="95">
        <f t="shared" si="22"/>
        <v>470978.28976000001</v>
      </c>
      <c r="F681" s="747">
        <f>+SUMIF('Anlage 2b_Korrekturen'!$B$647:$B$1026,A681,'Anlage 2b_Korrekturen'!$F$647:$F$1026)</f>
        <v>798.43583000000012</v>
      </c>
      <c r="G681" s="1094">
        <f t="shared" si="23"/>
        <v>471776.72558999999</v>
      </c>
      <c r="H681" t="str">
        <f>+VLOOKUP(A681,'Anlage 2a_Letztverbrauch'!$A$413:$J$792,10,FALSE)</f>
        <v>T.W.O Technische Werke Osning GmbH</v>
      </c>
    </row>
    <row r="682" spans="1:8" hidden="1" outlineLevel="1">
      <c r="A682" s="988" t="s">
        <v>1339</v>
      </c>
      <c r="B682" s="793">
        <f>+VLOOKUP(A682,'Anlage 2a_Letztverbrauch'!$A$2281:$I$2661,9,FALSE)</f>
        <v>248462.63712</v>
      </c>
      <c r="C682" s="95">
        <v>0</v>
      </c>
      <c r="D682" s="95">
        <v>0</v>
      </c>
      <c r="E682" s="95">
        <f t="shared" si="22"/>
        <v>248462.63712</v>
      </c>
      <c r="F682" s="747">
        <f>+SUMIF('Anlage 2b_Korrekturen'!$B$647:$B$1026,A682,'Anlage 2b_Korrekturen'!$F$647:$F$1026)</f>
        <v>-1468.4188800000002</v>
      </c>
      <c r="G682" s="1094">
        <f t="shared" si="23"/>
        <v>246994.21823999999</v>
      </c>
      <c r="H682" t="str">
        <f>+VLOOKUP(A682,'Anlage 2a_Letztverbrauch'!$A$413:$J$792,10,FALSE)</f>
        <v>Stadtwerke Witzenhausen GmbH</v>
      </c>
    </row>
    <row r="683" spans="1:8" hidden="1" outlineLevel="1">
      <c r="A683" s="988" t="s">
        <v>1341</v>
      </c>
      <c r="B683" s="793">
        <f>+VLOOKUP(A683,'Anlage 2a_Letztverbrauch'!$A$2281:$I$2661,9,FALSE)</f>
        <v>1024587.44816</v>
      </c>
      <c r="C683" s="95">
        <v>0</v>
      </c>
      <c r="D683" s="95">
        <v>0</v>
      </c>
      <c r="E683" s="95">
        <f t="shared" si="22"/>
        <v>1024587.44816</v>
      </c>
      <c r="F683" s="747">
        <f>+SUMIF('Anlage 2b_Korrekturen'!$B$647:$B$1026,A683,'Anlage 2b_Korrekturen'!$F$647:$F$1026)</f>
        <v>0</v>
      </c>
      <c r="G683" s="1094">
        <f t="shared" si="23"/>
        <v>1024587.44816</v>
      </c>
      <c r="H683" t="str">
        <f>+VLOOKUP(A683,'Anlage 2a_Letztverbrauch'!$A$413:$J$792,10,FALSE)</f>
        <v>E-Werke Reutte GmbH &amp; Co. KG</v>
      </c>
    </row>
    <row r="684" spans="1:8" hidden="1" outlineLevel="1">
      <c r="A684" s="988" t="s">
        <v>1343</v>
      </c>
      <c r="B684" s="793">
        <f>+VLOOKUP(A684,'Anlage 2a_Letztverbrauch'!$A$2281:$I$2661,9,FALSE)</f>
        <v>392910.73424000002</v>
      </c>
      <c r="C684" s="95">
        <v>0</v>
      </c>
      <c r="D684" s="95">
        <v>0</v>
      </c>
      <c r="E684" s="95">
        <f t="shared" si="22"/>
        <v>392910.73424000002</v>
      </c>
      <c r="F684" s="747">
        <f>+SUMIF('Anlage 2b_Korrekturen'!$B$647:$B$1026,A684,'Anlage 2b_Korrekturen'!$F$647:$F$1026)</f>
        <v>0</v>
      </c>
      <c r="G684" s="1094">
        <f t="shared" si="23"/>
        <v>392910.73424000002</v>
      </c>
      <c r="H684" t="str">
        <f>+VLOOKUP(A684,'Anlage 2a_Letztverbrauch'!$A$413:$J$792,10,FALSE)</f>
        <v>EZV Energie- und Service GmbH &amp; Co. KG Untermain</v>
      </c>
    </row>
    <row r="685" spans="1:8" hidden="1" outlineLevel="1">
      <c r="A685" s="988" t="s">
        <v>1345</v>
      </c>
      <c r="B685" s="793">
        <f>+VLOOKUP(A685,'Anlage 2a_Letztverbrauch'!$A$2281:$I$2661,9,FALSE)</f>
        <v>58433.941280000006</v>
      </c>
      <c r="C685" s="95">
        <v>0</v>
      </c>
      <c r="D685" s="95">
        <v>0</v>
      </c>
      <c r="E685" s="95">
        <f t="shared" si="22"/>
        <v>58433.941280000006</v>
      </c>
      <c r="F685" s="747">
        <f>+SUMIF('Anlage 2b_Korrekturen'!$B$647:$B$1026,A685,'Anlage 2b_Korrekturen'!$F$647:$F$1026)</f>
        <v>0</v>
      </c>
      <c r="G685" s="1094">
        <f t="shared" si="23"/>
        <v>58433.941280000006</v>
      </c>
      <c r="H685" t="str">
        <f>+VLOOKUP(A685,'Anlage 2a_Letztverbrauch'!$A$413:$J$792,10,FALSE)</f>
        <v>Gemeindewerke Waging am See</v>
      </c>
    </row>
    <row r="686" spans="1:8" hidden="1" outlineLevel="1">
      <c r="A686" s="988" t="s">
        <v>1347</v>
      </c>
      <c r="B686" s="793">
        <f>+VLOOKUP(A686,'Anlage 2a_Letztverbrauch'!$A$2281:$I$2661,9,FALSE)</f>
        <v>411085.26016000001</v>
      </c>
      <c r="C686" s="95">
        <v>0</v>
      </c>
      <c r="D686" s="95">
        <v>0</v>
      </c>
      <c r="E686" s="95">
        <f t="shared" si="22"/>
        <v>411085.26016000001</v>
      </c>
      <c r="F686" s="747">
        <f>+SUMIF('Anlage 2b_Korrekturen'!$B$647:$B$1026,A686,'Anlage 2b_Korrekturen'!$F$647:$F$1026)</f>
        <v>0</v>
      </c>
      <c r="G686" s="1094">
        <f t="shared" si="23"/>
        <v>411085.26016000001</v>
      </c>
      <c r="H686" t="str">
        <f>+VLOOKUP(A686,'Anlage 2a_Letztverbrauch'!$A$413:$J$792,10,FALSE)</f>
        <v>Stadtwerke Zeven GmbH</v>
      </c>
    </row>
    <row r="687" spans="1:8" hidden="1" outlineLevel="1">
      <c r="A687" s="988" t="s">
        <v>1897</v>
      </c>
      <c r="B687" s="793">
        <f>+VLOOKUP(A687,'Anlage 2a_Letztverbrauch'!$A$2281:$I$2661,9,FALSE)</f>
        <v>36839.969440000001</v>
      </c>
      <c r="C687" s="95">
        <v>0</v>
      </c>
      <c r="D687" s="95">
        <v>0</v>
      </c>
      <c r="E687" s="95">
        <f t="shared" si="22"/>
        <v>36839.969440000001</v>
      </c>
      <c r="F687" s="747">
        <f>+SUMIF('Anlage 2b_Korrekturen'!$B$647:$B$1026,A687,'Anlage 2b_Korrekturen'!$F$647:$F$1026)</f>
        <v>160.10714000000002</v>
      </c>
      <c r="G687" s="1094">
        <f t="shared" si="23"/>
        <v>37000.076580000001</v>
      </c>
      <c r="H687" t="str">
        <f>+VLOOKUP(A687,'Anlage 2a_Letztverbrauch'!$A$413:$J$792,10,FALSE)</f>
        <v>Gemeindewerke Langenpreising GmbH &amp; Co. KG</v>
      </c>
    </row>
    <row r="688" spans="1:8" hidden="1" outlineLevel="1">
      <c r="A688" s="988" t="s">
        <v>1349</v>
      </c>
      <c r="B688" s="793">
        <f>+VLOOKUP(A688,'Anlage 2a_Letztverbrauch'!$A$2281:$I$2661,9,FALSE)</f>
        <v>10308.488960000001</v>
      </c>
      <c r="C688" s="95">
        <v>0</v>
      </c>
      <c r="D688" s="95">
        <v>0</v>
      </c>
      <c r="E688" s="95">
        <f t="shared" si="22"/>
        <v>10308.488960000001</v>
      </c>
      <c r="F688" s="747">
        <f>+SUMIF('Anlage 2b_Korrekturen'!$B$647:$B$1026,A688,'Anlage 2b_Korrekturen'!$F$647:$F$1026)</f>
        <v>94.648650000000004</v>
      </c>
      <c r="G688" s="1094">
        <f t="shared" si="23"/>
        <v>10403.13761</v>
      </c>
      <c r="H688" t="str">
        <f>+VLOOKUP(A688,'Anlage 2a_Letztverbrauch'!$A$413:$J$792,10,FALSE)</f>
        <v>Markt Egloffstein</v>
      </c>
    </row>
    <row r="689" spans="1:8" hidden="1" outlineLevel="1">
      <c r="A689" s="988" t="s">
        <v>1899</v>
      </c>
      <c r="B689" s="793">
        <f>+VLOOKUP(A689,'Anlage 2a_Letztverbrauch'!$A$2281:$I$2661,9,FALSE)</f>
        <v>30107.087200000002</v>
      </c>
      <c r="C689" s="95">
        <v>0</v>
      </c>
      <c r="D689" s="95">
        <v>0</v>
      </c>
      <c r="E689" s="95">
        <f t="shared" si="22"/>
        <v>30107.087200000002</v>
      </c>
      <c r="F689" s="747">
        <f>+SUMIF('Anlage 2b_Korrekturen'!$B$647:$B$1026,A689,'Anlage 2b_Korrekturen'!$F$647:$F$1026)</f>
        <v>0</v>
      </c>
      <c r="G689" s="1094">
        <f t="shared" si="23"/>
        <v>30107.087200000002</v>
      </c>
      <c r="H689" t="str">
        <f>+VLOOKUP(A689,'Anlage 2a_Letztverbrauch'!$A$413:$J$792,10,FALSE)</f>
        <v>Elektra-Genossenschaft Effeltrich e.G.</v>
      </c>
    </row>
    <row r="690" spans="1:8" hidden="1" outlineLevel="1">
      <c r="A690" s="988" t="s">
        <v>1351</v>
      </c>
      <c r="B690" s="793">
        <f>+VLOOKUP(A690,'Anlage 2a_Letztverbrauch'!$A$2281:$I$2661,9,FALSE)</f>
        <v>2235169.01504</v>
      </c>
      <c r="C690" s="95">
        <v>0</v>
      </c>
      <c r="D690" s="95">
        <v>0</v>
      </c>
      <c r="E690" s="95">
        <f t="shared" si="22"/>
        <v>2235169.01504</v>
      </c>
      <c r="F690" s="747">
        <f>+SUMIF('Anlage 2b_Korrekturen'!$B$647:$B$1026,A690,'Anlage 2b_Korrekturen'!$F$647:$F$1026)</f>
        <v>0</v>
      </c>
      <c r="G690" s="1094">
        <f t="shared" si="23"/>
        <v>2235169.01504</v>
      </c>
      <c r="H690" t="str">
        <f>+VLOOKUP(A690,'Anlage 2a_Letztverbrauch'!$A$413:$J$792,10,FALSE)</f>
        <v>EVI Energieversorgung Hildesheim GmbH &amp; Co. KG</v>
      </c>
    </row>
    <row r="691" spans="1:8" hidden="1" outlineLevel="1">
      <c r="A691" s="988" t="s">
        <v>1901</v>
      </c>
      <c r="B691" s="793">
        <f>+VLOOKUP(A691,'Anlage 2a_Letztverbrauch'!$A$2281:$I$2661,9,FALSE)</f>
        <v>0</v>
      </c>
      <c r="C691" s="95">
        <v>0</v>
      </c>
      <c r="D691" s="95">
        <v>0</v>
      </c>
      <c r="E691" s="95">
        <f t="shared" si="22"/>
        <v>0</v>
      </c>
      <c r="F691" s="747">
        <f>+SUMIF('Anlage 2b_Korrekturen'!$B$647:$B$1026,A691,'Anlage 2b_Korrekturen'!$F$647:$F$1026)</f>
        <v>0</v>
      </c>
      <c r="G691" s="1094">
        <f t="shared" si="23"/>
        <v>0</v>
      </c>
      <c r="H691" t="str">
        <f>+VLOOKUP(A691,'Anlage 2a_Letztverbrauch'!$A$413:$J$792,10,FALSE)</f>
        <v>Elektrizitätswerk Georg Grandl e.K.</v>
      </c>
    </row>
    <row r="692" spans="1:8" hidden="1" outlineLevel="1">
      <c r="A692" s="988" t="s">
        <v>1353</v>
      </c>
      <c r="B692" s="793">
        <f>+VLOOKUP(A692,'Anlage 2a_Letztverbrauch'!$A$2281:$I$2661,9,FALSE)</f>
        <v>282327.63344000001</v>
      </c>
      <c r="C692" s="95">
        <v>0</v>
      </c>
      <c r="D692" s="95">
        <v>0</v>
      </c>
      <c r="E692" s="95">
        <f t="shared" si="22"/>
        <v>282327.63344000001</v>
      </c>
      <c r="F692" s="747">
        <f>+SUMIF('Anlage 2b_Korrekturen'!$B$647:$B$1026,A692,'Anlage 2b_Korrekturen'!$F$647:$F$1026)</f>
        <v>0</v>
      </c>
      <c r="G692" s="1094">
        <f t="shared" si="23"/>
        <v>282327.63344000001</v>
      </c>
      <c r="H692" t="str">
        <f>+VLOOKUP(A692,'Anlage 2a_Letztverbrauch'!$A$413:$J$792,10,FALSE)</f>
        <v>Stadtwerke Lauterbach GmbH</v>
      </c>
    </row>
    <row r="693" spans="1:8" hidden="1" outlineLevel="1">
      <c r="A693" s="988" t="s">
        <v>1355</v>
      </c>
      <c r="B693" s="793">
        <f>+VLOOKUP(A693,'Anlage 2a_Letztverbrauch'!$A$2281:$I$2661,9,FALSE)</f>
        <v>186447.76764800001</v>
      </c>
      <c r="C693" s="95">
        <v>0</v>
      </c>
      <c r="D693" s="95">
        <v>0</v>
      </c>
      <c r="E693" s="95">
        <f t="shared" si="22"/>
        <v>186447.76764800001</v>
      </c>
      <c r="F693" s="747">
        <f>+SUMIF('Anlage 2b_Korrekturen'!$B$647:$B$1026,A693,'Anlage 2b_Korrekturen'!$F$647:$F$1026)</f>
        <v>170.03332900000001</v>
      </c>
      <c r="G693" s="1094">
        <f t="shared" si="23"/>
        <v>186617.80097700001</v>
      </c>
      <c r="H693" t="str">
        <f>+VLOOKUP(A693,'Anlage 2a_Letztverbrauch'!$A$413:$J$792,10,FALSE)</f>
        <v>Nordseeheilbad Borkum GmbH</v>
      </c>
    </row>
    <row r="694" spans="1:8" hidden="1" outlineLevel="1">
      <c r="A694" s="988" t="s">
        <v>1357</v>
      </c>
      <c r="B694" s="793">
        <f>+VLOOKUP(A694,'Anlage 2a_Letztverbrauch'!$A$2281:$I$2661,9,FALSE)</f>
        <v>641208.65631999995</v>
      </c>
      <c r="C694" s="95">
        <v>0</v>
      </c>
      <c r="D694" s="95">
        <v>0</v>
      </c>
      <c r="E694" s="95">
        <f t="shared" si="22"/>
        <v>641208.65631999995</v>
      </c>
      <c r="F694" s="747">
        <f>+SUMIF('Anlage 2b_Korrekturen'!$B$647:$B$1026,A694,'Anlage 2b_Korrekturen'!$F$647:$F$1026)</f>
        <v>-503.36892</v>
      </c>
      <c r="G694" s="1094">
        <f t="shared" si="23"/>
        <v>640705.28739999991</v>
      </c>
      <c r="H694" t="str">
        <f>+VLOOKUP(A694,'Anlage 2a_Letztverbrauch'!$A$413:$J$792,10,FALSE)</f>
        <v>Stadtwerke Cham GmbH</v>
      </c>
    </row>
    <row r="695" spans="1:8" hidden="1" outlineLevel="1">
      <c r="A695" s="988" t="s">
        <v>1359</v>
      </c>
      <c r="B695" s="793">
        <f>+VLOOKUP(A695,'Anlage 2a_Letztverbrauch'!$A$2281:$I$2661,9,FALSE)</f>
        <v>69204.044320000001</v>
      </c>
      <c r="C695" s="95">
        <v>0</v>
      </c>
      <c r="D695" s="95">
        <v>0</v>
      </c>
      <c r="E695" s="95">
        <f t="shared" si="22"/>
        <v>69204.044320000001</v>
      </c>
      <c r="F695" s="747">
        <f>+SUMIF('Anlage 2b_Korrekturen'!$B$647:$B$1026,A695,'Anlage 2b_Korrekturen'!$F$647:$F$1026)</f>
        <v>0</v>
      </c>
      <c r="G695" s="1094">
        <f t="shared" si="23"/>
        <v>69204.044320000001</v>
      </c>
      <c r="H695" t="str">
        <f>+VLOOKUP(A695,'Anlage 2a_Letztverbrauch'!$A$413:$J$792,10,FALSE)</f>
        <v>Elektrizitäts-Versorgungs-Genossenschaft Perlesreut e.G.</v>
      </c>
    </row>
    <row r="696" spans="1:8" hidden="1" outlineLevel="1">
      <c r="A696" s="988" t="s">
        <v>1903</v>
      </c>
      <c r="B696" s="793">
        <f>+VLOOKUP(A696,'Anlage 2a_Letztverbrauch'!$A$2281:$I$2661,9,FALSE)</f>
        <v>40255.216959999998</v>
      </c>
      <c r="C696" s="95">
        <v>0</v>
      </c>
      <c r="D696" s="95">
        <v>0</v>
      </c>
      <c r="E696" s="95">
        <f t="shared" si="22"/>
        <v>40255.216959999998</v>
      </c>
      <c r="F696" s="747">
        <f>+SUMIF('Anlage 2b_Korrekturen'!$B$647:$B$1026,A696,'Anlage 2b_Korrekturen'!$F$647:$F$1026)</f>
        <v>0</v>
      </c>
      <c r="G696" s="1094">
        <f t="shared" si="23"/>
        <v>40255.216959999998</v>
      </c>
      <c r="H696" t="str">
        <f>+VLOOKUP(A696,'Anlage 2a_Letztverbrauch'!$A$413:$J$792,10,FALSE)</f>
        <v>Gemeindewerke Nüdlingen</v>
      </c>
    </row>
    <row r="697" spans="1:8" hidden="1" outlineLevel="1">
      <c r="A697" s="988" t="s">
        <v>1361</v>
      </c>
      <c r="B697" s="793">
        <f>+VLOOKUP(A697,'Anlage 2a_Letztverbrauch'!$A$2281:$I$2661,9,FALSE)</f>
        <v>716983.74112000002</v>
      </c>
      <c r="C697" s="95">
        <v>0</v>
      </c>
      <c r="D697" s="95">
        <v>0</v>
      </c>
      <c r="E697" s="95">
        <f t="shared" si="22"/>
        <v>716983.74112000002</v>
      </c>
      <c r="F697" s="747">
        <f>+SUMIF('Anlage 2b_Korrekturen'!$B$647:$B$1026,A697,'Anlage 2b_Korrekturen'!$F$647:$F$1026)</f>
        <v>0</v>
      </c>
      <c r="G697" s="1094">
        <f t="shared" si="23"/>
        <v>716983.74112000002</v>
      </c>
      <c r="H697" t="str">
        <f>+VLOOKUP(A697,'Anlage 2a_Letztverbrauch'!$A$413:$J$792,10,FALSE)</f>
        <v>Gemeindewerke Garmisch-Partenkirchen</v>
      </c>
    </row>
    <row r="698" spans="1:8" hidden="1" outlineLevel="1">
      <c r="A698" s="988" t="s">
        <v>1363</v>
      </c>
      <c r="B698" s="793">
        <f>+VLOOKUP(A698,'Anlage 2a_Letztverbrauch'!$A$2281:$I$2661,9,FALSE)</f>
        <v>860317.45824000007</v>
      </c>
      <c r="C698" s="95">
        <v>0</v>
      </c>
      <c r="D698" s="95">
        <v>0</v>
      </c>
      <c r="E698" s="95">
        <f t="shared" si="22"/>
        <v>860317.45824000007</v>
      </c>
      <c r="F698" s="747">
        <f>+SUMIF('Anlage 2b_Korrekturen'!$B$647:$B$1026,A698,'Anlage 2b_Korrekturen'!$F$647:$F$1026)</f>
        <v>-50.459580000000003</v>
      </c>
      <c r="G698" s="1094">
        <f t="shared" si="23"/>
        <v>860266.99866000004</v>
      </c>
      <c r="H698" t="str">
        <f>+VLOOKUP(A698,'Anlage 2a_Letztverbrauch'!$A$413:$J$792,10,FALSE)</f>
        <v>Überlandzentrale Wörth/l.- Altheim Netz AG</v>
      </c>
    </row>
    <row r="699" spans="1:8" hidden="1" outlineLevel="1">
      <c r="A699" s="988" t="s">
        <v>1365</v>
      </c>
      <c r="B699" s="793">
        <f>+VLOOKUP(A699,'Anlage 2a_Letztverbrauch'!$A$2281:$I$2661,9,FALSE)</f>
        <v>328803.62624000001</v>
      </c>
      <c r="C699" s="95">
        <v>0</v>
      </c>
      <c r="D699" s="95">
        <v>0</v>
      </c>
      <c r="E699" s="95">
        <f t="shared" si="22"/>
        <v>328803.62624000001</v>
      </c>
      <c r="F699" s="747">
        <f>+SUMIF('Anlage 2b_Korrekturen'!$B$647:$B$1026,A699,'Anlage 2b_Korrekturen'!$F$647:$F$1026)</f>
        <v>0</v>
      </c>
      <c r="G699" s="1094">
        <f t="shared" si="23"/>
        <v>328803.62624000001</v>
      </c>
      <c r="H699" t="str">
        <f>+VLOOKUP(A699,'Anlage 2a_Letztverbrauch'!$A$413:$J$792,10,FALSE)</f>
        <v>SWB Stadtwerke Biedenkopf GmbH</v>
      </c>
    </row>
    <row r="700" spans="1:8" hidden="1" outlineLevel="1">
      <c r="A700" s="988" t="s">
        <v>1367</v>
      </c>
      <c r="B700" s="793">
        <f>+VLOOKUP(A700,'Anlage 2a_Letztverbrauch'!$A$2281:$I$2661,9,FALSE)</f>
        <v>52759.718399999998</v>
      </c>
      <c r="C700" s="95">
        <v>0</v>
      </c>
      <c r="D700" s="95">
        <v>0</v>
      </c>
      <c r="E700" s="95">
        <f t="shared" si="22"/>
        <v>52759.718399999998</v>
      </c>
      <c r="F700" s="747">
        <f>+SUMIF('Anlage 2b_Korrekturen'!$B$647:$B$1026,A700,'Anlage 2b_Korrekturen'!$F$647:$F$1026)</f>
        <v>0</v>
      </c>
      <c r="G700" s="1094">
        <f t="shared" si="23"/>
        <v>52759.718399999998</v>
      </c>
      <c r="H700" t="str">
        <f>+VLOOKUP(A700,'Anlage 2a_Letztverbrauch'!$A$413:$J$792,10,FALSE)</f>
        <v>Bauer Netz GmbH &amp; Co. KG</v>
      </c>
    </row>
    <row r="701" spans="1:8" hidden="1" outlineLevel="1">
      <c r="A701" s="988" t="s">
        <v>1369</v>
      </c>
      <c r="B701" s="793">
        <f>+VLOOKUP(A701,'Anlage 2a_Letztverbrauch'!$A$2281:$I$2661,9,FALSE)</f>
        <v>65631.26496</v>
      </c>
      <c r="C701" s="95">
        <v>0</v>
      </c>
      <c r="D701" s="95">
        <v>0</v>
      </c>
      <c r="E701" s="95">
        <f t="shared" si="22"/>
        <v>65631.26496</v>
      </c>
      <c r="F701" s="747">
        <f>+SUMIF('Anlage 2b_Korrekturen'!$B$647:$B$1026,A701,'Anlage 2b_Korrekturen'!$F$647:$F$1026)</f>
        <v>0</v>
      </c>
      <c r="G701" s="1094">
        <f t="shared" si="23"/>
        <v>65631.26496</v>
      </c>
      <c r="H701" t="str">
        <f>+VLOOKUP(A701,'Anlage 2a_Letztverbrauch'!$A$413:$J$792,10,FALSE)</f>
        <v>Kommunalunternehmen Leutershausen</v>
      </c>
    </row>
    <row r="702" spans="1:8" hidden="1" outlineLevel="1">
      <c r="A702" s="988" t="s">
        <v>409</v>
      </c>
      <c r="B702" s="793">
        <f>+VLOOKUP(A702,'Anlage 2a_Letztverbrauch'!$A$2281:$I$2661,9,FALSE)</f>
        <v>348559.61728000001</v>
      </c>
      <c r="C702" s="95">
        <v>0</v>
      </c>
      <c r="D702" s="95">
        <v>0</v>
      </c>
      <c r="E702" s="95">
        <f t="shared" si="22"/>
        <v>348559.61728000001</v>
      </c>
      <c r="F702" s="747">
        <f>+SUMIF('Anlage 2b_Korrekturen'!$B$647:$B$1026,A702,'Anlage 2b_Korrekturen'!$F$647:$F$1026)</f>
        <v>0</v>
      </c>
      <c r="G702" s="1094">
        <f t="shared" si="23"/>
        <v>348559.61728000001</v>
      </c>
      <c r="H702" t="str">
        <f>+VLOOKUP(A702,'Anlage 2a_Letztverbrauch'!$A$413:$J$792,10,FALSE)</f>
        <v>Aschaffenburger Versorgungs-GmbH</v>
      </c>
    </row>
    <row r="703" spans="1:8" hidden="1" outlineLevel="1">
      <c r="A703" s="988" t="s">
        <v>1371</v>
      </c>
      <c r="B703" s="793">
        <f>+VLOOKUP(A703,'Anlage 2a_Letztverbrauch'!$A$2281:$I$2661,9,FALSE)</f>
        <v>214703.55856000003</v>
      </c>
      <c r="C703" s="95">
        <v>0</v>
      </c>
      <c r="D703" s="95">
        <v>0</v>
      </c>
      <c r="E703" s="95">
        <f t="shared" si="22"/>
        <v>214703.55856000003</v>
      </c>
      <c r="F703" s="747">
        <f>+SUMIF('Anlage 2b_Korrekturen'!$B$647:$B$1026,A703,'Anlage 2b_Korrekturen'!$F$647:$F$1026)</f>
        <v>0</v>
      </c>
      <c r="G703" s="1094">
        <f t="shared" si="23"/>
        <v>214703.55856000003</v>
      </c>
      <c r="H703" t="str">
        <f>+VLOOKUP(A703,'Anlage 2a_Letztverbrauch'!$A$413:$J$792,10,FALSE)</f>
        <v>Stadtwerke Feuchtwangen</v>
      </c>
    </row>
    <row r="704" spans="1:8" hidden="1" outlineLevel="1">
      <c r="A704" s="988" t="s">
        <v>1478</v>
      </c>
      <c r="B704" s="793">
        <f>+VLOOKUP(A704,'Anlage 2a_Letztverbrauch'!$A$2281:$I$2661,9,FALSE)</f>
        <v>662113.17871999997</v>
      </c>
      <c r="C704" s="95">
        <v>0</v>
      </c>
      <c r="D704" s="95">
        <v>0</v>
      </c>
      <c r="E704" s="95">
        <f t="shared" si="22"/>
        <v>662113.17871999997</v>
      </c>
      <c r="F704" s="747">
        <f>+SUMIF('Anlage 2b_Korrekturen'!$B$647:$B$1026,A704,'Anlage 2b_Korrekturen'!$F$647:$F$1026)</f>
        <v>1028.22749</v>
      </c>
      <c r="G704" s="1094">
        <f t="shared" si="23"/>
        <v>663141.40620999993</v>
      </c>
      <c r="H704" t="str">
        <f>+VLOOKUP(A704,'Anlage 2a_Letztverbrauch'!$A$413:$J$792,10,FALSE)</f>
        <v>Stadtwerke Husum Netz GmbH</v>
      </c>
    </row>
    <row r="705" spans="1:8" hidden="1" outlineLevel="1">
      <c r="A705" s="988" t="s">
        <v>1373</v>
      </c>
      <c r="B705" s="793">
        <f>+VLOOKUP(A705,'Anlage 2a_Letztverbrauch'!$A$2281:$I$2661,9,FALSE)</f>
        <v>20638.166720000001</v>
      </c>
      <c r="C705" s="95">
        <v>0</v>
      </c>
      <c r="D705" s="95">
        <v>0</v>
      </c>
      <c r="E705" s="95">
        <f t="shared" si="22"/>
        <v>20638.166720000001</v>
      </c>
      <c r="F705" s="747">
        <f>+SUMIF('Anlage 2b_Korrekturen'!$B$647:$B$1026,A705,'Anlage 2b_Korrekturen'!$F$647:$F$1026)</f>
        <v>0</v>
      </c>
      <c r="G705" s="1094">
        <f t="shared" si="23"/>
        <v>20638.166720000001</v>
      </c>
      <c r="H705" t="str">
        <f>+VLOOKUP(A705,'Anlage 2a_Letztverbrauch'!$A$413:$J$792,10,FALSE)</f>
        <v>EVU Späth e.K.</v>
      </c>
    </row>
    <row r="706" spans="1:8" hidden="1" outlineLevel="1">
      <c r="A706" s="988" t="s">
        <v>1905</v>
      </c>
      <c r="B706" s="793">
        <f>+VLOOKUP(A706,'Anlage 2a_Letztverbrauch'!$A$2281:$I$2661,9,FALSE)</f>
        <v>19005.389279999999</v>
      </c>
      <c r="C706" s="95">
        <v>0</v>
      </c>
      <c r="D706" s="95">
        <v>0</v>
      </c>
      <c r="E706" s="95">
        <f t="shared" si="22"/>
        <v>19005.389279999999</v>
      </c>
      <c r="F706" s="747">
        <f>+SUMIF('Anlage 2b_Korrekturen'!$B$647:$B$1026,A706,'Anlage 2b_Korrekturen'!$F$647:$F$1026)</f>
        <v>0</v>
      </c>
      <c r="G706" s="1094">
        <f t="shared" si="23"/>
        <v>19005.389279999999</v>
      </c>
      <c r="H706" t="str">
        <f>+VLOOKUP(A706,'Anlage 2a_Letztverbrauch'!$A$413:$J$792,10,FALSE)</f>
        <v>Energieversorgung - Schmid</v>
      </c>
    </row>
    <row r="707" spans="1:8" hidden="1" outlineLevel="1">
      <c r="A707" s="988" t="s">
        <v>1375</v>
      </c>
      <c r="B707" s="793">
        <f>+VLOOKUP(A707,'Anlage 2a_Letztverbrauch'!$A$2281:$I$2661,9,FALSE)</f>
        <v>2446846.2947200001</v>
      </c>
      <c r="C707" s="95">
        <v>-2702.46</v>
      </c>
      <c r="D707" s="95">
        <v>0</v>
      </c>
      <c r="E707" s="95">
        <f t="shared" si="22"/>
        <v>2444143.8347200002</v>
      </c>
      <c r="F707" s="747">
        <f>+SUMIF('Anlage 2b_Korrekturen'!$B$647:$B$1026,A707,'Anlage 2b_Korrekturen'!$F$647:$F$1026)</f>
        <v>28076.229530000001</v>
      </c>
      <c r="G707" s="1094">
        <f t="shared" si="23"/>
        <v>2472220.0642500003</v>
      </c>
      <c r="H707" t="str">
        <f>+VLOOKUP(A707,'Anlage 2a_Letztverbrauch'!$A$413:$J$792,10,FALSE)</f>
        <v>ÜZ Mainfranken eG</v>
      </c>
    </row>
    <row r="708" spans="1:8" hidden="1" outlineLevel="1">
      <c r="A708" s="988" t="s">
        <v>86</v>
      </c>
      <c r="B708" s="793">
        <f>+VLOOKUP(A708,'Anlage 2a_Letztverbrauch'!$A$2281:$I$2661,9,FALSE)</f>
        <v>1241416.3177503999</v>
      </c>
      <c r="C708" s="95">
        <v>0</v>
      </c>
      <c r="D708" s="95">
        <v>0</v>
      </c>
      <c r="E708" s="95">
        <f t="shared" si="22"/>
        <v>1241416.3177503999</v>
      </c>
      <c r="F708" s="747">
        <f>+SUMIF('Anlage 2b_Korrekturen'!$B$647:$B$1026,A708,'Anlage 2b_Korrekturen'!$F$647:$F$1026)</f>
        <v>7339.8956888000012</v>
      </c>
      <c r="G708" s="1094">
        <f t="shared" si="23"/>
        <v>1248756.2134391998</v>
      </c>
      <c r="H708" t="str">
        <f>+VLOOKUP(A708,'Anlage 2a_Letztverbrauch'!$A$413:$J$792,10,FALSE)</f>
        <v>GETEC net GmbH</v>
      </c>
    </row>
    <row r="709" spans="1:8" hidden="1" outlineLevel="1">
      <c r="A709" s="988" t="s">
        <v>1377</v>
      </c>
      <c r="B709" s="793">
        <f>+VLOOKUP(A709,'Anlage 2a_Letztverbrauch'!$A$2281:$I$2661,9,FALSE)</f>
        <v>44316.77536</v>
      </c>
      <c r="C709" s="95">
        <v>0</v>
      </c>
      <c r="D709" s="95">
        <v>0</v>
      </c>
      <c r="E709" s="95">
        <f t="shared" si="22"/>
        <v>44316.77536</v>
      </c>
      <c r="F709" s="747">
        <f>+SUMIF('Anlage 2b_Korrekturen'!$B$647:$B$1026,A709,'Anlage 2b_Korrekturen'!$F$647:$F$1026)</f>
        <v>0</v>
      </c>
      <c r="G709" s="1094">
        <f t="shared" si="23"/>
        <v>44316.77536</v>
      </c>
      <c r="H709" t="str">
        <f>+VLOOKUP(A709,'Anlage 2a_Letztverbrauch'!$A$413:$J$792,10,FALSE)</f>
        <v>Markt Obernzell</v>
      </c>
    </row>
    <row r="710" spans="1:8" hidden="1" outlineLevel="1">
      <c r="A710" s="988" t="s">
        <v>1907</v>
      </c>
      <c r="B710" s="793">
        <f>+VLOOKUP(A710,'Anlage 2a_Letztverbrauch'!$A$2281:$I$2661,9,FALSE)</f>
        <v>32171.781600000002</v>
      </c>
      <c r="C710" s="95">
        <v>0</v>
      </c>
      <c r="D710" s="95">
        <v>0</v>
      </c>
      <c r="E710" s="95">
        <f t="shared" si="22"/>
        <v>32171.781600000002</v>
      </c>
      <c r="F710" s="747">
        <f>+SUMIF('Anlage 2b_Korrekturen'!$B$647:$B$1026,A710,'Anlage 2b_Korrekturen'!$F$647:$F$1026)</f>
        <v>-142</v>
      </c>
      <c r="G710" s="1094">
        <f t="shared" si="23"/>
        <v>32029.781600000002</v>
      </c>
      <c r="H710" t="str">
        <f>+VLOOKUP(A710,'Anlage 2a_Letztverbrauch'!$A$413:$J$792,10,FALSE)</f>
        <v>Elektrizitätsgenossenschaft Engelsberg e.G.</v>
      </c>
    </row>
    <row r="711" spans="1:8" hidden="1" outlineLevel="1">
      <c r="A711" s="988" t="s">
        <v>1379</v>
      </c>
      <c r="B711" s="793">
        <f>+VLOOKUP(A711,'Anlage 2a_Letztverbrauch'!$A$2281:$I$2661,9,FALSE)</f>
        <v>63536.624159999999</v>
      </c>
      <c r="C711" s="95">
        <v>0</v>
      </c>
      <c r="D711" s="95">
        <v>0</v>
      </c>
      <c r="E711" s="95">
        <f t="shared" si="22"/>
        <v>63536.624159999999</v>
      </c>
      <c r="F711" s="747">
        <f>+SUMIF('Anlage 2b_Korrekturen'!$B$647:$B$1026,A711,'Anlage 2b_Korrekturen'!$F$647:$F$1026)</f>
        <v>0</v>
      </c>
      <c r="G711" s="1094">
        <f t="shared" si="23"/>
        <v>63536.624159999999</v>
      </c>
      <c r="H711" t="str">
        <f>+VLOOKUP(A711,'Anlage 2a_Letztverbrauch'!$A$413:$J$792,10,FALSE)</f>
        <v>Gemeindewerke Frammersbach</v>
      </c>
    </row>
    <row r="712" spans="1:8" hidden="1" outlineLevel="1">
      <c r="A712" s="988" t="s">
        <v>1381</v>
      </c>
      <c r="B712" s="793">
        <f>+VLOOKUP(A712,'Anlage 2a_Letztverbrauch'!$A$2281:$I$2661,9,FALSE)</f>
        <v>58439.763673600006</v>
      </c>
      <c r="C712" s="95">
        <v>0</v>
      </c>
      <c r="D712" s="95">
        <v>0</v>
      </c>
      <c r="E712" s="95">
        <f t="shared" si="22"/>
        <v>58439.763673600006</v>
      </c>
      <c r="F712" s="747">
        <f>+SUMIF('Anlage 2b_Korrekturen'!$B$647:$B$1026,A712,'Anlage 2b_Korrekturen'!$F$647:$F$1026)</f>
        <v>-51.718410000000006</v>
      </c>
      <c r="G712" s="1094">
        <f t="shared" si="23"/>
        <v>58388.045263600005</v>
      </c>
      <c r="H712" t="str">
        <f>+VLOOKUP(A712,'Anlage 2a_Letztverbrauch'!$A$413:$J$792,10,FALSE)</f>
        <v>Kraftwerk Farchant A. Poettinger &amp; Co. KG</v>
      </c>
    </row>
    <row r="713" spans="1:8" hidden="1" outlineLevel="1">
      <c r="A713" s="988" t="s">
        <v>1383</v>
      </c>
      <c r="B713" s="793">
        <f>+VLOOKUP(A713,'Anlage 2a_Letztverbrauch'!$A$2281:$I$2661,9,FALSE)</f>
        <v>186288.36096000002</v>
      </c>
      <c r="C713" s="95">
        <v>0</v>
      </c>
      <c r="D713" s="95">
        <v>0</v>
      </c>
      <c r="E713" s="95">
        <f t="shared" si="22"/>
        <v>186288.36096000002</v>
      </c>
      <c r="F713" s="747">
        <f>+SUMIF('Anlage 2b_Korrekturen'!$B$647:$B$1026,A713,'Anlage 2b_Korrekturen'!$F$647:$F$1026)</f>
        <v>17085.911820000001</v>
      </c>
      <c r="G713" s="1094">
        <f t="shared" si="23"/>
        <v>203374.27278000003</v>
      </c>
      <c r="H713" t="str">
        <f>+VLOOKUP(A713,'Anlage 2a_Letztverbrauch'!$A$413:$J$792,10,FALSE)</f>
        <v>Wendelsteinbahn Verteilnetz GmbH</v>
      </c>
    </row>
    <row r="714" spans="1:8" hidden="1" outlineLevel="1">
      <c r="A714" s="988" t="s">
        <v>1909</v>
      </c>
      <c r="B714" s="793">
        <f>+VLOOKUP(A714,'Anlage 2a_Letztverbrauch'!$A$2281:$I$2661,9,FALSE)</f>
        <v>92278.225646400009</v>
      </c>
      <c r="C714" s="95">
        <v>0</v>
      </c>
      <c r="D714" s="95">
        <v>0</v>
      </c>
      <c r="E714" s="95">
        <f t="shared" si="22"/>
        <v>92278.225646400009</v>
      </c>
      <c r="F714" s="747">
        <f>+SUMIF('Anlage 2b_Korrekturen'!$B$647:$B$1026,A714,'Anlage 2b_Korrekturen'!$F$647:$F$1026)</f>
        <v>0</v>
      </c>
      <c r="G714" s="1094">
        <f t="shared" si="23"/>
        <v>92278.225646400009</v>
      </c>
      <c r="H714" t="str">
        <f>+VLOOKUP(A714,'Anlage 2a_Letztverbrauch'!$A$413:$J$792,10,FALSE)</f>
        <v>Niedersachsen Ports GmbH &amp; Co. KG</v>
      </c>
    </row>
    <row r="715" spans="1:8" hidden="1" outlineLevel="1">
      <c r="A715" s="988" t="s">
        <v>1385</v>
      </c>
      <c r="B715" s="793">
        <f>+VLOOKUP(A715,'Anlage 2a_Letztverbrauch'!$A$2281:$I$2661,9,FALSE)</f>
        <v>313853.32064000005</v>
      </c>
      <c r="C715" s="95">
        <v>0</v>
      </c>
      <c r="D715" s="95">
        <v>0</v>
      </c>
      <c r="E715" s="95">
        <f t="shared" ref="E715:E778" si="24">B715+C715+D715</f>
        <v>313853.32064000005</v>
      </c>
      <c r="F715" s="747">
        <f>+SUMIF('Anlage 2b_Korrekturen'!$B$647:$B$1026,A715,'Anlage 2b_Korrekturen'!$F$647:$F$1026)</f>
        <v>0</v>
      </c>
      <c r="G715" s="1094">
        <f t="shared" ref="G715:G778" si="25">E715+F715</f>
        <v>313853.32064000005</v>
      </c>
      <c r="H715" t="str">
        <f>+VLOOKUP(A715,'Anlage 2a_Letztverbrauch'!$A$413:$J$792,10,FALSE)</f>
        <v>Stadtwerke Eutin GmbH</v>
      </c>
    </row>
    <row r="716" spans="1:8" hidden="1" outlineLevel="1">
      <c r="A716" s="988" t="s">
        <v>1387</v>
      </c>
      <c r="B716" s="793">
        <f>+VLOOKUP(A716,'Anlage 2a_Letztverbrauch'!$A$2281:$I$2661,9,FALSE)</f>
        <v>832595.94128000003</v>
      </c>
      <c r="C716" s="95">
        <v>0</v>
      </c>
      <c r="D716" s="95">
        <v>0</v>
      </c>
      <c r="E716" s="95">
        <f t="shared" si="24"/>
        <v>832595.94128000003</v>
      </c>
      <c r="F716" s="747">
        <f>+SUMIF('Anlage 2b_Korrekturen'!$B$647:$B$1026,A716,'Anlage 2b_Korrekturen'!$F$647:$F$1026)</f>
        <v>-2741.6859899999999</v>
      </c>
      <c r="G716" s="1094">
        <f t="shared" si="25"/>
        <v>829854.25529</v>
      </c>
      <c r="H716" t="str">
        <f>+VLOOKUP(A716,'Anlage 2a_Letztverbrauch'!$A$413:$J$792,10,FALSE)</f>
        <v>Elektrizitätswerk Wörth a.d. Donau Rupert Heider GmbH &amp; Co. KG</v>
      </c>
    </row>
    <row r="717" spans="1:8" hidden="1" outlineLevel="1">
      <c r="A717" s="988" t="s">
        <v>1911</v>
      </c>
      <c r="B717" s="793">
        <f>+VLOOKUP(A717,'Anlage 2a_Letztverbrauch'!$A$2281:$I$2661,9,FALSE)</f>
        <v>23398.424480000001</v>
      </c>
      <c r="C717" s="95">
        <v>0</v>
      </c>
      <c r="D717" s="95">
        <v>0</v>
      </c>
      <c r="E717" s="95">
        <f t="shared" si="24"/>
        <v>23398.424480000001</v>
      </c>
      <c r="F717" s="747">
        <f>+SUMIF('Anlage 2b_Korrekturen'!$B$647:$B$1026,A717,'Anlage 2b_Korrekturen'!$F$647:$F$1026)</f>
        <v>0</v>
      </c>
      <c r="G717" s="1094">
        <f t="shared" si="25"/>
        <v>23398.424480000001</v>
      </c>
      <c r="H717" t="str">
        <f>+VLOOKUP(A717,'Anlage 2a_Letztverbrauch'!$A$413:$J$792,10,FALSE)</f>
        <v>Elektrizitätsvereinigung Böbing eG</v>
      </c>
    </row>
    <row r="718" spans="1:8" hidden="1" outlineLevel="1">
      <c r="A718" s="988" t="s">
        <v>1913</v>
      </c>
      <c r="B718" s="793">
        <f>+VLOOKUP(A718,'Anlage 2a_Letztverbrauch'!$A$2281:$I$2661,9,FALSE)</f>
        <v>49447.574400000005</v>
      </c>
      <c r="C718" s="95">
        <v>0</v>
      </c>
      <c r="D718" s="95">
        <v>0</v>
      </c>
      <c r="E718" s="95">
        <f t="shared" si="24"/>
        <v>49447.574400000005</v>
      </c>
      <c r="F718" s="747">
        <f>+SUMIF('Anlage 2b_Korrekturen'!$B$647:$B$1026,A718,'Anlage 2b_Korrekturen'!$F$647:$F$1026)</f>
        <v>0</v>
      </c>
      <c r="G718" s="1094">
        <f t="shared" si="25"/>
        <v>49447.574400000005</v>
      </c>
      <c r="H718" t="str">
        <f>+VLOOKUP(A718,'Anlage 2a_Letztverbrauch'!$A$413:$J$792,10,FALSE)</f>
        <v>Gemeindewerke Wildeck</v>
      </c>
    </row>
    <row r="719" spans="1:8" hidden="1" outlineLevel="1">
      <c r="A719" s="988" t="s">
        <v>1389</v>
      </c>
      <c r="B719" s="793">
        <f>+VLOOKUP(A719,'Anlage 2a_Letztverbrauch'!$A$2281:$I$2661,9,FALSE)</f>
        <v>636088.84101600002</v>
      </c>
      <c r="C719" s="95">
        <v>0</v>
      </c>
      <c r="D719" s="95">
        <v>0</v>
      </c>
      <c r="E719" s="95">
        <f t="shared" si="24"/>
        <v>636088.84101600002</v>
      </c>
      <c r="F719" s="747">
        <f>+SUMIF('Anlage 2b_Korrekturen'!$B$647:$B$1026,A719,'Anlage 2b_Korrekturen'!$F$647:$F$1026)</f>
        <v>0</v>
      </c>
      <c r="G719" s="1094">
        <f t="shared" si="25"/>
        <v>636088.84101600002</v>
      </c>
      <c r="H719" t="str">
        <f>+VLOOKUP(A719,'Anlage 2a_Letztverbrauch'!$A$413:$J$792,10,FALSE)</f>
        <v>Stadtwerke Warburg GmbH</v>
      </c>
    </row>
    <row r="720" spans="1:8" hidden="1" outlineLevel="1">
      <c r="A720" s="988" t="s">
        <v>1915</v>
      </c>
      <c r="B720" s="793">
        <f>+VLOOKUP(A720,'Anlage 2a_Letztverbrauch'!$A$2281:$I$2661,9,FALSE)</f>
        <v>18103.7304</v>
      </c>
      <c r="C720" s="95">
        <v>0</v>
      </c>
      <c r="D720" s="95">
        <v>0</v>
      </c>
      <c r="E720" s="95">
        <f t="shared" si="24"/>
        <v>18103.7304</v>
      </c>
      <c r="F720" s="747">
        <f>+SUMIF('Anlage 2b_Korrekturen'!$B$647:$B$1026,A720,'Anlage 2b_Korrekturen'!$F$647:$F$1026)</f>
        <v>-573.22271999999998</v>
      </c>
      <c r="G720" s="1094">
        <f t="shared" si="25"/>
        <v>17530.507679999999</v>
      </c>
      <c r="H720" t="str">
        <f>+VLOOKUP(A720,'Anlage 2a_Letztverbrauch'!$A$413:$J$792,10,FALSE)</f>
        <v>Elektrizitätsgenossenschaft Nordhalben und Umgebung eG</v>
      </c>
    </row>
    <row r="721" spans="1:8" hidden="1" outlineLevel="1">
      <c r="A721" s="988" t="s">
        <v>1391</v>
      </c>
      <c r="B721" s="793">
        <f>+VLOOKUP(A721,'Anlage 2a_Letztverbrauch'!$A$2281:$I$2661,9,FALSE)</f>
        <v>1683654.4055999999</v>
      </c>
      <c r="C721" s="95">
        <v>0</v>
      </c>
      <c r="D721" s="95">
        <v>0</v>
      </c>
      <c r="E721" s="95">
        <f t="shared" si="24"/>
        <v>1683654.4055999999</v>
      </c>
      <c r="F721" s="747">
        <f>+SUMIF('Anlage 2b_Korrekturen'!$B$647:$B$1026,A721,'Anlage 2b_Korrekturen'!$F$647:$F$1026)</f>
        <v>53653.450790000003</v>
      </c>
      <c r="G721" s="1094">
        <f t="shared" si="25"/>
        <v>1737307.8563899999</v>
      </c>
      <c r="H721" t="str">
        <f>+VLOOKUP(A721,'Anlage 2a_Letztverbrauch'!$A$413:$J$792,10,FALSE)</f>
        <v>Kreiswerke Main-Kinzig GmbH</v>
      </c>
    </row>
    <row r="722" spans="1:8" hidden="1" outlineLevel="1">
      <c r="A722" s="988" t="s">
        <v>194</v>
      </c>
      <c r="B722" s="793">
        <f>+VLOOKUP(A722,'Anlage 2a_Letztverbrauch'!$A$2281:$I$2661,9,FALSE)</f>
        <v>5884526.2857599994</v>
      </c>
      <c r="C722" s="95">
        <v>0</v>
      </c>
      <c r="D722" s="95">
        <v>0</v>
      </c>
      <c r="E722" s="95">
        <f t="shared" si="24"/>
        <v>5884526.2857599994</v>
      </c>
      <c r="F722" s="747">
        <f>+SUMIF('Anlage 2b_Korrekturen'!$B$647:$B$1026,A722,'Anlage 2b_Korrekturen'!$F$647:$F$1026)</f>
        <v>0</v>
      </c>
      <c r="G722" s="1094">
        <f t="shared" si="25"/>
        <v>5884526.2857599994</v>
      </c>
      <c r="H722" t="str">
        <f>+VLOOKUP(A722,'Anlage 2a_Letztverbrauch'!$A$413:$J$792,10,FALSE)</f>
        <v>OsthessenNetz GmbH</v>
      </c>
    </row>
    <row r="723" spans="1:8" hidden="1" outlineLevel="1">
      <c r="A723" s="988" t="s">
        <v>1917</v>
      </c>
      <c r="B723" s="793">
        <f>+VLOOKUP(A723,'Anlage 2a_Letztverbrauch'!$A$2281:$I$2661,9,FALSE)</f>
        <v>24133.000160000003</v>
      </c>
      <c r="C723" s="95">
        <v>0</v>
      </c>
      <c r="D723" s="95">
        <v>0</v>
      </c>
      <c r="E723" s="95">
        <f t="shared" si="24"/>
        <v>24133.000160000003</v>
      </c>
      <c r="F723" s="747">
        <f>+SUMIF('Anlage 2b_Korrekturen'!$B$647:$B$1026,A723,'Anlage 2b_Korrekturen'!$F$647:$F$1026)</f>
        <v>0</v>
      </c>
      <c r="G723" s="1094">
        <f t="shared" si="25"/>
        <v>24133.000160000003</v>
      </c>
      <c r="H723" t="str">
        <f>+VLOOKUP(A723,'Anlage 2a_Letztverbrauch'!$A$413:$J$792,10,FALSE)</f>
        <v>Elektrizitätswerk Mainbernheim GmbH</v>
      </c>
    </row>
    <row r="724" spans="1:8" hidden="1" outlineLevel="1">
      <c r="A724" s="988" t="s">
        <v>1393</v>
      </c>
      <c r="B724" s="793">
        <f>+VLOOKUP(A724,'Anlage 2a_Letztverbrauch'!$A$2281:$I$2661,9,FALSE)</f>
        <v>188553.41087999998</v>
      </c>
      <c r="C724" s="95">
        <v>0</v>
      </c>
      <c r="D724" s="95">
        <v>0</v>
      </c>
      <c r="E724" s="95">
        <f t="shared" si="24"/>
        <v>188553.41087999998</v>
      </c>
      <c r="F724" s="747">
        <f>+SUMIF('Anlage 2b_Korrekturen'!$B$647:$B$1026,A724,'Anlage 2b_Korrekturen'!$F$647:$F$1026)</f>
        <v>0</v>
      </c>
      <c r="G724" s="1094">
        <f t="shared" si="25"/>
        <v>188553.41087999998</v>
      </c>
      <c r="H724" t="str">
        <f>+VLOOKUP(A724,'Anlage 2a_Letztverbrauch'!$A$413:$J$792,10,FALSE)</f>
        <v>Stadtwerke Bad Rodach</v>
      </c>
    </row>
    <row r="725" spans="1:8" hidden="1" outlineLevel="1">
      <c r="A725" s="988" t="s">
        <v>1395</v>
      </c>
      <c r="B725" s="793">
        <f>+VLOOKUP(A725,'Anlage 2a_Letztverbrauch'!$A$2281:$I$2661,9,FALSE)</f>
        <v>4922577.7825600002</v>
      </c>
      <c r="C725" s="95">
        <v>0</v>
      </c>
      <c r="D725" s="95">
        <v>0</v>
      </c>
      <c r="E725" s="95">
        <f t="shared" si="24"/>
        <v>4922577.7825600002</v>
      </c>
      <c r="F725" s="747">
        <f>+SUMIF('Anlage 2b_Korrekturen'!$B$647:$B$1026,A725,'Anlage 2b_Korrekturen'!$F$647:$F$1026)</f>
        <v>91413.527820000003</v>
      </c>
      <c r="G725" s="1094">
        <f t="shared" si="25"/>
        <v>5013991.3103800006</v>
      </c>
      <c r="H725" t="str">
        <f>+VLOOKUP(A725,'Anlage 2a_Letztverbrauch'!$A$413:$J$792,10,FALSE)</f>
        <v>Mainfranken Netze GmbH</v>
      </c>
    </row>
    <row r="726" spans="1:8" hidden="1" outlineLevel="1">
      <c r="A726" s="988" t="s">
        <v>1919</v>
      </c>
      <c r="B726" s="793">
        <f>+VLOOKUP(A726,'Anlage 2a_Letztverbrauch'!$A$2281:$I$2661,9,FALSE)</f>
        <v>19016.305120000001</v>
      </c>
      <c r="C726" s="95">
        <v>0</v>
      </c>
      <c r="D726" s="95">
        <v>0</v>
      </c>
      <c r="E726" s="95">
        <f t="shared" si="24"/>
        <v>19016.305120000001</v>
      </c>
      <c r="F726" s="747">
        <f>+SUMIF('Anlage 2b_Korrekturen'!$B$647:$B$1026,A726,'Anlage 2b_Korrekturen'!$F$647:$F$1026)</f>
        <v>0</v>
      </c>
      <c r="G726" s="1094">
        <f t="shared" si="25"/>
        <v>19016.305120000001</v>
      </c>
      <c r="H726" t="str">
        <f>+VLOOKUP(A726,'Anlage 2a_Letztverbrauch'!$A$413:$J$792,10,FALSE)</f>
        <v>FischerStrom GmbH &amp; Co. KG</v>
      </c>
    </row>
    <row r="727" spans="1:8" hidden="1" outlineLevel="1">
      <c r="A727" s="988" t="s">
        <v>1397</v>
      </c>
      <c r="B727" s="793">
        <f>+VLOOKUP(A727,'Anlage 2a_Letztverbrauch'!$A$2281:$I$2661,9,FALSE)</f>
        <v>1134584.84592</v>
      </c>
      <c r="C727" s="95">
        <v>0</v>
      </c>
      <c r="D727" s="95">
        <v>0</v>
      </c>
      <c r="E727" s="95">
        <f t="shared" si="24"/>
        <v>1134584.84592</v>
      </c>
      <c r="F727" s="747">
        <f>+SUMIF('Anlage 2b_Korrekturen'!$B$647:$B$1026,A727,'Anlage 2b_Korrekturen'!$F$647:$F$1026)</f>
        <v>0</v>
      </c>
      <c r="G727" s="1094">
        <f t="shared" si="25"/>
        <v>1134584.84592</v>
      </c>
      <c r="H727" t="str">
        <f>+VLOOKUP(A727,'Anlage 2a_Letztverbrauch'!$A$413:$J$792,10,FALSE)</f>
        <v>Vereinigte Stadtwerke Netz GmbH</v>
      </c>
    </row>
    <row r="728" spans="1:8" hidden="1" outlineLevel="1">
      <c r="A728" s="988" t="s">
        <v>1921</v>
      </c>
      <c r="B728" s="793">
        <f>+VLOOKUP(A728,'Anlage 2a_Letztverbrauch'!$A$2281:$I$2661,9,FALSE)</f>
        <v>462369.23440000007</v>
      </c>
      <c r="C728" s="95">
        <v>0</v>
      </c>
      <c r="D728" s="95">
        <v>0</v>
      </c>
      <c r="E728" s="95">
        <f t="shared" si="24"/>
        <v>462369.23440000007</v>
      </c>
      <c r="F728" s="747">
        <f>+SUMIF('Anlage 2b_Korrekturen'!$B$647:$B$1026,A728,'Anlage 2b_Korrekturen'!$F$647:$F$1026)</f>
        <v>-12171</v>
      </c>
      <c r="G728" s="1094">
        <f t="shared" si="25"/>
        <v>450198.23440000007</v>
      </c>
      <c r="H728" t="str">
        <f>+VLOOKUP(A728,'Anlage 2a_Letztverbrauch'!$A$413:$J$792,10,FALSE)</f>
        <v>EGF EnergieGesellschaft Frankenberg mbH</v>
      </c>
    </row>
    <row r="729" spans="1:8" hidden="1" outlineLevel="1">
      <c r="A729" s="988" t="s">
        <v>1923</v>
      </c>
      <c r="B729" s="793">
        <f>+VLOOKUP(A729,'Anlage 2a_Letztverbrauch'!$A$2281:$I$2661,9,FALSE)</f>
        <v>14837.94592</v>
      </c>
      <c r="C729" s="95">
        <v>0</v>
      </c>
      <c r="D729" s="95">
        <v>0</v>
      </c>
      <c r="E729" s="95">
        <f t="shared" si="24"/>
        <v>14837.94592</v>
      </c>
      <c r="F729" s="747">
        <f>+SUMIF('Anlage 2b_Korrekturen'!$B$647:$B$1026,A729,'Anlage 2b_Korrekturen'!$F$647:$F$1026)</f>
        <v>0</v>
      </c>
      <c r="G729" s="1094">
        <f t="shared" si="25"/>
        <v>14837.94592</v>
      </c>
      <c r="H729" t="str">
        <f>+VLOOKUP(A729,'Anlage 2a_Letztverbrauch'!$A$413:$J$792,10,FALSE)</f>
        <v>Elektra-Genossenschaft Pinzberg e.G.</v>
      </c>
    </row>
    <row r="730" spans="1:8" hidden="1" outlineLevel="1">
      <c r="A730" s="988" t="s">
        <v>1399</v>
      </c>
      <c r="B730" s="793">
        <f>+VLOOKUP(A730,'Anlage 2a_Letztverbrauch'!$A$2281:$I$2661,9,FALSE)</f>
        <v>8187683.1539200004</v>
      </c>
      <c r="C730" s="95">
        <v>0</v>
      </c>
      <c r="D730" s="95">
        <v>0</v>
      </c>
      <c r="E730" s="95">
        <f t="shared" si="24"/>
        <v>8187683.1539200004</v>
      </c>
      <c r="F730" s="747">
        <f>+SUMIF('Anlage 2b_Korrekturen'!$B$647:$B$1026,A730,'Anlage 2b_Korrekturen'!$F$647:$F$1026)</f>
        <v>0</v>
      </c>
      <c r="G730" s="1094">
        <f t="shared" si="25"/>
        <v>8187683.1539200004</v>
      </c>
      <c r="H730" t="str">
        <f>+VLOOKUP(A730,'Anlage 2a_Letztverbrauch'!$A$413:$J$792,10,FALSE)</f>
        <v>ovag Netz GmbH</v>
      </c>
    </row>
    <row r="731" spans="1:8" hidden="1" outlineLevel="1">
      <c r="A731" s="988" t="s">
        <v>1401</v>
      </c>
      <c r="B731" s="793">
        <f>+VLOOKUP(A731,'Anlage 2a_Letztverbrauch'!$A$2281:$I$2661,9,FALSE)</f>
        <v>49845206.713920005</v>
      </c>
      <c r="C731" s="95">
        <v>-20738.21</v>
      </c>
      <c r="D731" s="95">
        <v>0</v>
      </c>
      <c r="E731" s="95">
        <f t="shared" si="24"/>
        <v>49824468.503920004</v>
      </c>
      <c r="F731" s="747">
        <f>+SUMIF('Anlage 2b_Korrekturen'!$B$647:$B$1026,A731,'Anlage 2b_Korrekturen'!$F$647:$F$1026)</f>
        <v>268269.28587000002</v>
      </c>
      <c r="G731" s="1094">
        <f t="shared" si="25"/>
        <v>50092737.789790004</v>
      </c>
      <c r="H731" t="str">
        <f>+VLOOKUP(A731,'Anlage 2a_Letztverbrauch'!$A$413:$J$792,10,FALSE)</f>
        <v>EWE NETZ GmbH</v>
      </c>
    </row>
    <row r="732" spans="1:8" hidden="1" outlineLevel="1">
      <c r="A732" s="988" t="s">
        <v>1403</v>
      </c>
      <c r="B732" s="793">
        <f>+VLOOKUP(A732,'Anlage 2a_Letztverbrauch'!$A$2281:$I$2661,9,FALSE)</f>
        <v>158532.48928000001</v>
      </c>
      <c r="C732" s="95">
        <v>0</v>
      </c>
      <c r="D732" s="95">
        <v>0</v>
      </c>
      <c r="E732" s="95">
        <f t="shared" si="24"/>
        <v>158532.48928000001</v>
      </c>
      <c r="F732" s="747">
        <f>+SUMIF('Anlage 2b_Korrekturen'!$B$647:$B$1026,A732,'Anlage 2b_Korrekturen'!$F$647:$F$1026)</f>
        <v>0</v>
      </c>
      <c r="G732" s="1094">
        <f t="shared" si="25"/>
        <v>158532.48928000001</v>
      </c>
      <c r="H732" t="str">
        <f>+VLOOKUP(A732,'Anlage 2a_Letztverbrauch'!$A$413:$J$792,10,FALSE)</f>
        <v>Gemeindewerke Schwarzenbruck GmbH</v>
      </c>
    </row>
    <row r="733" spans="1:8" hidden="1" outlineLevel="1">
      <c r="A733" s="988" t="s">
        <v>1405</v>
      </c>
      <c r="B733" s="793">
        <f>+VLOOKUP(A733,'Anlage 2a_Letztverbrauch'!$A$2281:$I$2661,9,FALSE)</f>
        <v>108127331.48832001</v>
      </c>
      <c r="C733" s="95">
        <v>-1272323.42</v>
      </c>
      <c r="D733" s="95">
        <v>0</v>
      </c>
      <c r="E733" s="95">
        <f t="shared" si="24"/>
        <v>106855008.06832001</v>
      </c>
      <c r="F733" s="747">
        <f>+SUMIF('Anlage 2b_Korrekturen'!$B$647:$B$1026,A733,'Anlage 2b_Korrekturen'!$F$647:$F$1026)</f>
        <v>-155692.30125000002</v>
      </c>
      <c r="G733" s="1094">
        <f t="shared" si="25"/>
        <v>106699315.76707001</v>
      </c>
      <c r="H733" t="str">
        <f>+VLOOKUP(A733,'Anlage 2a_Letztverbrauch'!$A$413:$J$792,10,FALSE)</f>
        <v>Bayernwerk Netz GmbH</v>
      </c>
    </row>
    <row r="734" spans="1:8" hidden="1" outlineLevel="1">
      <c r="A734" s="988" t="s">
        <v>1407</v>
      </c>
      <c r="B734" s="793">
        <f>+VLOOKUP(A734,'Anlage 2a_Letztverbrauch'!$A$2281:$I$2661,9,FALSE)</f>
        <v>23897348.691199999</v>
      </c>
      <c r="C734" s="95">
        <v>-4878.09</v>
      </c>
      <c r="D734" s="95">
        <v>0</v>
      </c>
      <c r="E734" s="95">
        <f t="shared" si="24"/>
        <v>23892470.601199999</v>
      </c>
      <c r="F734" s="747">
        <f>+SUMIF('Anlage 2b_Korrekturen'!$B$647:$B$1026,A734,'Anlage 2b_Korrekturen'!$F$647:$F$1026)</f>
        <v>-84694.401129999998</v>
      </c>
      <c r="G734" s="1094">
        <f t="shared" si="25"/>
        <v>23807776.200070001</v>
      </c>
      <c r="H734" t="str">
        <f>+VLOOKUP(A734,'Anlage 2a_Letztverbrauch'!$A$413:$J$792,10,FALSE)</f>
        <v>Schleswig-Holstein Netz GmbH</v>
      </c>
    </row>
    <row r="735" spans="1:8" hidden="1" outlineLevel="1">
      <c r="A735" s="988" t="s">
        <v>1409</v>
      </c>
      <c r="B735" s="793">
        <f>+VLOOKUP(A735,'Anlage 2a_Letztverbrauch'!$A$2281:$I$2661,9,FALSE)</f>
        <v>4045388.5904000001</v>
      </c>
      <c r="C735" s="95">
        <v>0</v>
      </c>
      <c r="D735" s="95">
        <v>0</v>
      </c>
      <c r="E735" s="95">
        <f t="shared" si="24"/>
        <v>4045388.5904000001</v>
      </c>
      <c r="F735" s="747">
        <f>+SUMIF('Anlage 2b_Korrekturen'!$B$647:$B$1026,A735,'Anlage 2b_Korrekturen'!$F$647:$F$1026)</f>
        <v>32470.290980000002</v>
      </c>
      <c r="G735" s="1094">
        <f t="shared" si="25"/>
        <v>4077858.8813800002</v>
      </c>
      <c r="H735" t="str">
        <f>+VLOOKUP(A735,'Anlage 2a_Letztverbrauch'!$A$413:$J$792,10,FALSE)</f>
        <v>Harz Energie Netz GmbH</v>
      </c>
    </row>
    <row r="736" spans="1:8" hidden="1" outlineLevel="1">
      <c r="A736" s="988" t="s">
        <v>1925</v>
      </c>
      <c r="B736" s="793">
        <f>+VLOOKUP(A736,'Anlage 2a_Letztverbrauch'!$A$2281:$I$2661,9,FALSE)</f>
        <v>1344178.72208</v>
      </c>
      <c r="C736" s="95">
        <v>0</v>
      </c>
      <c r="D736" s="95">
        <v>0</v>
      </c>
      <c r="E736" s="95">
        <f t="shared" si="24"/>
        <v>1344178.72208</v>
      </c>
      <c r="F736" s="747">
        <f>+SUMIF('Anlage 2b_Korrekturen'!$B$647:$B$1026,A736,'Anlage 2b_Korrekturen'!$F$647:$F$1026)</f>
        <v>0</v>
      </c>
      <c r="G736" s="1094">
        <f t="shared" si="25"/>
        <v>1344178.72208</v>
      </c>
      <c r="H736" t="str">
        <f>+VLOOKUP(A736,'Anlage 2a_Letztverbrauch'!$A$413:$J$792,10,FALSE)</f>
        <v>Flughafen München GmbH</v>
      </c>
    </row>
    <row r="737" spans="1:8" hidden="1" outlineLevel="1">
      <c r="A737" s="988" t="s">
        <v>509</v>
      </c>
      <c r="B737" s="793">
        <f>+VLOOKUP(A737,'Anlage 2a_Letztverbrauch'!$A$2281:$I$2661,9,FALSE)</f>
        <v>24743114.046008002</v>
      </c>
      <c r="C737" s="95">
        <v>-25564.799999999999</v>
      </c>
      <c r="D737" s="95">
        <v>0</v>
      </c>
      <c r="E737" s="95">
        <f t="shared" si="24"/>
        <v>24717549.246008001</v>
      </c>
      <c r="F737" s="747">
        <f>+SUMIF('Anlage 2b_Korrekturen'!$B$647:$B$1026,A737,'Anlage 2b_Korrekturen'!$F$647:$F$1026)</f>
        <v>-177259.9302</v>
      </c>
      <c r="G737" s="1094">
        <f t="shared" si="25"/>
        <v>24540289.315808002</v>
      </c>
      <c r="H737" t="str">
        <f>+VLOOKUP(A737,'Anlage 2a_Letztverbrauch'!$A$413:$J$792,10,FALSE)</f>
        <v>Westfalen Weser Netz GmbH</v>
      </c>
    </row>
    <row r="738" spans="1:8" hidden="1" outlineLevel="1">
      <c r="A738" s="988" t="s">
        <v>1411</v>
      </c>
      <c r="B738" s="793">
        <f>+VLOOKUP(A738,'Anlage 2a_Letztverbrauch'!$A$2281:$I$2661,9,FALSE)</f>
        <v>459565.27392000007</v>
      </c>
      <c r="C738" s="95">
        <v>0</v>
      </c>
      <c r="D738" s="95">
        <v>0</v>
      </c>
      <c r="E738" s="95">
        <f t="shared" si="24"/>
        <v>459565.27392000007</v>
      </c>
      <c r="F738" s="747">
        <f>+SUMIF('Anlage 2b_Korrekturen'!$B$647:$B$1026,A738,'Anlage 2b_Korrekturen'!$F$647:$F$1026)</f>
        <v>0</v>
      </c>
      <c r="G738" s="1094">
        <f t="shared" si="25"/>
        <v>459565.27392000007</v>
      </c>
      <c r="H738" t="str">
        <f>+VLOOKUP(A738,'Anlage 2a_Letztverbrauch'!$A$413:$J$792,10,FALSE)</f>
        <v>Stadtwerke Burgdorf Netz GmbH</v>
      </c>
    </row>
    <row r="739" spans="1:8" hidden="1" outlineLevel="1">
      <c r="A739" s="988" t="s">
        <v>1413</v>
      </c>
      <c r="B739" s="793">
        <f>+VLOOKUP(A739,'Anlage 2a_Letztverbrauch'!$A$2281:$I$2661,9,FALSE)</f>
        <v>27008689.146080002</v>
      </c>
      <c r="C739" s="95">
        <v>-118495.35</v>
      </c>
      <c r="D739" s="95">
        <v>0</v>
      </c>
      <c r="E739" s="95">
        <f t="shared" si="24"/>
        <v>26890193.796080001</v>
      </c>
      <c r="F739" s="747">
        <f>+SUMIF('Anlage 2b_Korrekturen'!$B$647:$B$1026,A739,'Anlage 2b_Korrekturen'!$F$647:$F$1026)</f>
        <v>0</v>
      </c>
      <c r="G739" s="1094">
        <f t="shared" si="25"/>
        <v>26890193.796080001</v>
      </c>
      <c r="H739" t="str">
        <f>+VLOOKUP(A739,'Anlage 2a_Letztverbrauch'!$A$413:$J$792,10,FALSE)</f>
        <v>N-ERGIE Netz GmbH</v>
      </c>
    </row>
    <row r="740" spans="1:8" hidden="1" outlineLevel="1">
      <c r="A740" s="988" t="s">
        <v>388</v>
      </c>
      <c r="B740" s="793">
        <f>+VLOOKUP(A740,'Anlage 2a_Letztverbrauch'!$A$2281:$I$2661,9,FALSE)</f>
        <v>31388933.51484368</v>
      </c>
      <c r="C740" s="95">
        <v>-993714.49</v>
      </c>
      <c r="D740" s="95">
        <v>0</v>
      </c>
      <c r="E740" s="95">
        <f t="shared" si="24"/>
        <v>30395219.024843682</v>
      </c>
      <c r="F740" s="747">
        <f>+SUMIF('Anlage 2b_Korrekturen'!$B$647:$B$1026,A740,'Anlage 2b_Korrekturen'!$F$647:$F$1026)</f>
        <v>-79499.049502230002</v>
      </c>
      <c r="G740" s="1094">
        <f t="shared" si="25"/>
        <v>30315719.97534145</v>
      </c>
      <c r="H740" t="str">
        <f>+VLOOKUP(A740,'Anlage 2a_Letztverbrauch'!$A$413:$J$792,10,FALSE)</f>
        <v>Avacon Netz GmbH</v>
      </c>
    </row>
    <row r="741" spans="1:8" hidden="1" outlineLevel="1">
      <c r="A741" s="988" t="s">
        <v>724</v>
      </c>
      <c r="B741" s="793">
        <f>+VLOOKUP(A741,'Anlage 2a_Letztverbrauch'!$A$2281:$I$2661,9,FALSE)</f>
        <v>24578499.468800001</v>
      </c>
      <c r="C741" s="95">
        <v>-88455.49</v>
      </c>
      <c r="D741" s="95">
        <v>0</v>
      </c>
      <c r="E741" s="95">
        <f t="shared" si="24"/>
        <v>24490043.978800002</v>
      </c>
      <c r="F741" s="747">
        <f>+SUMIF('Anlage 2b_Korrekturen'!$B$647:$B$1026,A741,'Anlage 2b_Korrekturen'!$F$647:$F$1026)</f>
        <v>-11208.94414</v>
      </c>
      <c r="G741" s="1094">
        <f t="shared" si="25"/>
        <v>24478835.034660004</v>
      </c>
      <c r="H741" t="str">
        <f>+VLOOKUP(A741,'Anlage 2a_Letztverbrauch'!$A$413:$J$792,10,FALSE)</f>
        <v>EAM Netz GmbH</v>
      </c>
    </row>
    <row r="742" spans="1:8" hidden="1" outlineLevel="1">
      <c r="A742" s="988" t="s">
        <v>1927</v>
      </c>
      <c r="B742" s="793">
        <f>+VLOOKUP(A742,'Anlage 2a_Letztverbrauch'!$A$2281:$I$2661,9,FALSE)</f>
        <v>75097.410560000004</v>
      </c>
      <c r="C742" s="95">
        <v>0</v>
      </c>
      <c r="D742" s="95">
        <v>0</v>
      </c>
      <c r="E742" s="95">
        <f t="shared" si="24"/>
        <v>75097.410560000004</v>
      </c>
      <c r="F742" s="747">
        <f>+SUMIF('Anlage 2b_Korrekturen'!$B$647:$B$1026,A742,'Anlage 2b_Korrekturen'!$F$647:$F$1026)</f>
        <v>0</v>
      </c>
      <c r="G742" s="1094">
        <f t="shared" si="25"/>
        <v>75097.410560000004</v>
      </c>
      <c r="H742" t="str">
        <f>+VLOOKUP(A742,'Anlage 2a_Letztverbrauch'!$A$413:$J$792,10,FALSE)</f>
        <v>AlzChem Netz GmbH</v>
      </c>
    </row>
    <row r="743" spans="1:8" hidden="1" outlineLevel="1">
      <c r="A743" s="988" t="s">
        <v>1415</v>
      </c>
      <c r="B743" s="793">
        <f>+VLOOKUP(A743,'Anlage 2a_Letztverbrauch'!$A$2281:$I$2661,9,FALSE)</f>
        <v>24327.156480000001</v>
      </c>
      <c r="C743" s="95">
        <v>0</v>
      </c>
      <c r="D743" s="95">
        <v>0</v>
      </c>
      <c r="E743" s="95">
        <f t="shared" si="24"/>
        <v>24327.156480000001</v>
      </c>
      <c r="F743" s="747">
        <f>+SUMIF('Anlage 2b_Korrekturen'!$B$647:$B$1026,A743,'Anlage 2b_Korrekturen'!$F$647:$F$1026)</f>
        <v>0</v>
      </c>
      <c r="G743" s="1094">
        <f t="shared" si="25"/>
        <v>24327.156480000001</v>
      </c>
      <c r="H743" t="str">
        <f>+VLOOKUP(A743,'Anlage 2a_Letztverbrauch'!$A$413:$J$792,10,FALSE)</f>
        <v>BTT Bauteam Tretzel GmbH</v>
      </c>
    </row>
    <row r="744" spans="1:8" hidden="1" outlineLevel="1">
      <c r="A744" s="988" t="s">
        <v>1929</v>
      </c>
      <c r="B744" s="793">
        <f>+VLOOKUP(A744,'Anlage 2a_Letztverbrauch'!$A$2281:$I$2661,9,FALSE)</f>
        <v>43727.510240000003</v>
      </c>
      <c r="C744" s="95">
        <v>0</v>
      </c>
      <c r="D744" s="95">
        <v>0</v>
      </c>
      <c r="E744" s="95">
        <f t="shared" si="24"/>
        <v>43727.510240000003</v>
      </c>
      <c r="F744" s="747">
        <f>+SUMIF('Anlage 2b_Korrekturen'!$B$647:$B$1026,A744,'Anlage 2b_Korrekturen'!$F$647:$F$1026)</f>
        <v>0</v>
      </c>
      <c r="G744" s="1094">
        <f t="shared" si="25"/>
        <v>43727.510240000003</v>
      </c>
      <c r="H744" t="str">
        <f>+VLOOKUP(A744,'Anlage 2a_Letztverbrauch'!$A$413:$J$792,10,FALSE)</f>
        <v>EnBW Mainfrankenpark GmbH</v>
      </c>
    </row>
    <row r="745" spans="1:8" hidden="1" outlineLevel="1">
      <c r="A745" s="988" t="s">
        <v>1931</v>
      </c>
      <c r="B745" s="793">
        <f>+VLOOKUP(A745,'Anlage 2a_Letztverbrauch'!$A$2281:$I$2661,9,FALSE)</f>
        <v>2615.7212799999998</v>
      </c>
      <c r="C745" s="95">
        <v>0</v>
      </c>
      <c r="D745" s="95">
        <v>0</v>
      </c>
      <c r="E745" s="95">
        <f t="shared" si="24"/>
        <v>2615.7212799999998</v>
      </c>
      <c r="F745" s="747">
        <f>+SUMIF('Anlage 2b_Korrekturen'!$B$647:$B$1026,A745,'Anlage 2b_Korrekturen'!$F$647:$F$1026)</f>
        <v>0</v>
      </c>
      <c r="G745" s="1094">
        <f t="shared" si="25"/>
        <v>2615.7212799999998</v>
      </c>
      <c r="H745" t="str">
        <f>+VLOOKUP(A745,'Anlage 2a_Letztverbrauch'!$A$413:$J$792,10,FALSE)</f>
        <v>Elektrizitätswerk Josef Haimmerer</v>
      </c>
    </row>
    <row r="746" spans="1:8" hidden="1" outlineLevel="1">
      <c r="A746" s="988" t="s">
        <v>1417</v>
      </c>
      <c r="B746" s="793">
        <f>+VLOOKUP(A746,'Anlage 2a_Letztverbrauch'!$A$2281:$I$2661,9,FALSE)</f>
        <v>775659.16911999998</v>
      </c>
      <c r="C746" s="95">
        <v>0</v>
      </c>
      <c r="D746" s="95">
        <v>0</v>
      </c>
      <c r="E746" s="95">
        <f t="shared" si="24"/>
        <v>775659.16911999998</v>
      </c>
      <c r="F746" s="747">
        <f>+SUMIF('Anlage 2b_Korrekturen'!$B$647:$B$1026,A746,'Anlage 2b_Korrekturen'!$F$647:$F$1026)</f>
        <v>-12760.226237299999</v>
      </c>
      <c r="G746" s="1094">
        <f t="shared" si="25"/>
        <v>762898.94288270001</v>
      </c>
      <c r="H746" t="str">
        <f>+VLOOKUP(A746,'Anlage 2a_Letztverbrauch'!$A$413:$J$792,10,FALSE)</f>
        <v>KommEnergie GmbH</v>
      </c>
    </row>
    <row r="747" spans="1:8" hidden="1" outlineLevel="1">
      <c r="A747" s="988" t="s">
        <v>1419</v>
      </c>
      <c r="B747" s="793">
        <f>+VLOOKUP(A747,'Anlage 2a_Letztverbrauch'!$A$2281:$I$2661,9,FALSE)</f>
        <v>586580.02016000007</v>
      </c>
      <c r="C747" s="95">
        <v>0</v>
      </c>
      <c r="D747" s="95">
        <v>0</v>
      </c>
      <c r="E747" s="95">
        <f t="shared" si="24"/>
        <v>586580.02016000007</v>
      </c>
      <c r="F747" s="747">
        <f>+SUMIF('Anlage 2b_Korrekturen'!$B$647:$B$1026,A747,'Anlage 2b_Korrekturen'!$F$647:$F$1026)</f>
        <v>-2203.8862800000002</v>
      </c>
      <c r="G747" s="1094">
        <f t="shared" si="25"/>
        <v>584376.1338800001</v>
      </c>
      <c r="H747" t="str">
        <f>+VLOOKUP(A747,'Anlage 2a_Letztverbrauch'!$A$413:$J$792,10,FALSE)</f>
        <v>Energienetze Bayern GmbH</v>
      </c>
    </row>
    <row r="748" spans="1:8" hidden="1" outlineLevel="1">
      <c r="A748" s="988" t="s">
        <v>1421</v>
      </c>
      <c r="B748" s="793">
        <f>+VLOOKUP(A748,'Anlage 2a_Letztverbrauch'!$A$2281:$I$2661,9,FALSE)</f>
        <v>477091.52752000006</v>
      </c>
      <c r="C748" s="95">
        <v>0</v>
      </c>
      <c r="D748" s="95">
        <v>0</v>
      </c>
      <c r="E748" s="95">
        <f t="shared" si="24"/>
        <v>477091.52752000006</v>
      </c>
      <c r="F748" s="747">
        <f>+SUMIF('Anlage 2b_Korrekturen'!$B$647:$B$1026,A748,'Anlage 2b_Korrekturen'!$F$647:$F$1026)</f>
        <v>0</v>
      </c>
      <c r="G748" s="1094">
        <f t="shared" si="25"/>
        <v>477091.52752000006</v>
      </c>
      <c r="H748" t="str">
        <f>+VLOOKUP(A748,'Anlage 2a_Letztverbrauch'!$A$413:$J$792,10,FALSE)</f>
        <v>EUROGATE Technical Services GmbH</v>
      </c>
    </row>
    <row r="749" spans="1:8" hidden="1" outlineLevel="1">
      <c r="A749" s="988" t="s">
        <v>1933</v>
      </c>
      <c r="B749" s="793">
        <f>+VLOOKUP(A749,'Anlage 2a_Letztverbrauch'!$A$2281:$I$2661,9,FALSE)</f>
        <v>393.6</v>
      </c>
      <c r="C749" s="95">
        <v>0</v>
      </c>
      <c r="D749" s="95">
        <v>0</v>
      </c>
      <c r="E749" s="95">
        <f t="shared" si="24"/>
        <v>393.6</v>
      </c>
      <c r="F749" s="747">
        <f>+SUMIF('Anlage 2b_Korrekturen'!$B$647:$B$1026,A749,'Anlage 2b_Korrekturen'!$F$647:$F$1026)</f>
        <v>0</v>
      </c>
      <c r="G749" s="1094">
        <f t="shared" si="25"/>
        <v>393.6</v>
      </c>
      <c r="H749" t="str">
        <f>+VLOOKUP(A749,'Anlage 2a_Letztverbrauch'!$A$413:$J$792,10,FALSE)</f>
        <v>E.-Werk J. Schauer</v>
      </c>
    </row>
    <row r="750" spans="1:8" hidden="1" outlineLevel="1">
      <c r="A750" s="988" t="s">
        <v>1423</v>
      </c>
      <c r="B750" s="793">
        <f>+VLOOKUP(A750,'Anlage 2a_Letztverbrauch'!$A$2281:$I$2661,9,FALSE)</f>
        <v>600791.28272000002</v>
      </c>
      <c r="C750" s="95">
        <v>0</v>
      </c>
      <c r="D750" s="95">
        <v>0</v>
      </c>
      <c r="E750" s="95">
        <f t="shared" si="24"/>
        <v>600791.28272000002</v>
      </c>
      <c r="F750" s="747">
        <f>+SUMIF('Anlage 2b_Korrekturen'!$B$647:$B$1026,A750,'Anlage 2b_Korrekturen'!$F$647:$F$1026)</f>
        <v>0</v>
      </c>
      <c r="G750" s="1094">
        <f t="shared" si="25"/>
        <v>600791.28272000002</v>
      </c>
      <c r="H750" t="str">
        <f>+VLOOKUP(A750,'Anlage 2a_Letztverbrauch'!$A$413:$J$792,10,FALSE)</f>
        <v>Stadtwerke Springe GmbH</v>
      </c>
    </row>
    <row r="751" spans="1:8" hidden="1" outlineLevel="1">
      <c r="A751" s="988" t="s">
        <v>1425</v>
      </c>
      <c r="B751" s="793">
        <f>+VLOOKUP(A751,'Anlage 2a_Letztverbrauch'!$A$2281:$I$2661,9,FALSE)</f>
        <v>2075648.2486400001</v>
      </c>
      <c r="C751" s="95">
        <v>0</v>
      </c>
      <c r="D751" s="95">
        <v>0</v>
      </c>
      <c r="E751" s="95">
        <f t="shared" si="24"/>
        <v>2075648.2486400001</v>
      </c>
      <c r="F751" s="747">
        <f>+SUMIF('Anlage 2b_Korrekturen'!$B$647:$B$1026,A751,'Anlage 2b_Korrekturen'!$F$647:$F$1026)</f>
        <v>2340.36</v>
      </c>
      <c r="G751" s="1094">
        <f t="shared" si="25"/>
        <v>2077988.6086400002</v>
      </c>
      <c r="H751" t="str">
        <f>+VLOOKUP(A751,'Anlage 2a_Letztverbrauch'!$A$413:$J$792,10,FALSE)</f>
        <v>Hanau Netz GmbH</v>
      </c>
    </row>
    <row r="752" spans="1:8" hidden="1" outlineLevel="1">
      <c r="A752" s="988" t="s">
        <v>429</v>
      </c>
      <c r="B752" s="793">
        <f>+VLOOKUP(A752,'Anlage 2a_Letztverbrauch'!$A$2281:$I$2661,9,FALSE)</f>
        <v>136657.90688000002</v>
      </c>
      <c r="C752" s="95">
        <v>0</v>
      </c>
      <c r="D752" s="95">
        <v>0</v>
      </c>
      <c r="E752" s="95">
        <f t="shared" si="24"/>
        <v>136657.90688000002</v>
      </c>
      <c r="F752" s="747">
        <f>+SUMIF('Anlage 2b_Korrekturen'!$B$647:$B$1026,A752,'Anlage 2b_Korrekturen'!$F$647:$F$1026)</f>
        <v>989.35764000000006</v>
      </c>
      <c r="G752" s="1094">
        <f t="shared" si="25"/>
        <v>137647.26452000003</v>
      </c>
      <c r="H752" t="str">
        <f>+VLOOKUP(A752,'Anlage 2a_Letztverbrauch'!$A$413:$J$792,10,FALSE)</f>
        <v>EGC Energie- und Gebäudetechnik Control GmbH &amp; Co. KG</v>
      </c>
    </row>
    <row r="753" spans="1:8" hidden="1" outlineLevel="1">
      <c r="A753" s="988" t="s">
        <v>360</v>
      </c>
      <c r="B753" s="793">
        <f>+VLOOKUP(A753,'Anlage 2a_Letztverbrauch'!$A$2281:$I$2661,9,FALSE)</f>
        <v>84072.179360000009</v>
      </c>
      <c r="C753" s="95">
        <v>0</v>
      </c>
      <c r="D753" s="95">
        <v>0</v>
      </c>
      <c r="E753" s="95">
        <f t="shared" si="24"/>
        <v>84072.179360000009</v>
      </c>
      <c r="F753" s="747">
        <f>+SUMIF('Anlage 2b_Korrekturen'!$B$647:$B$1026,A753,'Anlage 2b_Korrekturen'!$F$647:$F$1026)</f>
        <v>0</v>
      </c>
      <c r="G753" s="1094">
        <f t="shared" si="25"/>
        <v>84072.179360000009</v>
      </c>
      <c r="H753" t="str">
        <f>+VLOOKUP(A753,'Anlage 2a_Letztverbrauch'!$A$413:$J$792,10,FALSE)</f>
        <v>Stromkontor Netzgesellschaft mbH</v>
      </c>
    </row>
    <row r="754" spans="1:8" hidden="1" outlineLevel="1">
      <c r="A754" s="988" t="s">
        <v>1427</v>
      </c>
      <c r="B754" s="793">
        <f>+VLOOKUP(A754,'Anlage 2a_Letztverbrauch'!$A$2281:$I$2661,9,FALSE)</f>
        <v>1835283.48544</v>
      </c>
      <c r="C754" s="95">
        <v>0</v>
      </c>
      <c r="D754" s="95">
        <v>0</v>
      </c>
      <c r="E754" s="95">
        <f t="shared" si="24"/>
        <v>1835283.48544</v>
      </c>
      <c r="F754" s="747">
        <f>+SUMIF('Anlage 2b_Korrekturen'!$B$647:$B$1026,A754,'Anlage 2b_Korrekturen'!$F$647:$F$1026)</f>
        <v>0</v>
      </c>
      <c r="G754" s="1094">
        <f t="shared" si="25"/>
        <v>1835283.48544</v>
      </c>
      <c r="H754" t="str">
        <f>+VLOOKUP(A754,'Anlage 2a_Letztverbrauch'!$A$413:$J$792,10,FALSE)</f>
        <v>InfraServ Gendorf Netze GmbH</v>
      </c>
    </row>
    <row r="755" spans="1:8" hidden="1" outlineLevel="1">
      <c r="A755" s="988" t="s">
        <v>1429</v>
      </c>
      <c r="B755" s="793">
        <f>+VLOOKUP(A755,'Anlage 2a_Letztverbrauch'!$A$2281:$I$2661,9,FALSE)</f>
        <v>193031.16848000002</v>
      </c>
      <c r="C755" s="95">
        <v>0</v>
      </c>
      <c r="D755" s="95">
        <v>0</v>
      </c>
      <c r="E755" s="95">
        <f t="shared" si="24"/>
        <v>193031.16848000002</v>
      </c>
      <c r="F755" s="747">
        <f>+SUMIF('Anlage 2b_Korrekturen'!$B$647:$B$1026,A755,'Anlage 2b_Korrekturen'!$F$647:$F$1026)</f>
        <v>-358.71926999999999</v>
      </c>
      <c r="G755" s="1094">
        <f t="shared" si="25"/>
        <v>192672.44921000002</v>
      </c>
      <c r="H755" t="str">
        <f>+VLOOKUP(A755,'Anlage 2a_Letztverbrauch'!$A$413:$J$792,10,FALSE)</f>
        <v>Energieversorgung Putzbrunn GmbH &amp; Co. KG</v>
      </c>
    </row>
    <row r="756" spans="1:8" hidden="1" outlineLevel="1">
      <c r="A756" s="988" t="s">
        <v>1935</v>
      </c>
      <c r="B756" s="793">
        <f>+VLOOKUP(A756,'Anlage 2a_Letztverbrauch'!$A$2281:$I$2661,9,FALSE)</f>
        <v>36916.801681919998</v>
      </c>
      <c r="C756" s="95">
        <v>0</v>
      </c>
      <c r="D756" s="95">
        <v>0</v>
      </c>
      <c r="E756" s="95">
        <f t="shared" si="24"/>
        <v>36916.801681919998</v>
      </c>
      <c r="F756" s="747">
        <f>+SUMIF('Anlage 2b_Korrekturen'!$B$647:$B$1026,A756,'Anlage 2b_Korrekturen'!$F$647:$F$1026)</f>
        <v>0</v>
      </c>
      <c r="G756" s="1094">
        <f t="shared" si="25"/>
        <v>36916.801681919998</v>
      </c>
      <c r="H756" t="str">
        <f>+VLOOKUP(A756,'Anlage 2a_Letztverbrauch'!$A$413:$J$792,10,FALSE)</f>
        <v>Netz &amp; Energie Betriebsgesellschaft mbH</v>
      </c>
    </row>
    <row r="757" spans="1:8" hidden="1" outlineLevel="1">
      <c r="A757" s="988" t="s">
        <v>1431</v>
      </c>
      <c r="B757" s="793">
        <f>+VLOOKUP(A757,'Anlage 2a_Letztverbrauch'!$A$2281:$I$2661,9,FALSE)</f>
        <v>591597.36112000002</v>
      </c>
      <c r="C757" s="95">
        <v>0</v>
      </c>
      <c r="D757" s="95">
        <v>0</v>
      </c>
      <c r="E757" s="95">
        <f t="shared" si="24"/>
        <v>591597.36112000002</v>
      </c>
      <c r="F757" s="747">
        <f>+SUMIF('Anlage 2b_Korrekturen'!$B$647:$B$1026,A757,'Anlage 2b_Korrekturen'!$F$647:$F$1026)</f>
        <v>-1541.1484700000001</v>
      </c>
      <c r="G757" s="1094">
        <f t="shared" si="25"/>
        <v>590056.21265</v>
      </c>
      <c r="H757" t="str">
        <f>+VLOOKUP(A757,'Anlage 2a_Letztverbrauch'!$A$413:$J$792,10,FALSE)</f>
        <v>Stadtwerke Brunsbüttel GmbH</v>
      </c>
    </row>
    <row r="758" spans="1:8" hidden="1" outlineLevel="1">
      <c r="A758" s="988" t="s">
        <v>1433</v>
      </c>
      <c r="B758" s="793">
        <f>+VLOOKUP(A758,'Anlage 2a_Letztverbrauch'!$A$2281:$I$2661,9,FALSE)</f>
        <v>598311.0976000001</v>
      </c>
      <c r="C758" s="95">
        <v>0</v>
      </c>
      <c r="D758" s="95">
        <v>0</v>
      </c>
      <c r="E758" s="95">
        <f t="shared" si="24"/>
        <v>598311.0976000001</v>
      </c>
      <c r="F758" s="747">
        <f>+SUMIF('Anlage 2b_Korrekturen'!$B$647:$B$1026,A758,'Anlage 2b_Korrekturen'!$F$647:$F$1026)</f>
        <v>0</v>
      </c>
      <c r="G758" s="1094">
        <f t="shared" si="25"/>
        <v>598311.0976000001</v>
      </c>
      <c r="H758" t="str">
        <f>+VLOOKUP(A758,'Anlage 2a_Letztverbrauch'!$A$413:$J$792,10,FALSE)</f>
        <v>Stadtwerke Kaltenkirchen GmbH</v>
      </c>
    </row>
    <row r="759" spans="1:8" hidden="1" outlineLevel="1">
      <c r="A759" s="988" t="s">
        <v>577</v>
      </c>
      <c r="B759" s="793">
        <f>+VLOOKUP(A759,'Anlage 2a_Letztverbrauch'!$A$2281:$I$2661,9,FALSE)</f>
        <v>5820747.5609600004</v>
      </c>
      <c r="C759" s="95">
        <v>0</v>
      </c>
      <c r="D759" s="95">
        <v>0</v>
      </c>
      <c r="E759" s="95">
        <f t="shared" si="24"/>
        <v>5820747.5609600004</v>
      </c>
      <c r="F759" s="747">
        <f>+SUMIF('Anlage 2b_Korrekturen'!$B$647:$B$1026,A759,'Anlage 2b_Korrekturen'!$F$647:$F$1026)</f>
        <v>3049.6331300000002</v>
      </c>
      <c r="G759" s="1094">
        <f t="shared" si="25"/>
        <v>5823797.1940900004</v>
      </c>
      <c r="H759" t="str">
        <f>+VLOOKUP(A759,'Anlage 2a_Letztverbrauch'!$A$413:$J$792,10,FALSE)</f>
        <v>DB Energie GmbH</v>
      </c>
    </row>
    <row r="760" spans="1:8" hidden="1" outlineLevel="1">
      <c r="A760" s="988" t="s">
        <v>680</v>
      </c>
      <c r="B760" s="793">
        <f>+VLOOKUP(A760,'Anlage 2a_Letztverbrauch'!$A$2281:$I$2661,9,FALSE)</f>
        <v>1841038.58</v>
      </c>
      <c r="C760" s="95">
        <v>0</v>
      </c>
      <c r="D760" s="95">
        <v>0</v>
      </c>
      <c r="E760" s="95">
        <f t="shared" si="24"/>
        <v>1841038.58</v>
      </c>
      <c r="F760" s="747">
        <f>+SUMIF('Anlage 2b_Korrekturen'!$B$647:$B$1026,A760,'Anlage 2b_Korrekturen'!$F$647:$F$1026)</f>
        <v>0</v>
      </c>
      <c r="G760" s="1094">
        <f t="shared" si="25"/>
        <v>1841038.58</v>
      </c>
      <c r="H760" t="str">
        <f>+VLOOKUP(A760,'Anlage 2a_Letztverbrauch'!$A$413:$J$792,10,FALSE)</f>
        <v>Fraport AG</v>
      </c>
    </row>
    <row r="761" spans="1:8" hidden="1" outlineLevel="1">
      <c r="A761" s="988" t="s">
        <v>1435</v>
      </c>
      <c r="B761" s="793">
        <f>+VLOOKUP(A761,'Anlage 2a_Letztverbrauch'!$A$2281:$I$2661,9,FALSE)</f>
        <v>423896.42848000006</v>
      </c>
      <c r="C761" s="95">
        <v>0</v>
      </c>
      <c r="D761" s="95">
        <v>0</v>
      </c>
      <c r="E761" s="95">
        <f t="shared" si="24"/>
        <v>423896.42848000006</v>
      </c>
      <c r="F761" s="747">
        <f>+SUMIF('Anlage 2b_Korrekturen'!$B$647:$B$1026,A761,'Anlage 2b_Korrekturen'!$F$647:$F$1026)</f>
        <v>-1058.65371</v>
      </c>
      <c r="G761" s="1094">
        <f t="shared" si="25"/>
        <v>422837.77477000008</v>
      </c>
      <c r="H761" t="str">
        <f>+VLOOKUP(A761,'Anlage 2a_Letztverbrauch'!$A$413:$J$792,10,FALSE)</f>
        <v>EVE Netz GmbH</v>
      </c>
    </row>
    <row r="762" spans="1:8" hidden="1" outlineLevel="1">
      <c r="A762" s="988" t="s">
        <v>1937</v>
      </c>
      <c r="B762" s="793">
        <f>+VLOOKUP(A762,'Anlage 2a_Letztverbrauch'!$A$2281:$I$2661,9,FALSE)</f>
        <v>48504.53504000001</v>
      </c>
      <c r="C762" s="95">
        <v>0</v>
      </c>
      <c r="D762" s="95">
        <v>0</v>
      </c>
      <c r="E762" s="95">
        <f t="shared" si="24"/>
        <v>48504.53504000001</v>
      </c>
      <c r="F762" s="747">
        <f>+SUMIF('Anlage 2b_Korrekturen'!$B$647:$B$1026,A762,'Anlage 2b_Korrekturen'!$F$647:$F$1026)</f>
        <v>0</v>
      </c>
      <c r="G762" s="1094">
        <f t="shared" si="25"/>
        <v>48504.53504000001</v>
      </c>
      <c r="H762" t="str">
        <f>+VLOOKUP(A762,'Anlage 2a_Letztverbrauch'!$A$413:$J$792,10,FALSE)</f>
        <v>Covestro Brunsbüttel Energie GmbH</v>
      </c>
    </row>
    <row r="763" spans="1:8" hidden="1" outlineLevel="1">
      <c r="A763" s="988" t="s">
        <v>664</v>
      </c>
      <c r="B763" s="793">
        <f>+VLOOKUP(A763,'Anlage 2a_Letztverbrauch'!$A$2281:$I$2661,9,FALSE)</f>
        <v>443222.10320000001</v>
      </c>
      <c r="C763" s="95">
        <v>0</v>
      </c>
      <c r="D763" s="95">
        <v>0</v>
      </c>
      <c r="E763" s="95">
        <f t="shared" si="24"/>
        <v>443222.10320000001</v>
      </c>
      <c r="F763" s="747">
        <f>+SUMIF('Anlage 2b_Korrekturen'!$B$647:$B$1026,A763,'Anlage 2b_Korrekturen'!$F$647:$F$1026)</f>
        <v>1039.35033</v>
      </c>
      <c r="G763" s="1094">
        <f t="shared" si="25"/>
        <v>444261.45353</v>
      </c>
      <c r="H763" t="str">
        <f>+VLOOKUP(A763,'Anlage 2a_Letztverbrauch'!$A$413:$J$792,10,FALSE)</f>
        <v>GELSENWASSER Energienetze GmbH</v>
      </c>
    </row>
    <row r="764" spans="1:8" hidden="1" outlineLevel="1">
      <c r="A764" s="988" t="s">
        <v>1939</v>
      </c>
      <c r="B764" s="793">
        <f>+VLOOKUP(A764,'Anlage 2a_Letztverbrauch'!$A$2281:$I$2661,9,FALSE)</f>
        <v>34222.148959999999</v>
      </c>
      <c r="C764" s="95">
        <v>0</v>
      </c>
      <c r="D764" s="95">
        <v>0</v>
      </c>
      <c r="E764" s="95">
        <f t="shared" si="24"/>
        <v>34222.148959999999</v>
      </c>
      <c r="F764" s="747">
        <f>+SUMIF('Anlage 2b_Korrekturen'!$B$647:$B$1026,A764,'Anlage 2b_Korrekturen'!$F$647:$F$1026)</f>
        <v>0</v>
      </c>
      <c r="G764" s="1094">
        <f t="shared" si="25"/>
        <v>34222.148959999999</v>
      </c>
      <c r="H764" t="str">
        <f>+VLOOKUP(A764,'Anlage 2a_Letztverbrauch'!$A$413:$J$792,10,FALSE)</f>
        <v>Brücken-Center Ansbach GmbH</v>
      </c>
    </row>
    <row r="765" spans="1:8" hidden="1" outlineLevel="1">
      <c r="A765" s="988" t="s">
        <v>469</v>
      </c>
      <c r="B765" s="793">
        <f>+VLOOKUP(A765,'Anlage 2a_Letztverbrauch'!$A$2281:$I$2661,9,FALSE)</f>
        <v>1351335.19664</v>
      </c>
      <c r="C765" s="95">
        <v>0</v>
      </c>
      <c r="D765" s="95">
        <v>0</v>
      </c>
      <c r="E765" s="95">
        <f t="shared" si="24"/>
        <v>1351335.19664</v>
      </c>
      <c r="F765" s="747">
        <f>+SUMIF('Anlage 2b_Korrekturen'!$B$647:$B$1026,A765,'Anlage 2b_Korrekturen'!$F$647:$F$1026)</f>
        <v>-27534.230309999999</v>
      </c>
      <c r="G765" s="1094">
        <f t="shared" si="25"/>
        <v>1323800.96633</v>
      </c>
      <c r="H765" t="str">
        <f>+VLOOKUP(A765,'Anlage 2a_Letztverbrauch'!$A$413:$J$792,10,FALSE)</f>
        <v>Westnetz GmbH</v>
      </c>
    </row>
    <row r="766" spans="1:8" hidden="1" outlineLevel="1">
      <c r="A766" s="988" t="s">
        <v>1438</v>
      </c>
      <c r="B766" s="793">
        <f>+VLOOKUP(A766,'Anlage 2a_Letztverbrauch'!$A$2281:$I$2661,9,FALSE)</f>
        <v>916362.39184000005</v>
      </c>
      <c r="C766" s="95">
        <v>0</v>
      </c>
      <c r="D766" s="95">
        <v>0</v>
      </c>
      <c r="E766" s="95">
        <f t="shared" si="24"/>
        <v>916362.39184000005</v>
      </c>
      <c r="F766" s="747">
        <f>+SUMIF('Anlage 2b_Korrekturen'!$B$647:$B$1026,A766,'Anlage 2b_Korrekturen'!$F$647:$F$1026)</f>
        <v>-471.62698000000012</v>
      </c>
      <c r="G766" s="1094">
        <f t="shared" si="25"/>
        <v>915890.76486000011</v>
      </c>
      <c r="H766" t="str">
        <f>+VLOOKUP(A766,'Anlage 2a_Letztverbrauch'!$A$413:$J$792,10,FALSE)</f>
        <v>Stadtwerke Lippe-Weser Service GmbH &amp; Co. KG</v>
      </c>
    </row>
    <row r="767" spans="1:8" hidden="1" outlineLevel="1">
      <c r="A767" s="988" t="s">
        <v>1440</v>
      </c>
      <c r="B767" s="793">
        <f>+VLOOKUP(A767,'Anlage 2a_Letztverbrauch'!$A$2281:$I$2661,9,FALSE)</f>
        <v>77448.658880000003</v>
      </c>
      <c r="C767" s="95">
        <v>0</v>
      </c>
      <c r="D767" s="95">
        <v>0</v>
      </c>
      <c r="E767" s="95">
        <f t="shared" si="24"/>
        <v>77448.658880000003</v>
      </c>
      <c r="F767" s="747">
        <f>+SUMIF('Anlage 2b_Korrekturen'!$B$647:$B$1026,A767,'Anlage 2b_Korrekturen'!$F$647:$F$1026)</f>
        <v>0</v>
      </c>
      <c r="G767" s="1094">
        <f t="shared" si="25"/>
        <v>77448.658880000003</v>
      </c>
      <c r="H767" t="str">
        <f>+VLOOKUP(A767,'Anlage 2a_Letztverbrauch'!$A$413:$J$792,10,FALSE)</f>
        <v>Stadtwerke Schwarzenbach a.d. Saale</v>
      </c>
    </row>
    <row r="768" spans="1:8" hidden="1" outlineLevel="1">
      <c r="A768" s="988" t="s">
        <v>1442</v>
      </c>
      <c r="B768" s="793">
        <f>+VLOOKUP(A768,'Anlage 2a_Letztverbrauch'!$A$2281:$I$2661,9,FALSE)</f>
        <v>722798.11840000004</v>
      </c>
      <c r="C768" s="95">
        <v>0</v>
      </c>
      <c r="D768" s="95">
        <v>0</v>
      </c>
      <c r="E768" s="95">
        <f t="shared" si="24"/>
        <v>722798.11840000004</v>
      </c>
      <c r="F768" s="747">
        <f>+SUMIF('Anlage 2b_Korrekturen'!$B$647:$B$1026,A768,'Anlage 2b_Korrekturen'!$F$647:$F$1026)</f>
        <v>0</v>
      </c>
      <c r="G768" s="1094">
        <f t="shared" si="25"/>
        <v>722798.11840000004</v>
      </c>
      <c r="H768" t="str">
        <f>+VLOOKUP(A768,'Anlage 2a_Letztverbrauch'!$A$413:$J$792,10,FALSE)</f>
        <v>Stromversorgung Pfaffenhofen a. d. Ilm GmbH &amp; Co. KG</v>
      </c>
    </row>
    <row r="769" spans="1:8" hidden="1" outlineLevel="1">
      <c r="A769" s="988" t="s">
        <v>1444</v>
      </c>
      <c r="B769" s="793">
        <f>+VLOOKUP(A769,'Anlage 2a_Letztverbrauch'!$A$2281:$I$2661,9,FALSE)</f>
        <v>943926.71808000002</v>
      </c>
      <c r="C769" s="95">
        <v>0</v>
      </c>
      <c r="D769" s="95">
        <v>0</v>
      </c>
      <c r="E769" s="95">
        <f t="shared" si="24"/>
        <v>943926.71808000002</v>
      </c>
      <c r="F769" s="747">
        <f>+SUMIF('Anlage 2b_Korrekturen'!$B$647:$B$1026,A769,'Anlage 2b_Korrekturen'!$F$647:$F$1026)</f>
        <v>-6871.64102</v>
      </c>
      <c r="G769" s="1094">
        <f t="shared" si="25"/>
        <v>937055.07706000004</v>
      </c>
      <c r="H769" t="str">
        <f>+VLOOKUP(A769,'Anlage 2a_Letztverbrauch'!$A$413:$J$792,10,FALSE)</f>
        <v>Stromnetz Kulmbach GmbH &amp; Co. KG</v>
      </c>
    </row>
    <row r="770" spans="1:8" hidden="1" outlineLevel="1">
      <c r="A770" s="988" t="s">
        <v>1446</v>
      </c>
      <c r="B770" s="793">
        <f>+VLOOKUP(A770,'Anlage 2a_Letztverbrauch'!$A$2281:$I$2661,9,FALSE)</f>
        <v>1108566.3968</v>
      </c>
      <c r="C770" s="95">
        <v>0</v>
      </c>
      <c r="D770" s="95">
        <v>0</v>
      </c>
      <c r="E770" s="95">
        <f t="shared" si="24"/>
        <v>1108566.3968</v>
      </c>
      <c r="F770" s="747">
        <f>+SUMIF('Anlage 2b_Korrekturen'!$B$647:$B$1026,A770,'Anlage 2b_Korrekturen'!$F$647:$F$1026)</f>
        <v>-4017.1758099999997</v>
      </c>
      <c r="G770" s="1094">
        <f t="shared" si="25"/>
        <v>1104549.2209900001</v>
      </c>
      <c r="H770" t="str">
        <f>+VLOOKUP(A770,'Anlage 2a_Letztverbrauch'!$A$413:$J$792,10,FALSE)</f>
        <v>Stromnetz Weiden i. d. OPf. GmbH &amp; Co. KG</v>
      </c>
    </row>
    <row r="771" spans="1:8" hidden="1" outlineLevel="1">
      <c r="A771" s="988" t="s">
        <v>1448</v>
      </c>
      <c r="B771" s="793">
        <f>+VLOOKUP(A771,'Anlage 2a_Letztverbrauch'!$A$2281:$I$2661,9,FALSE)</f>
        <v>115039.53184000001</v>
      </c>
      <c r="C771" s="95">
        <v>0</v>
      </c>
      <c r="D771" s="95">
        <v>0</v>
      </c>
      <c r="E771" s="95">
        <f t="shared" si="24"/>
        <v>115039.53184000001</v>
      </c>
      <c r="F771" s="747">
        <f>+SUMIF('Anlage 2b_Korrekturen'!$B$647:$B$1026,A771,'Anlage 2b_Korrekturen'!$F$647:$F$1026)</f>
        <v>0</v>
      </c>
      <c r="G771" s="1094">
        <f t="shared" si="25"/>
        <v>115039.53184000001</v>
      </c>
      <c r="H771" t="str">
        <f>+VLOOKUP(A771,'Anlage 2a_Letztverbrauch'!$A$413:$J$792,10,FALSE)</f>
        <v>Stadtwerke Leine-Solling GmbH</v>
      </c>
    </row>
    <row r="772" spans="1:8" hidden="1" outlineLevel="1">
      <c r="A772" s="988" t="s">
        <v>1450</v>
      </c>
      <c r="B772" s="793">
        <f>+VLOOKUP(A772,'Anlage 2a_Letztverbrauch'!$A$2281:$I$2661,9,FALSE)</f>
        <v>267431.36911999999</v>
      </c>
      <c r="C772" s="95">
        <v>0</v>
      </c>
      <c r="D772" s="95">
        <v>0</v>
      </c>
      <c r="E772" s="95">
        <f t="shared" si="24"/>
        <v>267431.36911999999</v>
      </c>
      <c r="F772" s="747">
        <f>+SUMIF('Anlage 2b_Korrekturen'!$B$647:$B$1026,A772,'Anlage 2b_Korrekturen'!$F$647:$F$1026)</f>
        <v>0</v>
      </c>
      <c r="G772" s="1094">
        <f t="shared" si="25"/>
        <v>267431.36911999999</v>
      </c>
      <c r="H772" t="str">
        <f>+VLOOKUP(A772,'Anlage 2a_Letztverbrauch'!$A$413:$J$792,10,FALSE)</f>
        <v>Stadtwerke Oldenburg in Holstein GmbH</v>
      </c>
    </row>
    <row r="773" spans="1:8" hidden="1" outlineLevel="1">
      <c r="A773" s="988" t="s">
        <v>1941</v>
      </c>
      <c r="B773" s="793">
        <f>+VLOOKUP(A773,'Anlage 2a_Letztverbrauch'!$A$2281:$I$2661,9,FALSE)</f>
        <v>108374.02735999999</v>
      </c>
      <c r="C773" s="95">
        <v>0</v>
      </c>
      <c r="D773" s="95">
        <v>0</v>
      </c>
      <c r="E773" s="95">
        <f t="shared" si="24"/>
        <v>108374.02735999999</v>
      </c>
      <c r="F773" s="747">
        <f>+SUMIF('Anlage 2b_Korrekturen'!$B$647:$B$1026,A773,'Anlage 2b_Korrekturen'!$F$647:$F$1026)</f>
        <v>0</v>
      </c>
      <c r="G773" s="1094">
        <f t="shared" si="25"/>
        <v>108374.02735999999</v>
      </c>
      <c r="H773" t="str">
        <f>+VLOOKUP(A773,'Anlage 2a_Letztverbrauch'!$A$413:$J$792,10,FALSE)</f>
        <v>Flughafen Nürnberg Energie GmbH</v>
      </c>
    </row>
    <row r="774" spans="1:8" hidden="1" outlineLevel="1">
      <c r="A774" s="988" t="s">
        <v>1452</v>
      </c>
      <c r="B774" s="793">
        <f>+VLOOKUP(A774,'Anlage 2a_Letztverbrauch'!$A$2281:$I$2661,9,FALSE)</f>
        <v>730948.61008000001</v>
      </c>
      <c r="C774" s="95">
        <v>0</v>
      </c>
      <c r="D774" s="95">
        <v>0</v>
      </c>
      <c r="E774" s="95">
        <f t="shared" si="24"/>
        <v>730948.61008000001</v>
      </c>
      <c r="F774" s="747">
        <f>+SUMIF('Anlage 2b_Korrekturen'!$B$647:$B$1026,A774,'Anlage 2b_Korrekturen'!$F$647:$F$1026)</f>
        <v>0</v>
      </c>
      <c r="G774" s="1094">
        <f t="shared" si="25"/>
        <v>730948.61008000001</v>
      </c>
      <c r="H774" t="str">
        <f>+VLOOKUP(A774,'Anlage 2a_Letztverbrauch'!$A$413:$J$792,10,FALSE)</f>
        <v>Mainsite GmbH &amp; Co. KG</v>
      </c>
    </row>
    <row r="775" spans="1:8" hidden="1" outlineLevel="1">
      <c r="A775" s="988" t="s">
        <v>1943</v>
      </c>
      <c r="B775" s="793">
        <f>+VLOOKUP(A775,'Anlage 2a_Letztverbrauch'!$A$2281:$I$2661,9,FALSE)</f>
        <v>581486.08175999997</v>
      </c>
      <c r="C775" s="95">
        <v>0</v>
      </c>
      <c r="D775" s="95">
        <v>0</v>
      </c>
      <c r="E775" s="95">
        <f t="shared" si="24"/>
        <v>581486.08175999997</v>
      </c>
      <c r="F775" s="747">
        <f>+SUMIF('Anlage 2b_Korrekturen'!$B$647:$B$1026,A775,'Anlage 2b_Korrekturen'!$F$647:$F$1026)</f>
        <v>0</v>
      </c>
      <c r="G775" s="1094">
        <f t="shared" si="25"/>
        <v>581486.08175999997</v>
      </c>
      <c r="H775" t="str">
        <f>+VLOOKUP(A775,'Anlage 2a_Letztverbrauch'!$A$413:$J$792,10,FALSE)</f>
        <v>Pharmaserv GmbH</v>
      </c>
    </row>
    <row r="776" spans="1:8" hidden="1" outlineLevel="1">
      <c r="A776" s="988" t="s">
        <v>1454</v>
      </c>
      <c r="B776" s="793">
        <f>+VLOOKUP(A776,'Anlage 2a_Letztverbrauch'!$A$2281:$I$2661,9,FALSE)</f>
        <v>37138.2592</v>
      </c>
      <c r="C776" s="95">
        <v>0</v>
      </c>
      <c r="D776" s="95">
        <v>0</v>
      </c>
      <c r="E776" s="95">
        <f t="shared" si="24"/>
        <v>37138.2592</v>
      </c>
      <c r="F776" s="747">
        <f>+SUMIF('Anlage 2b_Korrekturen'!$B$647:$B$1026,A776,'Anlage 2b_Korrekturen'!$F$647:$F$1026)</f>
        <v>0</v>
      </c>
      <c r="G776" s="1094">
        <f t="shared" si="25"/>
        <v>37138.2592</v>
      </c>
      <c r="H776" t="str">
        <f>+VLOOKUP(A776,'Anlage 2a_Letztverbrauch'!$A$413:$J$792,10,FALSE)</f>
        <v>Obermaier und Gerg Grundstücksverwaltung KG</v>
      </c>
    </row>
    <row r="777" spans="1:8" hidden="1" outlineLevel="1">
      <c r="A777" s="988" t="s">
        <v>1480</v>
      </c>
      <c r="B777" s="793">
        <f>+VLOOKUP(A777,'Anlage 2a_Letztverbrauch'!$A$2281:$I$2661,9,FALSE)</f>
        <v>979939.84543999995</v>
      </c>
      <c r="C777" s="95">
        <v>0</v>
      </c>
      <c r="D777" s="95">
        <v>0</v>
      </c>
      <c r="E777" s="95">
        <f t="shared" si="24"/>
        <v>979939.84543999995</v>
      </c>
      <c r="F777" s="747">
        <f>+SUMIF('Anlage 2b_Korrekturen'!$B$647:$B$1026,A777,'Anlage 2b_Korrekturen'!$F$647:$F$1026)</f>
        <v>-4863.5641500000011</v>
      </c>
      <c r="G777" s="1094">
        <f t="shared" si="25"/>
        <v>975076.28128999996</v>
      </c>
      <c r="H777" t="str">
        <f>+VLOOKUP(A777,'Anlage 2a_Letztverbrauch'!$A$413:$J$792,10,FALSE)</f>
        <v>Stadtwerke Lehrte GmbH</v>
      </c>
    </row>
    <row r="778" spans="1:8" hidden="1" outlineLevel="1">
      <c r="A778" s="988" t="s">
        <v>1456</v>
      </c>
      <c r="B778" s="793">
        <f>+VLOOKUP(A778,'Anlage 2a_Letztverbrauch'!$A$2281:$I$2661,9,FALSE)</f>
        <v>1911794.1168</v>
      </c>
      <c r="C778" s="95">
        <v>0</v>
      </c>
      <c r="D778" s="95">
        <v>0</v>
      </c>
      <c r="E778" s="95">
        <f t="shared" si="24"/>
        <v>1911794.1168</v>
      </c>
      <c r="F778" s="747">
        <f>+SUMIF('Anlage 2b_Korrekturen'!$B$647:$B$1026,A778,'Anlage 2b_Korrekturen'!$F$647:$F$1026)</f>
        <v>-16616.610809999998</v>
      </c>
      <c r="G778" s="1094">
        <f t="shared" si="25"/>
        <v>1895177.50599</v>
      </c>
      <c r="H778" t="str">
        <f>+VLOOKUP(A778,'Anlage 2a_Letztverbrauch'!$A$413:$J$792,10,FALSE)</f>
        <v>NordNetz GmbH</v>
      </c>
    </row>
    <row r="779" spans="1:8" hidden="1" outlineLevel="1">
      <c r="A779" s="988" t="s">
        <v>1458</v>
      </c>
      <c r="B779" s="793">
        <f>+VLOOKUP(A779,'Anlage 2a_Letztverbrauch'!$A$2281:$I$2661,9,FALSE)</f>
        <v>453917.54688000004</v>
      </c>
      <c r="C779" s="95">
        <v>0</v>
      </c>
      <c r="D779" s="95">
        <v>0</v>
      </c>
      <c r="E779" s="95">
        <f t="shared" ref="E779:E793" si="26">B779+C779+D779</f>
        <v>453917.54688000004</v>
      </c>
      <c r="F779" s="747">
        <f>+SUMIF('Anlage 2b_Korrekturen'!$B$647:$B$1026,A779,'Anlage 2b_Korrekturen'!$F$647:$F$1026)</f>
        <v>-1704.3006800000003</v>
      </c>
      <c r="G779" s="1094">
        <f t="shared" ref="G779:G794" si="27">E779+F779</f>
        <v>452213.24620000005</v>
      </c>
      <c r="H779" t="str">
        <f>+VLOOKUP(A779,'Anlage 2a_Letztverbrauch'!$A$413:$J$792,10,FALSE)</f>
        <v>Stadtwerke Vlotho Stromnetz GmbH</v>
      </c>
    </row>
    <row r="780" spans="1:8" hidden="1" outlineLevel="1">
      <c r="A780" s="988" t="s">
        <v>172</v>
      </c>
      <c r="B780" s="793">
        <f>+VLOOKUP(A780,'Anlage 2a_Letztverbrauch'!$A$2281:$I$2661,9,FALSE)</f>
        <v>0</v>
      </c>
      <c r="C780" s="95">
        <v>0</v>
      </c>
      <c r="D780" s="95">
        <v>0</v>
      </c>
      <c r="E780" s="95">
        <f t="shared" si="26"/>
        <v>0</v>
      </c>
      <c r="F780" s="747">
        <f>+SUMIF('Anlage 2b_Korrekturen'!$B$647:$B$1026,A780,'Anlage 2b_Korrekturen'!$F$647:$F$1026)</f>
        <v>68.360569999999996</v>
      </c>
      <c r="G780" s="1094">
        <f t="shared" si="27"/>
        <v>68.360569999999996</v>
      </c>
      <c r="H780" t="str">
        <f>+VLOOKUP(A780,'Anlage 2a_Letztverbrauch'!$A$413:$J$792,10,FALSE)</f>
        <v>EGC Infrastruktur und Netz GmbH</v>
      </c>
    </row>
    <row r="781" spans="1:8" hidden="1" outlineLevel="1">
      <c r="A781" s="988" t="s">
        <v>1945</v>
      </c>
      <c r="B781" s="793">
        <f>+VLOOKUP(A781,'Anlage 2a_Letztverbrauch'!$A$2281:$I$2661,9,FALSE)</f>
        <v>365682.27344000002</v>
      </c>
      <c r="C781" s="95">
        <v>0</v>
      </c>
      <c r="D781" s="95">
        <v>0</v>
      </c>
      <c r="E781" s="95">
        <f t="shared" si="26"/>
        <v>365682.27344000002</v>
      </c>
      <c r="F781" s="747">
        <f>+SUMIF('Anlage 2b_Korrekturen'!$B$647:$B$1026,A781,'Anlage 2b_Korrekturen'!$F$647:$F$1026)</f>
        <v>-5133.9297742099998</v>
      </c>
      <c r="G781" s="1094">
        <f t="shared" si="27"/>
        <v>360548.34366579005</v>
      </c>
      <c r="H781" t="str">
        <f>+VLOOKUP(A781,'Anlage 2a_Letztverbrauch'!$A$413:$J$792,10,FALSE)</f>
        <v>Stromnetz Pullach GmbH</v>
      </c>
    </row>
    <row r="782" spans="1:8" hidden="1" outlineLevel="1">
      <c r="A782" s="988" t="s">
        <v>356</v>
      </c>
      <c r="B782" s="793">
        <f>+VLOOKUP(A782,'Anlage 2a_Letztverbrauch'!$A$2281:$I$2661,9,FALSE)</f>
        <v>227423.73312000002</v>
      </c>
      <c r="C782" s="95">
        <v>0</v>
      </c>
      <c r="D782" s="95">
        <v>0</v>
      </c>
      <c r="E782" s="95">
        <f t="shared" si="26"/>
        <v>227423.73312000002</v>
      </c>
      <c r="F782" s="747">
        <f>+SUMIF('Anlage 2b_Korrekturen'!$B$647:$B$1026,A782,'Anlage 2b_Korrekturen'!$F$647:$F$1026)</f>
        <v>55841.704710000005</v>
      </c>
      <c r="G782" s="1094">
        <f t="shared" si="27"/>
        <v>283265.43783000001</v>
      </c>
      <c r="H782" t="str">
        <f>+VLOOKUP(A782,'Anlage 2a_Letztverbrauch'!$A$413:$J$792,10,FALSE)</f>
        <v>Stromnetz24 GmbH</v>
      </c>
    </row>
    <row r="783" spans="1:8" hidden="1" outlineLevel="1">
      <c r="A783" s="988" t="s">
        <v>1460</v>
      </c>
      <c r="B783" s="793">
        <f>+VLOOKUP(A783,'Anlage 2a_Letztverbrauch'!$A$2281:$I$2661,9,FALSE)</f>
        <v>150036.63984000002</v>
      </c>
      <c r="C783" s="95">
        <v>0</v>
      </c>
      <c r="D783" s="95">
        <v>0</v>
      </c>
      <c r="E783" s="95">
        <f t="shared" si="26"/>
        <v>150036.63984000002</v>
      </c>
      <c r="F783" s="747">
        <f>+SUMIF('Anlage 2b_Korrekturen'!$B$647:$B$1026,A783,'Anlage 2b_Korrekturen'!$F$647:$F$1026)</f>
        <v>1739.5845300000001</v>
      </c>
      <c r="G783" s="1094">
        <f t="shared" si="27"/>
        <v>151776.22437000001</v>
      </c>
      <c r="H783" t="str">
        <f>+VLOOKUP(A783,'Anlage 2a_Letztverbrauch'!$A$413:$J$792,10,FALSE)</f>
        <v>werkkraft GmbH</v>
      </c>
    </row>
    <row r="784" spans="1:8" hidden="1" outlineLevel="1">
      <c r="A784" s="988" t="s">
        <v>1462</v>
      </c>
      <c r="B784" s="793">
        <f>+VLOOKUP(A784,'Anlage 2a_Letztverbrauch'!$A$2281:$I$2661,9,FALSE)</f>
        <v>1909208.6961600001</v>
      </c>
      <c r="C784" s="95">
        <v>0</v>
      </c>
      <c r="D784" s="95">
        <v>0</v>
      </c>
      <c r="E784" s="95">
        <f t="shared" si="26"/>
        <v>1909208.6961600001</v>
      </c>
      <c r="F784" s="747">
        <f>+SUMIF('Anlage 2b_Korrekturen'!$B$647:$B$1026,A784,'Anlage 2b_Korrekturen'!$F$647:$F$1026)</f>
        <v>-7624.9444199999998</v>
      </c>
      <c r="G784" s="1094">
        <f t="shared" si="27"/>
        <v>1901583.75174</v>
      </c>
      <c r="H784" t="str">
        <f>+VLOOKUP(A784,'Anlage 2a_Letztverbrauch'!$A$413:$J$792,10,FALSE)</f>
        <v>LeineNetz GmbH</v>
      </c>
    </row>
    <row r="785" spans="1:11" hidden="1" outlineLevel="1">
      <c r="A785" s="988" t="s">
        <v>1464</v>
      </c>
      <c r="B785" s="793">
        <f>+VLOOKUP(A785,'Anlage 2a_Letztverbrauch'!$A$2281:$I$2661,9,FALSE)</f>
        <v>446585.67214207997</v>
      </c>
      <c r="C785" s="95">
        <v>0</v>
      </c>
      <c r="D785" s="95">
        <v>0</v>
      </c>
      <c r="E785" s="95">
        <f t="shared" si="26"/>
        <v>446585.67214207997</v>
      </c>
      <c r="F785" s="747">
        <f>+SUMIF('Anlage 2b_Korrekturen'!$B$647:$B$1026,A785,'Anlage 2b_Korrekturen'!$F$647:$F$1026)</f>
        <v>-26579.797441050003</v>
      </c>
      <c r="G785" s="1094">
        <f t="shared" si="27"/>
        <v>420005.87470102997</v>
      </c>
      <c r="H785" t="str">
        <f>+VLOOKUP(A785,'Anlage 2a_Letztverbrauch'!$A$413:$J$792,10,FALSE)</f>
        <v>Blomberg Netz GmbH &amp; Co. KG</v>
      </c>
    </row>
    <row r="786" spans="1:11" hidden="1" outlineLevel="1">
      <c r="A786" s="988" t="s">
        <v>1466</v>
      </c>
      <c r="B786" s="793">
        <f>+VLOOKUP(A786,'Anlage 2a_Letztverbrauch'!$A$2281:$I$2661,9,FALSE)</f>
        <v>446458.16432000004</v>
      </c>
      <c r="C786" s="95">
        <v>0</v>
      </c>
      <c r="D786" s="95">
        <v>0</v>
      </c>
      <c r="E786" s="95">
        <f t="shared" si="26"/>
        <v>446458.16432000004</v>
      </c>
      <c r="F786" s="747">
        <f>+SUMIF('Anlage 2b_Korrekturen'!$B$647:$B$1026,A786,'Anlage 2b_Korrekturen'!$F$647:$F$1026)</f>
        <v>-8458.1121253000001</v>
      </c>
      <c r="G786" s="1094">
        <f t="shared" si="27"/>
        <v>438000.05219470005</v>
      </c>
      <c r="H786" t="str">
        <f>+VLOOKUP(A786,'Anlage 2a_Letztverbrauch'!$A$413:$J$792,10,FALSE)</f>
        <v>Stadtwerke Olching Stromnetz GmbH &amp; Co. KG</v>
      </c>
    </row>
    <row r="787" spans="1:11" hidden="1" outlineLevel="1">
      <c r="A787" s="988" t="s">
        <v>1468</v>
      </c>
      <c r="B787" s="793">
        <f>+VLOOKUP(A787,'Anlage 2a_Letztverbrauch'!$A$2281:$I$2661,9,FALSE)</f>
        <v>478273.48332639999</v>
      </c>
      <c r="C787" s="95">
        <v>0</v>
      </c>
      <c r="D787" s="95">
        <v>0</v>
      </c>
      <c r="E787" s="95">
        <f t="shared" si="26"/>
        <v>478273.48332639999</v>
      </c>
      <c r="F787" s="747">
        <f>+SUMIF('Anlage 2b_Korrekturen'!$B$647:$B$1026,A787,'Anlage 2b_Korrekturen'!$F$647:$F$1026)</f>
        <v>-6173.3028364999991</v>
      </c>
      <c r="G787" s="1094">
        <f t="shared" si="27"/>
        <v>472100.1804899</v>
      </c>
      <c r="H787" t="str">
        <f>+VLOOKUP(A787,'Anlage 2a_Letztverbrauch'!$A$413:$J$792,10,FALSE)</f>
        <v>Stromnetz Weilheim GmbH &amp; Co. KG</v>
      </c>
    </row>
    <row r="788" spans="1:11" hidden="1" outlineLevel="1">
      <c r="A788" s="988" t="s">
        <v>1470</v>
      </c>
      <c r="B788" s="793">
        <f>+VLOOKUP(A788,'Anlage 2a_Letztverbrauch'!$A$2281:$I$2661,9,FALSE)</f>
        <v>162527.83103999999</v>
      </c>
      <c r="C788" s="95">
        <v>0</v>
      </c>
      <c r="D788" s="95">
        <v>0</v>
      </c>
      <c r="E788" s="95">
        <f t="shared" si="26"/>
        <v>162527.83103999999</v>
      </c>
      <c r="F788" s="747">
        <f>+SUMIF('Anlage 2b_Korrekturen'!$B$647:$B$1026,A788,'Anlage 2b_Korrekturen'!$F$647:$F$1026)</f>
        <v>0</v>
      </c>
      <c r="G788" s="1094">
        <f t="shared" si="27"/>
        <v>162527.83103999999</v>
      </c>
      <c r="H788" t="str">
        <f>+VLOOKUP(A788,'Anlage 2a_Letztverbrauch'!$A$413:$J$792,10,FALSE)</f>
        <v>Stadtwerke Elm-Lappwald GmbH</v>
      </c>
    </row>
    <row r="789" spans="1:11" hidden="1" outlineLevel="1">
      <c r="A789" s="988" t="s">
        <v>1472</v>
      </c>
      <c r="B789" s="793">
        <f>+VLOOKUP(A789,'Anlage 2a_Letztverbrauch'!$A$2281:$I$2661,9,FALSE)</f>
        <v>369176.136</v>
      </c>
      <c r="C789" s="95">
        <v>0</v>
      </c>
      <c r="D789" s="95">
        <v>0</v>
      </c>
      <c r="E789" s="95">
        <f t="shared" si="26"/>
        <v>369176.136</v>
      </c>
      <c r="F789" s="747">
        <f>+SUMIF('Anlage 2b_Korrekturen'!$B$647:$B$1026,A789,'Anlage 2b_Korrekturen'!$F$647:$F$1026)</f>
        <v>491.45213999999999</v>
      </c>
      <c r="G789" s="1094">
        <f t="shared" si="27"/>
        <v>369667.58814000001</v>
      </c>
      <c r="H789" t="str">
        <f>+VLOOKUP(A789,'Anlage 2a_Letztverbrauch'!$A$413:$J$792,10,FALSE)</f>
        <v>Regionalwerke Wolfhager Land GmbH</v>
      </c>
    </row>
    <row r="790" spans="1:11" hidden="1" outlineLevel="1">
      <c r="A790" s="988" t="s">
        <v>398</v>
      </c>
      <c r="B790" s="793">
        <f>+VLOOKUP(A790,'Anlage 2a_Letztverbrauch'!$A$2281:$I$2661,9,FALSE)</f>
        <v>131365.11192</v>
      </c>
      <c r="C790" s="95">
        <v>0</v>
      </c>
      <c r="D790" s="95">
        <v>0</v>
      </c>
      <c r="E790" s="95">
        <f t="shared" si="26"/>
        <v>131365.11192</v>
      </c>
      <c r="F790" s="747">
        <f>+SUMIF('Anlage 2b_Korrekturen'!$B$647:$B$1026,A790,'Anlage 2b_Korrekturen'!$F$647:$F$1026)</f>
        <v>659.8431078000001</v>
      </c>
      <c r="G790" s="1094">
        <f t="shared" si="27"/>
        <v>132024.9550278</v>
      </c>
      <c r="H790" t="str">
        <f>+VLOOKUP(A790,'Anlage 2a_Letztverbrauch'!$A$413:$J$792,10,FALSE)</f>
        <v>GETEC Quartier GmbH</v>
      </c>
    </row>
    <row r="791" spans="1:11" hidden="1" outlineLevel="1">
      <c r="A791" s="988" t="s">
        <v>1947</v>
      </c>
      <c r="B791" s="793">
        <f>+VLOOKUP(A791,'Anlage 2a_Letztverbrauch'!$A$2281:$I$2661,9,FALSE)</f>
        <v>57417.914376000001</v>
      </c>
      <c r="C791" s="95">
        <v>-44790.55</v>
      </c>
      <c r="D791" s="95">
        <v>0</v>
      </c>
      <c r="E791" s="95">
        <f t="shared" si="26"/>
        <v>12627.364375999998</v>
      </c>
      <c r="F791" s="747">
        <f>+SUMIF('Anlage 2b_Korrekturen'!$B$647:$B$1026,A791,'Anlage 2b_Korrekturen'!$F$647:$F$1026)</f>
        <v>0</v>
      </c>
      <c r="G791" s="1094">
        <f t="shared" si="27"/>
        <v>12627.364375999998</v>
      </c>
      <c r="H791" t="str">
        <f>+VLOOKUP(A791,'Anlage 2a_Letztverbrauch'!$A$413:$J$792,10,FALSE)</f>
        <v>Reußenköge Netz &amp; Infrastruktur GmbH</v>
      </c>
    </row>
    <row r="792" spans="1:11" hidden="1" outlineLevel="1">
      <c r="A792" s="988" t="s">
        <v>1949</v>
      </c>
      <c r="B792" s="793">
        <f>+VLOOKUP(A792,'Anlage 2a_Letztverbrauch'!$A$2281:$I$2661,9,FALSE)</f>
        <v>199771.57504</v>
      </c>
      <c r="C792" s="95">
        <v>0</v>
      </c>
      <c r="D792" s="95">
        <v>0</v>
      </c>
      <c r="E792" s="95">
        <f t="shared" si="26"/>
        <v>199771.57504</v>
      </c>
      <c r="F792" s="747">
        <f>+SUMIF('Anlage 2b_Korrekturen'!$B$647:$B$1026,A792,'Anlage 2b_Korrekturen'!$F$647:$F$1026)</f>
        <v>0</v>
      </c>
      <c r="G792" s="1094">
        <f t="shared" si="27"/>
        <v>199771.57504</v>
      </c>
      <c r="H792" t="str">
        <f>+VLOOKUP(A792,'Anlage 2a_Letztverbrauch'!$A$413:$J$792,10,FALSE)</f>
        <v>enercity Flughafen Netz GmbH</v>
      </c>
    </row>
    <row r="793" spans="1:11" hidden="1" outlineLevel="1">
      <c r="A793" s="988" t="s">
        <v>1951</v>
      </c>
      <c r="B793" s="793">
        <f>+VLOOKUP(A793,'Anlage 2a_Letztverbrauch'!$A$2281:$I$2661,9,FALSE)</f>
        <v>23040.833632000002</v>
      </c>
      <c r="C793" s="95">
        <v>0</v>
      </c>
      <c r="D793" s="95">
        <v>0</v>
      </c>
      <c r="E793" s="95">
        <f t="shared" si="26"/>
        <v>23040.833632000002</v>
      </c>
      <c r="F793" s="747">
        <f>+SUMIF('Anlage 2b_Korrekturen'!$B$647:$B$1026,A793,'Anlage 2b_Korrekturen'!$F$647:$F$1026)</f>
        <v>-154.83018000000001</v>
      </c>
      <c r="G793" s="1094">
        <f t="shared" si="27"/>
        <v>22886.003452000001</v>
      </c>
      <c r="H793" t="str">
        <f>+VLOOKUP(A793,'Anlage 2a_Letztverbrauch'!$A$413:$J$792,10,FALSE)</f>
        <v>QuartiersNetz Bayern GmbH</v>
      </c>
    </row>
    <row r="794" spans="1:11" ht="13.5" collapsed="1" thickBot="1">
      <c r="A794" s="991" t="s">
        <v>1486</v>
      </c>
      <c r="B794" s="548">
        <f>SUM(B795:B932)</f>
        <v>301216765.51999992</v>
      </c>
      <c r="C794" s="459">
        <f t="shared" ref="C794:F794" si="28">SUM(C795:C932)</f>
        <v>-5943344.04</v>
      </c>
      <c r="D794" s="459">
        <f t="shared" si="28"/>
        <v>21886.080000000002</v>
      </c>
      <c r="E794" s="459">
        <f t="shared" si="28"/>
        <v>295295307.55999994</v>
      </c>
      <c r="F794" s="1100">
        <f t="shared" si="28"/>
        <v>87192.329999999987</v>
      </c>
      <c r="G794" s="1095">
        <f t="shared" si="27"/>
        <v>295382499.88999993</v>
      </c>
      <c r="K794" s="96"/>
    </row>
    <row r="795" spans="1:11" hidden="1" outlineLevel="1">
      <c r="A795" s="1002" t="s">
        <v>1487</v>
      </c>
      <c r="B795" s="452">
        <v>1460962.26</v>
      </c>
      <c r="C795" s="95">
        <v>0</v>
      </c>
      <c r="D795" s="95">
        <v>0</v>
      </c>
      <c r="E795" s="95">
        <v>1460962.26</v>
      </c>
      <c r="F795" s="95">
        <v>0</v>
      </c>
      <c r="G795" s="1001">
        <f>E795+F795</f>
        <v>1460962.26</v>
      </c>
      <c r="I795" t="s">
        <v>1488</v>
      </c>
    </row>
    <row r="796" spans="1:11" hidden="1" outlineLevel="1">
      <c r="A796" s="1002" t="s">
        <v>1489</v>
      </c>
      <c r="B796" s="452">
        <v>2966485.38</v>
      </c>
      <c r="C796" s="95">
        <v>0</v>
      </c>
      <c r="D796" s="95">
        <v>0</v>
      </c>
      <c r="E796" s="95">
        <v>2966485.38</v>
      </c>
      <c r="F796" s="95">
        <v>-18268.28</v>
      </c>
      <c r="G796" s="1001">
        <f t="shared" ref="G796:G859" si="29">E796+F796</f>
        <v>2948217.1</v>
      </c>
      <c r="I796" t="s">
        <v>1490</v>
      </c>
    </row>
    <row r="797" spans="1:11" hidden="1" outlineLevel="1">
      <c r="A797" s="1002" t="s">
        <v>1491</v>
      </c>
      <c r="B797" s="452">
        <v>8078286.1799999997</v>
      </c>
      <c r="C797" s="95">
        <v>0</v>
      </c>
      <c r="D797" s="95">
        <v>0</v>
      </c>
      <c r="E797" s="95">
        <v>8078286.1799999997</v>
      </c>
      <c r="F797" s="95">
        <v>0</v>
      </c>
      <c r="G797" s="1001">
        <f t="shared" si="29"/>
        <v>8078286.1799999997</v>
      </c>
      <c r="I797" t="s">
        <v>1492</v>
      </c>
    </row>
    <row r="798" spans="1:11" hidden="1" outlineLevel="1">
      <c r="A798" s="1002" t="s">
        <v>1953</v>
      </c>
      <c r="B798" s="452">
        <v>73481.66</v>
      </c>
      <c r="C798" s="95">
        <v>0</v>
      </c>
      <c r="D798" s="95">
        <v>0</v>
      </c>
      <c r="E798" s="95">
        <v>73481.66</v>
      </c>
      <c r="F798" s="95">
        <v>0</v>
      </c>
      <c r="G798" s="1001">
        <f t="shared" si="29"/>
        <v>73481.66</v>
      </c>
      <c r="I798" t="s">
        <v>1954</v>
      </c>
    </row>
    <row r="799" spans="1:11" hidden="1" outlineLevel="1">
      <c r="A799" s="1002" t="s">
        <v>655</v>
      </c>
      <c r="B799" s="452">
        <v>1848919.54</v>
      </c>
      <c r="C799" s="95">
        <v>0</v>
      </c>
      <c r="D799" s="95">
        <v>0</v>
      </c>
      <c r="E799" s="95">
        <v>1848919.54</v>
      </c>
      <c r="F799" s="95">
        <v>559.72</v>
      </c>
      <c r="G799" s="1001">
        <f t="shared" si="29"/>
        <v>1849479.26</v>
      </c>
      <c r="I799" t="s">
        <v>578</v>
      </c>
    </row>
    <row r="800" spans="1:11" hidden="1" outlineLevel="1">
      <c r="A800" s="1002" t="s">
        <v>1493</v>
      </c>
      <c r="B800" s="452">
        <v>854543.35999999999</v>
      </c>
      <c r="C800" s="95">
        <v>0</v>
      </c>
      <c r="D800" s="95">
        <v>0</v>
      </c>
      <c r="E800" s="95">
        <v>854543.35999999999</v>
      </c>
      <c r="F800" s="95">
        <v>-16639.96</v>
      </c>
      <c r="G800" s="1001">
        <f t="shared" si="29"/>
        <v>837903.4</v>
      </c>
      <c r="I800" t="s">
        <v>1494</v>
      </c>
    </row>
    <row r="801" spans="1:9" hidden="1" outlineLevel="1">
      <c r="A801" s="1002" t="s">
        <v>429</v>
      </c>
      <c r="B801" s="452">
        <v>35658.49</v>
      </c>
      <c r="C801" s="95">
        <v>0</v>
      </c>
      <c r="D801" s="95">
        <v>0</v>
      </c>
      <c r="E801" s="95">
        <v>35658.49</v>
      </c>
      <c r="F801" s="95">
        <v>0</v>
      </c>
      <c r="G801" s="1001">
        <f t="shared" si="29"/>
        <v>35658.49</v>
      </c>
      <c r="I801" t="s">
        <v>430</v>
      </c>
    </row>
    <row r="802" spans="1:9" hidden="1" outlineLevel="1">
      <c r="A802" s="1002" t="s">
        <v>172</v>
      </c>
      <c r="B802" s="452">
        <v>12651.03</v>
      </c>
      <c r="C802" s="95">
        <v>0</v>
      </c>
      <c r="D802" s="95">
        <v>0</v>
      </c>
      <c r="E802" s="95">
        <v>12651.03</v>
      </c>
      <c r="F802" s="95">
        <v>503.06</v>
      </c>
      <c r="G802" s="1001">
        <f t="shared" si="29"/>
        <v>13154.09</v>
      </c>
      <c r="I802" t="s">
        <v>173</v>
      </c>
    </row>
    <row r="803" spans="1:9" hidden="1" outlineLevel="1">
      <c r="A803" s="1002" t="s">
        <v>1495</v>
      </c>
      <c r="B803" s="452">
        <v>1010109.71</v>
      </c>
      <c r="C803" s="95">
        <v>0</v>
      </c>
      <c r="D803" s="95">
        <v>0</v>
      </c>
      <c r="E803" s="95">
        <v>1010109.71</v>
      </c>
      <c r="F803" s="95">
        <v>-75626.98000000001</v>
      </c>
      <c r="G803" s="1001">
        <f t="shared" si="29"/>
        <v>934482.73</v>
      </c>
      <c r="I803" t="s">
        <v>1496</v>
      </c>
    </row>
    <row r="804" spans="1:9" hidden="1" outlineLevel="1">
      <c r="A804" s="1002" t="s">
        <v>1497</v>
      </c>
      <c r="B804" s="452">
        <v>529393.47</v>
      </c>
      <c r="C804" s="95">
        <v>0</v>
      </c>
      <c r="D804" s="95">
        <v>0</v>
      </c>
      <c r="E804" s="95">
        <v>529393.47</v>
      </c>
      <c r="F804" s="95">
        <v>-604.30999999999995</v>
      </c>
      <c r="G804" s="1001">
        <f t="shared" si="29"/>
        <v>528789.15999999992</v>
      </c>
      <c r="I804" t="s">
        <v>1498</v>
      </c>
    </row>
    <row r="805" spans="1:9" hidden="1" outlineLevel="1">
      <c r="A805" s="1002" t="s">
        <v>1499</v>
      </c>
      <c r="B805" s="452">
        <v>112899.94</v>
      </c>
      <c r="C805" s="95">
        <v>0</v>
      </c>
      <c r="D805" s="95">
        <v>0</v>
      </c>
      <c r="E805" s="95">
        <v>112899.94</v>
      </c>
      <c r="F805" s="95">
        <v>-7.84</v>
      </c>
      <c r="G805" s="1001">
        <f t="shared" si="29"/>
        <v>112892.1</v>
      </c>
      <c r="I805" t="s">
        <v>1500</v>
      </c>
    </row>
    <row r="806" spans="1:9" hidden="1" outlineLevel="1">
      <c r="A806" s="1002" t="s">
        <v>1501</v>
      </c>
      <c r="B806" s="452">
        <v>237441.54</v>
      </c>
      <c r="C806" s="95">
        <v>0</v>
      </c>
      <c r="D806" s="95">
        <v>0</v>
      </c>
      <c r="E806" s="95">
        <v>237441.54</v>
      </c>
      <c r="F806" s="95">
        <v>0</v>
      </c>
      <c r="G806" s="1001">
        <f t="shared" si="29"/>
        <v>237441.54</v>
      </c>
      <c r="I806" t="s">
        <v>1502</v>
      </c>
    </row>
    <row r="807" spans="1:9" hidden="1" outlineLevel="1">
      <c r="A807" s="1002" t="s">
        <v>1503</v>
      </c>
      <c r="B807" s="452">
        <v>999290.07</v>
      </c>
      <c r="C807" s="95">
        <v>0</v>
      </c>
      <c r="D807" s="95">
        <v>0</v>
      </c>
      <c r="E807" s="95">
        <v>999290.07</v>
      </c>
      <c r="F807" s="95">
        <v>-809.80000000000007</v>
      </c>
      <c r="G807" s="1001">
        <f t="shared" si="29"/>
        <v>998480.2699999999</v>
      </c>
      <c r="I807" t="s">
        <v>1504</v>
      </c>
    </row>
    <row r="808" spans="1:9" hidden="1" outlineLevel="1">
      <c r="A808" s="1002" t="s">
        <v>1505</v>
      </c>
      <c r="B808" s="452">
        <v>265398.98</v>
      </c>
      <c r="C808" s="95">
        <v>0</v>
      </c>
      <c r="D808" s="95">
        <v>0</v>
      </c>
      <c r="E808" s="95">
        <v>265398.98</v>
      </c>
      <c r="F808" s="95">
        <v>19903.55</v>
      </c>
      <c r="G808" s="1001">
        <f t="shared" si="29"/>
        <v>285302.52999999997</v>
      </c>
      <c r="I808" t="s">
        <v>1506</v>
      </c>
    </row>
    <row r="809" spans="1:9" hidden="1" outlineLevel="1">
      <c r="A809" s="1002" t="s">
        <v>1955</v>
      </c>
      <c r="B809" s="452">
        <v>62661.26</v>
      </c>
      <c r="C809" s="95">
        <v>0</v>
      </c>
      <c r="D809" s="95">
        <v>0</v>
      </c>
      <c r="E809" s="95">
        <v>62661.26</v>
      </c>
      <c r="F809" s="95">
        <v>0</v>
      </c>
      <c r="G809" s="1001">
        <f t="shared" si="29"/>
        <v>62661.26</v>
      </c>
      <c r="I809" t="s">
        <v>1956</v>
      </c>
    </row>
    <row r="810" spans="1:9" hidden="1" outlineLevel="1">
      <c r="A810" s="1002" t="s">
        <v>1507</v>
      </c>
      <c r="B810" s="452">
        <v>268900.25</v>
      </c>
      <c r="C810" s="95">
        <v>0</v>
      </c>
      <c r="D810" s="95">
        <v>0</v>
      </c>
      <c r="E810" s="95">
        <v>268900.25</v>
      </c>
      <c r="F810" s="95">
        <v>0</v>
      </c>
      <c r="G810" s="1001">
        <f t="shared" si="29"/>
        <v>268900.25</v>
      </c>
      <c r="I810" t="s">
        <v>1508</v>
      </c>
    </row>
    <row r="811" spans="1:9" hidden="1" outlineLevel="1">
      <c r="A811" s="1002" t="s">
        <v>1509</v>
      </c>
      <c r="B811" s="452">
        <v>232078.49</v>
      </c>
      <c r="C811" s="95">
        <v>0</v>
      </c>
      <c r="D811" s="95">
        <v>0</v>
      </c>
      <c r="E811" s="95">
        <v>232078.49</v>
      </c>
      <c r="F811" s="95">
        <v>0</v>
      </c>
      <c r="G811" s="1001">
        <f t="shared" si="29"/>
        <v>232078.49</v>
      </c>
      <c r="I811" t="s">
        <v>1510</v>
      </c>
    </row>
    <row r="812" spans="1:9" hidden="1" outlineLevel="1">
      <c r="A812" s="1002" t="s">
        <v>1511</v>
      </c>
      <c r="B812" s="452">
        <v>531141.76</v>
      </c>
      <c r="C812" s="95">
        <v>0</v>
      </c>
      <c r="D812" s="95">
        <v>0</v>
      </c>
      <c r="E812" s="95">
        <v>531141.76</v>
      </c>
      <c r="F812" s="95">
        <v>4416.38</v>
      </c>
      <c r="G812" s="1001">
        <f t="shared" si="29"/>
        <v>535558.14</v>
      </c>
      <c r="I812" t="s">
        <v>1512</v>
      </c>
    </row>
    <row r="813" spans="1:9" hidden="1" outlineLevel="1">
      <c r="A813" s="1002" t="s">
        <v>1513</v>
      </c>
      <c r="B813" s="452">
        <v>1634288.52</v>
      </c>
      <c r="C813" s="95">
        <v>0</v>
      </c>
      <c r="D813" s="95">
        <v>0</v>
      </c>
      <c r="E813" s="95">
        <v>1634288.52</v>
      </c>
      <c r="F813" s="95">
        <v>-11912.470000000001</v>
      </c>
      <c r="G813" s="1001">
        <f t="shared" si="29"/>
        <v>1622376.05</v>
      </c>
      <c r="I813" t="s">
        <v>1514</v>
      </c>
    </row>
    <row r="814" spans="1:9" hidden="1" outlineLevel="1">
      <c r="A814" s="1002" t="s">
        <v>1515</v>
      </c>
      <c r="B814" s="452">
        <v>161565.26</v>
      </c>
      <c r="C814" s="95">
        <v>0</v>
      </c>
      <c r="D814" s="95">
        <v>0</v>
      </c>
      <c r="E814" s="95">
        <v>161565.26</v>
      </c>
      <c r="F814" s="95">
        <v>0</v>
      </c>
      <c r="G814" s="1001">
        <f t="shared" si="29"/>
        <v>161565.26</v>
      </c>
      <c r="I814" t="s">
        <v>1516</v>
      </c>
    </row>
    <row r="815" spans="1:9" hidden="1" outlineLevel="1">
      <c r="A815" s="1002" t="s">
        <v>1517</v>
      </c>
      <c r="B815" s="452">
        <v>1458731.73</v>
      </c>
      <c r="C815" s="95">
        <v>0</v>
      </c>
      <c r="D815" s="95">
        <v>0</v>
      </c>
      <c r="E815" s="95">
        <v>1458731.73</v>
      </c>
      <c r="F815" s="95">
        <v>3533.3500000000004</v>
      </c>
      <c r="G815" s="1001">
        <f t="shared" si="29"/>
        <v>1462265.08</v>
      </c>
      <c r="I815" t="s">
        <v>1518</v>
      </c>
    </row>
    <row r="816" spans="1:9" hidden="1" outlineLevel="1">
      <c r="A816" s="1002" t="s">
        <v>1519</v>
      </c>
      <c r="B816" s="452">
        <v>409388.88</v>
      </c>
      <c r="C816" s="95">
        <v>0</v>
      </c>
      <c r="D816" s="95">
        <v>0</v>
      </c>
      <c r="E816" s="95">
        <v>409388.88</v>
      </c>
      <c r="F816" s="95">
        <v>-1500.75</v>
      </c>
      <c r="G816" s="1001">
        <f t="shared" si="29"/>
        <v>407888.13</v>
      </c>
      <c r="I816" t="s">
        <v>1520</v>
      </c>
    </row>
    <row r="817" spans="1:9" hidden="1" outlineLevel="1">
      <c r="A817" s="1002" t="s">
        <v>1521</v>
      </c>
      <c r="B817" s="452">
        <v>789551.46</v>
      </c>
      <c r="C817" s="95">
        <v>0</v>
      </c>
      <c r="D817" s="95">
        <v>0</v>
      </c>
      <c r="E817" s="95">
        <v>789551.46</v>
      </c>
      <c r="F817" s="95">
        <v>-4889.2999999999993</v>
      </c>
      <c r="G817" s="1001">
        <f t="shared" si="29"/>
        <v>784662.15999999992</v>
      </c>
      <c r="I817" t="s">
        <v>1522</v>
      </c>
    </row>
    <row r="818" spans="1:9" hidden="1" outlineLevel="1">
      <c r="A818" s="1002" t="s">
        <v>1523</v>
      </c>
      <c r="B818" s="452">
        <v>831113.62</v>
      </c>
      <c r="C818" s="95">
        <v>0</v>
      </c>
      <c r="D818" s="95">
        <v>0</v>
      </c>
      <c r="E818" s="95">
        <v>831113.62</v>
      </c>
      <c r="F818" s="95">
        <v>2568.4899999999998</v>
      </c>
      <c r="G818" s="1001">
        <f t="shared" si="29"/>
        <v>833682.11</v>
      </c>
      <c r="I818" t="s">
        <v>1524</v>
      </c>
    </row>
    <row r="819" spans="1:9" hidden="1" outlineLevel="1">
      <c r="A819" s="1002" t="s">
        <v>1525</v>
      </c>
      <c r="B819" s="452">
        <v>266223</v>
      </c>
      <c r="C819" s="95">
        <v>0</v>
      </c>
      <c r="D819" s="95">
        <v>0</v>
      </c>
      <c r="E819" s="95">
        <v>266223</v>
      </c>
      <c r="F819" s="95">
        <v>0</v>
      </c>
      <c r="G819" s="1001">
        <f t="shared" si="29"/>
        <v>266223</v>
      </c>
      <c r="I819" t="s">
        <v>1526</v>
      </c>
    </row>
    <row r="820" spans="1:9" hidden="1" outlineLevel="1">
      <c r="A820" s="1002" t="s">
        <v>1527</v>
      </c>
      <c r="B820" s="452">
        <v>352071.61</v>
      </c>
      <c r="C820" s="95">
        <v>0</v>
      </c>
      <c r="D820" s="95">
        <v>0</v>
      </c>
      <c r="E820" s="95">
        <v>352071.61</v>
      </c>
      <c r="F820" s="95">
        <v>0</v>
      </c>
      <c r="G820" s="1001">
        <f t="shared" si="29"/>
        <v>352071.61</v>
      </c>
      <c r="I820" t="s">
        <v>1528</v>
      </c>
    </row>
    <row r="821" spans="1:9" hidden="1" outlineLevel="1">
      <c r="A821" s="1002" t="s">
        <v>1529</v>
      </c>
      <c r="B821" s="452">
        <v>1288767.25</v>
      </c>
      <c r="C821" s="95">
        <v>0</v>
      </c>
      <c r="D821" s="95">
        <v>0</v>
      </c>
      <c r="E821" s="95">
        <v>1288767.25</v>
      </c>
      <c r="F821" s="95">
        <v>26946.27</v>
      </c>
      <c r="G821" s="1001">
        <f t="shared" si="29"/>
        <v>1315713.52</v>
      </c>
      <c r="I821" t="s">
        <v>1530</v>
      </c>
    </row>
    <row r="822" spans="1:9" hidden="1" outlineLevel="1">
      <c r="A822" s="1002" t="s">
        <v>1531</v>
      </c>
      <c r="B822" s="452">
        <v>114845.98</v>
      </c>
      <c r="C822" s="95">
        <v>0</v>
      </c>
      <c r="D822" s="95">
        <v>0</v>
      </c>
      <c r="E822" s="95">
        <v>114845.98</v>
      </c>
      <c r="F822" s="95">
        <v>0</v>
      </c>
      <c r="G822" s="1001">
        <f t="shared" si="29"/>
        <v>114845.98</v>
      </c>
      <c r="I822" t="s">
        <v>1532</v>
      </c>
    </row>
    <row r="823" spans="1:9" hidden="1" outlineLevel="1">
      <c r="A823" s="1002" t="s">
        <v>1533</v>
      </c>
      <c r="B823" s="452">
        <v>6063201.6799999997</v>
      </c>
      <c r="C823" s="95">
        <v>0</v>
      </c>
      <c r="D823" s="95">
        <v>0</v>
      </c>
      <c r="E823" s="95">
        <v>6063201.6799999997</v>
      </c>
      <c r="F823" s="95">
        <v>1532.73</v>
      </c>
      <c r="G823" s="1001">
        <f t="shared" si="29"/>
        <v>6064734.4100000001</v>
      </c>
      <c r="I823" t="s">
        <v>1534</v>
      </c>
    </row>
    <row r="824" spans="1:9" hidden="1" outlineLevel="1">
      <c r="A824" s="1002" t="s">
        <v>1957</v>
      </c>
      <c r="B824" s="452">
        <v>338862.68</v>
      </c>
      <c r="C824" s="95">
        <v>0</v>
      </c>
      <c r="D824" s="95">
        <v>0</v>
      </c>
      <c r="E824" s="95">
        <v>338862.68</v>
      </c>
      <c r="F824" s="95">
        <v>0</v>
      </c>
      <c r="G824" s="1001">
        <f t="shared" si="29"/>
        <v>338862.68</v>
      </c>
      <c r="I824" t="s">
        <v>1958</v>
      </c>
    </row>
    <row r="825" spans="1:9" hidden="1" outlineLevel="1">
      <c r="A825" s="1002" t="s">
        <v>1959</v>
      </c>
      <c r="B825" s="452">
        <v>321034.78999999998</v>
      </c>
      <c r="C825" s="95">
        <v>0</v>
      </c>
      <c r="D825" s="95">
        <v>0</v>
      </c>
      <c r="E825" s="95">
        <v>321034.78999999998</v>
      </c>
      <c r="F825" s="95">
        <v>0</v>
      </c>
      <c r="G825" s="1001">
        <f t="shared" si="29"/>
        <v>321034.78999999998</v>
      </c>
      <c r="I825" t="s">
        <v>1960</v>
      </c>
    </row>
    <row r="826" spans="1:9" hidden="1" outlineLevel="1">
      <c r="A826" s="1002" t="s">
        <v>1961</v>
      </c>
      <c r="B826" s="452">
        <v>154070.89000000001</v>
      </c>
      <c r="C826" s="95">
        <v>0</v>
      </c>
      <c r="D826" s="95">
        <v>0</v>
      </c>
      <c r="E826" s="95">
        <v>154070.89000000001</v>
      </c>
      <c r="F826" s="95">
        <v>-18.350000000000001</v>
      </c>
      <c r="G826" s="1001">
        <f t="shared" si="29"/>
        <v>154052.54</v>
      </c>
      <c r="I826" t="s">
        <v>1962</v>
      </c>
    </row>
    <row r="827" spans="1:9" hidden="1" outlineLevel="1">
      <c r="A827" s="1002" t="s">
        <v>1535</v>
      </c>
      <c r="B827" s="452">
        <v>70973.11</v>
      </c>
      <c r="C827" s="95">
        <v>0</v>
      </c>
      <c r="D827" s="95">
        <v>0</v>
      </c>
      <c r="E827" s="95">
        <v>70973.11</v>
      </c>
      <c r="F827" s="95">
        <v>0</v>
      </c>
      <c r="G827" s="1001">
        <f t="shared" si="29"/>
        <v>70973.11</v>
      </c>
      <c r="I827" t="s">
        <v>1536</v>
      </c>
    </row>
    <row r="828" spans="1:9" hidden="1" outlineLevel="1">
      <c r="A828" s="1002" t="s">
        <v>1537</v>
      </c>
      <c r="B828" s="452">
        <v>287513.84000000003</v>
      </c>
      <c r="C828" s="95">
        <v>0</v>
      </c>
      <c r="D828" s="95">
        <v>0</v>
      </c>
      <c r="E828" s="95">
        <v>287513.84000000003</v>
      </c>
      <c r="F828" s="95">
        <v>-277.86</v>
      </c>
      <c r="G828" s="1001">
        <f t="shared" si="29"/>
        <v>287235.98000000004</v>
      </c>
      <c r="I828" t="s">
        <v>1538</v>
      </c>
    </row>
    <row r="829" spans="1:9" hidden="1" outlineLevel="1">
      <c r="A829" s="1002" t="s">
        <v>1539</v>
      </c>
      <c r="B829" s="452">
        <v>174493.8</v>
      </c>
      <c r="C829" s="95">
        <v>0</v>
      </c>
      <c r="D829" s="95">
        <v>0</v>
      </c>
      <c r="E829" s="95">
        <v>174493.8</v>
      </c>
      <c r="F829" s="95">
        <v>0</v>
      </c>
      <c r="G829" s="1001">
        <f t="shared" si="29"/>
        <v>174493.8</v>
      </c>
      <c r="I829" t="s">
        <v>1540</v>
      </c>
    </row>
    <row r="830" spans="1:9" hidden="1" outlineLevel="1">
      <c r="A830" s="1002" t="s">
        <v>1541</v>
      </c>
      <c r="B830" s="452">
        <v>334011.52000000002</v>
      </c>
      <c r="C830" s="95">
        <v>0</v>
      </c>
      <c r="D830" s="95">
        <v>0</v>
      </c>
      <c r="E830" s="95">
        <v>334011.52000000002</v>
      </c>
      <c r="F830" s="95">
        <v>0</v>
      </c>
      <c r="G830" s="1001">
        <f t="shared" si="29"/>
        <v>334011.52000000002</v>
      </c>
      <c r="I830" t="s">
        <v>1542</v>
      </c>
    </row>
    <row r="831" spans="1:9" hidden="1" outlineLevel="1">
      <c r="A831" s="1002" t="s">
        <v>1543</v>
      </c>
      <c r="B831" s="452">
        <v>148477.76999999999</v>
      </c>
      <c r="C831" s="95">
        <v>0</v>
      </c>
      <c r="D831" s="95">
        <v>0</v>
      </c>
      <c r="E831" s="95">
        <v>148477.76999999999</v>
      </c>
      <c r="F831" s="95">
        <v>0</v>
      </c>
      <c r="G831" s="1001">
        <f t="shared" si="29"/>
        <v>148477.76999999999</v>
      </c>
      <c r="I831" t="s">
        <v>1544</v>
      </c>
    </row>
    <row r="832" spans="1:9" hidden="1" outlineLevel="1">
      <c r="A832" s="1002" t="s">
        <v>1545</v>
      </c>
      <c r="B832" s="452">
        <v>125039.6</v>
      </c>
      <c r="C832" s="95">
        <v>0</v>
      </c>
      <c r="D832" s="95">
        <v>0</v>
      </c>
      <c r="E832" s="95">
        <v>125039.6</v>
      </c>
      <c r="F832" s="95">
        <v>0</v>
      </c>
      <c r="G832" s="1001">
        <f t="shared" si="29"/>
        <v>125039.6</v>
      </c>
      <c r="I832" t="s">
        <v>1546</v>
      </c>
    </row>
    <row r="833" spans="1:9" hidden="1" outlineLevel="1">
      <c r="A833" s="1002" t="s">
        <v>86</v>
      </c>
      <c r="B833" s="452">
        <v>271267.03000000003</v>
      </c>
      <c r="C833" s="95">
        <v>0</v>
      </c>
      <c r="D833" s="95">
        <v>0</v>
      </c>
      <c r="E833" s="95">
        <v>271267.03000000003</v>
      </c>
      <c r="F833" s="95">
        <v>2436.9499999999998</v>
      </c>
      <c r="G833" s="1001">
        <f t="shared" si="29"/>
        <v>273703.98000000004</v>
      </c>
      <c r="I833" t="s">
        <v>87</v>
      </c>
    </row>
    <row r="834" spans="1:9" hidden="1" outlineLevel="1">
      <c r="A834" s="1002" t="s">
        <v>398</v>
      </c>
      <c r="B834" s="452">
        <v>47455.55</v>
      </c>
      <c r="C834" s="95">
        <v>0</v>
      </c>
      <c r="D834" s="95">
        <v>0</v>
      </c>
      <c r="E834" s="95">
        <v>47455.55</v>
      </c>
      <c r="F834" s="95">
        <v>28.67</v>
      </c>
      <c r="G834" s="1001">
        <f t="shared" si="29"/>
        <v>47484.22</v>
      </c>
      <c r="I834" t="s">
        <v>399</v>
      </c>
    </row>
    <row r="835" spans="1:9" hidden="1" outlineLevel="1">
      <c r="A835" s="1002" t="s">
        <v>1547</v>
      </c>
      <c r="B835" s="452">
        <v>31661.18</v>
      </c>
      <c r="C835" s="95">
        <v>0</v>
      </c>
      <c r="D835" s="95">
        <v>0</v>
      </c>
      <c r="E835" s="95">
        <v>31661.18</v>
      </c>
      <c r="F835" s="95">
        <v>3.1800000000000006</v>
      </c>
      <c r="G835" s="1001">
        <f t="shared" si="29"/>
        <v>31664.36</v>
      </c>
      <c r="I835" t="s">
        <v>1548</v>
      </c>
    </row>
    <row r="836" spans="1:9" hidden="1" outlineLevel="1">
      <c r="A836" s="1002" t="s">
        <v>1549</v>
      </c>
      <c r="B836" s="452">
        <v>165514.10999999999</v>
      </c>
      <c r="C836" s="95">
        <v>0</v>
      </c>
      <c r="D836" s="95">
        <v>0</v>
      </c>
      <c r="E836" s="95">
        <v>165514.10999999999</v>
      </c>
      <c r="F836" s="95">
        <v>0</v>
      </c>
      <c r="G836" s="1001">
        <f t="shared" si="29"/>
        <v>165514.10999999999</v>
      </c>
      <c r="I836" t="s">
        <v>1550</v>
      </c>
    </row>
    <row r="837" spans="1:9" hidden="1" outlineLevel="1">
      <c r="A837" s="1002" t="s">
        <v>1963</v>
      </c>
      <c r="B837" s="452">
        <v>11159.15</v>
      </c>
      <c r="C837" s="95">
        <v>0</v>
      </c>
      <c r="D837" s="95">
        <v>0</v>
      </c>
      <c r="E837" s="95">
        <v>11159.15</v>
      </c>
      <c r="F837" s="95">
        <v>0</v>
      </c>
      <c r="G837" s="1001">
        <f t="shared" si="29"/>
        <v>11159.15</v>
      </c>
      <c r="I837" t="s">
        <v>1964</v>
      </c>
    </row>
    <row r="838" spans="1:9" hidden="1" outlineLevel="1">
      <c r="A838" s="1002" t="s">
        <v>1551</v>
      </c>
      <c r="B838" s="452">
        <v>1140473.75</v>
      </c>
      <c r="C838" s="95">
        <v>0</v>
      </c>
      <c r="D838" s="95">
        <v>0</v>
      </c>
      <c r="E838" s="95">
        <v>1140473.75</v>
      </c>
      <c r="F838" s="95">
        <v>0</v>
      </c>
      <c r="G838" s="1001">
        <f t="shared" si="29"/>
        <v>1140473.75</v>
      </c>
      <c r="I838" t="s">
        <v>1552</v>
      </c>
    </row>
    <row r="839" spans="1:9" hidden="1" outlineLevel="1">
      <c r="A839" s="1002" t="s">
        <v>1965</v>
      </c>
      <c r="B839" s="452">
        <v>9026.76</v>
      </c>
      <c r="C839" s="95">
        <v>0</v>
      </c>
      <c r="D839" s="95">
        <v>0</v>
      </c>
      <c r="E839" s="95">
        <v>9026.76</v>
      </c>
      <c r="F839" s="95">
        <v>0</v>
      </c>
      <c r="G839" s="1001">
        <f t="shared" si="29"/>
        <v>9026.76</v>
      </c>
      <c r="I839" t="s">
        <v>1966</v>
      </c>
    </row>
    <row r="840" spans="1:9" hidden="1" outlineLevel="1">
      <c r="A840" s="1002" t="s">
        <v>1967</v>
      </c>
      <c r="B840" s="452">
        <v>13989.7</v>
      </c>
      <c r="C840" s="95">
        <v>0</v>
      </c>
      <c r="D840" s="95">
        <v>0</v>
      </c>
      <c r="E840" s="95">
        <v>13989.7</v>
      </c>
      <c r="F840" s="95">
        <v>0</v>
      </c>
      <c r="G840" s="1001">
        <f t="shared" si="29"/>
        <v>13989.7</v>
      </c>
      <c r="I840" t="s">
        <v>1968</v>
      </c>
    </row>
    <row r="841" spans="1:9" hidden="1" outlineLevel="1">
      <c r="A841" s="1002" t="s">
        <v>1553</v>
      </c>
      <c r="B841" s="452">
        <v>713123.02</v>
      </c>
      <c r="C841" s="95">
        <v>0</v>
      </c>
      <c r="D841" s="95">
        <v>0</v>
      </c>
      <c r="E841" s="95">
        <v>713123.02</v>
      </c>
      <c r="F841" s="95">
        <v>0</v>
      </c>
      <c r="G841" s="1001">
        <f t="shared" si="29"/>
        <v>713123.02</v>
      </c>
      <c r="I841" t="s">
        <v>1554</v>
      </c>
    </row>
    <row r="842" spans="1:9" hidden="1" outlineLevel="1">
      <c r="A842" s="1002" t="s">
        <v>1555</v>
      </c>
      <c r="B842" s="452">
        <v>36212.68</v>
      </c>
      <c r="C842" s="95">
        <v>0</v>
      </c>
      <c r="D842" s="95">
        <v>0</v>
      </c>
      <c r="E842" s="95">
        <v>36212.68</v>
      </c>
      <c r="F842" s="95">
        <v>0</v>
      </c>
      <c r="G842" s="1001">
        <f t="shared" si="29"/>
        <v>36212.68</v>
      </c>
      <c r="I842" t="s">
        <v>1556</v>
      </c>
    </row>
    <row r="843" spans="1:9" hidden="1" outlineLevel="1">
      <c r="A843" s="1002" t="s">
        <v>1557</v>
      </c>
      <c r="B843" s="452">
        <v>8356.42</v>
      </c>
      <c r="C843" s="95">
        <v>0</v>
      </c>
      <c r="D843" s="95">
        <v>0</v>
      </c>
      <c r="E843" s="95">
        <v>8356.42</v>
      </c>
      <c r="F843" s="95">
        <v>0</v>
      </c>
      <c r="G843" s="1001">
        <f t="shared" si="29"/>
        <v>8356.42</v>
      </c>
      <c r="I843" t="s">
        <v>1558</v>
      </c>
    </row>
    <row r="844" spans="1:9" hidden="1" outlineLevel="1">
      <c r="A844" s="1002" t="s">
        <v>585</v>
      </c>
      <c r="B844" s="452">
        <v>2692.48</v>
      </c>
      <c r="C844" s="95">
        <v>0</v>
      </c>
      <c r="D844" s="95">
        <v>0</v>
      </c>
      <c r="E844" s="95">
        <v>2692.48</v>
      </c>
      <c r="F844" s="95">
        <v>0</v>
      </c>
      <c r="G844" s="1001">
        <f t="shared" si="29"/>
        <v>2692.48</v>
      </c>
      <c r="I844" t="s">
        <v>1969</v>
      </c>
    </row>
    <row r="845" spans="1:9" hidden="1" outlineLevel="1">
      <c r="A845" s="1002" t="s">
        <v>1559</v>
      </c>
      <c r="B845" s="452">
        <v>10162176.119999999</v>
      </c>
      <c r="C845" s="95">
        <v>0</v>
      </c>
      <c r="D845" s="95">
        <v>0</v>
      </c>
      <c r="E845" s="95">
        <v>10162176.119999999</v>
      </c>
      <c r="F845" s="95">
        <v>12030.99</v>
      </c>
      <c r="G845" s="1001">
        <f t="shared" si="29"/>
        <v>10174207.109999999</v>
      </c>
      <c r="I845" t="s">
        <v>1560</v>
      </c>
    </row>
    <row r="846" spans="1:9" hidden="1" outlineLevel="1">
      <c r="A846" s="1002" t="s">
        <v>1561</v>
      </c>
      <c r="B846" s="452">
        <v>11010725.68</v>
      </c>
      <c r="C846" s="95">
        <v>-416364.74</v>
      </c>
      <c r="D846" s="95">
        <v>0</v>
      </c>
      <c r="E846" s="95">
        <v>10594360.939999999</v>
      </c>
      <c r="F846" s="95">
        <v>-334784.42</v>
      </c>
      <c r="G846" s="1001">
        <f t="shared" si="29"/>
        <v>10259576.52</v>
      </c>
      <c r="I846" t="s">
        <v>1562</v>
      </c>
    </row>
    <row r="847" spans="1:9" hidden="1" outlineLevel="1">
      <c r="A847" s="1002" t="s">
        <v>1413</v>
      </c>
      <c r="B847" s="452">
        <v>1154932.72</v>
      </c>
      <c r="C847" s="95">
        <v>0</v>
      </c>
      <c r="D847" s="95">
        <v>0</v>
      </c>
      <c r="E847" s="95">
        <v>1154932.72</v>
      </c>
      <c r="F847" s="95">
        <v>0</v>
      </c>
      <c r="G847" s="1001">
        <f t="shared" si="29"/>
        <v>1154932.72</v>
      </c>
      <c r="I847" t="s">
        <v>1414</v>
      </c>
    </row>
    <row r="848" spans="1:9" hidden="1" outlineLevel="1">
      <c r="A848" s="1002" t="s">
        <v>1563</v>
      </c>
      <c r="B848" s="452">
        <v>197644.93</v>
      </c>
      <c r="C848" s="95">
        <v>0</v>
      </c>
      <c r="D848" s="95">
        <v>0</v>
      </c>
      <c r="E848" s="95">
        <v>197644.93</v>
      </c>
      <c r="F848" s="95">
        <v>0</v>
      </c>
      <c r="G848" s="1001">
        <f t="shared" si="29"/>
        <v>197644.93</v>
      </c>
      <c r="I848" t="s">
        <v>1564</v>
      </c>
    </row>
    <row r="849" spans="1:9" hidden="1" outlineLevel="1">
      <c r="A849" s="1002" t="s">
        <v>613</v>
      </c>
      <c r="B849" s="452">
        <v>105031778.81999999</v>
      </c>
      <c r="C849" s="95">
        <v>-1351717.71</v>
      </c>
      <c r="D849" s="95">
        <v>0</v>
      </c>
      <c r="E849" s="95">
        <v>103680061.11</v>
      </c>
      <c r="F849" s="95">
        <v>303527.52999999997</v>
      </c>
      <c r="G849" s="1001">
        <f t="shared" si="29"/>
        <v>103983588.64</v>
      </c>
      <c r="I849" t="s">
        <v>614</v>
      </c>
    </row>
    <row r="850" spans="1:9" hidden="1" outlineLevel="1">
      <c r="A850" s="1002" t="s">
        <v>1565</v>
      </c>
      <c r="B850" s="452">
        <v>560987.82999999996</v>
      </c>
      <c r="C850" s="95">
        <v>0</v>
      </c>
      <c r="D850" s="95">
        <v>0</v>
      </c>
      <c r="E850" s="95">
        <v>560987.82999999996</v>
      </c>
      <c r="F850" s="95">
        <v>0</v>
      </c>
      <c r="G850" s="1001">
        <f t="shared" si="29"/>
        <v>560987.82999999996</v>
      </c>
      <c r="I850" t="s">
        <v>1566</v>
      </c>
    </row>
    <row r="851" spans="1:9" hidden="1" outlineLevel="1">
      <c r="A851" s="1002" t="s">
        <v>1567</v>
      </c>
      <c r="B851" s="452">
        <v>729051.54</v>
      </c>
      <c r="C851" s="95">
        <v>0</v>
      </c>
      <c r="D851" s="95">
        <v>0</v>
      </c>
      <c r="E851" s="95">
        <v>729051.54</v>
      </c>
      <c r="F851" s="95">
        <v>5594.09</v>
      </c>
      <c r="G851" s="1001">
        <f t="shared" si="29"/>
        <v>734645.63</v>
      </c>
      <c r="I851" t="s">
        <v>1568</v>
      </c>
    </row>
    <row r="852" spans="1:9" hidden="1" outlineLevel="1">
      <c r="A852" s="1002" t="s">
        <v>1569</v>
      </c>
      <c r="B852" s="452">
        <v>12280207.52</v>
      </c>
      <c r="C852" s="95">
        <v>0</v>
      </c>
      <c r="D852" s="95">
        <v>0</v>
      </c>
      <c r="E852" s="95">
        <v>12280207.52</v>
      </c>
      <c r="F852" s="95">
        <v>9723.08</v>
      </c>
      <c r="G852" s="1001">
        <f t="shared" si="29"/>
        <v>12289930.6</v>
      </c>
      <c r="I852" t="s">
        <v>1570</v>
      </c>
    </row>
    <row r="853" spans="1:9" hidden="1" outlineLevel="1">
      <c r="A853" s="1002" t="s">
        <v>1571</v>
      </c>
      <c r="B853" s="452">
        <v>4043981.2</v>
      </c>
      <c r="C853" s="95">
        <v>0</v>
      </c>
      <c r="D853" s="95">
        <v>0</v>
      </c>
      <c r="E853" s="95">
        <v>4043981.2</v>
      </c>
      <c r="F853" s="95">
        <v>0</v>
      </c>
      <c r="G853" s="1001">
        <f t="shared" si="29"/>
        <v>4043981.2</v>
      </c>
      <c r="I853" t="s">
        <v>1572</v>
      </c>
    </row>
    <row r="854" spans="1:9" hidden="1" outlineLevel="1">
      <c r="A854" s="1002" t="s">
        <v>1573</v>
      </c>
      <c r="B854" s="452">
        <v>96592.63</v>
      </c>
      <c r="C854" s="95">
        <v>0</v>
      </c>
      <c r="D854" s="95">
        <v>0</v>
      </c>
      <c r="E854" s="95">
        <v>96592.63</v>
      </c>
      <c r="F854" s="95">
        <v>0</v>
      </c>
      <c r="G854" s="1001">
        <f t="shared" si="29"/>
        <v>96592.63</v>
      </c>
      <c r="I854" t="s">
        <v>1574</v>
      </c>
    </row>
    <row r="855" spans="1:9" hidden="1" outlineLevel="1">
      <c r="A855" s="1002" t="s">
        <v>1970</v>
      </c>
      <c r="B855" s="452">
        <v>675872.3</v>
      </c>
      <c r="C855" s="95">
        <v>0</v>
      </c>
      <c r="D855" s="95">
        <v>0</v>
      </c>
      <c r="E855" s="95">
        <v>675872.3</v>
      </c>
      <c r="F855" s="95">
        <v>0</v>
      </c>
      <c r="G855" s="1001">
        <f t="shared" si="29"/>
        <v>675872.3</v>
      </c>
      <c r="I855" t="s">
        <v>1971</v>
      </c>
    </row>
    <row r="856" spans="1:9" hidden="1" outlineLevel="1">
      <c r="A856" s="1002" t="s">
        <v>1575</v>
      </c>
      <c r="B856" s="452">
        <v>480333.01</v>
      </c>
      <c r="C856" s="95">
        <v>0</v>
      </c>
      <c r="D856" s="95">
        <v>0</v>
      </c>
      <c r="E856" s="95">
        <v>480333.01</v>
      </c>
      <c r="F856" s="95">
        <v>0</v>
      </c>
      <c r="G856" s="1001">
        <f t="shared" si="29"/>
        <v>480333.01</v>
      </c>
      <c r="I856" t="s">
        <v>1576</v>
      </c>
    </row>
    <row r="857" spans="1:9" hidden="1" outlineLevel="1">
      <c r="A857" s="1002" t="s">
        <v>1577</v>
      </c>
      <c r="B857" s="452">
        <v>1402355.85</v>
      </c>
      <c r="C857" s="95">
        <v>0</v>
      </c>
      <c r="D857" s="95">
        <v>0</v>
      </c>
      <c r="E857" s="95">
        <v>1402355.85</v>
      </c>
      <c r="F857" s="95">
        <v>-3266.7100000000005</v>
      </c>
      <c r="G857" s="1001">
        <f t="shared" si="29"/>
        <v>1399089.1400000001</v>
      </c>
      <c r="I857" t="s">
        <v>1578</v>
      </c>
    </row>
    <row r="858" spans="1:9" hidden="1" outlineLevel="1">
      <c r="A858" s="1002" t="s">
        <v>1579</v>
      </c>
      <c r="B858" s="452">
        <v>960975.94</v>
      </c>
      <c r="C858" s="95">
        <v>0</v>
      </c>
      <c r="D858" s="95">
        <v>0</v>
      </c>
      <c r="E858" s="95">
        <v>960975.94</v>
      </c>
      <c r="F858" s="95">
        <v>-4049.7799999999997</v>
      </c>
      <c r="G858" s="1001">
        <f t="shared" si="29"/>
        <v>956926.15999999992</v>
      </c>
      <c r="I858" t="s">
        <v>1580</v>
      </c>
    </row>
    <row r="859" spans="1:9" hidden="1" outlineLevel="1">
      <c r="A859" s="1002" t="s">
        <v>1581</v>
      </c>
      <c r="B859" s="452">
        <v>2762244.88</v>
      </c>
      <c r="C859" s="95">
        <v>0</v>
      </c>
      <c r="D859" s="95">
        <v>0</v>
      </c>
      <c r="E859" s="95">
        <v>2762244.88</v>
      </c>
      <c r="F859" s="95">
        <v>-7309.9699999999993</v>
      </c>
      <c r="G859" s="1001">
        <f t="shared" si="29"/>
        <v>2754934.9099999997</v>
      </c>
      <c r="I859" t="s">
        <v>1582</v>
      </c>
    </row>
    <row r="860" spans="1:9" hidden="1" outlineLevel="1">
      <c r="A860" s="1002" t="s">
        <v>1583</v>
      </c>
      <c r="B860" s="452">
        <v>600921.43000000005</v>
      </c>
      <c r="C860" s="95">
        <v>0</v>
      </c>
      <c r="D860" s="95">
        <v>0</v>
      </c>
      <c r="E860" s="95">
        <v>600921.43000000005</v>
      </c>
      <c r="F860" s="95">
        <v>0</v>
      </c>
      <c r="G860" s="1001">
        <f t="shared" ref="G860:G923" si="30">E860+F860</f>
        <v>600921.43000000005</v>
      </c>
      <c r="I860" t="s">
        <v>1584</v>
      </c>
    </row>
    <row r="861" spans="1:9" hidden="1" outlineLevel="1">
      <c r="A861" s="1002" t="s">
        <v>1585</v>
      </c>
      <c r="B861" s="452">
        <v>1188178.6399999999</v>
      </c>
      <c r="C861" s="95">
        <v>0</v>
      </c>
      <c r="D861" s="95">
        <v>0</v>
      </c>
      <c r="E861" s="95">
        <v>1188178.6399999999</v>
      </c>
      <c r="F861" s="95">
        <v>176842.11</v>
      </c>
      <c r="G861" s="1001">
        <f t="shared" si="30"/>
        <v>1365020.75</v>
      </c>
      <c r="I861" t="s">
        <v>1586</v>
      </c>
    </row>
    <row r="862" spans="1:9" hidden="1" outlineLevel="1">
      <c r="A862" s="1002" t="s">
        <v>1587</v>
      </c>
      <c r="B862" s="452">
        <v>271618.44</v>
      </c>
      <c r="C862" s="95">
        <v>0</v>
      </c>
      <c r="D862" s="95">
        <v>0</v>
      </c>
      <c r="E862" s="95">
        <v>271618.44</v>
      </c>
      <c r="F862" s="95">
        <v>-55.41</v>
      </c>
      <c r="G862" s="1001">
        <f t="shared" si="30"/>
        <v>271563.03000000003</v>
      </c>
      <c r="I862" t="s">
        <v>1588</v>
      </c>
    </row>
    <row r="863" spans="1:9" hidden="1" outlineLevel="1">
      <c r="A863" s="1002" t="s">
        <v>1589</v>
      </c>
      <c r="B863" s="452">
        <v>129571.29</v>
      </c>
      <c r="C863" s="95">
        <v>0</v>
      </c>
      <c r="D863" s="95">
        <v>0</v>
      </c>
      <c r="E863" s="95">
        <v>129571.29</v>
      </c>
      <c r="F863" s="95">
        <v>0</v>
      </c>
      <c r="G863" s="1001">
        <f t="shared" si="30"/>
        <v>129571.29</v>
      </c>
      <c r="I863" t="s">
        <v>1590</v>
      </c>
    </row>
    <row r="864" spans="1:9" hidden="1" outlineLevel="1">
      <c r="A864" s="1002" t="s">
        <v>1591</v>
      </c>
      <c r="B864" s="452">
        <v>485024.33</v>
      </c>
      <c r="C864" s="95">
        <v>0</v>
      </c>
      <c r="D864" s="95">
        <v>0</v>
      </c>
      <c r="E864" s="95">
        <v>485024.33</v>
      </c>
      <c r="F864" s="95">
        <v>0</v>
      </c>
      <c r="G864" s="1001">
        <f t="shared" si="30"/>
        <v>485024.33</v>
      </c>
      <c r="I864" t="s">
        <v>1592</v>
      </c>
    </row>
    <row r="865" spans="1:9" hidden="1" outlineLevel="1">
      <c r="A865" s="1002" t="s">
        <v>1593</v>
      </c>
      <c r="B865" s="452">
        <v>383200.13</v>
      </c>
      <c r="C865" s="95">
        <v>0</v>
      </c>
      <c r="D865" s="95">
        <v>0</v>
      </c>
      <c r="E865" s="95">
        <v>383200.13</v>
      </c>
      <c r="F865" s="95">
        <v>-627.09</v>
      </c>
      <c r="G865" s="1001">
        <f t="shared" si="30"/>
        <v>382573.04</v>
      </c>
      <c r="I865" t="s">
        <v>1594</v>
      </c>
    </row>
    <row r="866" spans="1:9" hidden="1" outlineLevel="1">
      <c r="A866" s="1002" t="s">
        <v>1595</v>
      </c>
      <c r="B866" s="452">
        <v>243042.96</v>
      </c>
      <c r="C866" s="95">
        <v>0</v>
      </c>
      <c r="D866" s="95">
        <v>0</v>
      </c>
      <c r="E866" s="95">
        <v>243042.96</v>
      </c>
      <c r="F866" s="95">
        <v>0</v>
      </c>
      <c r="G866" s="1001">
        <f t="shared" si="30"/>
        <v>243042.96</v>
      </c>
      <c r="I866" t="s">
        <v>1596</v>
      </c>
    </row>
    <row r="867" spans="1:9" hidden="1" outlineLevel="1">
      <c r="A867" s="1002" t="s">
        <v>1597</v>
      </c>
      <c r="B867" s="452">
        <v>1433058.63</v>
      </c>
      <c r="C867" s="95">
        <v>0</v>
      </c>
      <c r="D867" s="95">
        <v>0</v>
      </c>
      <c r="E867" s="95">
        <v>1433058.63</v>
      </c>
      <c r="F867" s="95">
        <v>0</v>
      </c>
      <c r="G867" s="1001">
        <f t="shared" si="30"/>
        <v>1433058.63</v>
      </c>
      <c r="I867" t="s">
        <v>1598</v>
      </c>
    </row>
    <row r="868" spans="1:9" hidden="1" outlineLevel="1">
      <c r="A868" s="1002" t="s">
        <v>1599</v>
      </c>
      <c r="B868" s="452">
        <v>854794.75</v>
      </c>
      <c r="C868" s="95">
        <v>0</v>
      </c>
      <c r="D868" s="95">
        <v>0</v>
      </c>
      <c r="E868" s="95">
        <v>854794.75</v>
      </c>
      <c r="F868" s="95">
        <v>0</v>
      </c>
      <c r="G868" s="1001">
        <f t="shared" si="30"/>
        <v>854794.75</v>
      </c>
      <c r="I868" t="s">
        <v>1600</v>
      </c>
    </row>
    <row r="869" spans="1:9" hidden="1" outlineLevel="1">
      <c r="A869" s="1002" t="s">
        <v>1601</v>
      </c>
      <c r="B869" s="452">
        <v>1286254.45</v>
      </c>
      <c r="C869" s="95">
        <v>0</v>
      </c>
      <c r="D869" s="95">
        <v>0</v>
      </c>
      <c r="E869" s="95">
        <v>1286254.45</v>
      </c>
      <c r="F869" s="95">
        <v>84214.150000000009</v>
      </c>
      <c r="G869" s="1001">
        <f t="shared" si="30"/>
        <v>1370468.5999999999</v>
      </c>
      <c r="I869" t="s">
        <v>1602</v>
      </c>
    </row>
    <row r="870" spans="1:9" hidden="1" outlineLevel="1">
      <c r="A870" s="1002" t="s">
        <v>1603</v>
      </c>
      <c r="B870" s="452">
        <v>892025.44</v>
      </c>
      <c r="C870" s="95">
        <v>0</v>
      </c>
      <c r="D870" s="95">
        <v>0</v>
      </c>
      <c r="E870" s="95">
        <v>892025.44</v>
      </c>
      <c r="F870" s="95">
        <v>0</v>
      </c>
      <c r="G870" s="1001">
        <f t="shared" si="30"/>
        <v>892025.44</v>
      </c>
      <c r="I870" t="s">
        <v>1604</v>
      </c>
    </row>
    <row r="871" spans="1:9" hidden="1" outlineLevel="1">
      <c r="A871" s="1002" t="s">
        <v>1605</v>
      </c>
      <c r="B871" s="452">
        <v>351960.82</v>
      </c>
      <c r="C871" s="95">
        <v>0</v>
      </c>
      <c r="D871" s="95">
        <v>0</v>
      </c>
      <c r="E871" s="95">
        <v>351960.82</v>
      </c>
      <c r="F871" s="95">
        <v>120.83000000000001</v>
      </c>
      <c r="G871" s="1001">
        <f t="shared" si="30"/>
        <v>352081.65</v>
      </c>
      <c r="I871" t="s">
        <v>1606</v>
      </c>
    </row>
    <row r="872" spans="1:9" hidden="1" outlineLevel="1">
      <c r="A872" s="1002" t="s">
        <v>1607</v>
      </c>
      <c r="B872" s="452">
        <v>1332292.58</v>
      </c>
      <c r="C872" s="95">
        <v>0</v>
      </c>
      <c r="D872" s="95">
        <v>0</v>
      </c>
      <c r="E872" s="95">
        <v>1332292.58</v>
      </c>
      <c r="F872" s="95">
        <v>0</v>
      </c>
      <c r="G872" s="1001">
        <f t="shared" si="30"/>
        <v>1332292.58</v>
      </c>
      <c r="I872" t="s">
        <v>1608</v>
      </c>
    </row>
    <row r="873" spans="1:9" hidden="1" outlineLevel="1">
      <c r="A873" s="1002" t="s">
        <v>1609</v>
      </c>
      <c r="B873" s="452">
        <v>1419016.16</v>
      </c>
      <c r="C873" s="95">
        <v>0</v>
      </c>
      <c r="D873" s="95">
        <v>0</v>
      </c>
      <c r="E873" s="95">
        <v>1419016.16</v>
      </c>
      <c r="F873" s="95">
        <v>-9218.31</v>
      </c>
      <c r="G873" s="1001">
        <f t="shared" si="30"/>
        <v>1409797.8499999999</v>
      </c>
      <c r="I873" t="s">
        <v>1610</v>
      </c>
    </row>
    <row r="874" spans="1:9" hidden="1" outlineLevel="1">
      <c r="A874" s="1002" t="s">
        <v>1611</v>
      </c>
      <c r="B874" s="452">
        <v>918605.31</v>
      </c>
      <c r="C874" s="95">
        <v>0</v>
      </c>
      <c r="D874" s="95">
        <v>0</v>
      </c>
      <c r="E874" s="95">
        <v>918605.31</v>
      </c>
      <c r="F874" s="95">
        <v>-2508.5</v>
      </c>
      <c r="G874" s="1001">
        <f t="shared" si="30"/>
        <v>916096.81</v>
      </c>
      <c r="I874" t="s">
        <v>1612</v>
      </c>
    </row>
    <row r="875" spans="1:9" hidden="1" outlineLevel="1">
      <c r="A875" s="1002" t="s">
        <v>1613</v>
      </c>
      <c r="B875" s="452">
        <v>365843.78</v>
      </c>
      <c r="C875" s="95">
        <v>0</v>
      </c>
      <c r="D875" s="95">
        <v>0</v>
      </c>
      <c r="E875" s="95">
        <v>365843.78</v>
      </c>
      <c r="F875" s="95">
        <v>-1163.8</v>
      </c>
      <c r="G875" s="1001">
        <f t="shared" si="30"/>
        <v>364679.98000000004</v>
      </c>
      <c r="I875" t="s">
        <v>1614</v>
      </c>
    </row>
    <row r="876" spans="1:9" hidden="1" outlineLevel="1">
      <c r="A876" s="1002" t="s">
        <v>1615</v>
      </c>
      <c r="B876" s="452">
        <v>725673.37</v>
      </c>
      <c r="C876" s="95">
        <v>0</v>
      </c>
      <c r="D876" s="95">
        <v>0</v>
      </c>
      <c r="E876" s="95">
        <v>725673.37</v>
      </c>
      <c r="F876" s="95">
        <v>0</v>
      </c>
      <c r="G876" s="1001">
        <f t="shared" si="30"/>
        <v>725673.37</v>
      </c>
      <c r="I876" t="s">
        <v>1616</v>
      </c>
    </row>
    <row r="877" spans="1:9" hidden="1" outlineLevel="1">
      <c r="A877" s="1002" t="s">
        <v>1617</v>
      </c>
      <c r="B877" s="452">
        <v>220729.37</v>
      </c>
      <c r="C877" s="95">
        <v>0</v>
      </c>
      <c r="D877" s="95">
        <v>0</v>
      </c>
      <c r="E877" s="95">
        <v>220729.37</v>
      </c>
      <c r="F877" s="95">
        <v>0</v>
      </c>
      <c r="G877" s="1001">
        <f t="shared" si="30"/>
        <v>220729.37</v>
      </c>
      <c r="I877" t="s">
        <v>1618</v>
      </c>
    </row>
    <row r="878" spans="1:9" hidden="1" outlineLevel="1">
      <c r="A878" s="1002" t="s">
        <v>1619</v>
      </c>
      <c r="B878" s="452">
        <v>1064759.2</v>
      </c>
      <c r="C878" s="95">
        <v>0</v>
      </c>
      <c r="D878" s="95">
        <v>0</v>
      </c>
      <c r="E878" s="95">
        <v>1064759.2</v>
      </c>
      <c r="F878" s="95">
        <v>0</v>
      </c>
      <c r="G878" s="1001">
        <f t="shared" si="30"/>
        <v>1064759.2</v>
      </c>
      <c r="I878" t="s">
        <v>1620</v>
      </c>
    </row>
    <row r="879" spans="1:9" hidden="1" outlineLevel="1">
      <c r="A879" s="1002" t="s">
        <v>1621</v>
      </c>
      <c r="B879" s="452">
        <v>832007.04</v>
      </c>
      <c r="C879" s="95">
        <v>0</v>
      </c>
      <c r="D879" s="95">
        <v>0</v>
      </c>
      <c r="E879" s="95">
        <v>832007.04</v>
      </c>
      <c r="F879" s="95">
        <v>-592.92000000000007</v>
      </c>
      <c r="G879" s="1001">
        <f t="shared" si="30"/>
        <v>831414.12</v>
      </c>
      <c r="I879" t="s">
        <v>1622</v>
      </c>
    </row>
    <row r="880" spans="1:9" hidden="1" outlineLevel="1">
      <c r="A880" s="1002" t="s">
        <v>1623</v>
      </c>
      <c r="B880" s="452">
        <v>629265.05000000005</v>
      </c>
      <c r="C880" s="95">
        <v>0</v>
      </c>
      <c r="D880" s="95">
        <v>0</v>
      </c>
      <c r="E880" s="95">
        <v>629265.05000000005</v>
      </c>
      <c r="F880" s="95">
        <v>-3090.36</v>
      </c>
      <c r="G880" s="1001">
        <f t="shared" si="30"/>
        <v>626174.69000000006</v>
      </c>
      <c r="I880" t="s">
        <v>1624</v>
      </c>
    </row>
    <row r="881" spans="1:9" hidden="1" outlineLevel="1">
      <c r="A881" s="1002" t="s">
        <v>1625</v>
      </c>
      <c r="B881" s="452">
        <v>155283.28</v>
      </c>
      <c r="C881" s="95">
        <v>0</v>
      </c>
      <c r="D881" s="95">
        <v>0</v>
      </c>
      <c r="E881" s="95">
        <v>155283.28</v>
      </c>
      <c r="F881" s="95">
        <v>-502.55</v>
      </c>
      <c r="G881" s="1001">
        <f t="shared" si="30"/>
        <v>154780.73000000001</v>
      </c>
      <c r="I881" t="s">
        <v>1626</v>
      </c>
    </row>
    <row r="882" spans="1:9" hidden="1" outlineLevel="1">
      <c r="A882" s="1002" t="s">
        <v>1627</v>
      </c>
      <c r="B882" s="452">
        <v>241392.82</v>
      </c>
      <c r="C882" s="95">
        <v>0</v>
      </c>
      <c r="D882" s="95">
        <v>0</v>
      </c>
      <c r="E882" s="95">
        <v>241392.82</v>
      </c>
      <c r="F882" s="95">
        <v>0</v>
      </c>
      <c r="G882" s="1001">
        <f t="shared" si="30"/>
        <v>241392.82</v>
      </c>
      <c r="I882" t="s">
        <v>1628</v>
      </c>
    </row>
    <row r="883" spans="1:9" hidden="1" outlineLevel="1">
      <c r="A883" s="1002" t="s">
        <v>1629</v>
      </c>
      <c r="B883" s="452">
        <v>5060063.9400000004</v>
      </c>
      <c r="C883" s="95">
        <v>0</v>
      </c>
      <c r="D883" s="95">
        <v>0</v>
      </c>
      <c r="E883" s="95">
        <v>5060063.9400000004</v>
      </c>
      <c r="F883" s="95">
        <v>-14121.989999999998</v>
      </c>
      <c r="G883" s="1001">
        <f t="shared" si="30"/>
        <v>5045941.95</v>
      </c>
      <c r="I883" t="s">
        <v>1630</v>
      </c>
    </row>
    <row r="884" spans="1:9" hidden="1" outlineLevel="1">
      <c r="A884" s="1002" t="s">
        <v>1631</v>
      </c>
      <c r="B884" s="452">
        <v>522118.36</v>
      </c>
      <c r="C884" s="95">
        <v>0</v>
      </c>
      <c r="D884" s="95">
        <v>0</v>
      </c>
      <c r="E884" s="95">
        <v>522118.36</v>
      </c>
      <c r="F884" s="95">
        <v>1407.35</v>
      </c>
      <c r="G884" s="1001">
        <f t="shared" si="30"/>
        <v>523525.70999999996</v>
      </c>
      <c r="I884" t="s">
        <v>1632</v>
      </c>
    </row>
    <row r="885" spans="1:9" hidden="1" outlineLevel="1">
      <c r="A885" s="1002" t="s">
        <v>1633</v>
      </c>
      <c r="B885" s="452">
        <v>8324922.4199999999</v>
      </c>
      <c r="C885" s="95">
        <v>0</v>
      </c>
      <c r="D885" s="95">
        <v>0</v>
      </c>
      <c r="E885" s="95">
        <v>8324922.4199999999</v>
      </c>
      <c r="F885" s="95">
        <v>-61636.740000000005</v>
      </c>
      <c r="G885" s="1001">
        <f t="shared" si="30"/>
        <v>8263285.6799999997</v>
      </c>
      <c r="I885" t="s">
        <v>1634</v>
      </c>
    </row>
    <row r="886" spans="1:9" hidden="1" outlineLevel="1">
      <c r="A886" s="1002" t="s">
        <v>1635</v>
      </c>
      <c r="B886" s="452">
        <v>1675016.66</v>
      </c>
      <c r="C886" s="95">
        <v>0</v>
      </c>
      <c r="D886" s="95">
        <v>0</v>
      </c>
      <c r="E886" s="95">
        <v>1675016.66</v>
      </c>
      <c r="F886" s="95">
        <v>437.45</v>
      </c>
      <c r="G886" s="1001">
        <f t="shared" si="30"/>
        <v>1675454.1099999999</v>
      </c>
      <c r="I886" t="s">
        <v>1636</v>
      </c>
    </row>
    <row r="887" spans="1:9" hidden="1" outlineLevel="1">
      <c r="A887" s="1002" t="s">
        <v>1637</v>
      </c>
      <c r="B887" s="452">
        <v>914909.5</v>
      </c>
      <c r="C887" s="95">
        <v>0</v>
      </c>
      <c r="D887" s="95">
        <v>0</v>
      </c>
      <c r="E887" s="95">
        <v>914909.5</v>
      </c>
      <c r="F887" s="95">
        <v>1502.04</v>
      </c>
      <c r="G887" s="1001">
        <f t="shared" si="30"/>
        <v>916411.54</v>
      </c>
      <c r="I887" t="s">
        <v>1638</v>
      </c>
    </row>
    <row r="888" spans="1:9" hidden="1" outlineLevel="1">
      <c r="A888" s="1002" t="s">
        <v>767</v>
      </c>
      <c r="B888" s="452">
        <v>2510309.23</v>
      </c>
      <c r="C888" s="95">
        <v>0</v>
      </c>
      <c r="D888" s="95">
        <v>0</v>
      </c>
      <c r="E888" s="95">
        <v>2510309.23</v>
      </c>
      <c r="F888" s="95">
        <v>0</v>
      </c>
      <c r="G888" s="1001">
        <f t="shared" si="30"/>
        <v>2510309.23</v>
      </c>
      <c r="I888" t="s">
        <v>768</v>
      </c>
    </row>
    <row r="889" spans="1:9" hidden="1" outlineLevel="1">
      <c r="A889" s="1002" t="s">
        <v>1639</v>
      </c>
      <c r="B889" s="452">
        <v>252278.88</v>
      </c>
      <c r="C889" s="95">
        <v>0</v>
      </c>
      <c r="D889" s="95">
        <v>0</v>
      </c>
      <c r="E889" s="95">
        <v>252278.88</v>
      </c>
      <c r="F889" s="95">
        <v>0</v>
      </c>
      <c r="G889" s="1001">
        <f t="shared" si="30"/>
        <v>252278.88</v>
      </c>
      <c r="I889" t="s">
        <v>1640</v>
      </c>
    </row>
    <row r="890" spans="1:9" hidden="1" outlineLevel="1">
      <c r="A890" s="1002" t="s">
        <v>1641</v>
      </c>
      <c r="B890" s="452">
        <v>556010.26</v>
      </c>
      <c r="C890" s="95">
        <v>0</v>
      </c>
      <c r="D890" s="95">
        <v>0</v>
      </c>
      <c r="E890" s="95">
        <v>556010.26</v>
      </c>
      <c r="F890" s="95">
        <v>0</v>
      </c>
      <c r="G890" s="1001">
        <f t="shared" si="30"/>
        <v>556010.26</v>
      </c>
      <c r="I890" t="s">
        <v>1642</v>
      </c>
    </row>
    <row r="891" spans="1:9" hidden="1" outlineLevel="1">
      <c r="A891" s="1002" t="s">
        <v>1643</v>
      </c>
      <c r="B891" s="452">
        <v>752261.48</v>
      </c>
      <c r="C891" s="95">
        <v>0</v>
      </c>
      <c r="D891" s="95">
        <v>0</v>
      </c>
      <c r="E891" s="95">
        <v>752261.48</v>
      </c>
      <c r="F891" s="95">
        <v>0</v>
      </c>
      <c r="G891" s="1001">
        <f t="shared" si="30"/>
        <v>752261.48</v>
      </c>
      <c r="I891" t="s">
        <v>1644</v>
      </c>
    </row>
    <row r="892" spans="1:9" hidden="1" outlineLevel="1">
      <c r="A892" s="1002" t="s">
        <v>1645</v>
      </c>
      <c r="B892" s="452">
        <v>347200.02</v>
      </c>
      <c r="C892" s="95">
        <v>0</v>
      </c>
      <c r="D892" s="95">
        <v>0</v>
      </c>
      <c r="E892" s="95">
        <v>347200.02</v>
      </c>
      <c r="F892" s="95">
        <v>-1748.79</v>
      </c>
      <c r="G892" s="1001">
        <f t="shared" si="30"/>
        <v>345451.23000000004</v>
      </c>
      <c r="I892" t="s">
        <v>1646</v>
      </c>
    </row>
    <row r="893" spans="1:9" hidden="1" outlineLevel="1">
      <c r="A893" s="1002" t="s">
        <v>1647</v>
      </c>
      <c r="B893" s="452">
        <v>535736.27</v>
      </c>
      <c r="C893" s="95">
        <v>0</v>
      </c>
      <c r="D893" s="95">
        <v>0</v>
      </c>
      <c r="E893" s="95">
        <v>535736.27</v>
      </c>
      <c r="F893" s="95">
        <v>-1871.61</v>
      </c>
      <c r="G893" s="1001">
        <f t="shared" si="30"/>
        <v>533864.66</v>
      </c>
      <c r="I893" t="s">
        <v>1648</v>
      </c>
    </row>
    <row r="894" spans="1:9" hidden="1" outlineLevel="1">
      <c r="A894" s="1002" t="s">
        <v>1649</v>
      </c>
      <c r="B894" s="452">
        <v>170103.67</v>
      </c>
      <c r="C894" s="95">
        <v>0</v>
      </c>
      <c r="D894" s="95">
        <v>0</v>
      </c>
      <c r="E894" s="95">
        <v>170103.67</v>
      </c>
      <c r="F894" s="95">
        <v>-143.38</v>
      </c>
      <c r="G894" s="1001">
        <f t="shared" si="30"/>
        <v>169960.29</v>
      </c>
      <c r="I894" t="s">
        <v>1650</v>
      </c>
    </row>
    <row r="895" spans="1:9" hidden="1" outlineLevel="1">
      <c r="A895" s="1002" t="s">
        <v>1651</v>
      </c>
      <c r="B895" s="452">
        <v>843554.65</v>
      </c>
      <c r="C895" s="95">
        <v>0</v>
      </c>
      <c r="D895" s="95">
        <v>0</v>
      </c>
      <c r="E895" s="95">
        <v>843554.65</v>
      </c>
      <c r="F895" s="95">
        <v>12128.640000000001</v>
      </c>
      <c r="G895" s="1001">
        <f t="shared" si="30"/>
        <v>855683.29</v>
      </c>
      <c r="I895" t="s">
        <v>1652</v>
      </c>
    </row>
    <row r="896" spans="1:9" hidden="1" outlineLevel="1">
      <c r="A896" s="1002" t="s">
        <v>1653</v>
      </c>
      <c r="B896" s="452">
        <v>356537.71</v>
      </c>
      <c r="C896" s="95">
        <v>0</v>
      </c>
      <c r="D896" s="95">
        <v>0</v>
      </c>
      <c r="E896" s="95">
        <v>356537.71</v>
      </c>
      <c r="F896" s="95">
        <v>0</v>
      </c>
      <c r="G896" s="1001">
        <f t="shared" si="30"/>
        <v>356537.71</v>
      </c>
      <c r="I896" t="s">
        <v>1654</v>
      </c>
    </row>
    <row r="897" spans="1:9" hidden="1" outlineLevel="1">
      <c r="A897" s="1002" t="s">
        <v>1655</v>
      </c>
      <c r="B897" s="452">
        <v>701866.9</v>
      </c>
      <c r="C897" s="95">
        <v>0</v>
      </c>
      <c r="D897" s="95">
        <v>0</v>
      </c>
      <c r="E897" s="95">
        <v>701866.9</v>
      </c>
      <c r="F897" s="95">
        <v>17704.28</v>
      </c>
      <c r="G897" s="1001">
        <f t="shared" si="30"/>
        <v>719571.18</v>
      </c>
      <c r="I897" t="s">
        <v>1656</v>
      </c>
    </row>
    <row r="898" spans="1:9" hidden="1" outlineLevel="1">
      <c r="A898" s="1002" t="s">
        <v>1657</v>
      </c>
      <c r="B898" s="452">
        <v>1012067.11</v>
      </c>
      <c r="C898" s="95">
        <v>0</v>
      </c>
      <c r="D898" s="95">
        <v>0</v>
      </c>
      <c r="E898" s="95">
        <v>1012067.11</v>
      </c>
      <c r="F898" s="95">
        <v>1547.63</v>
      </c>
      <c r="G898" s="1001">
        <f t="shared" si="30"/>
        <v>1013614.74</v>
      </c>
      <c r="I898" t="s">
        <v>1658</v>
      </c>
    </row>
    <row r="899" spans="1:9" hidden="1" outlineLevel="1">
      <c r="A899" s="1002" t="s">
        <v>1659</v>
      </c>
      <c r="B899" s="452">
        <v>608087.56000000006</v>
      </c>
      <c r="C899" s="95">
        <v>0</v>
      </c>
      <c r="D899" s="95">
        <v>0</v>
      </c>
      <c r="E899" s="95">
        <v>608087.56000000006</v>
      </c>
      <c r="F899" s="95">
        <v>-25337</v>
      </c>
      <c r="G899" s="1001">
        <f t="shared" si="30"/>
        <v>582750.56000000006</v>
      </c>
      <c r="I899" t="s">
        <v>1660</v>
      </c>
    </row>
    <row r="900" spans="1:9" hidden="1" outlineLevel="1">
      <c r="A900" s="1002" t="s">
        <v>1661</v>
      </c>
      <c r="B900" s="452">
        <v>962787.3</v>
      </c>
      <c r="C900" s="95">
        <v>0</v>
      </c>
      <c r="D900" s="95">
        <v>0</v>
      </c>
      <c r="E900" s="95">
        <v>962787.3</v>
      </c>
      <c r="F900" s="95">
        <v>0</v>
      </c>
      <c r="G900" s="1001">
        <f t="shared" si="30"/>
        <v>962787.3</v>
      </c>
      <c r="I900" t="s">
        <v>1662</v>
      </c>
    </row>
    <row r="901" spans="1:9" hidden="1" outlineLevel="1">
      <c r="A901" s="1002" t="s">
        <v>1663</v>
      </c>
      <c r="B901" s="452">
        <v>2020169.01</v>
      </c>
      <c r="C901" s="95">
        <v>0</v>
      </c>
      <c r="D901" s="95">
        <v>0</v>
      </c>
      <c r="E901" s="95">
        <v>2020169.01</v>
      </c>
      <c r="F901" s="95">
        <v>0</v>
      </c>
      <c r="G901" s="1001">
        <f t="shared" si="30"/>
        <v>2020169.01</v>
      </c>
      <c r="I901" t="s">
        <v>1664</v>
      </c>
    </row>
    <row r="902" spans="1:9" hidden="1" outlineLevel="1">
      <c r="A902" s="1002" t="s">
        <v>789</v>
      </c>
      <c r="B902" s="452">
        <v>1598006.26</v>
      </c>
      <c r="C902" s="95">
        <v>0</v>
      </c>
      <c r="D902" s="95">
        <v>21886.080000000002</v>
      </c>
      <c r="E902" s="95">
        <v>1619892.34</v>
      </c>
      <c r="F902" s="95">
        <v>-3988.1600000000003</v>
      </c>
      <c r="G902" s="1001">
        <f t="shared" si="30"/>
        <v>1615904.1800000002</v>
      </c>
      <c r="I902" t="s">
        <v>790</v>
      </c>
    </row>
    <row r="903" spans="1:9" hidden="1" outlineLevel="1">
      <c r="A903" s="1002" t="s">
        <v>1665</v>
      </c>
      <c r="B903" s="452">
        <v>475629.69</v>
      </c>
      <c r="C903" s="95">
        <v>0</v>
      </c>
      <c r="D903" s="95">
        <v>0</v>
      </c>
      <c r="E903" s="95">
        <v>475629.69</v>
      </c>
      <c r="F903" s="95">
        <v>0</v>
      </c>
      <c r="G903" s="1001">
        <f t="shared" si="30"/>
        <v>475629.69</v>
      </c>
      <c r="I903" t="s">
        <v>1666</v>
      </c>
    </row>
    <row r="904" spans="1:9" hidden="1" outlineLevel="1">
      <c r="A904" s="1002" t="s">
        <v>1667</v>
      </c>
      <c r="B904" s="452">
        <v>1388934.52</v>
      </c>
      <c r="C904" s="95">
        <v>0</v>
      </c>
      <c r="D904" s="95">
        <v>0</v>
      </c>
      <c r="E904" s="95">
        <v>1388934.52</v>
      </c>
      <c r="F904" s="95">
        <v>0</v>
      </c>
      <c r="G904" s="1001">
        <f t="shared" si="30"/>
        <v>1388934.52</v>
      </c>
      <c r="I904" t="s">
        <v>1668</v>
      </c>
    </row>
    <row r="905" spans="1:9" hidden="1" outlineLevel="1">
      <c r="A905" s="1002" t="s">
        <v>1669</v>
      </c>
      <c r="B905" s="452">
        <v>426619.58</v>
      </c>
      <c r="C905" s="95">
        <v>0</v>
      </c>
      <c r="D905" s="95">
        <v>0</v>
      </c>
      <c r="E905" s="95">
        <v>426619.58</v>
      </c>
      <c r="F905" s="95">
        <v>0</v>
      </c>
      <c r="G905" s="1001">
        <f t="shared" si="30"/>
        <v>426619.58</v>
      </c>
      <c r="I905" t="s">
        <v>1670</v>
      </c>
    </row>
    <row r="906" spans="1:9" hidden="1" outlineLevel="1">
      <c r="A906" s="1002" t="s">
        <v>1671</v>
      </c>
      <c r="B906" s="452">
        <v>2846043.56</v>
      </c>
      <c r="C906" s="95">
        <v>-317.2</v>
      </c>
      <c r="D906" s="95">
        <v>0</v>
      </c>
      <c r="E906" s="95">
        <v>2845726.36</v>
      </c>
      <c r="F906" s="95">
        <v>0</v>
      </c>
      <c r="G906" s="1001">
        <f t="shared" si="30"/>
        <v>2845726.36</v>
      </c>
      <c r="I906" t="s">
        <v>1672</v>
      </c>
    </row>
    <row r="907" spans="1:9" hidden="1" outlineLevel="1">
      <c r="A907" s="1002" t="s">
        <v>1673</v>
      </c>
      <c r="B907" s="452">
        <v>1379415.64</v>
      </c>
      <c r="C907" s="95">
        <v>0</v>
      </c>
      <c r="D907" s="95">
        <v>0</v>
      </c>
      <c r="E907" s="95">
        <v>1379415.64</v>
      </c>
      <c r="F907" s="95">
        <v>-8184.9600000000009</v>
      </c>
      <c r="G907" s="1001">
        <f t="shared" si="30"/>
        <v>1371230.68</v>
      </c>
      <c r="I907" t="s">
        <v>1674</v>
      </c>
    </row>
    <row r="908" spans="1:9" hidden="1" outlineLevel="1">
      <c r="A908" s="1002" t="s">
        <v>543</v>
      </c>
      <c r="B908" s="452">
        <v>5466346.8899999997</v>
      </c>
      <c r="C908" s="95">
        <v>0</v>
      </c>
      <c r="D908" s="95">
        <v>0</v>
      </c>
      <c r="E908" s="95">
        <v>5466346.8899999997</v>
      </c>
      <c r="F908" s="95">
        <v>0</v>
      </c>
      <c r="G908" s="1001">
        <f t="shared" si="30"/>
        <v>5466346.8899999997</v>
      </c>
      <c r="I908" t="s">
        <v>544</v>
      </c>
    </row>
    <row r="909" spans="1:9" hidden="1" outlineLevel="1">
      <c r="A909" s="1002" t="s">
        <v>1675</v>
      </c>
      <c r="B909" s="452">
        <v>627373.56000000006</v>
      </c>
      <c r="C909" s="95">
        <v>0</v>
      </c>
      <c r="D909" s="95">
        <v>0</v>
      </c>
      <c r="E909" s="95">
        <v>627373.56000000006</v>
      </c>
      <c r="F909" s="95">
        <v>0</v>
      </c>
      <c r="G909" s="1001">
        <f t="shared" si="30"/>
        <v>627373.56000000006</v>
      </c>
      <c r="I909" t="s">
        <v>1676</v>
      </c>
    </row>
    <row r="910" spans="1:9" hidden="1" outlineLevel="1">
      <c r="A910" s="1002" t="s">
        <v>1677</v>
      </c>
      <c r="B910" s="452">
        <v>2363642.84</v>
      </c>
      <c r="C910" s="95">
        <v>0</v>
      </c>
      <c r="D910" s="95">
        <v>0</v>
      </c>
      <c r="E910" s="95">
        <v>2363642.84</v>
      </c>
      <c r="F910" s="95">
        <v>-3107.86</v>
      </c>
      <c r="G910" s="1001">
        <f t="shared" si="30"/>
        <v>2360534.98</v>
      </c>
      <c r="I910" t="s">
        <v>1678</v>
      </c>
    </row>
    <row r="911" spans="1:9" hidden="1" outlineLevel="1">
      <c r="A911" s="1002" t="s">
        <v>1679</v>
      </c>
      <c r="B911" s="452">
        <v>563403.41</v>
      </c>
      <c r="C911" s="95">
        <v>0</v>
      </c>
      <c r="D911" s="95">
        <v>0</v>
      </c>
      <c r="E911" s="95">
        <v>563403.41</v>
      </c>
      <c r="F911" s="95">
        <v>0</v>
      </c>
      <c r="G911" s="1001">
        <f t="shared" si="30"/>
        <v>563403.41</v>
      </c>
      <c r="I911" t="s">
        <v>1680</v>
      </c>
    </row>
    <row r="912" spans="1:9" hidden="1" outlineLevel="1">
      <c r="A912" s="1002" t="s">
        <v>1681</v>
      </c>
      <c r="B912" s="452">
        <v>553623.09</v>
      </c>
      <c r="C912" s="95">
        <v>0</v>
      </c>
      <c r="D912" s="95">
        <v>0</v>
      </c>
      <c r="E912" s="95">
        <v>553623.09</v>
      </c>
      <c r="F912" s="95">
        <v>0</v>
      </c>
      <c r="G912" s="1001">
        <f t="shared" si="30"/>
        <v>553623.09</v>
      </c>
      <c r="I912" t="s">
        <v>1682</v>
      </c>
    </row>
    <row r="913" spans="1:9" hidden="1" outlineLevel="1">
      <c r="A913" s="1002" t="s">
        <v>1683</v>
      </c>
      <c r="B913" s="452">
        <v>389538.63</v>
      </c>
      <c r="C913" s="95">
        <v>0</v>
      </c>
      <c r="D913" s="95">
        <v>0</v>
      </c>
      <c r="E913" s="95">
        <v>389538.63</v>
      </c>
      <c r="F913" s="95">
        <v>1876.02</v>
      </c>
      <c r="G913" s="1001">
        <f t="shared" si="30"/>
        <v>391414.65</v>
      </c>
      <c r="I913" t="s">
        <v>1684</v>
      </c>
    </row>
    <row r="914" spans="1:9" hidden="1" outlineLevel="1">
      <c r="A914" s="1002" t="s">
        <v>1685</v>
      </c>
      <c r="B914" s="452">
        <v>381160.03</v>
      </c>
      <c r="C914" s="95">
        <v>0</v>
      </c>
      <c r="D914" s="95">
        <v>0</v>
      </c>
      <c r="E914" s="95">
        <v>381160.03</v>
      </c>
      <c r="F914" s="95">
        <v>0</v>
      </c>
      <c r="G914" s="1001">
        <f t="shared" si="30"/>
        <v>381160.03</v>
      </c>
      <c r="I914" t="s">
        <v>1686</v>
      </c>
    </row>
    <row r="915" spans="1:9" hidden="1" outlineLevel="1">
      <c r="A915" s="1002" t="s">
        <v>1687</v>
      </c>
      <c r="B915" s="452">
        <v>1186128.45</v>
      </c>
      <c r="C915" s="95">
        <v>0</v>
      </c>
      <c r="D915" s="95">
        <v>0</v>
      </c>
      <c r="E915" s="95">
        <v>1186128.45</v>
      </c>
      <c r="F915" s="95">
        <v>5674.83</v>
      </c>
      <c r="G915" s="1001">
        <f t="shared" si="30"/>
        <v>1191803.28</v>
      </c>
      <c r="I915" t="s">
        <v>1688</v>
      </c>
    </row>
    <row r="916" spans="1:9" hidden="1" outlineLevel="1">
      <c r="A916" s="1002" t="s">
        <v>1132</v>
      </c>
      <c r="B916" s="452">
        <v>889123.75</v>
      </c>
      <c r="C916" s="95">
        <v>0</v>
      </c>
      <c r="D916" s="95">
        <v>0</v>
      </c>
      <c r="E916" s="95">
        <v>889123.75</v>
      </c>
      <c r="F916" s="95">
        <v>0</v>
      </c>
      <c r="G916" s="1001">
        <f t="shared" si="30"/>
        <v>889123.75</v>
      </c>
      <c r="I916" t="s">
        <v>1133</v>
      </c>
    </row>
    <row r="917" spans="1:9" hidden="1" outlineLevel="1">
      <c r="A917" s="1002" t="s">
        <v>1689</v>
      </c>
      <c r="B917" s="452">
        <v>629521.32999999996</v>
      </c>
      <c r="C917" s="95">
        <v>0</v>
      </c>
      <c r="D917" s="95">
        <v>0</v>
      </c>
      <c r="E917" s="95">
        <v>629521.32999999996</v>
      </c>
      <c r="F917" s="95">
        <v>230.84000000000003</v>
      </c>
      <c r="G917" s="1001">
        <f t="shared" si="30"/>
        <v>629752.16999999993</v>
      </c>
      <c r="I917" t="s">
        <v>1690</v>
      </c>
    </row>
    <row r="918" spans="1:9" hidden="1" outlineLevel="1">
      <c r="A918" s="1002" t="s">
        <v>1691</v>
      </c>
      <c r="B918" s="452">
        <v>658212.07999999996</v>
      </c>
      <c r="C918" s="95">
        <v>0</v>
      </c>
      <c r="D918" s="95">
        <v>0</v>
      </c>
      <c r="E918" s="95">
        <v>658212.07999999996</v>
      </c>
      <c r="F918" s="95">
        <v>3142.94</v>
      </c>
      <c r="G918" s="1001">
        <f t="shared" si="30"/>
        <v>661355.0199999999</v>
      </c>
      <c r="I918" t="s">
        <v>1692</v>
      </c>
    </row>
    <row r="919" spans="1:9" hidden="1" outlineLevel="1">
      <c r="A919" s="1002" t="s">
        <v>1693</v>
      </c>
      <c r="B919" s="452">
        <v>240178.23</v>
      </c>
      <c r="C919" s="95">
        <v>0</v>
      </c>
      <c r="D919" s="95">
        <v>0</v>
      </c>
      <c r="E919" s="95">
        <v>240178.23</v>
      </c>
      <c r="F919" s="95">
        <v>0</v>
      </c>
      <c r="G919" s="1001">
        <f t="shared" si="30"/>
        <v>240178.23</v>
      </c>
      <c r="I919" t="s">
        <v>1694</v>
      </c>
    </row>
    <row r="920" spans="1:9" hidden="1" outlineLevel="1">
      <c r="A920" s="1002" t="s">
        <v>1695</v>
      </c>
      <c r="B920" s="452">
        <v>18528327.190000001</v>
      </c>
      <c r="C920" s="95">
        <v>0</v>
      </c>
      <c r="D920" s="95">
        <v>0</v>
      </c>
      <c r="E920" s="95">
        <v>18528327.190000001</v>
      </c>
      <c r="F920" s="95">
        <v>120987.34999999999</v>
      </c>
      <c r="G920" s="1001">
        <f t="shared" si="30"/>
        <v>18649314.540000003</v>
      </c>
      <c r="I920" t="s">
        <v>1696</v>
      </c>
    </row>
    <row r="921" spans="1:9" hidden="1" outlineLevel="1">
      <c r="A921" s="1002" t="s">
        <v>1697</v>
      </c>
      <c r="B921" s="452">
        <v>937083.9</v>
      </c>
      <c r="C921" s="95">
        <v>0</v>
      </c>
      <c r="D921" s="95">
        <v>0</v>
      </c>
      <c r="E921" s="95">
        <v>937083.9</v>
      </c>
      <c r="F921" s="95">
        <v>0</v>
      </c>
      <c r="G921" s="1001">
        <f t="shared" si="30"/>
        <v>937083.9</v>
      </c>
      <c r="I921" t="s">
        <v>1698</v>
      </c>
    </row>
    <row r="922" spans="1:9" hidden="1" outlineLevel="1">
      <c r="A922" s="1002" t="s">
        <v>1699</v>
      </c>
      <c r="B922" s="452">
        <v>3760672.93</v>
      </c>
      <c r="C922" s="95">
        <v>0</v>
      </c>
      <c r="D922" s="95">
        <v>0</v>
      </c>
      <c r="E922" s="95">
        <v>3760672.93</v>
      </c>
      <c r="F922" s="95">
        <v>-34061.399999999994</v>
      </c>
      <c r="G922" s="1001">
        <f t="shared" si="30"/>
        <v>3726611.5300000003</v>
      </c>
      <c r="I922" t="s">
        <v>1700</v>
      </c>
    </row>
    <row r="923" spans="1:9" hidden="1" outlineLevel="1">
      <c r="A923" s="1002" t="s">
        <v>449</v>
      </c>
      <c r="B923" s="452">
        <v>1855745.33</v>
      </c>
      <c r="C923" s="95">
        <v>0</v>
      </c>
      <c r="D923" s="95">
        <v>0</v>
      </c>
      <c r="E923" s="95">
        <v>1855745.33</v>
      </c>
      <c r="F923" s="95">
        <v>16238.54</v>
      </c>
      <c r="G923" s="1001">
        <f t="shared" si="30"/>
        <v>1871983.87</v>
      </c>
      <c r="I923" t="s">
        <v>450</v>
      </c>
    </row>
    <row r="924" spans="1:9" hidden="1" outlineLevel="1">
      <c r="A924" s="1002" t="s">
        <v>1701</v>
      </c>
      <c r="B924" s="452">
        <v>28165.58</v>
      </c>
      <c r="C924" s="95">
        <v>0</v>
      </c>
      <c r="D924" s="95">
        <v>0</v>
      </c>
      <c r="E924" s="95">
        <v>28165.58</v>
      </c>
      <c r="F924" s="95">
        <v>0</v>
      </c>
      <c r="G924" s="1001">
        <f t="shared" ref="G924:G932" si="31">E924+F924</f>
        <v>28165.58</v>
      </c>
      <c r="I924" t="s">
        <v>1702</v>
      </c>
    </row>
    <row r="925" spans="1:9" hidden="1" outlineLevel="1">
      <c r="A925" s="1002" t="s">
        <v>837</v>
      </c>
      <c r="B925" s="452">
        <v>1581737.17</v>
      </c>
      <c r="C925" s="95">
        <v>0</v>
      </c>
      <c r="D925" s="95">
        <v>0</v>
      </c>
      <c r="E925" s="95">
        <v>1581737.17</v>
      </c>
      <c r="F925" s="95">
        <v>0</v>
      </c>
      <c r="G925" s="1001">
        <f t="shared" si="31"/>
        <v>1581737.17</v>
      </c>
      <c r="I925" t="s">
        <v>838</v>
      </c>
    </row>
    <row r="926" spans="1:9" hidden="1" outlineLevel="1">
      <c r="A926" s="1002" t="s">
        <v>1703</v>
      </c>
      <c r="B926" s="452">
        <v>5860155.75</v>
      </c>
      <c r="C926" s="95">
        <v>-4174944.39</v>
      </c>
      <c r="D926" s="95">
        <v>0</v>
      </c>
      <c r="E926" s="95">
        <v>1685211.36</v>
      </c>
      <c r="F926" s="95">
        <v>0</v>
      </c>
      <c r="G926" s="1001">
        <f t="shared" si="31"/>
        <v>1685211.36</v>
      </c>
      <c r="I926" t="s">
        <v>1704</v>
      </c>
    </row>
    <row r="927" spans="1:9" hidden="1" outlineLevel="1">
      <c r="A927" s="1002" t="s">
        <v>1705</v>
      </c>
      <c r="B927" s="452">
        <v>2103762.62</v>
      </c>
      <c r="C927" s="95">
        <v>0</v>
      </c>
      <c r="D927" s="95">
        <v>0</v>
      </c>
      <c r="E927" s="95">
        <v>2103762.62</v>
      </c>
      <c r="F927" s="95">
        <v>12657.579999999998</v>
      </c>
      <c r="G927" s="1001">
        <f t="shared" si="31"/>
        <v>2116420.2000000002</v>
      </c>
      <c r="I927" t="s">
        <v>1706</v>
      </c>
    </row>
    <row r="928" spans="1:9" hidden="1" outlineLevel="1">
      <c r="A928" s="1002" t="s">
        <v>1707</v>
      </c>
      <c r="B928" s="452">
        <v>250807.99</v>
      </c>
      <c r="C928" s="95">
        <v>0</v>
      </c>
      <c r="D928" s="95">
        <v>0</v>
      </c>
      <c r="E928" s="95">
        <v>250807.99</v>
      </c>
      <c r="F928" s="95">
        <v>0</v>
      </c>
      <c r="G928" s="1001">
        <f t="shared" si="31"/>
        <v>250807.99</v>
      </c>
      <c r="I928" t="s">
        <v>1708</v>
      </c>
    </row>
    <row r="929" spans="1:9" hidden="1" outlineLevel="1">
      <c r="A929" s="1002" t="s">
        <v>1709</v>
      </c>
      <c r="B929" s="452">
        <v>10854487.279999999</v>
      </c>
      <c r="C929" s="95">
        <v>0</v>
      </c>
      <c r="D929" s="95">
        <v>0</v>
      </c>
      <c r="E929" s="95">
        <v>10854487.279999999</v>
      </c>
      <c r="F929" s="95">
        <v>-110936.18</v>
      </c>
      <c r="G929" s="1001">
        <f t="shared" si="31"/>
        <v>10743551.1</v>
      </c>
      <c r="I929" t="s">
        <v>1710</v>
      </c>
    </row>
    <row r="930" spans="1:9" hidden="1" outlineLevel="1">
      <c r="A930" s="1002" t="s">
        <v>1972</v>
      </c>
      <c r="B930" s="452">
        <v>28865.82</v>
      </c>
      <c r="C930" s="95">
        <v>0</v>
      </c>
      <c r="D930" s="95">
        <v>0</v>
      </c>
      <c r="E930" s="95">
        <v>28865.82</v>
      </c>
      <c r="F930" s="95">
        <v>0</v>
      </c>
      <c r="G930" s="1001">
        <f t="shared" si="31"/>
        <v>28865.82</v>
      </c>
      <c r="I930" t="s">
        <v>1973</v>
      </c>
    </row>
    <row r="931" spans="1:9" hidden="1" outlineLevel="1">
      <c r="A931" s="1002" t="s">
        <v>1711</v>
      </c>
      <c r="B931" s="452">
        <v>280327.34999999998</v>
      </c>
      <c r="C931" s="95">
        <v>0</v>
      </c>
      <c r="D931" s="95">
        <v>0</v>
      </c>
      <c r="E931" s="95">
        <v>280327.34999999998</v>
      </c>
      <c r="F931" s="95">
        <v>0</v>
      </c>
      <c r="G931" s="1001">
        <f t="shared" si="31"/>
        <v>280327.34999999998</v>
      </c>
      <c r="I931" t="s">
        <v>1712</v>
      </c>
    </row>
    <row r="932" spans="1:9" hidden="1" outlineLevel="1">
      <c r="A932" s="1002" t="s">
        <v>1713</v>
      </c>
      <c r="B932" s="452">
        <v>27881.71</v>
      </c>
      <c r="C932" s="95">
        <v>0</v>
      </c>
      <c r="D932" s="95">
        <v>0</v>
      </c>
      <c r="E932" s="95">
        <v>27881.71</v>
      </c>
      <c r="F932" s="95">
        <v>35.5</v>
      </c>
      <c r="G932" s="1001">
        <f t="shared" si="31"/>
        <v>27917.21</v>
      </c>
      <c r="I932" t="s">
        <v>1714</v>
      </c>
    </row>
    <row r="933" spans="1:9" ht="13.5" collapsed="1" thickBot="1">
      <c r="A933" s="996" t="s">
        <v>1715</v>
      </c>
      <c r="B933" s="1003">
        <f t="shared" ref="B933:G933" si="32">B8+B178+B413+B794</f>
        <v>2095855784.1747112</v>
      </c>
      <c r="C933" s="1004">
        <f t="shared" si="32"/>
        <v>-66922813.329999998</v>
      </c>
      <c r="D933" s="1004">
        <f t="shared" si="32"/>
        <v>34832.130000000005</v>
      </c>
      <c r="E933" s="1004">
        <f t="shared" si="32"/>
        <v>2028967802.9747114</v>
      </c>
      <c r="F933" s="1004">
        <f t="shared" si="32"/>
        <v>-1478697.9307382295</v>
      </c>
      <c r="G933" s="1005">
        <f t="shared" si="32"/>
        <v>2027489105.0439732</v>
      </c>
    </row>
    <row r="935" spans="1:9">
      <c r="A935" s="13" t="s">
        <v>2164</v>
      </c>
      <c r="B935" s="96"/>
      <c r="C935" s="96"/>
      <c r="D935" s="96"/>
    </row>
    <row r="936" spans="1:9" ht="13.5" thickBot="1">
      <c r="B936" s="96"/>
      <c r="C936" s="96"/>
      <c r="D936" s="96"/>
    </row>
    <row r="937" spans="1:9" ht="63.75">
      <c r="A937" s="982"/>
      <c r="B937" s="971" t="s">
        <v>2165</v>
      </c>
      <c r="C937" s="983" t="s">
        <v>2102</v>
      </c>
      <c r="D937" s="984" t="s">
        <v>2103</v>
      </c>
    </row>
    <row r="938" spans="1:9" s="8" customFormat="1" ht="13.5" thickBot="1">
      <c r="A938" s="985"/>
      <c r="B938" s="581" t="s">
        <v>84</v>
      </c>
      <c r="C938" s="583" t="s">
        <v>84</v>
      </c>
      <c r="D938" s="943" t="s">
        <v>84</v>
      </c>
      <c r="E938" s="18"/>
      <c r="F938" s="18"/>
      <c r="G938" s="18"/>
      <c r="H938" s="18"/>
    </row>
    <row r="939" spans="1:9">
      <c r="A939" s="986" t="str">
        <f>'Anlage 3a_Zusammenfassung_KWKG'!A2688</f>
        <v>Regelzone 50Hertz (gesamt)</v>
      </c>
      <c r="B939" s="1010">
        <f>SUM(B940:B1108)</f>
        <v>68023519338</v>
      </c>
      <c r="C939" s="469">
        <f t="shared" ref="C939" si="33">SUM(C940:C1108)</f>
        <v>184535902</v>
      </c>
      <c r="D939" s="987">
        <f>SUM(B939:C939)</f>
        <v>68208055240</v>
      </c>
    </row>
    <row r="940" spans="1:9" hidden="1" outlineLevel="2">
      <c r="A940" s="988" t="str">
        <f>+'Anlage 3a_Zusammenfassung_KWKG'!A2689</f>
        <v>SNB901665585874</v>
      </c>
      <c r="B940" s="470">
        <f>+'Anlage 3a_Zusammenfassung_KWKG'!B2689</f>
        <v>73140630</v>
      </c>
      <c r="C940" s="391">
        <f>+'Anlage 3a_Zusammenfassung_KWKG'!C2689</f>
        <v>49430</v>
      </c>
      <c r="D940" s="989">
        <f t="shared" ref="D940:D1003" si="34">SUM(B940:C940)</f>
        <v>73190060</v>
      </c>
    </row>
    <row r="941" spans="1:9" hidden="1" outlineLevel="2">
      <c r="A941" s="988" t="str">
        <f>+'Anlage 3a_Zusammenfassung_KWKG'!A2690</f>
        <v>SNB910474681448</v>
      </c>
      <c r="B941" s="470">
        <f>+'Anlage 3a_Zusammenfassung_KWKG'!B2690</f>
        <v>77182193</v>
      </c>
      <c r="C941" s="391">
        <f>+'Anlage 3a_Zusammenfassung_KWKG'!C2690</f>
        <v>-106386</v>
      </c>
      <c r="D941" s="989">
        <f t="shared" si="34"/>
        <v>77075807</v>
      </c>
    </row>
    <row r="942" spans="1:9" hidden="1" outlineLevel="2">
      <c r="A942" s="988" t="str">
        <f>+'Anlage 3a_Zusammenfassung_KWKG'!A2691</f>
        <v>SNB911159111601</v>
      </c>
      <c r="B942" s="470">
        <f>+'Anlage 3a_Zusammenfassung_KWKG'!B2691</f>
        <v>198717750</v>
      </c>
      <c r="C942" s="391">
        <f>+'Anlage 3a_Zusammenfassung_KWKG'!C2691</f>
        <v>0</v>
      </c>
      <c r="D942" s="989">
        <f t="shared" si="34"/>
        <v>198717750</v>
      </c>
    </row>
    <row r="943" spans="1:9" hidden="1" outlineLevel="2">
      <c r="A943" s="988" t="str">
        <f>+'Anlage 3a_Zusammenfassung_KWKG'!A2692</f>
        <v>SNB912218404412</v>
      </c>
      <c r="B943" s="470">
        <f>+'Anlage 3a_Zusammenfassung_KWKG'!B2692</f>
        <v>57733295</v>
      </c>
      <c r="C943" s="391">
        <f>+'Anlage 3a_Zusammenfassung_KWKG'!C2692</f>
        <v>-198361</v>
      </c>
      <c r="D943" s="989">
        <f t="shared" si="34"/>
        <v>57534934</v>
      </c>
    </row>
    <row r="944" spans="1:9" hidden="1" outlineLevel="2">
      <c r="A944" s="988" t="str">
        <f>+'Anlage 3a_Zusammenfassung_KWKG'!A2693</f>
        <v>SNB913006238462</v>
      </c>
      <c r="B944" s="470">
        <f>+'Anlage 3a_Zusammenfassung_KWKG'!B2693</f>
        <v>80674069</v>
      </c>
      <c r="C944" s="391">
        <f>+'Anlage 3a_Zusammenfassung_KWKG'!C2693</f>
        <v>250388</v>
      </c>
      <c r="D944" s="989">
        <f t="shared" si="34"/>
        <v>80924457</v>
      </c>
    </row>
    <row r="945" spans="1:4" hidden="1" outlineLevel="2">
      <c r="A945" s="988" t="str">
        <f>+'Anlage 3a_Zusammenfassung_KWKG'!A2694</f>
        <v>SNB913130054136</v>
      </c>
      <c r="B945" s="470">
        <f>+'Anlage 3a_Zusammenfassung_KWKG'!B2694</f>
        <v>299825829</v>
      </c>
      <c r="C945" s="391">
        <f>+'Anlage 3a_Zusammenfassung_KWKG'!C2694</f>
        <v>0</v>
      </c>
      <c r="D945" s="989">
        <f t="shared" si="34"/>
        <v>299825829</v>
      </c>
    </row>
    <row r="946" spans="1:4" hidden="1" outlineLevel="2">
      <c r="A946" s="988" t="str">
        <f>+'Anlage 3a_Zusammenfassung_KWKG'!A2695</f>
        <v>SNB913280322543</v>
      </c>
      <c r="B946" s="470">
        <f>+'Anlage 3a_Zusammenfassung_KWKG'!B2695</f>
        <v>80655992</v>
      </c>
      <c r="C946" s="391">
        <f>+'Anlage 3a_Zusammenfassung_KWKG'!C2695</f>
        <v>0</v>
      </c>
      <c r="D946" s="989">
        <f t="shared" si="34"/>
        <v>80655992</v>
      </c>
    </row>
    <row r="947" spans="1:4" hidden="1" outlineLevel="2">
      <c r="A947" s="988" t="str">
        <f>+'Anlage 3a_Zusammenfassung_KWKG'!A2696</f>
        <v>SNB913563830420</v>
      </c>
      <c r="B947" s="470">
        <f>+'Anlage 3a_Zusammenfassung_KWKG'!B2696</f>
        <v>94063335</v>
      </c>
      <c r="C947" s="391">
        <f>+'Anlage 3a_Zusammenfassung_KWKG'!C2696</f>
        <v>346122</v>
      </c>
      <c r="D947" s="989">
        <f t="shared" si="34"/>
        <v>94409457</v>
      </c>
    </row>
    <row r="948" spans="1:4" hidden="1" outlineLevel="2">
      <c r="A948" s="988" t="str">
        <f>+'Anlage 3a_Zusammenfassung_KWKG'!A2697</f>
        <v>SNB913768089142</v>
      </c>
      <c r="B948" s="470">
        <f>+'Anlage 3a_Zusammenfassung_KWKG'!B2697</f>
        <v>6786673</v>
      </c>
      <c r="C948" s="391">
        <f>+'Anlage 3a_Zusammenfassung_KWKG'!C2697</f>
        <v>0</v>
      </c>
      <c r="D948" s="989">
        <f t="shared" si="34"/>
        <v>6786673</v>
      </c>
    </row>
    <row r="949" spans="1:4" hidden="1" outlineLevel="2">
      <c r="A949" s="988" t="str">
        <f>+'Anlage 3a_Zusammenfassung_KWKG'!A2698</f>
        <v>SNB914103081760</v>
      </c>
      <c r="B949" s="470">
        <f>+'Anlage 3a_Zusammenfassung_KWKG'!B2698</f>
        <v>82449513</v>
      </c>
      <c r="C949" s="391">
        <f>+'Anlage 3a_Zusammenfassung_KWKG'!C2698</f>
        <v>0</v>
      </c>
      <c r="D949" s="989">
        <f t="shared" si="34"/>
        <v>82449513</v>
      </c>
    </row>
    <row r="950" spans="1:4" hidden="1" outlineLevel="2">
      <c r="A950" s="988" t="str">
        <f>+'Anlage 3a_Zusammenfassung_KWKG'!A2699</f>
        <v>SNB914630088973</v>
      </c>
      <c r="B950" s="470">
        <f>+'Anlage 3a_Zusammenfassung_KWKG'!B2699</f>
        <v>54042644</v>
      </c>
      <c r="C950" s="391">
        <f>+'Anlage 3a_Zusammenfassung_KWKG'!C2699</f>
        <v>0</v>
      </c>
      <c r="D950" s="989">
        <f t="shared" si="34"/>
        <v>54042644</v>
      </c>
    </row>
    <row r="951" spans="1:4" hidden="1" outlineLevel="2">
      <c r="A951" s="988" t="str">
        <f>+'Anlage 3a_Zusammenfassung_KWKG'!A2700</f>
        <v>SNB914879260819</v>
      </c>
      <c r="B951" s="470">
        <f>+'Anlage 3a_Zusammenfassung_KWKG'!B2700</f>
        <v>145357853</v>
      </c>
      <c r="C951" s="391">
        <f>+'Anlage 3a_Zusammenfassung_KWKG'!C2700</f>
        <v>0</v>
      </c>
      <c r="D951" s="989">
        <f t="shared" si="34"/>
        <v>145357853</v>
      </c>
    </row>
    <row r="952" spans="1:4" hidden="1" outlineLevel="2">
      <c r="A952" s="988" t="str">
        <f>+'Anlage 3a_Zusammenfassung_KWKG'!A2701</f>
        <v>SNB915186313908</v>
      </c>
      <c r="B952" s="470">
        <f>+'Anlage 3a_Zusammenfassung_KWKG'!B2701</f>
        <v>40347448</v>
      </c>
      <c r="C952" s="391">
        <f>+'Anlage 3a_Zusammenfassung_KWKG'!C2701</f>
        <v>0</v>
      </c>
      <c r="D952" s="989">
        <f t="shared" si="34"/>
        <v>40347448</v>
      </c>
    </row>
    <row r="953" spans="1:4" hidden="1" outlineLevel="2">
      <c r="A953" s="988" t="str">
        <f>+'Anlage 3a_Zusammenfassung_KWKG'!A2702</f>
        <v>SNB915358347793</v>
      </c>
      <c r="B953" s="470">
        <f>+'Anlage 3a_Zusammenfassung_KWKG'!B2702</f>
        <v>24423869</v>
      </c>
      <c r="C953" s="391">
        <f>+'Anlage 3a_Zusammenfassung_KWKG'!C2702</f>
        <v>0</v>
      </c>
      <c r="D953" s="989">
        <f t="shared" si="34"/>
        <v>24423869</v>
      </c>
    </row>
    <row r="954" spans="1:4" hidden="1" outlineLevel="2">
      <c r="A954" s="988" t="str">
        <f>+'Anlage 3a_Zusammenfassung_KWKG'!A2703</f>
        <v>SNB915638224585</v>
      </c>
      <c r="B954" s="470">
        <f>+'Anlage 3a_Zusammenfassung_KWKG'!B2703</f>
        <v>177365990</v>
      </c>
      <c r="C954" s="391">
        <f>+'Anlage 3a_Zusammenfassung_KWKG'!C2703</f>
        <v>0</v>
      </c>
      <c r="D954" s="989">
        <f t="shared" si="34"/>
        <v>177365990</v>
      </c>
    </row>
    <row r="955" spans="1:4" hidden="1" outlineLevel="2">
      <c r="A955" s="988" t="str">
        <f>+'Anlage 3a_Zusammenfassung_KWKG'!A2704</f>
        <v>SNB916269213931</v>
      </c>
      <c r="B955" s="470">
        <f>+'Anlage 3a_Zusammenfassung_KWKG'!B2704</f>
        <v>7755295792</v>
      </c>
      <c r="C955" s="391">
        <f>+'Anlage 3a_Zusammenfassung_KWKG'!C2704</f>
        <v>-64262258</v>
      </c>
      <c r="D955" s="989">
        <f t="shared" si="34"/>
        <v>7691033534</v>
      </c>
    </row>
    <row r="956" spans="1:4" hidden="1" outlineLevel="2">
      <c r="A956" s="988" t="str">
        <f>+'Anlage 3a_Zusammenfassung_KWKG'!A2705</f>
        <v>SNB916663914472</v>
      </c>
      <c r="B956" s="470">
        <f>+'Anlage 3a_Zusammenfassung_KWKG'!B2705</f>
        <v>671363375</v>
      </c>
      <c r="C956" s="391">
        <f>+'Anlage 3a_Zusammenfassung_KWKG'!C2705</f>
        <v>0</v>
      </c>
      <c r="D956" s="989">
        <f t="shared" si="34"/>
        <v>671363375</v>
      </c>
    </row>
    <row r="957" spans="1:4" hidden="1" outlineLevel="2">
      <c r="A957" s="988" t="str">
        <f>+'Anlage 3a_Zusammenfassung_KWKG'!A2706</f>
        <v>SNB917314328846</v>
      </c>
      <c r="B957" s="470">
        <f>+'Anlage 3a_Zusammenfassung_KWKG'!B2706</f>
        <v>102160691</v>
      </c>
      <c r="C957" s="391">
        <f>+'Anlage 3a_Zusammenfassung_KWKG'!C2706</f>
        <v>0</v>
      </c>
      <c r="D957" s="989">
        <f t="shared" si="34"/>
        <v>102160691</v>
      </c>
    </row>
    <row r="958" spans="1:4" hidden="1" outlineLevel="2">
      <c r="A958" s="988" t="str">
        <f>+'Anlage 3a_Zusammenfassung_KWKG'!A2707</f>
        <v>SNB917432806905</v>
      </c>
      <c r="B958" s="470">
        <f>+'Anlage 3a_Zusammenfassung_KWKG'!B2707</f>
        <v>33819469</v>
      </c>
      <c r="C958" s="391">
        <f>+'Anlage 3a_Zusammenfassung_KWKG'!C2707</f>
        <v>351285</v>
      </c>
      <c r="D958" s="989">
        <f t="shared" si="34"/>
        <v>34170754</v>
      </c>
    </row>
    <row r="959" spans="1:4" hidden="1" outlineLevel="2">
      <c r="A959" s="988" t="str">
        <f>+'Anlage 3a_Zusammenfassung_KWKG'!A2708</f>
        <v>SNB918070278383</v>
      </c>
      <c r="B959" s="470">
        <f>+'Anlage 3a_Zusammenfassung_KWKG'!B2708</f>
        <v>63723271</v>
      </c>
      <c r="C959" s="391">
        <f>+'Anlage 3a_Zusammenfassung_KWKG'!C2708</f>
        <v>0</v>
      </c>
      <c r="D959" s="989">
        <f t="shared" si="34"/>
        <v>63723271</v>
      </c>
    </row>
    <row r="960" spans="1:4" hidden="1" outlineLevel="2">
      <c r="A960" s="988" t="str">
        <f>+'Anlage 3a_Zusammenfassung_KWKG'!A2709</f>
        <v>SNB918084816830</v>
      </c>
      <c r="B960" s="470">
        <f>+'Anlage 3a_Zusammenfassung_KWKG'!B2709</f>
        <v>34107474</v>
      </c>
      <c r="C960" s="391">
        <f>+'Anlage 3a_Zusammenfassung_KWKG'!C2709</f>
        <v>-239746</v>
      </c>
      <c r="D960" s="989">
        <f t="shared" si="34"/>
        <v>33867728</v>
      </c>
    </row>
    <row r="961" spans="1:4" hidden="1" outlineLevel="2">
      <c r="A961" s="988" t="str">
        <f>+'Anlage 3a_Zusammenfassung_KWKG'!A2710</f>
        <v>SNB918100919279</v>
      </c>
      <c r="B961" s="470">
        <f>+'Anlage 3a_Zusammenfassung_KWKG'!B2710</f>
        <v>17740098</v>
      </c>
      <c r="C961" s="391">
        <f>+'Anlage 3a_Zusammenfassung_KWKG'!C2710</f>
        <v>0</v>
      </c>
      <c r="D961" s="989">
        <f t="shared" si="34"/>
        <v>17740098</v>
      </c>
    </row>
    <row r="962" spans="1:4" hidden="1" outlineLevel="2">
      <c r="A962" s="988" t="str">
        <f>+'Anlage 3a_Zusammenfassung_KWKG'!A2711</f>
        <v>SNB918539636471</v>
      </c>
      <c r="B962" s="470">
        <f>+'Anlage 3a_Zusammenfassung_KWKG'!B2711</f>
        <v>53108848</v>
      </c>
      <c r="C962" s="391">
        <f>+'Anlage 3a_Zusammenfassung_KWKG'!C2711</f>
        <v>0</v>
      </c>
      <c r="D962" s="989">
        <f t="shared" si="34"/>
        <v>53108848</v>
      </c>
    </row>
    <row r="963" spans="1:4" hidden="1" outlineLevel="2">
      <c r="A963" s="988" t="str">
        <f>+'Anlage 3a_Zusammenfassung_KWKG'!A2712</f>
        <v>SNB918620072652</v>
      </c>
      <c r="B963" s="470">
        <f>+'Anlage 3a_Zusammenfassung_KWKG'!B2712</f>
        <v>60911162</v>
      </c>
      <c r="C963" s="391">
        <f>+'Anlage 3a_Zusammenfassung_KWKG'!C2712</f>
        <v>-94667</v>
      </c>
      <c r="D963" s="989">
        <f t="shared" si="34"/>
        <v>60816495</v>
      </c>
    </row>
    <row r="964" spans="1:4" hidden="1" outlineLevel="2">
      <c r="A964" s="988" t="str">
        <f>+'Anlage 3a_Zusammenfassung_KWKG'!A2713</f>
        <v>SNB919654931526</v>
      </c>
      <c r="B964" s="470">
        <f>+'Anlage 3a_Zusammenfassung_KWKG'!B2713</f>
        <v>32029391</v>
      </c>
      <c r="C964" s="391">
        <f>+'Anlage 3a_Zusammenfassung_KWKG'!C2713</f>
        <v>0</v>
      </c>
      <c r="D964" s="989">
        <f t="shared" si="34"/>
        <v>32029391</v>
      </c>
    </row>
    <row r="965" spans="1:4" hidden="1" outlineLevel="2">
      <c r="A965" s="988" t="str">
        <f>+'Anlage 3a_Zusammenfassung_KWKG'!A2714</f>
        <v>SNB919657321775</v>
      </c>
      <c r="B965" s="470">
        <f>+'Anlage 3a_Zusammenfassung_KWKG'!B2714</f>
        <v>87408133</v>
      </c>
      <c r="C965" s="391">
        <f>+'Anlage 3a_Zusammenfassung_KWKG'!C2714</f>
        <v>-24856</v>
      </c>
      <c r="D965" s="989">
        <f t="shared" si="34"/>
        <v>87383277</v>
      </c>
    </row>
    <row r="966" spans="1:4" hidden="1" outlineLevel="2">
      <c r="A966" s="988" t="str">
        <f>+'Anlage 3a_Zusammenfassung_KWKG'!A2715</f>
        <v>SNB919985327685</v>
      </c>
      <c r="B966" s="470">
        <f>+'Anlage 3a_Zusammenfassung_KWKG'!B2715</f>
        <v>19232458</v>
      </c>
      <c r="C966" s="391">
        <f>+'Anlage 3a_Zusammenfassung_KWKG'!C2715</f>
        <v>90902</v>
      </c>
      <c r="D966" s="989">
        <f t="shared" si="34"/>
        <v>19323360</v>
      </c>
    </row>
    <row r="967" spans="1:4" hidden="1" outlineLevel="2">
      <c r="A967" s="988" t="str">
        <f>+'Anlage 3a_Zusammenfassung_KWKG'!A2716</f>
        <v>SNB920348005966</v>
      </c>
      <c r="B967" s="470">
        <f>+'Anlage 3a_Zusammenfassung_KWKG'!B2716</f>
        <v>90378662</v>
      </c>
      <c r="C967" s="391">
        <f>+'Anlage 3a_Zusammenfassung_KWKG'!C2716</f>
        <v>-138986</v>
      </c>
      <c r="D967" s="989">
        <f t="shared" si="34"/>
        <v>90239676</v>
      </c>
    </row>
    <row r="968" spans="1:4" hidden="1" outlineLevel="2">
      <c r="A968" s="988" t="str">
        <f>+'Anlage 3a_Zusammenfassung_KWKG'!A2717</f>
        <v>SNB920699937404</v>
      </c>
      <c r="B968" s="470">
        <f>+'Anlage 3a_Zusammenfassung_KWKG'!B2717</f>
        <v>168313555</v>
      </c>
      <c r="C968" s="391">
        <f>+'Anlage 3a_Zusammenfassung_KWKG'!C2717</f>
        <v>1344063</v>
      </c>
      <c r="D968" s="989">
        <f t="shared" si="34"/>
        <v>169657618</v>
      </c>
    </row>
    <row r="969" spans="1:4" hidden="1" outlineLevel="2">
      <c r="A969" s="988" t="str">
        <f>+'Anlage 3a_Zusammenfassung_KWKG'!A2718</f>
        <v>SNB921629791202</v>
      </c>
      <c r="B969" s="470">
        <f>+'Anlage 3a_Zusammenfassung_KWKG'!B2718</f>
        <v>6015180</v>
      </c>
      <c r="C969" s="391">
        <f>+'Anlage 3a_Zusammenfassung_KWKG'!C2718</f>
        <v>0</v>
      </c>
      <c r="D969" s="989">
        <f t="shared" si="34"/>
        <v>6015180</v>
      </c>
    </row>
    <row r="970" spans="1:4" hidden="1" outlineLevel="2">
      <c r="A970" s="988" t="str">
        <f>+'Anlage 3a_Zusammenfassung_KWKG'!A2719</f>
        <v>SNB922055731633</v>
      </c>
      <c r="B970" s="470">
        <f>+'Anlage 3a_Zusammenfassung_KWKG'!B2719</f>
        <v>41812239</v>
      </c>
      <c r="C970" s="391">
        <f>+'Anlage 3a_Zusammenfassung_KWKG'!C2719</f>
        <v>5449034</v>
      </c>
      <c r="D970" s="989">
        <f t="shared" si="34"/>
        <v>47261273</v>
      </c>
    </row>
    <row r="971" spans="1:4" hidden="1" outlineLevel="2">
      <c r="A971" s="988" t="str">
        <f>+'Anlage 3a_Zusammenfassung_KWKG'!A2720</f>
        <v>SNB922354559020</v>
      </c>
      <c r="B971" s="470">
        <f>+'Anlage 3a_Zusammenfassung_KWKG'!B2720</f>
        <v>27565694</v>
      </c>
      <c r="C971" s="391">
        <f>+'Anlage 3a_Zusammenfassung_KWKG'!C2720</f>
        <v>0</v>
      </c>
      <c r="D971" s="989">
        <f t="shared" si="34"/>
        <v>27565694</v>
      </c>
    </row>
    <row r="972" spans="1:4" hidden="1" outlineLevel="2">
      <c r="A972" s="988" t="str">
        <f>+'Anlage 3a_Zusammenfassung_KWKG'!A2721</f>
        <v>SNB922689183730</v>
      </c>
      <c r="B972" s="470">
        <f>+'Anlage 3a_Zusammenfassung_KWKG'!B2721</f>
        <v>99324444</v>
      </c>
      <c r="C972" s="391">
        <f>+'Anlage 3a_Zusammenfassung_KWKG'!C2721</f>
        <v>271210</v>
      </c>
      <c r="D972" s="989">
        <f t="shared" si="34"/>
        <v>99595654</v>
      </c>
    </row>
    <row r="973" spans="1:4" hidden="1" outlineLevel="2">
      <c r="A973" s="988" t="str">
        <f>+'Anlage 3a_Zusammenfassung_KWKG'!A2722</f>
        <v>SNB922861338965</v>
      </c>
      <c r="B973" s="470">
        <f>+'Anlage 3a_Zusammenfassung_KWKG'!B2722</f>
        <v>77974900</v>
      </c>
      <c r="C973" s="391">
        <f>+'Anlage 3a_Zusammenfassung_KWKG'!C2722</f>
        <v>0</v>
      </c>
      <c r="D973" s="989">
        <f t="shared" si="34"/>
        <v>77974900</v>
      </c>
    </row>
    <row r="974" spans="1:4" hidden="1" outlineLevel="2">
      <c r="A974" s="988" t="str">
        <f>+'Anlage 3a_Zusammenfassung_KWKG'!A2723</f>
        <v>SNB925823629552</v>
      </c>
      <c r="B974" s="470">
        <f>+'Anlage 3a_Zusammenfassung_KWKG'!B2723</f>
        <v>256279492</v>
      </c>
      <c r="C974" s="391">
        <f>+'Anlage 3a_Zusammenfassung_KWKG'!C2723</f>
        <v>0</v>
      </c>
      <c r="D974" s="989">
        <f t="shared" si="34"/>
        <v>256279492</v>
      </c>
    </row>
    <row r="975" spans="1:4" hidden="1" outlineLevel="2">
      <c r="A975" s="988" t="str">
        <f>+'Anlage 3a_Zusammenfassung_KWKG'!A2724</f>
        <v>SNB925883927308</v>
      </c>
      <c r="B975" s="470">
        <f>+'Anlage 3a_Zusammenfassung_KWKG'!B2724</f>
        <v>78626651</v>
      </c>
      <c r="C975" s="391">
        <f>+'Anlage 3a_Zusammenfassung_KWKG'!C2724</f>
        <v>1783642</v>
      </c>
      <c r="D975" s="989">
        <f t="shared" si="34"/>
        <v>80410293</v>
      </c>
    </row>
    <row r="976" spans="1:4" hidden="1" outlineLevel="2">
      <c r="A976" s="988" t="str">
        <f>+'Anlage 3a_Zusammenfassung_KWKG'!A2725</f>
        <v>SNB926394976090</v>
      </c>
      <c r="B976" s="470">
        <f>+'Anlage 3a_Zusammenfassung_KWKG'!B2725</f>
        <v>58667339</v>
      </c>
      <c r="C976" s="391">
        <f>+'Anlage 3a_Zusammenfassung_KWKG'!C2725</f>
        <v>0</v>
      </c>
      <c r="D976" s="989">
        <f t="shared" si="34"/>
        <v>58667339</v>
      </c>
    </row>
    <row r="977" spans="1:4" hidden="1" outlineLevel="2">
      <c r="A977" s="988" t="str">
        <f>+'Anlage 3a_Zusammenfassung_KWKG'!A2726</f>
        <v>SNB926442995943</v>
      </c>
      <c r="B977" s="470">
        <f>+'Anlage 3a_Zusammenfassung_KWKG'!B2726</f>
        <v>189066891</v>
      </c>
      <c r="C977" s="391">
        <f>+'Anlage 3a_Zusammenfassung_KWKG'!C2726</f>
        <v>-992208</v>
      </c>
      <c r="D977" s="989">
        <f t="shared" si="34"/>
        <v>188074683</v>
      </c>
    </row>
    <row r="978" spans="1:4" hidden="1" outlineLevel="2">
      <c r="A978" s="988" t="str">
        <f>+'Anlage 3a_Zusammenfassung_KWKG'!A2727</f>
        <v>SNB926470799582</v>
      </c>
      <c r="B978" s="470">
        <f>+'Anlage 3a_Zusammenfassung_KWKG'!B2727</f>
        <v>40430526</v>
      </c>
      <c r="C978" s="391">
        <f>+'Anlage 3a_Zusammenfassung_KWKG'!C2727</f>
        <v>0</v>
      </c>
      <c r="D978" s="989">
        <f t="shared" si="34"/>
        <v>40430526</v>
      </c>
    </row>
    <row r="979" spans="1:4" hidden="1" outlineLevel="2">
      <c r="A979" s="988" t="str">
        <f>+'Anlage 3a_Zusammenfassung_KWKG'!A2728</f>
        <v>SNB927160517950</v>
      </c>
      <c r="B979" s="470">
        <f>+'Anlage 3a_Zusammenfassung_KWKG'!B2728</f>
        <v>82598595</v>
      </c>
      <c r="C979" s="391">
        <f>+'Anlage 3a_Zusammenfassung_KWKG'!C2728</f>
        <v>-625513</v>
      </c>
      <c r="D979" s="989">
        <f t="shared" si="34"/>
        <v>81973082</v>
      </c>
    </row>
    <row r="980" spans="1:4" hidden="1" outlineLevel="2">
      <c r="A980" s="988" t="str">
        <f>+'Anlage 3a_Zusammenfassung_KWKG'!A2729</f>
        <v>SNB927925826730</v>
      </c>
      <c r="B980" s="470">
        <f>+'Anlage 3a_Zusammenfassung_KWKG'!B2729</f>
        <v>113954078</v>
      </c>
      <c r="C980" s="391">
        <f>+'Anlage 3a_Zusammenfassung_KWKG'!C2729</f>
        <v>103687</v>
      </c>
      <c r="D980" s="989">
        <f t="shared" si="34"/>
        <v>114057765</v>
      </c>
    </row>
    <row r="981" spans="1:4" hidden="1" outlineLevel="2">
      <c r="A981" s="988" t="str">
        <f>+'Anlage 3a_Zusammenfassung_KWKG'!A2730</f>
        <v>SNB928200943784</v>
      </c>
      <c r="B981" s="470">
        <f>+'Anlage 3a_Zusammenfassung_KWKG'!B2730</f>
        <v>36691992</v>
      </c>
      <c r="C981" s="391">
        <f>+'Anlage 3a_Zusammenfassung_KWKG'!C2730</f>
        <v>-151308</v>
      </c>
      <c r="D981" s="989">
        <f t="shared" si="34"/>
        <v>36540684</v>
      </c>
    </row>
    <row r="982" spans="1:4" hidden="1" outlineLevel="2">
      <c r="A982" s="988" t="str">
        <f>+'Anlage 3a_Zusammenfassung_KWKG'!A2731</f>
        <v>SNB928602915495</v>
      </c>
      <c r="B982" s="470">
        <f>+'Anlage 3a_Zusammenfassung_KWKG'!B2731</f>
        <v>33871777</v>
      </c>
      <c r="C982" s="391">
        <f>+'Anlage 3a_Zusammenfassung_KWKG'!C2731</f>
        <v>0</v>
      </c>
      <c r="D982" s="989">
        <f t="shared" si="34"/>
        <v>33871777</v>
      </c>
    </row>
    <row r="983" spans="1:4" hidden="1" outlineLevel="2">
      <c r="A983" s="988" t="str">
        <f>+'Anlage 3a_Zusammenfassung_KWKG'!A2732</f>
        <v>SNB928759560869</v>
      </c>
      <c r="B983" s="470">
        <f>+'Anlage 3a_Zusammenfassung_KWKG'!B2732</f>
        <v>910283105</v>
      </c>
      <c r="C983" s="391">
        <f>+'Anlage 3a_Zusammenfassung_KWKG'!C2732</f>
        <v>-35216786</v>
      </c>
      <c r="D983" s="989">
        <f t="shared" si="34"/>
        <v>875066319</v>
      </c>
    </row>
    <row r="984" spans="1:4" hidden="1" outlineLevel="2">
      <c r="A984" s="988" t="str">
        <f>+'Anlage 3a_Zusammenfassung_KWKG'!A2733</f>
        <v>SNB929027950139</v>
      </c>
      <c r="B984" s="470">
        <f>+'Anlage 3a_Zusammenfassung_KWKG'!B2733</f>
        <v>520952936</v>
      </c>
      <c r="C984" s="391">
        <f>+'Anlage 3a_Zusammenfassung_KWKG'!C2733</f>
        <v>349803</v>
      </c>
      <c r="D984" s="989">
        <f t="shared" si="34"/>
        <v>521302739</v>
      </c>
    </row>
    <row r="985" spans="1:4" hidden="1" outlineLevel="2">
      <c r="A985" s="988" t="str">
        <f>+'Anlage 3a_Zusammenfassung_KWKG'!A2734</f>
        <v>SNB930067626847</v>
      </c>
      <c r="B985" s="470">
        <f>+'Anlage 3a_Zusammenfassung_KWKG'!B2734</f>
        <v>51943560</v>
      </c>
      <c r="C985" s="391">
        <f>+'Anlage 3a_Zusammenfassung_KWKG'!C2734</f>
        <v>26516</v>
      </c>
      <c r="D985" s="989">
        <f t="shared" si="34"/>
        <v>51970076</v>
      </c>
    </row>
    <row r="986" spans="1:4" hidden="1" outlineLevel="2">
      <c r="A986" s="988" t="str">
        <f>+'Anlage 3a_Zusammenfassung_KWKG'!A2735</f>
        <v>SNB930525911119</v>
      </c>
      <c r="B986" s="470">
        <f>+'Anlage 3a_Zusammenfassung_KWKG'!B2735</f>
        <v>1840284</v>
      </c>
      <c r="C986" s="391">
        <f>+'Anlage 3a_Zusammenfassung_KWKG'!C2735</f>
        <v>23918</v>
      </c>
      <c r="D986" s="989">
        <f t="shared" si="34"/>
        <v>1864202</v>
      </c>
    </row>
    <row r="987" spans="1:4" hidden="1" outlineLevel="2">
      <c r="A987" s="988" t="str">
        <f>+'Anlage 3a_Zusammenfassung_KWKG'!A2736</f>
        <v>SNB931294328658</v>
      </c>
      <c r="B987" s="470">
        <f>+'Anlage 3a_Zusammenfassung_KWKG'!B2736</f>
        <v>31055316</v>
      </c>
      <c r="C987" s="391">
        <f>+'Anlage 3a_Zusammenfassung_KWKG'!C2736</f>
        <v>0</v>
      </c>
      <c r="D987" s="989">
        <f t="shared" si="34"/>
        <v>31055316</v>
      </c>
    </row>
    <row r="988" spans="1:4" hidden="1" outlineLevel="2">
      <c r="A988" s="988" t="str">
        <f>+'Anlage 3a_Zusammenfassung_KWKG'!A2737</f>
        <v>SNB931431136771</v>
      </c>
      <c r="B988" s="470">
        <f>+'Anlage 3a_Zusammenfassung_KWKG'!B2737</f>
        <v>231910827</v>
      </c>
      <c r="C988" s="391">
        <f>+'Anlage 3a_Zusammenfassung_KWKG'!C2737</f>
        <v>0</v>
      </c>
      <c r="D988" s="989">
        <f t="shared" si="34"/>
        <v>231910827</v>
      </c>
    </row>
    <row r="989" spans="1:4" hidden="1" outlineLevel="2">
      <c r="A989" s="988" t="str">
        <f>+'Anlage 3a_Zusammenfassung_KWKG'!A2738</f>
        <v>SNB931986174853</v>
      </c>
      <c r="B989" s="470">
        <f>+'Anlage 3a_Zusammenfassung_KWKG'!B2738</f>
        <v>98020277</v>
      </c>
      <c r="C989" s="391">
        <f>+'Anlage 3a_Zusammenfassung_KWKG'!C2738</f>
        <v>0</v>
      </c>
      <c r="D989" s="989">
        <f t="shared" si="34"/>
        <v>98020277</v>
      </c>
    </row>
    <row r="990" spans="1:4" hidden="1" outlineLevel="2">
      <c r="A990" s="988" t="str">
        <f>+'Anlage 3a_Zusammenfassung_KWKG'!A2739</f>
        <v>SNB932006596143</v>
      </c>
      <c r="B990" s="470">
        <f>+'Anlage 3a_Zusammenfassung_KWKG'!B2739</f>
        <v>43117450</v>
      </c>
      <c r="C990" s="391">
        <f>+'Anlage 3a_Zusammenfassung_KWKG'!C2739</f>
        <v>0</v>
      </c>
      <c r="D990" s="989">
        <f t="shared" si="34"/>
        <v>43117450</v>
      </c>
    </row>
    <row r="991" spans="1:4" hidden="1" outlineLevel="2">
      <c r="A991" s="988" t="str">
        <f>+'Anlage 3a_Zusammenfassung_KWKG'!A2740</f>
        <v>SNB932107297727</v>
      </c>
      <c r="B991" s="470">
        <f>+'Anlage 3a_Zusammenfassung_KWKG'!B2740</f>
        <v>221266201</v>
      </c>
      <c r="C991" s="391">
        <f>+'Anlage 3a_Zusammenfassung_KWKG'!C2740</f>
        <v>-1906254</v>
      </c>
      <c r="D991" s="989">
        <f t="shared" si="34"/>
        <v>219359947</v>
      </c>
    </row>
    <row r="992" spans="1:4" hidden="1" outlineLevel="2">
      <c r="A992" s="988" t="str">
        <f>+'Anlage 3a_Zusammenfassung_KWKG'!A2741</f>
        <v>SNB932509765411</v>
      </c>
      <c r="B992" s="470">
        <f>+'Anlage 3a_Zusammenfassung_KWKG'!B2741</f>
        <v>34821140</v>
      </c>
      <c r="C992" s="391">
        <f>+'Anlage 3a_Zusammenfassung_KWKG'!C2741</f>
        <v>0</v>
      </c>
      <c r="D992" s="989">
        <f t="shared" si="34"/>
        <v>34821140</v>
      </c>
    </row>
    <row r="993" spans="1:4" hidden="1" outlineLevel="2">
      <c r="A993" s="988" t="str">
        <f>+'Anlage 3a_Zusammenfassung_KWKG'!A2742</f>
        <v>SNB933235634552</v>
      </c>
      <c r="B993" s="470">
        <f>+'Anlage 3a_Zusammenfassung_KWKG'!B2742</f>
        <v>62242363</v>
      </c>
      <c r="C993" s="391">
        <f>+'Anlage 3a_Zusammenfassung_KWKG'!C2742</f>
        <v>0</v>
      </c>
      <c r="D993" s="989">
        <f t="shared" si="34"/>
        <v>62242363</v>
      </c>
    </row>
    <row r="994" spans="1:4" hidden="1" outlineLevel="2">
      <c r="A994" s="988" t="str">
        <f>+'Anlage 3a_Zusammenfassung_KWKG'!A2743</f>
        <v>SNB933274941888</v>
      </c>
      <c r="B994" s="470">
        <f>+'Anlage 3a_Zusammenfassung_KWKG'!B2743</f>
        <v>90788821</v>
      </c>
      <c r="C994" s="391">
        <f>+'Anlage 3a_Zusammenfassung_KWKG'!C2743</f>
        <v>-205425</v>
      </c>
      <c r="D994" s="989">
        <f t="shared" si="34"/>
        <v>90583396</v>
      </c>
    </row>
    <row r="995" spans="1:4" hidden="1" outlineLevel="2">
      <c r="A995" s="988" t="str">
        <f>+'Anlage 3a_Zusammenfassung_KWKG'!A2744</f>
        <v>SNB933459598975</v>
      </c>
      <c r="B995" s="470">
        <f>+'Anlage 3a_Zusammenfassung_KWKG'!B2744</f>
        <v>756477431</v>
      </c>
      <c r="C995" s="391">
        <f>+'Anlage 3a_Zusammenfassung_KWKG'!C2744</f>
        <v>0</v>
      </c>
      <c r="D995" s="989">
        <f t="shared" si="34"/>
        <v>756477431</v>
      </c>
    </row>
    <row r="996" spans="1:4" hidden="1" outlineLevel="2">
      <c r="A996" s="988" t="str">
        <f>+'Anlage 3a_Zusammenfassung_KWKG'!A2745</f>
        <v>SNB933869654360</v>
      </c>
      <c r="B996" s="470">
        <f>+'Anlage 3a_Zusammenfassung_KWKG'!B2745</f>
        <v>51793864</v>
      </c>
      <c r="C996" s="391">
        <f>+'Anlage 3a_Zusammenfassung_KWKG'!C2745</f>
        <v>-14692825</v>
      </c>
      <c r="D996" s="989">
        <f t="shared" si="34"/>
        <v>37101039</v>
      </c>
    </row>
    <row r="997" spans="1:4" hidden="1" outlineLevel="2">
      <c r="A997" s="988" t="str">
        <f>+'Anlage 3a_Zusammenfassung_KWKG'!A2746</f>
        <v>SNB934071779865</v>
      </c>
      <c r="B997" s="470">
        <f>+'Anlage 3a_Zusammenfassung_KWKG'!B2746</f>
        <v>16594294</v>
      </c>
      <c r="C997" s="391">
        <f>+'Anlage 3a_Zusammenfassung_KWKG'!C2746</f>
        <v>0</v>
      </c>
      <c r="D997" s="989">
        <f t="shared" si="34"/>
        <v>16594294</v>
      </c>
    </row>
    <row r="998" spans="1:4" hidden="1" outlineLevel="2">
      <c r="A998" s="988" t="str">
        <f>+'Anlage 3a_Zusammenfassung_KWKG'!A2747</f>
        <v>SNB934355412402</v>
      </c>
      <c r="B998" s="470">
        <f>+'Anlage 3a_Zusammenfassung_KWKG'!B2747</f>
        <v>25884060</v>
      </c>
      <c r="C998" s="391">
        <f>+'Anlage 3a_Zusammenfassung_KWKG'!C2747</f>
        <v>-6108</v>
      </c>
      <c r="D998" s="989">
        <f t="shared" si="34"/>
        <v>25877952</v>
      </c>
    </row>
    <row r="999" spans="1:4" hidden="1" outlineLevel="2">
      <c r="A999" s="988" t="str">
        <f>+'Anlage 3a_Zusammenfassung_KWKG'!A2748</f>
        <v>SNB934514392514</v>
      </c>
      <c r="B999" s="470">
        <f>+'Anlage 3a_Zusammenfassung_KWKG'!B2748</f>
        <v>84145307</v>
      </c>
      <c r="C999" s="391">
        <f>+'Anlage 3a_Zusammenfassung_KWKG'!C2748</f>
        <v>0</v>
      </c>
      <c r="D999" s="989">
        <f t="shared" si="34"/>
        <v>84145307</v>
      </c>
    </row>
    <row r="1000" spans="1:4" hidden="1" outlineLevel="2">
      <c r="A1000" s="988" t="str">
        <f>+'Anlage 3a_Zusammenfassung_KWKG'!A2749</f>
        <v>SNB934984130722</v>
      </c>
      <c r="B1000" s="470">
        <f>+'Anlage 3a_Zusammenfassung_KWKG'!B2749</f>
        <v>39697121</v>
      </c>
      <c r="C1000" s="391">
        <f>+'Anlage 3a_Zusammenfassung_KWKG'!C2749</f>
        <v>-198426</v>
      </c>
      <c r="D1000" s="989">
        <f t="shared" si="34"/>
        <v>39498695</v>
      </c>
    </row>
    <row r="1001" spans="1:4" hidden="1" outlineLevel="2">
      <c r="A1001" s="988" t="str">
        <f>+'Anlage 3a_Zusammenfassung_KWKG'!A2750</f>
        <v>SNB935760057516</v>
      </c>
      <c r="B1001" s="470">
        <f>+'Anlage 3a_Zusammenfassung_KWKG'!B2750</f>
        <v>164206069</v>
      </c>
      <c r="C1001" s="391">
        <f>+'Anlage 3a_Zusammenfassung_KWKG'!C2750</f>
        <v>0</v>
      </c>
      <c r="D1001" s="989">
        <f t="shared" si="34"/>
        <v>164206069</v>
      </c>
    </row>
    <row r="1002" spans="1:4" hidden="1" outlineLevel="2">
      <c r="A1002" s="988" t="str">
        <f>+'Anlage 3a_Zusammenfassung_KWKG'!A2751</f>
        <v>SNB936461984224</v>
      </c>
      <c r="B1002" s="470">
        <f>+'Anlage 3a_Zusammenfassung_KWKG'!B2751</f>
        <v>121373809</v>
      </c>
      <c r="C1002" s="391">
        <f>+'Anlage 3a_Zusammenfassung_KWKG'!C2751</f>
        <v>-190832</v>
      </c>
      <c r="D1002" s="989">
        <f t="shared" si="34"/>
        <v>121182977</v>
      </c>
    </row>
    <row r="1003" spans="1:4" hidden="1" outlineLevel="2">
      <c r="A1003" s="988" t="str">
        <f>+'Anlage 3a_Zusammenfassung_KWKG'!A2752</f>
        <v>SNB936480897581</v>
      </c>
      <c r="B1003" s="470">
        <f>+'Anlage 3a_Zusammenfassung_KWKG'!B2752</f>
        <v>775456</v>
      </c>
      <c r="C1003" s="391">
        <f>+'Anlage 3a_Zusammenfassung_KWKG'!C2752</f>
        <v>0</v>
      </c>
      <c r="D1003" s="989">
        <f t="shared" si="34"/>
        <v>775456</v>
      </c>
    </row>
    <row r="1004" spans="1:4" hidden="1" outlineLevel="2">
      <c r="A1004" s="988" t="str">
        <f>+'Anlage 3a_Zusammenfassung_KWKG'!A2753</f>
        <v>SNB936769439815</v>
      </c>
      <c r="B1004" s="470">
        <f>+'Anlage 3a_Zusammenfassung_KWKG'!B2753</f>
        <v>92895156</v>
      </c>
      <c r="C1004" s="391">
        <f>+'Anlage 3a_Zusammenfassung_KWKG'!C2753</f>
        <v>0</v>
      </c>
      <c r="D1004" s="989">
        <f t="shared" ref="D1004:D1067" si="35">SUM(B1004:C1004)</f>
        <v>92895156</v>
      </c>
    </row>
    <row r="1005" spans="1:4" hidden="1" outlineLevel="2">
      <c r="A1005" s="988" t="str">
        <f>+'Anlage 3a_Zusammenfassung_KWKG'!A2754</f>
        <v>SNB936940951426</v>
      </c>
      <c r="B1005" s="470">
        <f>+'Anlage 3a_Zusammenfassung_KWKG'!B2754</f>
        <v>58053837</v>
      </c>
      <c r="C1005" s="391">
        <f>+'Anlage 3a_Zusammenfassung_KWKG'!C2754</f>
        <v>0</v>
      </c>
      <c r="D1005" s="989">
        <f t="shared" si="35"/>
        <v>58053837</v>
      </c>
    </row>
    <row r="1006" spans="1:4" hidden="1" outlineLevel="2">
      <c r="A1006" s="988" t="str">
        <f>+'Anlage 3a_Zusammenfassung_KWKG'!A2755</f>
        <v>SNB937001443546</v>
      </c>
      <c r="B1006" s="470">
        <f>+'Anlage 3a_Zusammenfassung_KWKG'!B2755</f>
        <v>63444196</v>
      </c>
      <c r="C1006" s="391">
        <f>+'Anlage 3a_Zusammenfassung_KWKG'!C2755</f>
        <v>169202</v>
      </c>
      <c r="D1006" s="989">
        <f t="shared" si="35"/>
        <v>63613398</v>
      </c>
    </row>
    <row r="1007" spans="1:4" hidden="1" outlineLevel="2">
      <c r="A1007" s="988" t="str">
        <f>+'Anlage 3a_Zusammenfassung_KWKG'!A2756</f>
        <v>SNB938672757734</v>
      </c>
      <c r="B1007" s="470">
        <f>+'Anlage 3a_Zusammenfassung_KWKG'!B2756</f>
        <v>116219918</v>
      </c>
      <c r="C1007" s="391">
        <f>+'Anlage 3a_Zusammenfassung_KWKG'!C2756</f>
        <v>-3164</v>
      </c>
      <c r="D1007" s="989">
        <f t="shared" si="35"/>
        <v>116216754</v>
      </c>
    </row>
    <row r="1008" spans="1:4" hidden="1" outlineLevel="2">
      <c r="A1008" s="988" t="str">
        <f>+'Anlage 3a_Zusammenfassung_KWKG'!A2757</f>
        <v>SNB939517994215</v>
      </c>
      <c r="B1008" s="470">
        <f>+'Anlage 3a_Zusammenfassung_KWKG'!B2757</f>
        <v>51658166</v>
      </c>
      <c r="C1008" s="391">
        <f>+'Anlage 3a_Zusammenfassung_KWKG'!C2757</f>
        <v>-51988</v>
      </c>
      <c r="D1008" s="989">
        <f t="shared" si="35"/>
        <v>51606178</v>
      </c>
    </row>
    <row r="1009" spans="1:4" hidden="1" outlineLevel="2">
      <c r="A1009" s="988" t="str">
        <f>+'Anlage 3a_Zusammenfassung_KWKG'!A2758</f>
        <v>SNB939548785561</v>
      </c>
      <c r="B1009" s="470">
        <f>+'Anlage 3a_Zusammenfassung_KWKG'!B2758</f>
        <v>103696066</v>
      </c>
      <c r="C1009" s="391">
        <f>+'Anlage 3a_Zusammenfassung_KWKG'!C2758</f>
        <v>5684914</v>
      </c>
      <c r="D1009" s="989">
        <f t="shared" si="35"/>
        <v>109380980</v>
      </c>
    </row>
    <row r="1010" spans="1:4" hidden="1" outlineLevel="2">
      <c r="A1010" s="988" t="str">
        <f>+'Anlage 3a_Zusammenfassung_KWKG'!A2759</f>
        <v>SNB939624707241</v>
      </c>
      <c r="B1010" s="470">
        <f>+'Anlage 3a_Zusammenfassung_KWKG'!B2759</f>
        <v>186312870</v>
      </c>
      <c r="C1010" s="391">
        <f>+'Anlage 3a_Zusammenfassung_KWKG'!C2759</f>
        <v>0</v>
      </c>
      <c r="D1010" s="989">
        <f t="shared" si="35"/>
        <v>186312870</v>
      </c>
    </row>
    <row r="1011" spans="1:4" hidden="1" outlineLevel="2">
      <c r="A1011" s="988" t="str">
        <f>+'Anlage 3a_Zusammenfassung_KWKG'!A2760</f>
        <v>SNB939724292715</v>
      </c>
      <c r="B1011" s="470">
        <f>+'Anlage 3a_Zusammenfassung_KWKG'!B2760</f>
        <v>647766649</v>
      </c>
      <c r="C1011" s="391">
        <f>+'Anlage 3a_Zusammenfassung_KWKG'!C2760</f>
        <v>523279</v>
      </c>
      <c r="D1011" s="989">
        <f t="shared" si="35"/>
        <v>648289928</v>
      </c>
    </row>
    <row r="1012" spans="1:4" hidden="1" outlineLevel="2">
      <c r="A1012" s="988" t="str">
        <f>+'Anlage 3a_Zusammenfassung_KWKG'!A2761</f>
        <v>SNB941081544895</v>
      </c>
      <c r="B1012" s="470">
        <f>+'Anlage 3a_Zusammenfassung_KWKG'!B2761</f>
        <v>51569684</v>
      </c>
      <c r="C1012" s="391">
        <f>+'Anlage 3a_Zusammenfassung_KWKG'!C2761</f>
        <v>0</v>
      </c>
      <c r="D1012" s="989">
        <f t="shared" si="35"/>
        <v>51569684</v>
      </c>
    </row>
    <row r="1013" spans="1:4" hidden="1" outlineLevel="2">
      <c r="A1013" s="988" t="str">
        <f>+'Anlage 3a_Zusammenfassung_KWKG'!A2762</f>
        <v>SNB941283828373</v>
      </c>
      <c r="B1013" s="470">
        <f>+'Anlage 3a_Zusammenfassung_KWKG'!B2762</f>
        <v>56902744</v>
      </c>
      <c r="C1013" s="391">
        <f>+'Anlage 3a_Zusammenfassung_KWKG'!C2762</f>
        <v>0</v>
      </c>
      <c r="D1013" s="989">
        <f t="shared" si="35"/>
        <v>56902744</v>
      </c>
    </row>
    <row r="1014" spans="1:4" hidden="1" outlineLevel="2">
      <c r="A1014" s="988" t="str">
        <f>+'Anlage 3a_Zusammenfassung_KWKG'!A2763</f>
        <v>SNB941314694489</v>
      </c>
      <c r="B1014" s="470">
        <f>+'Anlage 3a_Zusammenfassung_KWKG'!B2763</f>
        <v>33278563</v>
      </c>
      <c r="C1014" s="391">
        <f>+'Anlage 3a_Zusammenfassung_KWKG'!C2763</f>
        <v>-62044</v>
      </c>
      <c r="D1014" s="989">
        <f t="shared" si="35"/>
        <v>33216519</v>
      </c>
    </row>
    <row r="1015" spans="1:4" hidden="1" outlineLevel="2">
      <c r="A1015" s="988" t="str">
        <f>+'Anlage 3a_Zusammenfassung_KWKG'!A2764</f>
        <v>SNB941690671609</v>
      </c>
      <c r="B1015" s="470">
        <f>+'Anlage 3a_Zusammenfassung_KWKG'!B2764</f>
        <v>6867506216</v>
      </c>
      <c r="C1015" s="391">
        <f>+'Anlage 3a_Zusammenfassung_KWKG'!C2764</f>
        <v>-41833932</v>
      </c>
      <c r="D1015" s="989">
        <f t="shared" si="35"/>
        <v>6825672284</v>
      </c>
    </row>
    <row r="1016" spans="1:4" hidden="1" outlineLevel="2">
      <c r="A1016" s="988" t="str">
        <f>+'Anlage 3a_Zusammenfassung_KWKG'!A2765</f>
        <v>SNB942159258331</v>
      </c>
      <c r="B1016" s="470">
        <f>+'Anlage 3a_Zusammenfassung_KWKG'!B2765</f>
        <v>88505557</v>
      </c>
      <c r="C1016" s="391">
        <f>+'Anlage 3a_Zusammenfassung_KWKG'!C2765</f>
        <v>596195</v>
      </c>
      <c r="D1016" s="989">
        <f t="shared" si="35"/>
        <v>89101752</v>
      </c>
    </row>
    <row r="1017" spans="1:4" hidden="1" outlineLevel="2">
      <c r="A1017" s="988" t="str">
        <f>+'Anlage 3a_Zusammenfassung_KWKG'!A2766</f>
        <v>SNB942182027607</v>
      </c>
      <c r="B1017" s="470">
        <f>+'Anlage 3a_Zusammenfassung_KWKG'!B2766</f>
        <v>2736393373</v>
      </c>
      <c r="C1017" s="391">
        <f>+'Anlage 3a_Zusammenfassung_KWKG'!C2766</f>
        <v>2368540</v>
      </c>
      <c r="D1017" s="989">
        <f t="shared" si="35"/>
        <v>2738761913</v>
      </c>
    </row>
    <row r="1018" spans="1:4" hidden="1" outlineLevel="2">
      <c r="A1018" s="988" t="str">
        <f>+'Anlage 3a_Zusammenfassung_KWKG'!A2767</f>
        <v>SNB943531720705</v>
      </c>
      <c r="B1018" s="470">
        <f>+'Anlage 3a_Zusammenfassung_KWKG'!B2767</f>
        <v>61450133</v>
      </c>
      <c r="C1018" s="391">
        <f>+'Anlage 3a_Zusammenfassung_KWKG'!C2767</f>
        <v>0</v>
      </c>
      <c r="D1018" s="989">
        <f t="shared" si="35"/>
        <v>61450133</v>
      </c>
    </row>
    <row r="1019" spans="1:4" hidden="1" outlineLevel="2">
      <c r="A1019" s="988" t="str">
        <f>+'Anlage 3a_Zusammenfassung_KWKG'!A2768</f>
        <v>SNB943962034624</v>
      </c>
      <c r="B1019" s="470">
        <f>+'Anlage 3a_Zusammenfassung_KWKG'!B2768</f>
        <v>121848639</v>
      </c>
      <c r="C1019" s="391">
        <f>+'Anlage 3a_Zusammenfassung_KWKG'!C2768</f>
        <v>-888972</v>
      </c>
      <c r="D1019" s="989">
        <f t="shared" si="35"/>
        <v>120959667</v>
      </c>
    </row>
    <row r="1020" spans="1:4" hidden="1" outlineLevel="2">
      <c r="A1020" s="988" t="str">
        <f>+'Anlage 3a_Zusammenfassung_KWKG'!A2769</f>
        <v>SNB944962954653</v>
      </c>
      <c r="B1020" s="470">
        <f>+'Anlage 3a_Zusammenfassung_KWKG'!B2769</f>
        <v>27571062</v>
      </c>
      <c r="C1020" s="391">
        <f>+'Anlage 3a_Zusammenfassung_KWKG'!C2769</f>
        <v>0</v>
      </c>
      <c r="D1020" s="989">
        <f t="shared" si="35"/>
        <v>27571062</v>
      </c>
    </row>
    <row r="1021" spans="1:4" hidden="1" outlineLevel="2">
      <c r="A1021" s="988" t="str">
        <f>+'Anlage 3a_Zusammenfassung_KWKG'!A2770</f>
        <v>SNB945861817537</v>
      </c>
      <c r="B1021" s="470">
        <f>+'Anlage 3a_Zusammenfassung_KWKG'!B2770</f>
        <v>614236495</v>
      </c>
      <c r="C1021" s="391">
        <f>+'Anlage 3a_Zusammenfassung_KWKG'!C2770</f>
        <v>44607</v>
      </c>
      <c r="D1021" s="989">
        <f t="shared" si="35"/>
        <v>614281102</v>
      </c>
    </row>
    <row r="1022" spans="1:4" hidden="1" outlineLevel="2">
      <c r="A1022" s="988" t="str">
        <f>+'Anlage 3a_Zusammenfassung_KWKG'!A2771</f>
        <v>SNB946013720880</v>
      </c>
      <c r="B1022" s="470">
        <f>+'Anlage 3a_Zusammenfassung_KWKG'!B2771</f>
        <v>39701245</v>
      </c>
      <c r="C1022" s="391">
        <f>+'Anlage 3a_Zusammenfassung_KWKG'!C2771</f>
        <v>59601</v>
      </c>
      <c r="D1022" s="989">
        <f t="shared" si="35"/>
        <v>39760846</v>
      </c>
    </row>
    <row r="1023" spans="1:4" hidden="1" outlineLevel="2">
      <c r="A1023" s="988" t="str">
        <f>+'Anlage 3a_Zusammenfassung_KWKG'!A2772</f>
        <v>SNB946425570127</v>
      </c>
      <c r="B1023" s="470">
        <f>+'Anlage 3a_Zusammenfassung_KWKG'!B2772</f>
        <v>117957444</v>
      </c>
      <c r="C1023" s="391">
        <f>+'Anlage 3a_Zusammenfassung_KWKG'!C2772</f>
        <v>-862877</v>
      </c>
      <c r="D1023" s="989">
        <f t="shared" si="35"/>
        <v>117094567</v>
      </c>
    </row>
    <row r="1024" spans="1:4" hidden="1" outlineLevel="2">
      <c r="A1024" s="988" t="str">
        <f>+'Anlage 3a_Zusammenfassung_KWKG'!A2773</f>
        <v>SNB946612539746</v>
      </c>
      <c r="B1024" s="470">
        <f>+'Anlage 3a_Zusammenfassung_KWKG'!B2773</f>
        <v>80881985</v>
      </c>
      <c r="C1024" s="391">
        <f>+'Anlage 3a_Zusammenfassung_KWKG'!C2773</f>
        <v>-1164182</v>
      </c>
      <c r="D1024" s="989">
        <f t="shared" si="35"/>
        <v>79717803</v>
      </c>
    </row>
    <row r="1025" spans="1:4" hidden="1" outlineLevel="2">
      <c r="A1025" s="988" t="str">
        <f>+'Anlage 3a_Zusammenfassung_KWKG'!A2774</f>
        <v>SNB948470226516</v>
      </c>
      <c r="B1025" s="470">
        <f>+'Anlage 3a_Zusammenfassung_KWKG'!B2774</f>
        <v>19490943</v>
      </c>
      <c r="C1025" s="391">
        <f>+'Anlage 3a_Zusammenfassung_KWKG'!C2774</f>
        <v>0</v>
      </c>
      <c r="D1025" s="989">
        <f t="shared" si="35"/>
        <v>19490943</v>
      </c>
    </row>
    <row r="1026" spans="1:4" hidden="1" outlineLevel="2">
      <c r="A1026" s="988" t="str">
        <f>+'Anlage 3a_Zusammenfassung_KWKG'!A2775</f>
        <v>SNB948816192529</v>
      </c>
      <c r="B1026" s="470">
        <f>+'Anlage 3a_Zusammenfassung_KWKG'!B2775</f>
        <v>270820578</v>
      </c>
      <c r="C1026" s="391">
        <f>+'Anlage 3a_Zusammenfassung_KWKG'!C2775</f>
        <v>638088</v>
      </c>
      <c r="D1026" s="989">
        <f t="shared" si="35"/>
        <v>271458666</v>
      </c>
    </row>
    <row r="1027" spans="1:4" hidden="1" outlineLevel="2">
      <c r="A1027" s="988" t="str">
        <f>+'Anlage 3a_Zusammenfassung_KWKG'!A2776</f>
        <v>SNB948859455841</v>
      </c>
      <c r="B1027" s="470">
        <f>+'Anlage 3a_Zusammenfassung_KWKG'!B2776</f>
        <v>1672267248</v>
      </c>
      <c r="C1027" s="391">
        <f>+'Anlage 3a_Zusammenfassung_KWKG'!C2776</f>
        <v>0</v>
      </c>
      <c r="D1027" s="989">
        <f t="shared" si="35"/>
        <v>1672267248</v>
      </c>
    </row>
    <row r="1028" spans="1:4" hidden="1" outlineLevel="2">
      <c r="A1028" s="988" t="str">
        <f>+'Anlage 3a_Zusammenfassung_KWKG'!A2777</f>
        <v>SNB950262883869</v>
      </c>
      <c r="B1028" s="470">
        <f>+'Anlage 3a_Zusammenfassung_KWKG'!B2777</f>
        <v>640439545</v>
      </c>
      <c r="C1028" s="391">
        <f>+'Anlage 3a_Zusammenfassung_KWKG'!C2777</f>
        <v>-4708112</v>
      </c>
      <c r="D1028" s="989">
        <f t="shared" si="35"/>
        <v>635731433</v>
      </c>
    </row>
    <row r="1029" spans="1:4" hidden="1" outlineLevel="2">
      <c r="A1029" s="988" t="str">
        <f>+'Anlage 3a_Zusammenfassung_KWKG'!A2778</f>
        <v>SNB951105240061</v>
      </c>
      <c r="B1029" s="470">
        <f>+'Anlage 3a_Zusammenfassung_KWKG'!B2778</f>
        <v>193809035</v>
      </c>
      <c r="C1029" s="391">
        <f>+'Anlage 3a_Zusammenfassung_KWKG'!C2778</f>
        <v>-1086580</v>
      </c>
      <c r="D1029" s="989">
        <f t="shared" si="35"/>
        <v>192722455</v>
      </c>
    </row>
    <row r="1030" spans="1:4" hidden="1" outlineLevel="2">
      <c r="A1030" s="988" t="str">
        <f>+'Anlage 3a_Zusammenfassung_KWKG'!A2779</f>
        <v>SNB951305396193</v>
      </c>
      <c r="B1030" s="470">
        <f>+'Anlage 3a_Zusammenfassung_KWKG'!B2779</f>
        <v>82503220</v>
      </c>
      <c r="C1030" s="391">
        <f>+'Anlage 3a_Zusammenfassung_KWKG'!C2779</f>
        <v>42498</v>
      </c>
      <c r="D1030" s="989">
        <f t="shared" si="35"/>
        <v>82545718</v>
      </c>
    </row>
    <row r="1031" spans="1:4" hidden="1" outlineLevel="2">
      <c r="A1031" s="988" t="str">
        <f>+'Anlage 3a_Zusammenfassung_KWKG'!A2780</f>
        <v>SNB952677840789</v>
      </c>
      <c r="B1031" s="470">
        <f>+'Anlage 3a_Zusammenfassung_KWKG'!B2780</f>
        <v>91158567</v>
      </c>
      <c r="C1031" s="391">
        <f>+'Anlage 3a_Zusammenfassung_KWKG'!C2780</f>
        <v>289259</v>
      </c>
      <c r="D1031" s="989">
        <f t="shared" si="35"/>
        <v>91447826</v>
      </c>
    </row>
    <row r="1032" spans="1:4" hidden="1" outlineLevel="2">
      <c r="A1032" s="988" t="str">
        <f>+'Anlage 3a_Zusammenfassung_KWKG'!A2781</f>
        <v>SNB953495670831</v>
      </c>
      <c r="B1032" s="470">
        <f>+'Anlage 3a_Zusammenfassung_KWKG'!B2781</f>
        <v>75674506</v>
      </c>
      <c r="C1032" s="391">
        <f>+'Anlage 3a_Zusammenfassung_KWKG'!C2781</f>
        <v>0</v>
      </c>
      <c r="D1032" s="989">
        <f t="shared" si="35"/>
        <v>75674506</v>
      </c>
    </row>
    <row r="1033" spans="1:4" hidden="1" outlineLevel="2">
      <c r="A1033" s="988" t="str">
        <f>+'Anlage 3a_Zusammenfassung_KWKG'!A2782</f>
        <v>SNB953669866350</v>
      </c>
      <c r="B1033" s="470">
        <f>+'Anlage 3a_Zusammenfassung_KWKG'!B2782</f>
        <v>116445863</v>
      </c>
      <c r="C1033" s="391">
        <f>+'Anlage 3a_Zusammenfassung_KWKG'!C2782</f>
        <v>0</v>
      </c>
      <c r="D1033" s="989">
        <f t="shared" si="35"/>
        <v>116445863</v>
      </c>
    </row>
    <row r="1034" spans="1:4" hidden="1" outlineLevel="2">
      <c r="A1034" s="988" t="str">
        <f>+'Anlage 3a_Zusammenfassung_KWKG'!A2783</f>
        <v>SNB954281375657</v>
      </c>
      <c r="B1034" s="470">
        <f>+'Anlage 3a_Zusammenfassung_KWKG'!B2783</f>
        <v>253396319</v>
      </c>
      <c r="C1034" s="391">
        <f>+'Anlage 3a_Zusammenfassung_KWKG'!C2783</f>
        <v>-1943325</v>
      </c>
      <c r="D1034" s="989">
        <f t="shared" si="35"/>
        <v>251452994</v>
      </c>
    </row>
    <row r="1035" spans="1:4" hidden="1" outlineLevel="2">
      <c r="A1035" s="988" t="str">
        <f>+'Anlage 3a_Zusammenfassung_KWKG'!A2784</f>
        <v>SNB954814647626</v>
      </c>
      <c r="B1035" s="470">
        <f>+'Anlage 3a_Zusammenfassung_KWKG'!B2784</f>
        <v>201699436</v>
      </c>
      <c r="C1035" s="391">
        <f>+'Anlage 3a_Zusammenfassung_KWKG'!C2784</f>
        <v>0</v>
      </c>
      <c r="D1035" s="989">
        <f t="shared" si="35"/>
        <v>201699436</v>
      </c>
    </row>
    <row r="1036" spans="1:4" hidden="1" outlineLevel="2">
      <c r="A1036" s="988" t="str">
        <f>+'Anlage 3a_Zusammenfassung_KWKG'!A2785</f>
        <v>SNB957404386462</v>
      </c>
      <c r="B1036" s="470">
        <f>+'Anlage 3a_Zusammenfassung_KWKG'!B2785</f>
        <v>86526801</v>
      </c>
      <c r="C1036" s="391">
        <f>+'Anlage 3a_Zusammenfassung_KWKG'!C2785</f>
        <v>0</v>
      </c>
      <c r="D1036" s="989">
        <f t="shared" si="35"/>
        <v>86526801</v>
      </c>
    </row>
    <row r="1037" spans="1:4" hidden="1" outlineLevel="2">
      <c r="A1037" s="988" t="str">
        <f>+'Anlage 3a_Zusammenfassung_KWKG'!A2786</f>
        <v>SNB957440824454</v>
      </c>
      <c r="B1037" s="470">
        <f>+'Anlage 3a_Zusammenfassung_KWKG'!B2786</f>
        <v>45973114</v>
      </c>
      <c r="C1037" s="391">
        <f>+'Anlage 3a_Zusammenfassung_KWKG'!C2786</f>
        <v>0</v>
      </c>
      <c r="D1037" s="989">
        <f t="shared" si="35"/>
        <v>45973114</v>
      </c>
    </row>
    <row r="1038" spans="1:4" hidden="1" outlineLevel="2">
      <c r="A1038" s="988" t="str">
        <f>+'Anlage 3a_Zusammenfassung_KWKG'!A2787</f>
        <v>SNB957549782006</v>
      </c>
      <c r="B1038" s="470">
        <f>+'Anlage 3a_Zusammenfassung_KWKG'!B2787</f>
        <v>39339125</v>
      </c>
      <c r="C1038" s="391">
        <f>+'Anlage 3a_Zusammenfassung_KWKG'!C2787</f>
        <v>0</v>
      </c>
      <c r="D1038" s="989">
        <f t="shared" si="35"/>
        <v>39339125</v>
      </c>
    </row>
    <row r="1039" spans="1:4" hidden="1" outlineLevel="2">
      <c r="A1039" s="988" t="str">
        <f>+'Anlage 3a_Zusammenfassung_KWKG'!A2788</f>
        <v>SNB957591716776</v>
      </c>
      <c r="B1039" s="470">
        <f>+'Anlage 3a_Zusammenfassung_KWKG'!B2788</f>
        <v>52626429</v>
      </c>
      <c r="C1039" s="391">
        <f>+'Anlage 3a_Zusammenfassung_KWKG'!C2788</f>
        <v>0</v>
      </c>
      <c r="D1039" s="989">
        <f t="shared" si="35"/>
        <v>52626429</v>
      </c>
    </row>
    <row r="1040" spans="1:4" hidden="1" outlineLevel="2">
      <c r="A1040" s="988" t="str">
        <f>+'Anlage 3a_Zusammenfassung_KWKG'!A2789</f>
        <v>SNB958237843443</v>
      </c>
      <c r="B1040" s="470">
        <f>+'Anlage 3a_Zusammenfassung_KWKG'!B2789</f>
        <v>74406392</v>
      </c>
      <c r="C1040" s="391">
        <f>+'Anlage 3a_Zusammenfassung_KWKG'!C2789</f>
        <v>-92963</v>
      </c>
      <c r="D1040" s="989">
        <f t="shared" si="35"/>
        <v>74313429</v>
      </c>
    </row>
    <row r="1041" spans="1:4" hidden="1" outlineLevel="2">
      <c r="A1041" s="988" t="str">
        <f>+'Anlage 3a_Zusammenfassung_KWKG'!A2790</f>
        <v>SNB959120377328</v>
      </c>
      <c r="B1041" s="470">
        <f>+'Anlage 3a_Zusammenfassung_KWKG'!B2790</f>
        <v>108447924</v>
      </c>
      <c r="C1041" s="391">
        <f>+'Anlage 3a_Zusammenfassung_KWKG'!C2790</f>
        <v>0</v>
      </c>
      <c r="D1041" s="989">
        <f t="shared" si="35"/>
        <v>108447924</v>
      </c>
    </row>
    <row r="1042" spans="1:4" hidden="1" outlineLevel="2">
      <c r="A1042" s="988" t="str">
        <f>+'Anlage 3a_Zusammenfassung_KWKG'!A2791</f>
        <v>SNB959176447266</v>
      </c>
      <c r="B1042" s="470">
        <f>+'Anlage 3a_Zusammenfassung_KWKG'!B2791</f>
        <v>206177884</v>
      </c>
      <c r="C1042" s="391">
        <f>+'Anlage 3a_Zusammenfassung_KWKG'!C2791</f>
        <v>0</v>
      </c>
      <c r="D1042" s="989">
        <f t="shared" si="35"/>
        <v>206177884</v>
      </c>
    </row>
    <row r="1043" spans="1:4" hidden="1" outlineLevel="2">
      <c r="A1043" s="988" t="str">
        <f>+'Anlage 3a_Zusammenfassung_KWKG'!A2792</f>
        <v>SNB959492463384</v>
      </c>
      <c r="B1043" s="470">
        <f>+'Anlage 3a_Zusammenfassung_KWKG'!B2792</f>
        <v>33121527</v>
      </c>
      <c r="C1043" s="391">
        <f>+'Anlage 3a_Zusammenfassung_KWKG'!C2792</f>
        <v>0</v>
      </c>
      <c r="D1043" s="989">
        <f t="shared" si="35"/>
        <v>33121527</v>
      </c>
    </row>
    <row r="1044" spans="1:4" hidden="1" outlineLevel="2">
      <c r="A1044" s="988" t="str">
        <f>+'Anlage 3a_Zusammenfassung_KWKG'!A2793</f>
        <v>SNB959567240391</v>
      </c>
      <c r="B1044" s="470">
        <f>+'Anlage 3a_Zusammenfassung_KWKG'!B2793</f>
        <v>52162246</v>
      </c>
      <c r="C1044" s="391">
        <f>+'Anlage 3a_Zusammenfassung_KWKG'!C2793</f>
        <v>0</v>
      </c>
      <c r="D1044" s="989">
        <f t="shared" si="35"/>
        <v>52162246</v>
      </c>
    </row>
    <row r="1045" spans="1:4" hidden="1" outlineLevel="2">
      <c r="A1045" s="988" t="str">
        <f>+'Anlage 3a_Zusammenfassung_KWKG'!A2794</f>
        <v>SNB959966681252</v>
      </c>
      <c r="B1045" s="470">
        <f>+'Anlage 3a_Zusammenfassung_KWKG'!B2794</f>
        <v>65247397</v>
      </c>
      <c r="C1045" s="391">
        <f>+'Anlage 3a_Zusammenfassung_KWKG'!C2794</f>
        <v>-75838</v>
      </c>
      <c r="D1045" s="989">
        <f t="shared" si="35"/>
        <v>65171559</v>
      </c>
    </row>
    <row r="1046" spans="1:4" hidden="1" outlineLevel="2">
      <c r="A1046" s="988" t="str">
        <f>+'Anlage 3a_Zusammenfassung_KWKG'!A2795</f>
        <v>SNB960729432592</v>
      </c>
      <c r="B1046" s="470">
        <f>+'Anlage 3a_Zusammenfassung_KWKG'!B2795</f>
        <v>14240100</v>
      </c>
      <c r="C1046" s="391">
        <f>+'Anlage 3a_Zusammenfassung_KWKG'!C2795</f>
        <v>-1679681</v>
      </c>
      <c r="D1046" s="989">
        <f t="shared" si="35"/>
        <v>12560419</v>
      </c>
    </row>
    <row r="1047" spans="1:4" hidden="1" outlineLevel="2">
      <c r="A1047" s="988" t="str">
        <f>+'Anlage 3a_Zusammenfassung_KWKG'!A2796</f>
        <v>SNB961316124487</v>
      </c>
      <c r="B1047" s="470">
        <f>+'Anlage 3a_Zusammenfassung_KWKG'!B2796</f>
        <v>144709339</v>
      </c>
      <c r="C1047" s="391">
        <f>+'Anlage 3a_Zusammenfassung_KWKG'!C2796</f>
        <v>0</v>
      </c>
      <c r="D1047" s="989">
        <f t="shared" si="35"/>
        <v>144709339</v>
      </c>
    </row>
    <row r="1048" spans="1:4" hidden="1" outlineLevel="2">
      <c r="A1048" s="988" t="str">
        <f>+'Anlage 3a_Zusammenfassung_KWKG'!A2797</f>
        <v>SNB961833910969</v>
      </c>
      <c r="B1048" s="470">
        <f>+'Anlage 3a_Zusammenfassung_KWKG'!B2797</f>
        <v>33210608</v>
      </c>
      <c r="C1048" s="391">
        <f>+'Anlage 3a_Zusammenfassung_KWKG'!C2797</f>
        <v>0</v>
      </c>
      <c r="D1048" s="989">
        <f t="shared" si="35"/>
        <v>33210608</v>
      </c>
    </row>
    <row r="1049" spans="1:4" hidden="1" outlineLevel="2">
      <c r="A1049" s="988" t="str">
        <f>+'Anlage 3a_Zusammenfassung_KWKG'!A2798</f>
        <v>SNB961943991735</v>
      </c>
      <c r="B1049" s="470">
        <f>+'Anlage 3a_Zusammenfassung_KWKG'!B2798</f>
        <v>27036947</v>
      </c>
      <c r="C1049" s="391">
        <f>+'Anlage 3a_Zusammenfassung_KWKG'!C2798</f>
        <v>0</v>
      </c>
      <c r="D1049" s="989">
        <f t="shared" si="35"/>
        <v>27036947</v>
      </c>
    </row>
    <row r="1050" spans="1:4" hidden="1" outlineLevel="2">
      <c r="A1050" s="988" t="str">
        <f>+'Anlage 3a_Zusammenfassung_KWKG'!A2799</f>
        <v>SNB962389410347</v>
      </c>
      <c r="B1050" s="470">
        <f>+'Anlage 3a_Zusammenfassung_KWKG'!B2799</f>
        <v>48905783</v>
      </c>
      <c r="C1050" s="391">
        <f>+'Anlage 3a_Zusammenfassung_KWKG'!C2799</f>
        <v>-312253</v>
      </c>
      <c r="D1050" s="989">
        <f t="shared" si="35"/>
        <v>48593530</v>
      </c>
    </row>
    <row r="1051" spans="1:4" hidden="1" outlineLevel="2">
      <c r="A1051" s="988" t="str">
        <f>+'Anlage 3a_Zusammenfassung_KWKG'!A2800</f>
        <v>SNB962890977544</v>
      </c>
      <c r="B1051" s="470">
        <f>+'Anlage 3a_Zusammenfassung_KWKG'!B2800</f>
        <v>92467481</v>
      </c>
      <c r="C1051" s="391">
        <f>+'Anlage 3a_Zusammenfassung_KWKG'!C2800</f>
        <v>526616</v>
      </c>
      <c r="D1051" s="989">
        <f t="shared" si="35"/>
        <v>92994097</v>
      </c>
    </row>
    <row r="1052" spans="1:4" hidden="1" outlineLevel="2">
      <c r="A1052" s="988" t="str">
        <f>+'Anlage 3a_Zusammenfassung_KWKG'!A2801</f>
        <v>SNB963070917732</v>
      </c>
      <c r="B1052" s="470">
        <f>+'Anlage 3a_Zusammenfassung_KWKG'!B2801</f>
        <v>62746749</v>
      </c>
      <c r="C1052" s="391">
        <f>+'Anlage 3a_Zusammenfassung_KWKG'!C2801</f>
        <v>0</v>
      </c>
      <c r="D1052" s="989">
        <f t="shared" si="35"/>
        <v>62746749</v>
      </c>
    </row>
    <row r="1053" spans="1:4" hidden="1" outlineLevel="2">
      <c r="A1053" s="988" t="str">
        <f>+'Anlage 3a_Zusammenfassung_KWKG'!A2802</f>
        <v>SNB963792700889</v>
      </c>
      <c r="B1053" s="470">
        <f>+'Anlage 3a_Zusammenfassung_KWKG'!B2802</f>
        <v>174480815</v>
      </c>
      <c r="C1053" s="391">
        <f>+'Anlage 3a_Zusammenfassung_KWKG'!C2802</f>
        <v>26580</v>
      </c>
      <c r="D1053" s="989">
        <f t="shared" si="35"/>
        <v>174507395</v>
      </c>
    </row>
    <row r="1054" spans="1:4" hidden="1" outlineLevel="2">
      <c r="A1054" s="988" t="str">
        <f>+'Anlage 3a_Zusammenfassung_KWKG'!A2803</f>
        <v>SNB963995572245</v>
      </c>
      <c r="B1054" s="470">
        <f>+'Anlage 3a_Zusammenfassung_KWKG'!B2803</f>
        <v>57855437</v>
      </c>
      <c r="C1054" s="391">
        <f>+'Anlage 3a_Zusammenfassung_KWKG'!C2803</f>
        <v>-68910</v>
      </c>
      <c r="D1054" s="989">
        <f t="shared" si="35"/>
        <v>57786527</v>
      </c>
    </row>
    <row r="1055" spans="1:4" hidden="1" outlineLevel="2">
      <c r="A1055" s="988" t="str">
        <f>+'Anlage 3a_Zusammenfassung_KWKG'!A2804</f>
        <v>SNB964045995373</v>
      </c>
      <c r="B1055" s="470">
        <f>+'Anlage 3a_Zusammenfassung_KWKG'!B2804</f>
        <v>135244485</v>
      </c>
      <c r="C1055" s="391">
        <f>+'Anlage 3a_Zusammenfassung_KWKG'!C2804</f>
        <v>437241</v>
      </c>
      <c r="D1055" s="989">
        <f t="shared" si="35"/>
        <v>135681726</v>
      </c>
    </row>
    <row r="1056" spans="1:4" hidden="1" outlineLevel="2">
      <c r="A1056" s="988" t="str">
        <f>+'Anlage 3a_Zusammenfassung_KWKG'!A2805</f>
        <v>SNB964092397892</v>
      </c>
      <c r="B1056" s="470">
        <f>+'Anlage 3a_Zusammenfassung_KWKG'!B2805</f>
        <v>41391857</v>
      </c>
      <c r="C1056" s="391">
        <f>+'Anlage 3a_Zusammenfassung_KWKG'!C2805</f>
        <v>0</v>
      </c>
      <c r="D1056" s="989">
        <f t="shared" si="35"/>
        <v>41391857</v>
      </c>
    </row>
    <row r="1057" spans="1:4" hidden="1" outlineLevel="2">
      <c r="A1057" s="988" t="str">
        <f>+'Anlage 3a_Zusammenfassung_KWKG'!A2806</f>
        <v>SNB964659661008</v>
      </c>
      <c r="B1057" s="470">
        <f>+'Anlage 3a_Zusammenfassung_KWKG'!B2806</f>
        <v>85782003</v>
      </c>
      <c r="C1057" s="391">
        <f>+'Anlage 3a_Zusammenfassung_KWKG'!C2806</f>
        <v>0</v>
      </c>
      <c r="D1057" s="989">
        <f t="shared" si="35"/>
        <v>85782003</v>
      </c>
    </row>
    <row r="1058" spans="1:4" hidden="1" outlineLevel="2">
      <c r="A1058" s="988" t="str">
        <f>+'Anlage 3a_Zusammenfassung_KWKG'!A2807</f>
        <v>SNB968295079586</v>
      </c>
      <c r="B1058" s="470">
        <f>+'Anlage 3a_Zusammenfassung_KWKG'!B2807</f>
        <v>6909866822</v>
      </c>
      <c r="C1058" s="391">
        <f>+'Anlage 3a_Zusammenfassung_KWKG'!C2807</f>
        <v>-465340</v>
      </c>
      <c r="D1058" s="989">
        <f t="shared" si="35"/>
        <v>6909401482</v>
      </c>
    </row>
    <row r="1059" spans="1:4" hidden="1" outlineLevel="2">
      <c r="A1059" s="988" t="str">
        <f>+'Anlage 3a_Zusammenfassung_KWKG'!A2808</f>
        <v>SNB968914838013</v>
      </c>
      <c r="B1059" s="470">
        <f>+'Anlage 3a_Zusammenfassung_KWKG'!B2808</f>
        <v>2052716008</v>
      </c>
      <c r="C1059" s="391">
        <f>+'Anlage 3a_Zusammenfassung_KWKG'!C2808</f>
        <v>38541880</v>
      </c>
      <c r="D1059" s="989">
        <f t="shared" si="35"/>
        <v>2091257888</v>
      </c>
    </row>
    <row r="1060" spans="1:4" hidden="1" outlineLevel="2">
      <c r="A1060" s="988" t="str">
        <f>+'Anlage 3a_Zusammenfassung_KWKG'!A2809</f>
        <v>SNB970223838288</v>
      </c>
      <c r="B1060" s="470">
        <f>+'Anlage 3a_Zusammenfassung_KWKG'!B2809</f>
        <v>79275835</v>
      </c>
      <c r="C1060" s="391">
        <f>+'Anlage 3a_Zusammenfassung_KWKG'!C2809</f>
        <v>0</v>
      </c>
      <c r="D1060" s="989">
        <f t="shared" si="35"/>
        <v>79275835</v>
      </c>
    </row>
    <row r="1061" spans="1:4" hidden="1" outlineLevel="2">
      <c r="A1061" s="988" t="str">
        <f>+'Anlage 3a_Zusammenfassung_KWKG'!A2810</f>
        <v>SNB970821959712</v>
      </c>
      <c r="B1061" s="470">
        <f>+'Anlage 3a_Zusammenfassung_KWKG'!B2810</f>
        <v>2975555620</v>
      </c>
      <c r="C1061" s="391">
        <f>+'Anlage 3a_Zusammenfassung_KWKG'!C2810</f>
        <v>90235376</v>
      </c>
      <c r="D1061" s="989">
        <f t="shared" si="35"/>
        <v>3065790996</v>
      </c>
    </row>
    <row r="1062" spans="1:4" hidden="1" outlineLevel="2">
      <c r="A1062" s="988" t="str">
        <f>+'Anlage 3a_Zusammenfassung_KWKG'!A2811</f>
        <v>SNB971199523673</v>
      </c>
      <c r="B1062" s="470">
        <f>+'Anlage 3a_Zusammenfassung_KWKG'!B2811</f>
        <v>217412607</v>
      </c>
      <c r="C1062" s="391">
        <f>+'Anlage 3a_Zusammenfassung_KWKG'!C2811</f>
        <v>-2821620</v>
      </c>
      <c r="D1062" s="989">
        <f t="shared" si="35"/>
        <v>214590987</v>
      </c>
    </row>
    <row r="1063" spans="1:4" hidden="1" outlineLevel="2">
      <c r="A1063" s="988" t="str">
        <f>+'Anlage 3a_Zusammenfassung_KWKG'!A2812</f>
        <v>SNB971345683381</v>
      </c>
      <c r="B1063" s="470">
        <f>+'Anlage 3a_Zusammenfassung_KWKG'!B2812</f>
        <v>36896821</v>
      </c>
      <c r="C1063" s="391">
        <f>+'Anlage 3a_Zusammenfassung_KWKG'!C2812</f>
        <v>0</v>
      </c>
      <c r="D1063" s="989">
        <f t="shared" si="35"/>
        <v>36896821</v>
      </c>
    </row>
    <row r="1064" spans="1:4" hidden="1" outlineLevel="2">
      <c r="A1064" s="988" t="str">
        <f>+'Anlage 3a_Zusammenfassung_KWKG'!A2813</f>
        <v>SNB971770548286</v>
      </c>
      <c r="B1064" s="470">
        <f>+'Anlage 3a_Zusammenfassung_KWKG'!B2813</f>
        <v>26111099</v>
      </c>
      <c r="C1064" s="391">
        <f>+'Anlage 3a_Zusammenfassung_KWKG'!C2813</f>
        <v>-191176</v>
      </c>
      <c r="D1064" s="989">
        <f t="shared" si="35"/>
        <v>25919923</v>
      </c>
    </row>
    <row r="1065" spans="1:4" hidden="1" outlineLevel="2">
      <c r="A1065" s="988" t="str">
        <f>+'Anlage 3a_Zusammenfassung_KWKG'!A2814</f>
        <v>SNB971962135690</v>
      </c>
      <c r="B1065" s="470">
        <f>+'Anlage 3a_Zusammenfassung_KWKG'!B2814</f>
        <v>5390351</v>
      </c>
      <c r="C1065" s="391">
        <f>+'Anlage 3a_Zusammenfassung_KWKG'!C2814</f>
        <v>0</v>
      </c>
      <c r="D1065" s="989">
        <f t="shared" si="35"/>
        <v>5390351</v>
      </c>
    </row>
    <row r="1066" spans="1:4" hidden="1" outlineLevel="2">
      <c r="A1066" s="988" t="str">
        <f>+'Anlage 3a_Zusammenfassung_KWKG'!A2815</f>
        <v>SNB973501936539</v>
      </c>
      <c r="B1066" s="470">
        <f>+'Anlage 3a_Zusammenfassung_KWKG'!B2815</f>
        <v>96460337</v>
      </c>
      <c r="C1066" s="391">
        <f>+'Anlage 3a_Zusammenfassung_KWKG'!C2815</f>
        <v>0</v>
      </c>
      <c r="D1066" s="989">
        <f t="shared" si="35"/>
        <v>96460337</v>
      </c>
    </row>
    <row r="1067" spans="1:4" hidden="1" outlineLevel="2">
      <c r="A1067" s="988" t="str">
        <f>+'Anlage 3a_Zusammenfassung_KWKG'!A2816</f>
        <v>SNB973505068113</v>
      </c>
      <c r="B1067" s="470">
        <f>+'Anlage 3a_Zusammenfassung_KWKG'!B2816</f>
        <v>70767204</v>
      </c>
      <c r="C1067" s="391">
        <f>+'Anlage 3a_Zusammenfassung_KWKG'!C2816</f>
        <v>0</v>
      </c>
      <c r="D1067" s="989">
        <f t="shared" si="35"/>
        <v>70767204</v>
      </c>
    </row>
    <row r="1068" spans="1:4" hidden="1" outlineLevel="2">
      <c r="A1068" s="988" t="str">
        <f>+'Anlage 3a_Zusammenfassung_KWKG'!A2817</f>
        <v>SNB974684403535</v>
      </c>
      <c r="B1068" s="470">
        <f>+'Anlage 3a_Zusammenfassung_KWKG'!B2817</f>
        <v>43532592</v>
      </c>
      <c r="C1068" s="391">
        <f>+'Anlage 3a_Zusammenfassung_KWKG'!C2817</f>
        <v>292323</v>
      </c>
      <c r="D1068" s="989">
        <f t="shared" ref="D1068:D1105" si="36">SUM(B1068:C1068)</f>
        <v>43824915</v>
      </c>
    </row>
    <row r="1069" spans="1:4" hidden="1" outlineLevel="2">
      <c r="A1069" s="988" t="str">
        <f>+'Anlage 3a_Zusammenfassung_KWKG'!A2818</f>
        <v>SNB974693983233</v>
      </c>
      <c r="B1069" s="470">
        <f>+'Anlage 3a_Zusammenfassung_KWKG'!B2818</f>
        <v>192128304</v>
      </c>
      <c r="C1069" s="391">
        <f>+'Anlage 3a_Zusammenfassung_KWKG'!C2818</f>
        <v>33311</v>
      </c>
      <c r="D1069" s="989">
        <f t="shared" si="36"/>
        <v>192161615</v>
      </c>
    </row>
    <row r="1070" spans="1:4" hidden="1" outlineLevel="2">
      <c r="A1070" s="988" t="str">
        <f>+'Anlage 3a_Zusammenfassung_KWKG'!A2819</f>
        <v>SNB974763887737</v>
      </c>
      <c r="B1070" s="470">
        <f>+'Anlage 3a_Zusammenfassung_KWKG'!B2819</f>
        <v>34074724</v>
      </c>
      <c r="C1070" s="391">
        <f>+'Anlage 3a_Zusammenfassung_KWKG'!C2819</f>
        <v>0</v>
      </c>
      <c r="D1070" s="989">
        <f t="shared" si="36"/>
        <v>34074724</v>
      </c>
    </row>
    <row r="1071" spans="1:4" hidden="1" outlineLevel="2">
      <c r="A1071" s="988" t="str">
        <f>+'Anlage 3a_Zusammenfassung_KWKG'!A2820</f>
        <v>SNB975176329548</v>
      </c>
      <c r="B1071" s="470">
        <f>+'Anlage 3a_Zusammenfassung_KWKG'!B2820</f>
        <v>1320270</v>
      </c>
      <c r="C1071" s="391">
        <f>+'Anlage 3a_Zusammenfassung_KWKG'!C2820</f>
        <v>0</v>
      </c>
      <c r="D1071" s="989">
        <f t="shared" si="36"/>
        <v>1320270</v>
      </c>
    </row>
    <row r="1072" spans="1:4" hidden="1" outlineLevel="2">
      <c r="A1072" s="988" t="str">
        <f>+'Anlage 3a_Zusammenfassung_KWKG'!A2821</f>
        <v>SNB975846871759</v>
      </c>
      <c r="B1072" s="470">
        <f>+'Anlage 3a_Zusammenfassung_KWKG'!B2821</f>
        <v>68457083</v>
      </c>
      <c r="C1072" s="391">
        <f>+'Anlage 3a_Zusammenfassung_KWKG'!C2821</f>
        <v>0</v>
      </c>
      <c r="D1072" s="989">
        <f t="shared" si="36"/>
        <v>68457083</v>
      </c>
    </row>
    <row r="1073" spans="1:4" hidden="1" outlineLevel="2">
      <c r="A1073" s="988" t="str">
        <f>+'Anlage 3a_Zusammenfassung_KWKG'!A2822</f>
        <v>SNB976240506834</v>
      </c>
      <c r="B1073" s="470">
        <f>+'Anlage 3a_Zusammenfassung_KWKG'!B2822</f>
        <v>20620381</v>
      </c>
      <c r="C1073" s="391">
        <f>+'Anlage 3a_Zusammenfassung_KWKG'!C2822</f>
        <v>106725</v>
      </c>
      <c r="D1073" s="989">
        <f t="shared" si="36"/>
        <v>20727106</v>
      </c>
    </row>
    <row r="1074" spans="1:4" hidden="1" outlineLevel="2">
      <c r="A1074" s="988" t="str">
        <f>+'Anlage 3a_Zusammenfassung_KWKG'!A2823</f>
        <v>SNB976679550309</v>
      </c>
      <c r="B1074" s="470">
        <f>+'Anlage 3a_Zusammenfassung_KWKG'!B2823</f>
        <v>85977212</v>
      </c>
      <c r="C1074" s="391">
        <f>+'Anlage 3a_Zusammenfassung_KWKG'!C2823</f>
        <v>0</v>
      </c>
      <c r="D1074" s="989">
        <f t="shared" si="36"/>
        <v>85977212</v>
      </c>
    </row>
    <row r="1075" spans="1:4" hidden="1" outlineLevel="2">
      <c r="A1075" s="988" t="str">
        <f>+'Anlage 3a_Zusammenfassung_KWKG'!A2824</f>
        <v>SNB977174706994</v>
      </c>
      <c r="B1075" s="470">
        <f>+'Anlage 3a_Zusammenfassung_KWKG'!B2824</f>
        <v>40112012</v>
      </c>
      <c r="C1075" s="391">
        <f>+'Anlage 3a_Zusammenfassung_KWKG'!C2824</f>
        <v>0</v>
      </c>
      <c r="D1075" s="989">
        <f t="shared" si="36"/>
        <v>40112012</v>
      </c>
    </row>
    <row r="1076" spans="1:4" hidden="1" outlineLevel="2">
      <c r="A1076" s="988" t="str">
        <f>+'Anlage 3a_Zusammenfassung_KWKG'!A2825</f>
        <v>SNB977374861035</v>
      </c>
      <c r="B1076" s="470">
        <f>+'Anlage 3a_Zusammenfassung_KWKG'!B2825</f>
        <v>123182165</v>
      </c>
      <c r="C1076" s="391">
        <f>+'Anlage 3a_Zusammenfassung_KWKG'!C2825</f>
        <v>0</v>
      </c>
      <c r="D1076" s="989">
        <f t="shared" si="36"/>
        <v>123182165</v>
      </c>
    </row>
    <row r="1077" spans="1:4" hidden="1" outlineLevel="2">
      <c r="A1077" s="988" t="str">
        <f>+'Anlage 3a_Zusammenfassung_KWKG'!A2826</f>
        <v>SNB977641826996</v>
      </c>
      <c r="B1077" s="470">
        <f>+'Anlage 3a_Zusammenfassung_KWKG'!B2826</f>
        <v>204284378</v>
      </c>
      <c r="C1077" s="391">
        <f>+'Anlage 3a_Zusammenfassung_KWKG'!C2826</f>
        <v>-838935</v>
      </c>
      <c r="D1077" s="989">
        <f t="shared" si="36"/>
        <v>203445443</v>
      </c>
    </row>
    <row r="1078" spans="1:4" hidden="1" outlineLevel="2">
      <c r="A1078" s="988" t="str">
        <f>+'Anlage 3a_Zusammenfassung_KWKG'!A2827</f>
        <v>SNB978051166283</v>
      </c>
      <c r="B1078" s="470">
        <f>+'Anlage 3a_Zusammenfassung_KWKG'!B2827</f>
        <v>26584542</v>
      </c>
      <c r="C1078" s="391">
        <f>+'Anlage 3a_Zusammenfassung_KWKG'!C2827</f>
        <v>1590678</v>
      </c>
      <c r="D1078" s="989">
        <f t="shared" si="36"/>
        <v>28175220</v>
      </c>
    </row>
    <row r="1079" spans="1:4" hidden="1" outlineLevel="2">
      <c r="A1079" s="988" t="str">
        <f>+'Anlage 3a_Zusammenfassung_KWKG'!A2828</f>
        <v>SNB978071940108</v>
      </c>
      <c r="B1079" s="470">
        <f>+'Anlage 3a_Zusammenfassung_KWKG'!B2828</f>
        <v>66964156</v>
      </c>
      <c r="C1079" s="391">
        <f>+'Anlage 3a_Zusammenfassung_KWKG'!C2828</f>
        <v>588974</v>
      </c>
      <c r="D1079" s="989">
        <f t="shared" si="36"/>
        <v>67553130</v>
      </c>
    </row>
    <row r="1080" spans="1:4" hidden="1" outlineLevel="2">
      <c r="A1080" s="988" t="str">
        <f>+'Anlage 3a_Zusammenfassung_KWKG'!A2829</f>
        <v>SNB979269087643</v>
      </c>
      <c r="B1080" s="470">
        <f>+'Anlage 3a_Zusammenfassung_KWKG'!B2829</f>
        <v>11312378472</v>
      </c>
      <c r="C1080" s="391">
        <f>+'Anlage 3a_Zusammenfassung_KWKG'!C2829</f>
        <v>192631479</v>
      </c>
      <c r="D1080" s="989">
        <f t="shared" si="36"/>
        <v>11505009951</v>
      </c>
    </row>
    <row r="1081" spans="1:4" hidden="1" outlineLevel="2">
      <c r="A1081" s="988" t="str">
        <f>+'Anlage 3a_Zusammenfassung_KWKG'!A2830</f>
        <v>SNB979429791342</v>
      </c>
      <c r="B1081" s="470">
        <f>+'Anlage 3a_Zusammenfassung_KWKG'!B2830</f>
        <v>59496461</v>
      </c>
      <c r="C1081" s="391">
        <f>+'Anlage 3a_Zusammenfassung_KWKG'!C2830</f>
        <v>0</v>
      </c>
      <c r="D1081" s="989">
        <f t="shared" si="36"/>
        <v>59496461</v>
      </c>
    </row>
    <row r="1082" spans="1:4" hidden="1" outlineLevel="2">
      <c r="A1082" s="988" t="str">
        <f>+'Anlage 3a_Zusammenfassung_KWKG'!A2831</f>
        <v>SNB980362940834</v>
      </c>
      <c r="B1082" s="470">
        <f>+'Anlage 3a_Zusammenfassung_KWKG'!B2831</f>
        <v>8384960</v>
      </c>
      <c r="C1082" s="391">
        <f>+'Anlage 3a_Zusammenfassung_KWKG'!C2831</f>
        <v>0</v>
      </c>
      <c r="D1082" s="989">
        <f t="shared" si="36"/>
        <v>8384960</v>
      </c>
    </row>
    <row r="1083" spans="1:4" hidden="1" outlineLevel="2">
      <c r="A1083" s="988" t="str">
        <f>+'Anlage 3a_Zusammenfassung_KWKG'!A2832</f>
        <v>SNB980808485264</v>
      </c>
      <c r="B1083" s="470">
        <f>+'Anlage 3a_Zusammenfassung_KWKG'!B2832</f>
        <v>2002885478</v>
      </c>
      <c r="C1083" s="391">
        <f>+'Anlage 3a_Zusammenfassung_KWKG'!C2832</f>
        <v>12617159</v>
      </c>
      <c r="D1083" s="989">
        <f t="shared" si="36"/>
        <v>2015502637</v>
      </c>
    </row>
    <row r="1084" spans="1:4" hidden="1" outlineLevel="2">
      <c r="A1084" s="988" t="str">
        <f>+'Anlage 3a_Zusammenfassung_KWKG'!A2833</f>
        <v>SNB981122608278</v>
      </c>
      <c r="B1084" s="470">
        <f>+'Anlage 3a_Zusammenfassung_KWKG'!B2833</f>
        <v>913944</v>
      </c>
      <c r="C1084" s="391">
        <f>+'Anlage 3a_Zusammenfassung_KWKG'!C2833</f>
        <v>0</v>
      </c>
      <c r="D1084" s="989">
        <f t="shared" si="36"/>
        <v>913944</v>
      </c>
    </row>
    <row r="1085" spans="1:4" hidden="1" outlineLevel="2">
      <c r="A1085" s="988" t="str">
        <f>+'Anlage 3a_Zusammenfassung_KWKG'!A2834</f>
        <v>SNB981460842488</v>
      </c>
      <c r="B1085" s="470">
        <f>+'Anlage 3a_Zusammenfassung_KWKG'!B2834</f>
        <v>23584877</v>
      </c>
      <c r="C1085" s="391">
        <f>+'Anlage 3a_Zusammenfassung_KWKG'!C2834</f>
        <v>-92408</v>
      </c>
      <c r="D1085" s="989">
        <f t="shared" si="36"/>
        <v>23492469</v>
      </c>
    </row>
    <row r="1086" spans="1:4" hidden="1" outlineLevel="2">
      <c r="A1086" s="988" t="str">
        <f>+'Anlage 3a_Zusammenfassung_KWKG'!A2835</f>
        <v>SNB981597332487</v>
      </c>
      <c r="B1086" s="470">
        <f>+'Anlage 3a_Zusammenfassung_KWKG'!B2835</f>
        <v>5455993</v>
      </c>
      <c r="C1086" s="391">
        <f>+'Anlage 3a_Zusammenfassung_KWKG'!C2835</f>
        <v>0</v>
      </c>
      <c r="D1086" s="989">
        <f t="shared" si="36"/>
        <v>5455993</v>
      </c>
    </row>
    <row r="1087" spans="1:4" hidden="1" outlineLevel="2">
      <c r="A1087" s="988" t="str">
        <f>+'Anlage 3a_Zusammenfassung_KWKG'!A2836</f>
        <v>SNB982046657236</v>
      </c>
      <c r="B1087" s="470">
        <f>+'Anlage 3a_Zusammenfassung_KWKG'!B2836</f>
        <v>4394828406</v>
      </c>
      <c r="C1087" s="391">
        <f>+'Anlage 3a_Zusammenfassung_KWKG'!C2836</f>
        <v>-71252</v>
      </c>
      <c r="D1087" s="989">
        <f t="shared" si="36"/>
        <v>4394757154</v>
      </c>
    </row>
    <row r="1088" spans="1:4" hidden="1" outlineLevel="2">
      <c r="A1088" s="988" t="str">
        <f>+'Anlage 3a_Zusammenfassung_KWKG'!A2837</f>
        <v>SNB982241851170</v>
      </c>
      <c r="B1088" s="470">
        <f>+'Anlage 3a_Zusammenfassung_KWKG'!B2837</f>
        <v>75412441</v>
      </c>
      <c r="C1088" s="391">
        <f>+'Anlage 3a_Zusammenfassung_KWKG'!C2837</f>
        <v>0</v>
      </c>
      <c r="D1088" s="989">
        <f t="shared" si="36"/>
        <v>75412441</v>
      </c>
    </row>
    <row r="1089" spans="1:4" hidden="1" outlineLevel="2">
      <c r="A1089" s="988" t="str">
        <f>+'Anlage 3a_Zusammenfassung_KWKG'!A2838</f>
        <v>SNB982722829230</v>
      </c>
      <c r="B1089" s="470">
        <f>+'Anlage 3a_Zusammenfassung_KWKG'!B2838</f>
        <v>273518848</v>
      </c>
      <c r="C1089" s="391">
        <f>+'Anlage 3a_Zusammenfassung_KWKG'!C2838</f>
        <v>0</v>
      </c>
      <c r="D1089" s="989">
        <f t="shared" si="36"/>
        <v>273518848</v>
      </c>
    </row>
    <row r="1090" spans="1:4" hidden="1" outlineLevel="2">
      <c r="A1090" s="988" t="str">
        <f>+'Anlage 3a_Zusammenfassung_KWKG'!A2839</f>
        <v>SNB982934611074</v>
      </c>
      <c r="B1090" s="470">
        <f>+'Anlage 3a_Zusammenfassung_KWKG'!B2839</f>
        <v>648785158</v>
      </c>
      <c r="C1090" s="391">
        <f>+'Anlage 3a_Zusammenfassung_KWKG'!C2839</f>
        <v>0</v>
      </c>
      <c r="D1090" s="989">
        <f t="shared" si="36"/>
        <v>648785158</v>
      </c>
    </row>
    <row r="1091" spans="1:4" hidden="1" outlineLevel="2">
      <c r="A1091" s="988" t="str">
        <f>+'Anlage 3a_Zusammenfassung_KWKG'!A2840</f>
        <v>SNB983029590205</v>
      </c>
      <c r="B1091" s="470">
        <f>+'Anlage 3a_Zusammenfassung_KWKG'!B2840</f>
        <v>83393935</v>
      </c>
      <c r="C1091" s="391">
        <f>+'Anlage 3a_Zusammenfassung_KWKG'!C2840</f>
        <v>0</v>
      </c>
      <c r="D1091" s="989">
        <f t="shared" si="36"/>
        <v>83393935</v>
      </c>
    </row>
    <row r="1092" spans="1:4" hidden="1" outlineLevel="2">
      <c r="A1092" s="988" t="str">
        <f>+'Anlage 3a_Zusammenfassung_KWKG'!A2841</f>
        <v>SNB983765888505</v>
      </c>
      <c r="B1092" s="470">
        <f>+'Anlage 3a_Zusammenfassung_KWKG'!B2841</f>
        <v>51231277</v>
      </c>
      <c r="C1092" s="391">
        <f>+'Anlage 3a_Zusammenfassung_KWKG'!C2841</f>
        <v>0</v>
      </c>
      <c r="D1092" s="989">
        <f t="shared" si="36"/>
        <v>51231277</v>
      </c>
    </row>
    <row r="1093" spans="1:4" hidden="1" outlineLevel="2">
      <c r="A1093" s="988" t="str">
        <f>+'Anlage 3a_Zusammenfassung_KWKG'!A2842</f>
        <v>SNB985072256732</v>
      </c>
      <c r="B1093" s="470">
        <f>+'Anlage 3a_Zusammenfassung_KWKG'!B2842</f>
        <v>42922617</v>
      </c>
      <c r="C1093" s="391">
        <f>+'Anlage 3a_Zusammenfassung_KWKG'!C2842</f>
        <v>0</v>
      </c>
      <c r="D1093" s="989">
        <f t="shared" si="36"/>
        <v>42922617</v>
      </c>
    </row>
    <row r="1094" spans="1:4" hidden="1" outlineLevel="2">
      <c r="A1094" s="988" t="str">
        <f>+'Anlage 3a_Zusammenfassung_KWKG'!A2843</f>
        <v>SNB985414225433</v>
      </c>
      <c r="B1094" s="470">
        <f>+'Anlage 3a_Zusammenfassung_KWKG'!B2843</f>
        <v>9705432</v>
      </c>
      <c r="C1094" s="391">
        <f>+'Anlage 3a_Zusammenfassung_KWKG'!C2843</f>
        <v>0</v>
      </c>
      <c r="D1094" s="989">
        <f t="shared" si="36"/>
        <v>9705432</v>
      </c>
    </row>
    <row r="1095" spans="1:4" hidden="1" outlineLevel="2">
      <c r="A1095" s="988" t="str">
        <f>+'Anlage 3a_Zusammenfassung_KWKG'!A2844</f>
        <v>SNB985993443181</v>
      </c>
      <c r="B1095" s="470">
        <f>+'Anlage 3a_Zusammenfassung_KWKG'!B2844</f>
        <v>130644438</v>
      </c>
      <c r="C1095" s="391">
        <f>+'Anlage 3a_Zusammenfassung_KWKG'!C2844</f>
        <v>0</v>
      </c>
      <c r="D1095" s="989">
        <f t="shared" si="36"/>
        <v>130644438</v>
      </c>
    </row>
    <row r="1096" spans="1:4" hidden="1" outlineLevel="2">
      <c r="A1096" s="988" t="str">
        <f>+'Anlage 3a_Zusammenfassung_KWKG'!A2845</f>
        <v>SNB987317008403</v>
      </c>
      <c r="B1096" s="470">
        <f>+'Anlage 3a_Zusammenfassung_KWKG'!B2845</f>
        <v>41441923</v>
      </c>
      <c r="C1096" s="391">
        <f>+'Anlage 3a_Zusammenfassung_KWKG'!C2845</f>
        <v>-2685934</v>
      </c>
      <c r="D1096" s="989">
        <f t="shared" si="36"/>
        <v>38755989</v>
      </c>
    </row>
    <row r="1097" spans="1:4" hidden="1" outlineLevel="2">
      <c r="A1097" s="988" t="str">
        <f>+'Anlage 3a_Zusammenfassung_KWKG'!A2846</f>
        <v>SNB987483520273</v>
      </c>
      <c r="B1097" s="470">
        <f>+'Anlage 3a_Zusammenfassung_KWKG'!B2846</f>
        <v>71192148</v>
      </c>
      <c r="C1097" s="391">
        <f>+'Anlage 3a_Zusammenfassung_KWKG'!C2846</f>
        <v>0</v>
      </c>
      <c r="D1097" s="989">
        <f t="shared" si="36"/>
        <v>71192148</v>
      </c>
    </row>
    <row r="1098" spans="1:4" hidden="1" outlineLevel="2">
      <c r="A1098" s="988" t="str">
        <f>+'Anlage 3a_Zusammenfassung_KWKG'!A2847</f>
        <v>SNB988532040636</v>
      </c>
      <c r="B1098" s="470">
        <f>+'Anlage 3a_Zusammenfassung_KWKG'!B2847</f>
        <v>30167722</v>
      </c>
      <c r="C1098" s="391">
        <f>+'Anlage 3a_Zusammenfassung_KWKG'!C2847</f>
        <v>0</v>
      </c>
      <c r="D1098" s="989">
        <f t="shared" si="36"/>
        <v>30167722</v>
      </c>
    </row>
    <row r="1099" spans="1:4" hidden="1" outlineLevel="2">
      <c r="A1099" s="988" t="str">
        <f>+'Anlage 3a_Zusammenfassung_KWKG'!A2848</f>
        <v>SNB989700422711</v>
      </c>
      <c r="B1099" s="470">
        <f>+'Anlage 3a_Zusammenfassung_KWKG'!B2848</f>
        <v>155829227</v>
      </c>
      <c r="C1099" s="391">
        <f>+'Anlage 3a_Zusammenfassung_KWKG'!C2848</f>
        <v>86577</v>
      </c>
      <c r="D1099" s="989">
        <f t="shared" si="36"/>
        <v>155915804</v>
      </c>
    </row>
    <row r="1100" spans="1:4" hidden="1" outlineLevel="2">
      <c r="A1100" s="988" t="str">
        <f>+'Anlage 3a_Zusammenfassung_KWKG'!A2849</f>
        <v>SNB990362338043</v>
      </c>
      <c r="B1100" s="470">
        <f>+'Anlage 3a_Zusammenfassung_KWKG'!B2849</f>
        <v>1877073717</v>
      </c>
      <c r="C1100" s="391">
        <f>+'Anlage 3a_Zusammenfassung_KWKG'!C2849</f>
        <v>-1001505</v>
      </c>
      <c r="D1100" s="989">
        <f t="shared" si="36"/>
        <v>1876072212</v>
      </c>
    </row>
    <row r="1101" spans="1:4" hidden="1" outlineLevel="2">
      <c r="A1101" s="988" t="str">
        <f>+'Anlage 3a_Zusammenfassung_KWKG'!A2850</f>
        <v>SNB990792528632</v>
      </c>
      <c r="B1101" s="470">
        <f>+'Anlage 3a_Zusammenfassung_KWKG'!B2850</f>
        <v>62547608</v>
      </c>
      <c r="C1101" s="391">
        <f>+'Anlage 3a_Zusammenfassung_KWKG'!C2850</f>
        <v>0</v>
      </c>
      <c r="D1101" s="989">
        <f t="shared" si="36"/>
        <v>62547608</v>
      </c>
    </row>
    <row r="1102" spans="1:4" hidden="1" outlineLevel="2">
      <c r="A1102" s="988" t="str">
        <f>+'Anlage 3a_Zusammenfassung_KWKG'!A2851</f>
        <v>SNB990971435621</v>
      </c>
      <c r="B1102" s="470">
        <f>+'Anlage 3a_Zusammenfassung_KWKG'!B2851</f>
        <v>142279622</v>
      </c>
      <c r="C1102" s="391">
        <f>+'Anlage 3a_Zusammenfassung_KWKG'!C2851</f>
        <v>1128840</v>
      </c>
      <c r="D1102" s="989">
        <f t="shared" si="36"/>
        <v>143408462</v>
      </c>
    </row>
    <row r="1103" spans="1:4" hidden="1" outlineLevel="2">
      <c r="A1103" s="988" t="str">
        <f>+'Anlage 3a_Zusammenfassung_KWKG'!A2852</f>
        <v>SNB991689251534</v>
      </c>
      <c r="B1103" s="470">
        <f>+'Anlage 3a_Zusammenfassung_KWKG'!B2852</f>
        <v>26576012</v>
      </c>
      <c r="C1103" s="391">
        <f>+'Anlage 3a_Zusammenfassung_KWKG'!C2852</f>
        <v>0</v>
      </c>
      <c r="D1103" s="989">
        <f t="shared" si="36"/>
        <v>26576012</v>
      </c>
    </row>
    <row r="1104" spans="1:4" hidden="1" outlineLevel="2">
      <c r="A1104" s="988" t="str">
        <f>+'Anlage 3a_Zusammenfassung_KWKG'!A2853</f>
        <v>SNB991836941189</v>
      </c>
      <c r="B1104" s="470">
        <f>+'Anlage 3a_Zusammenfassung_KWKG'!B2853</f>
        <v>32255284</v>
      </c>
      <c r="C1104" s="391">
        <f>+'Anlage 3a_Zusammenfassung_KWKG'!C2853</f>
        <v>0</v>
      </c>
      <c r="D1104" s="989">
        <f t="shared" si="36"/>
        <v>32255284</v>
      </c>
    </row>
    <row r="1105" spans="1:9" hidden="1" outlineLevel="2">
      <c r="A1105" s="988" t="str">
        <f>+'Anlage 3a_Zusammenfassung_KWKG'!A2854</f>
        <v>SNB995034381532</v>
      </c>
      <c r="B1105" s="470">
        <f>+'Anlage 3a_Zusammenfassung_KWKG'!B2854</f>
        <v>69585677</v>
      </c>
      <c r="C1105" s="391">
        <f>+'Anlage 3a_Zusammenfassung_KWKG'!C2854</f>
        <v>0</v>
      </c>
      <c r="D1105" s="989">
        <f t="shared" si="36"/>
        <v>69585677</v>
      </c>
    </row>
    <row r="1106" spans="1:9" hidden="1" outlineLevel="2">
      <c r="A1106" s="988" t="str">
        <f>+'Anlage 3a_Zusammenfassung_KWKG'!A2855</f>
        <v>SNB995332374861</v>
      </c>
      <c r="B1106" s="470">
        <f>+'Anlage 3a_Zusammenfassung_KWKG'!B2855</f>
        <v>43771945</v>
      </c>
      <c r="C1106" s="391">
        <f>+'Anlage 3a_Zusammenfassung_KWKG'!C2855</f>
        <v>7092593</v>
      </c>
      <c r="D1106" s="989">
        <f>SUM(B1106:C1106)</f>
        <v>50864538</v>
      </c>
    </row>
    <row r="1107" spans="1:9" hidden="1" outlineLevel="2">
      <c r="A1107" s="988" t="str">
        <f>+'Anlage 3a_Zusammenfassung_KWKG'!A2856</f>
        <v>SNB988556835096</v>
      </c>
      <c r="B1107" s="470">
        <f>+'Anlage 3a_Zusammenfassung_KWKG'!B2856</f>
        <v>15410139</v>
      </c>
      <c r="C1107" s="391">
        <f>+'Anlage 3a_Zusammenfassung_KWKG'!C2856</f>
        <v>0</v>
      </c>
      <c r="D1107" s="989">
        <f>SUM(B1107:C1107)</f>
        <v>15410139</v>
      </c>
    </row>
    <row r="1108" spans="1:9" hidden="1" outlineLevel="2">
      <c r="A1108" s="988" t="str">
        <f>+'Anlage 3a_Zusammenfassung_KWKG'!A2857</f>
        <v>SNB999125588145</v>
      </c>
      <c r="B1108" s="470">
        <f>+'Anlage 3a_Zusammenfassung_KWKG'!B2857</f>
        <v>52070402</v>
      </c>
      <c r="C1108" s="391">
        <f>+'Anlage 3a_Zusammenfassung_KWKG'!C2857</f>
        <v>-2697</v>
      </c>
      <c r="D1108" s="989">
        <f>SUM(B1108:C1108)</f>
        <v>52067705</v>
      </c>
    </row>
    <row r="1109" spans="1:9" collapsed="1">
      <c r="A1109" s="988" t="str">
        <f>'Anlage 3a_Zusammenfassung_KWKG'!A2858</f>
        <v>Regelzone Amprion (gesamt)</v>
      </c>
      <c r="B1109" s="470">
        <f>'Anlage 3a_Zusammenfassung_KWKG'!B2858</f>
        <v>109759127554</v>
      </c>
      <c r="C1109" s="470">
        <f>'Anlage 3a_Zusammenfassung_KWKG'!C2858</f>
        <v>-236739243</v>
      </c>
      <c r="D1109" s="990">
        <f>SUM(B1109:C1109)</f>
        <v>109522388311</v>
      </c>
    </row>
    <row r="1110" spans="1:9" hidden="1" outlineLevel="1">
      <c r="A1110" s="988" t="s">
        <v>405</v>
      </c>
      <c r="B1110" s="470">
        <v>91081632</v>
      </c>
      <c r="C1110" s="470">
        <v>0</v>
      </c>
      <c r="D1110" s="989">
        <f t="shared" ref="D1110:D1173" si="37">SUM(B1110:C1110)</f>
        <v>91081632</v>
      </c>
      <c r="I1110" t="s">
        <v>406</v>
      </c>
    </row>
    <row r="1111" spans="1:9" hidden="1" outlineLevel="1">
      <c r="A1111" s="988" t="s">
        <v>86</v>
      </c>
      <c r="B1111" s="470">
        <v>104380372</v>
      </c>
      <c r="C1111" s="470">
        <v>4123154</v>
      </c>
      <c r="D1111" s="989">
        <f t="shared" si="37"/>
        <v>108503526</v>
      </c>
      <c r="I1111" t="s">
        <v>87</v>
      </c>
    </row>
    <row r="1112" spans="1:9" hidden="1" outlineLevel="1">
      <c r="A1112" s="988" t="s">
        <v>407</v>
      </c>
      <c r="B1112" s="470">
        <v>120192261</v>
      </c>
      <c r="C1112" s="470">
        <v>-1514477</v>
      </c>
      <c r="D1112" s="989">
        <f t="shared" si="37"/>
        <v>118677784</v>
      </c>
      <c r="I1112" t="s">
        <v>408</v>
      </c>
    </row>
    <row r="1113" spans="1:9" hidden="1" outlineLevel="1">
      <c r="A1113" s="988" t="s">
        <v>409</v>
      </c>
      <c r="B1113" s="470">
        <v>304554865</v>
      </c>
      <c r="C1113" s="470">
        <v>0</v>
      </c>
      <c r="D1113" s="989">
        <f t="shared" si="37"/>
        <v>304554865</v>
      </c>
      <c r="I1113" t="s">
        <v>410</v>
      </c>
    </row>
    <row r="1114" spans="1:9" hidden="1" outlineLevel="1">
      <c r="A1114" s="988" t="s">
        <v>411</v>
      </c>
      <c r="B1114" s="470">
        <v>900483368</v>
      </c>
      <c r="C1114" s="470">
        <v>-8517987</v>
      </c>
      <c r="D1114" s="989">
        <f t="shared" si="37"/>
        <v>891965381</v>
      </c>
      <c r="I1114" t="s">
        <v>412</v>
      </c>
    </row>
    <row r="1115" spans="1:9" hidden="1" outlineLevel="1">
      <c r="A1115" s="988" t="s">
        <v>413</v>
      </c>
      <c r="B1115" s="470">
        <v>169071179</v>
      </c>
      <c r="C1115" s="470">
        <v>1227904</v>
      </c>
      <c r="D1115" s="989">
        <f t="shared" si="37"/>
        <v>170299083</v>
      </c>
      <c r="I1115" t="s">
        <v>414</v>
      </c>
    </row>
    <row r="1116" spans="1:9" hidden="1" outlineLevel="1">
      <c r="A1116" s="988" t="s">
        <v>415</v>
      </c>
      <c r="B1116" s="470">
        <v>119127881</v>
      </c>
      <c r="C1116" s="470">
        <v>0</v>
      </c>
      <c r="D1116" s="989">
        <f t="shared" si="37"/>
        <v>119127881</v>
      </c>
      <c r="I1116" t="s">
        <v>416</v>
      </c>
    </row>
    <row r="1117" spans="1:9" hidden="1" outlineLevel="1">
      <c r="A1117" s="988" t="s">
        <v>417</v>
      </c>
      <c r="B1117" s="470">
        <v>1928309187</v>
      </c>
      <c r="C1117" s="470">
        <v>-8374976</v>
      </c>
      <c r="D1117" s="989">
        <f t="shared" si="37"/>
        <v>1919934211</v>
      </c>
      <c r="I1117" t="s">
        <v>418</v>
      </c>
    </row>
    <row r="1118" spans="1:9" hidden="1" outlineLevel="1">
      <c r="A1118" s="988" t="s">
        <v>419</v>
      </c>
      <c r="B1118" s="470">
        <v>3547127524</v>
      </c>
      <c r="C1118" s="470">
        <v>-28459644</v>
      </c>
      <c r="D1118" s="989">
        <f t="shared" si="37"/>
        <v>3518667880</v>
      </c>
      <c r="I1118" t="s">
        <v>420</v>
      </c>
    </row>
    <row r="1119" spans="1:9" hidden="1" outlineLevel="1">
      <c r="A1119" s="988" t="s">
        <v>421</v>
      </c>
      <c r="B1119" s="470">
        <v>120797180</v>
      </c>
      <c r="C1119" s="470">
        <v>1345411</v>
      </c>
      <c r="D1119" s="989">
        <f t="shared" si="37"/>
        <v>122142591</v>
      </c>
      <c r="I1119" t="s">
        <v>422</v>
      </c>
    </row>
    <row r="1120" spans="1:9" hidden="1" outlineLevel="1">
      <c r="A1120" s="988" t="s">
        <v>423</v>
      </c>
      <c r="B1120" s="470">
        <v>192488235</v>
      </c>
      <c r="C1120" s="470">
        <v>146036</v>
      </c>
      <c r="D1120" s="989">
        <f t="shared" si="37"/>
        <v>192634271</v>
      </c>
      <c r="I1120" t="s">
        <v>424</v>
      </c>
    </row>
    <row r="1121" spans="1:9" hidden="1" outlineLevel="1">
      <c r="A1121" s="988" t="s">
        <v>425</v>
      </c>
      <c r="B1121" s="470">
        <v>581872721</v>
      </c>
      <c r="C1121" s="470">
        <v>0</v>
      </c>
      <c r="D1121" s="989">
        <f t="shared" si="37"/>
        <v>581872721</v>
      </c>
      <c r="I1121" t="s">
        <v>426</v>
      </c>
    </row>
    <row r="1122" spans="1:9" hidden="1" outlineLevel="1">
      <c r="A1122" s="988" t="s">
        <v>427</v>
      </c>
      <c r="B1122" s="470">
        <v>378068064</v>
      </c>
      <c r="C1122" s="470">
        <v>0</v>
      </c>
      <c r="D1122" s="989">
        <f t="shared" si="37"/>
        <v>378068064</v>
      </c>
      <c r="I1122" t="s">
        <v>428</v>
      </c>
    </row>
    <row r="1123" spans="1:9" hidden="1" outlineLevel="1">
      <c r="A1123" s="988" t="s">
        <v>429</v>
      </c>
      <c r="B1123" s="470">
        <v>51024647</v>
      </c>
      <c r="C1123" s="470">
        <v>-971462</v>
      </c>
      <c r="D1123" s="989">
        <f t="shared" si="37"/>
        <v>50053185</v>
      </c>
      <c r="I1123" t="s">
        <v>430</v>
      </c>
    </row>
    <row r="1124" spans="1:9" hidden="1" outlineLevel="2">
      <c r="A1124" s="988" t="s">
        <v>431</v>
      </c>
      <c r="B1124" s="470">
        <v>29292348</v>
      </c>
      <c r="C1124" s="391">
        <v>0</v>
      </c>
      <c r="D1124" s="989">
        <f t="shared" si="37"/>
        <v>29292348</v>
      </c>
      <c r="I1124" t="s">
        <v>432</v>
      </c>
    </row>
    <row r="1125" spans="1:9" hidden="1" outlineLevel="2">
      <c r="A1125" s="988" t="s">
        <v>433</v>
      </c>
      <c r="B1125" s="470">
        <v>1226268453</v>
      </c>
      <c r="C1125" s="391">
        <v>0</v>
      </c>
      <c r="D1125" s="989">
        <f t="shared" si="37"/>
        <v>1226268453</v>
      </c>
      <c r="I1125" t="s">
        <v>434</v>
      </c>
    </row>
    <row r="1126" spans="1:9" hidden="1" outlineLevel="2">
      <c r="A1126" s="988" t="s">
        <v>435</v>
      </c>
      <c r="B1126" s="470">
        <v>138277865</v>
      </c>
      <c r="C1126" s="391">
        <v>1221050</v>
      </c>
      <c r="D1126" s="989">
        <f t="shared" si="37"/>
        <v>139498915</v>
      </c>
      <c r="I1126" t="s">
        <v>436</v>
      </c>
    </row>
    <row r="1127" spans="1:9" hidden="1" outlineLevel="2">
      <c r="A1127" s="988" t="s">
        <v>437</v>
      </c>
      <c r="B1127" s="470">
        <v>850932000</v>
      </c>
      <c r="C1127" s="391">
        <v>-10413994</v>
      </c>
      <c r="D1127" s="989">
        <f t="shared" si="37"/>
        <v>840518006</v>
      </c>
      <c r="I1127" t="s">
        <v>438</v>
      </c>
    </row>
    <row r="1128" spans="1:9" hidden="1" outlineLevel="2">
      <c r="A1128" s="988" t="s">
        <v>439</v>
      </c>
      <c r="B1128" s="470">
        <v>202652623</v>
      </c>
      <c r="C1128" s="391">
        <v>761083</v>
      </c>
      <c r="D1128" s="989">
        <f t="shared" si="37"/>
        <v>203413706</v>
      </c>
      <c r="I1128" t="s">
        <v>440</v>
      </c>
    </row>
    <row r="1129" spans="1:9" hidden="1" outlineLevel="2">
      <c r="A1129" s="988" t="s">
        <v>441</v>
      </c>
      <c r="B1129" s="470">
        <v>1460035748</v>
      </c>
      <c r="C1129" s="391">
        <v>14313656</v>
      </c>
      <c r="D1129" s="989">
        <f t="shared" si="37"/>
        <v>1474349404</v>
      </c>
      <c r="I1129" t="s">
        <v>442</v>
      </c>
    </row>
    <row r="1130" spans="1:9" hidden="1" outlineLevel="2">
      <c r="A1130" s="988" t="s">
        <v>443</v>
      </c>
      <c r="B1130" s="470">
        <v>9823711</v>
      </c>
      <c r="C1130" s="391">
        <v>33109</v>
      </c>
      <c r="D1130" s="989">
        <f t="shared" si="37"/>
        <v>9856820</v>
      </c>
      <c r="I1130" t="s">
        <v>444</v>
      </c>
    </row>
    <row r="1131" spans="1:9" hidden="1" outlineLevel="2">
      <c r="A1131" s="988" t="s">
        <v>445</v>
      </c>
      <c r="B1131" s="470">
        <v>223600889</v>
      </c>
      <c r="C1131" s="391">
        <v>-203556</v>
      </c>
      <c r="D1131" s="989">
        <f t="shared" si="37"/>
        <v>223397333</v>
      </c>
      <c r="I1131" t="s">
        <v>446</v>
      </c>
    </row>
    <row r="1132" spans="1:9" hidden="1" outlineLevel="2">
      <c r="A1132" s="988" t="s">
        <v>447</v>
      </c>
      <c r="B1132" s="470">
        <v>111147696</v>
      </c>
      <c r="C1132" s="391">
        <v>608908</v>
      </c>
      <c r="D1132" s="989">
        <f t="shared" si="37"/>
        <v>111756604</v>
      </c>
      <c r="I1132" t="s">
        <v>448</v>
      </c>
    </row>
    <row r="1133" spans="1:9" hidden="1" outlineLevel="2">
      <c r="A1133" s="988" t="s">
        <v>449</v>
      </c>
      <c r="B1133" s="470">
        <v>5312643632</v>
      </c>
      <c r="C1133" s="391">
        <v>31312990</v>
      </c>
      <c r="D1133" s="989">
        <f t="shared" si="37"/>
        <v>5343956622</v>
      </c>
      <c r="I1133" t="s">
        <v>450</v>
      </c>
    </row>
    <row r="1134" spans="1:9" hidden="1" outlineLevel="2">
      <c r="A1134" s="988" t="s">
        <v>451</v>
      </c>
      <c r="B1134" s="470">
        <v>71221377</v>
      </c>
      <c r="C1134" s="391">
        <v>-719765</v>
      </c>
      <c r="D1134" s="989">
        <f t="shared" si="37"/>
        <v>70501612</v>
      </c>
      <c r="I1134" t="s">
        <v>452</v>
      </c>
    </row>
    <row r="1135" spans="1:9" hidden="1" outlineLevel="2">
      <c r="A1135" s="988" t="s">
        <v>453</v>
      </c>
      <c r="B1135" s="470">
        <v>306421229</v>
      </c>
      <c r="C1135" s="391">
        <v>143874</v>
      </c>
      <c r="D1135" s="989">
        <f t="shared" si="37"/>
        <v>306565103</v>
      </c>
      <c r="I1135" t="s">
        <v>454</v>
      </c>
    </row>
    <row r="1136" spans="1:9" hidden="1" outlineLevel="2">
      <c r="A1136" s="988" t="s">
        <v>455</v>
      </c>
      <c r="B1136" s="470">
        <v>28566827</v>
      </c>
      <c r="C1136" s="391">
        <v>-180142</v>
      </c>
      <c r="D1136" s="989">
        <f t="shared" si="37"/>
        <v>28386685</v>
      </c>
      <c r="I1136" t="s">
        <v>456</v>
      </c>
    </row>
    <row r="1137" spans="1:9" hidden="1" outlineLevel="2">
      <c r="A1137" s="988" t="s">
        <v>457</v>
      </c>
      <c r="B1137" s="470">
        <v>4718954</v>
      </c>
      <c r="C1137" s="391">
        <v>-59807</v>
      </c>
      <c r="D1137" s="989">
        <f t="shared" si="37"/>
        <v>4659147</v>
      </c>
      <c r="I1137" t="s">
        <v>458</v>
      </c>
    </row>
    <row r="1138" spans="1:9" hidden="1" outlineLevel="2">
      <c r="A1138" s="988" t="s">
        <v>459</v>
      </c>
      <c r="B1138" s="470">
        <v>321981008</v>
      </c>
      <c r="C1138" s="391">
        <v>-277526</v>
      </c>
      <c r="D1138" s="989">
        <f t="shared" si="37"/>
        <v>321703482</v>
      </c>
      <c r="I1138" t="s">
        <v>460</v>
      </c>
    </row>
    <row r="1139" spans="1:9" hidden="1" outlineLevel="2">
      <c r="A1139" s="988" t="s">
        <v>461</v>
      </c>
      <c r="B1139" s="470">
        <v>32141905</v>
      </c>
      <c r="C1139" s="391">
        <v>-160458</v>
      </c>
      <c r="D1139" s="989">
        <f t="shared" si="37"/>
        <v>31981447</v>
      </c>
      <c r="I1139" t="s">
        <v>462</v>
      </c>
    </row>
    <row r="1140" spans="1:9" hidden="1" outlineLevel="2">
      <c r="A1140" s="988" t="s">
        <v>463</v>
      </c>
      <c r="B1140" s="470">
        <v>1969743666</v>
      </c>
      <c r="C1140" s="391">
        <v>20076228</v>
      </c>
      <c r="D1140" s="989">
        <f t="shared" si="37"/>
        <v>1989819894</v>
      </c>
      <c r="I1140" t="s">
        <v>464</v>
      </c>
    </row>
    <row r="1141" spans="1:9" hidden="1" outlineLevel="2">
      <c r="A1141" s="988" t="s">
        <v>465</v>
      </c>
      <c r="B1141" s="470">
        <v>6009790</v>
      </c>
      <c r="C1141" s="391">
        <v>21276</v>
      </c>
      <c r="D1141" s="989">
        <f t="shared" si="37"/>
        <v>6031066</v>
      </c>
      <c r="I1141" t="s">
        <v>466</v>
      </c>
    </row>
    <row r="1142" spans="1:9" hidden="1" outlineLevel="2">
      <c r="A1142" s="988" t="s">
        <v>467</v>
      </c>
      <c r="B1142" s="470">
        <v>109516059</v>
      </c>
      <c r="C1142" s="391">
        <v>0</v>
      </c>
      <c r="D1142" s="989">
        <f t="shared" si="37"/>
        <v>109516059</v>
      </c>
      <c r="I1142" t="s">
        <v>468</v>
      </c>
    </row>
    <row r="1143" spans="1:9" hidden="1" outlineLevel="2">
      <c r="A1143" s="988" t="s">
        <v>469</v>
      </c>
      <c r="B1143" s="470">
        <v>22053972222</v>
      </c>
      <c r="C1143" s="391">
        <v>217847936</v>
      </c>
      <c r="D1143" s="989">
        <f t="shared" si="37"/>
        <v>22271820158</v>
      </c>
      <c r="I1143" t="s">
        <v>470</v>
      </c>
    </row>
    <row r="1144" spans="1:9" hidden="1" outlineLevel="2">
      <c r="A1144" s="988" t="s">
        <v>471</v>
      </c>
      <c r="B1144" s="470">
        <v>131848005</v>
      </c>
      <c r="C1144" s="391">
        <v>1461572</v>
      </c>
      <c r="D1144" s="989">
        <f t="shared" si="37"/>
        <v>133309577</v>
      </c>
      <c r="I1144" t="s">
        <v>472</v>
      </c>
    </row>
    <row r="1145" spans="1:9" hidden="1" outlineLevel="2">
      <c r="A1145" s="988" t="s">
        <v>473</v>
      </c>
      <c r="B1145" s="470">
        <v>16485387</v>
      </c>
      <c r="C1145" s="391">
        <v>0</v>
      </c>
      <c r="D1145" s="989">
        <f t="shared" si="37"/>
        <v>16485387</v>
      </c>
      <c r="I1145" t="s">
        <v>474</v>
      </c>
    </row>
    <row r="1146" spans="1:9" hidden="1" outlineLevel="2">
      <c r="A1146" s="988" t="s">
        <v>475</v>
      </c>
      <c r="B1146" s="470">
        <v>58678267</v>
      </c>
      <c r="C1146" s="391">
        <v>-215276</v>
      </c>
      <c r="D1146" s="989">
        <f t="shared" si="37"/>
        <v>58462991</v>
      </c>
      <c r="I1146" t="s">
        <v>476</v>
      </c>
    </row>
    <row r="1147" spans="1:9" hidden="1" outlineLevel="2">
      <c r="A1147" s="988" t="s">
        <v>477</v>
      </c>
      <c r="B1147" s="470">
        <v>1259885799</v>
      </c>
      <c r="C1147" s="391">
        <v>4333432</v>
      </c>
      <c r="D1147" s="989">
        <f t="shared" si="37"/>
        <v>1264219231</v>
      </c>
      <c r="I1147" t="s">
        <v>478</v>
      </c>
    </row>
    <row r="1148" spans="1:9" hidden="1" outlineLevel="2">
      <c r="A1148" s="988" t="s">
        <v>479</v>
      </c>
      <c r="B1148" s="470">
        <v>181791267</v>
      </c>
      <c r="C1148" s="391">
        <v>834842</v>
      </c>
      <c r="D1148" s="989">
        <f t="shared" si="37"/>
        <v>182626109</v>
      </c>
      <c r="I1148" t="s">
        <v>480</v>
      </c>
    </row>
    <row r="1149" spans="1:9" hidden="1" outlineLevel="2">
      <c r="A1149" s="988" t="s">
        <v>481</v>
      </c>
      <c r="B1149" s="470">
        <v>121320760</v>
      </c>
      <c r="C1149" s="391">
        <v>0</v>
      </c>
      <c r="D1149" s="989">
        <f t="shared" si="37"/>
        <v>121320760</v>
      </c>
      <c r="I1149" t="s">
        <v>482</v>
      </c>
    </row>
    <row r="1150" spans="1:9" hidden="1" outlineLevel="2">
      <c r="A1150" s="988" t="s">
        <v>483</v>
      </c>
      <c r="B1150" s="470">
        <v>6558093744</v>
      </c>
      <c r="C1150" s="391">
        <v>41277889</v>
      </c>
      <c r="D1150" s="989">
        <f t="shared" si="37"/>
        <v>6599371633</v>
      </c>
      <c r="I1150" t="s">
        <v>484</v>
      </c>
    </row>
    <row r="1151" spans="1:9" hidden="1" outlineLevel="2">
      <c r="A1151" s="988" t="s">
        <v>485</v>
      </c>
      <c r="B1151" s="470">
        <v>335822390</v>
      </c>
      <c r="C1151" s="391">
        <v>-3600068</v>
      </c>
      <c r="D1151" s="989">
        <f t="shared" si="37"/>
        <v>332222322</v>
      </c>
      <c r="I1151" t="s">
        <v>486</v>
      </c>
    </row>
    <row r="1152" spans="1:9" hidden="1" outlineLevel="2">
      <c r="A1152" s="988" t="s">
        <v>487</v>
      </c>
      <c r="B1152" s="470">
        <v>72468533</v>
      </c>
      <c r="C1152" s="391">
        <v>-1353533</v>
      </c>
      <c r="D1152" s="989">
        <f t="shared" si="37"/>
        <v>71115000</v>
      </c>
      <c r="I1152" t="s">
        <v>488</v>
      </c>
    </row>
    <row r="1153" spans="1:9" hidden="1" outlineLevel="2">
      <c r="A1153" s="988" t="s">
        <v>489</v>
      </c>
      <c r="B1153" s="470">
        <v>427162829</v>
      </c>
      <c r="C1153" s="391">
        <v>-144408</v>
      </c>
      <c r="D1153" s="989">
        <f t="shared" si="37"/>
        <v>427018421</v>
      </c>
      <c r="I1153" t="s">
        <v>490</v>
      </c>
    </row>
    <row r="1154" spans="1:9" hidden="1" outlineLevel="2">
      <c r="A1154" s="988" t="s">
        <v>491</v>
      </c>
      <c r="B1154" s="470">
        <v>19068722</v>
      </c>
      <c r="C1154" s="391">
        <v>0</v>
      </c>
      <c r="D1154" s="989">
        <f t="shared" si="37"/>
        <v>19068722</v>
      </c>
      <c r="I1154" t="s">
        <v>492</v>
      </c>
    </row>
    <row r="1155" spans="1:9" hidden="1" outlineLevel="2">
      <c r="A1155" s="988" t="s">
        <v>493</v>
      </c>
      <c r="B1155" s="470">
        <v>217064428</v>
      </c>
      <c r="C1155" s="391">
        <v>0</v>
      </c>
      <c r="D1155" s="989">
        <f t="shared" si="37"/>
        <v>217064428</v>
      </c>
      <c r="I1155" t="s">
        <v>494</v>
      </c>
    </row>
    <row r="1156" spans="1:9" hidden="1" outlineLevel="2">
      <c r="A1156" s="988" t="s">
        <v>495</v>
      </c>
      <c r="B1156" s="470">
        <v>783727527</v>
      </c>
      <c r="C1156" s="391">
        <v>0</v>
      </c>
      <c r="D1156" s="989">
        <f t="shared" si="37"/>
        <v>783727527</v>
      </c>
      <c r="I1156" t="s">
        <v>496</v>
      </c>
    </row>
    <row r="1157" spans="1:9" hidden="1" outlineLevel="2">
      <c r="A1157" s="988" t="s">
        <v>497</v>
      </c>
      <c r="B1157" s="470">
        <v>177407966</v>
      </c>
      <c r="C1157" s="391">
        <v>261802</v>
      </c>
      <c r="D1157" s="989">
        <f t="shared" si="37"/>
        <v>177669768</v>
      </c>
      <c r="I1157" t="s">
        <v>498</v>
      </c>
    </row>
    <row r="1158" spans="1:9" hidden="1" outlineLevel="2">
      <c r="A1158" s="988" t="s">
        <v>499</v>
      </c>
      <c r="B1158" s="470">
        <v>14717428</v>
      </c>
      <c r="C1158" s="391">
        <v>-54989</v>
      </c>
      <c r="D1158" s="989">
        <f t="shared" si="37"/>
        <v>14662439</v>
      </c>
      <c r="I1158" t="s">
        <v>500</v>
      </c>
    </row>
    <row r="1159" spans="1:9" hidden="1" outlineLevel="2">
      <c r="A1159" s="988" t="s">
        <v>501</v>
      </c>
      <c r="B1159" s="470">
        <v>144203267</v>
      </c>
      <c r="C1159" s="391">
        <v>0</v>
      </c>
      <c r="D1159" s="989">
        <f t="shared" si="37"/>
        <v>144203267</v>
      </c>
      <c r="I1159" t="s">
        <v>502</v>
      </c>
    </row>
    <row r="1160" spans="1:9" hidden="1" outlineLevel="2">
      <c r="A1160" s="988" t="s">
        <v>503</v>
      </c>
      <c r="B1160" s="470">
        <v>1242544271</v>
      </c>
      <c r="C1160" s="391">
        <v>-389537</v>
      </c>
      <c r="D1160" s="989">
        <f t="shared" si="37"/>
        <v>1242154734</v>
      </c>
      <c r="I1160" t="s">
        <v>504</v>
      </c>
    </row>
    <row r="1161" spans="1:9" hidden="1" outlineLevel="2">
      <c r="A1161" s="988" t="s">
        <v>505</v>
      </c>
      <c r="B1161" s="470">
        <v>109245897</v>
      </c>
      <c r="C1161" s="391">
        <v>204047</v>
      </c>
      <c r="D1161" s="989">
        <f t="shared" si="37"/>
        <v>109449944</v>
      </c>
      <c r="I1161" t="s">
        <v>506</v>
      </c>
    </row>
    <row r="1162" spans="1:9" hidden="1" outlineLevel="2">
      <c r="A1162" s="988" t="s">
        <v>507</v>
      </c>
      <c r="B1162" s="470">
        <v>122364622</v>
      </c>
      <c r="C1162" s="391">
        <v>-190880</v>
      </c>
      <c r="D1162" s="989">
        <f t="shared" si="37"/>
        <v>122173742</v>
      </c>
      <c r="I1162" t="s">
        <v>508</v>
      </c>
    </row>
    <row r="1163" spans="1:9" hidden="1" outlineLevel="2">
      <c r="A1163" s="988" t="s">
        <v>509</v>
      </c>
      <c r="B1163" s="470">
        <v>129982090</v>
      </c>
      <c r="C1163" s="391">
        <v>468488</v>
      </c>
      <c r="D1163" s="989">
        <f t="shared" si="37"/>
        <v>130450578</v>
      </c>
      <c r="I1163" t="s">
        <v>510</v>
      </c>
    </row>
    <row r="1164" spans="1:9" hidden="1" outlineLevel="2">
      <c r="A1164" s="988" t="s">
        <v>511</v>
      </c>
      <c r="B1164" s="470">
        <v>62106</v>
      </c>
      <c r="C1164" s="391">
        <v>0</v>
      </c>
      <c r="D1164" s="989">
        <f t="shared" si="37"/>
        <v>62106</v>
      </c>
      <c r="I1164" t="s">
        <v>512</v>
      </c>
    </row>
    <row r="1165" spans="1:9" hidden="1" outlineLevel="2">
      <c r="A1165" s="988" t="s">
        <v>172</v>
      </c>
      <c r="B1165" s="470">
        <v>9055995</v>
      </c>
      <c r="C1165" s="391">
        <v>-379797</v>
      </c>
      <c r="D1165" s="989">
        <f t="shared" si="37"/>
        <v>8676198</v>
      </c>
      <c r="I1165" t="s">
        <v>173</v>
      </c>
    </row>
    <row r="1166" spans="1:9" hidden="1" outlineLevel="2">
      <c r="A1166" s="988" t="s">
        <v>513</v>
      </c>
      <c r="B1166" s="470">
        <v>86428070</v>
      </c>
      <c r="C1166" s="391">
        <v>-160880</v>
      </c>
      <c r="D1166" s="989">
        <f t="shared" si="37"/>
        <v>86267190</v>
      </c>
      <c r="I1166" t="s">
        <v>514</v>
      </c>
    </row>
    <row r="1167" spans="1:9" hidden="1" outlineLevel="2">
      <c r="A1167" s="988" t="s">
        <v>515</v>
      </c>
      <c r="B1167" s="470">
        <v>3276700</v>
      </c>
      <c r="C1167" s="391">
        <v>0</v>
      </c>
      <c r="D1167" s="989">
        <f t="shared" si="37"/>
        <v>3276700</v>
      </c>
      <c r="I1167" t="s">
        <v>516</v>
      </c>
    </row>
    <row r="1168" spans="1:9" hidden="1" outlineLevel="2">
      <c r="A1168" s="988" t="s">
        <v>517</v>
      </c>
      <c r="B1168" s="470">
        <v>138094398</v>
      </c>
      <c r="C1168" s="391">
        <v>0</v>
      </c>
      <c r="D1168" s="989">
        <f t="shared" si="37"/>
        <v>138094398</v>
      </c>
      <c r="I1168" t="s">
        <v>518</v>
      </c>
    </row>
    <row r="1169" spans="1:9" hidden="1" outlineLevel="2">
      <c r="A1169" s="988" t="s">
        <v>519</v>
      </c>
      <c r="B1169" s="470">
        <v>94582070</v>
      </c>
      <c r="C1169" s="391">
        <v>-781436</v>
      </c>
      <c r="D1169" s="989">
        <f t="shared" si="37"/>
        <v>93800634</v>
      </c>
      <c r="I1169" t="s">
        <v>520</v>
      </c>
    </row>
    <row r="1170" spans="1:9" hidden="1" outlineLevel="2">
      <c r="A1170" s="988" t="s">
        <v>521</v>
      </c>
      <c r="B1170" s="470">
        <v>303088082</v>
      </c>
      <c r="C1170" s="391">
        <v>0</v>
      </c>
      <c r="D1170" s="989">
        <f t="shared" si="37"/>
        <v>303088082</v>
      </c>
      <c r="I1170" t="s">
        <v>522</v>
      </c>
    </row>
    <row r="1171" spans="1:9" hidden="1" outlineLevel="2">
      <c r="A1171" s="988" t="s">
        <v>523</v>
      </c>
      <c r="B1171" s="470">
        <v>139597374</v>
      </c>
      <c r="C1171" s="391">
        <v>-3159378</v>
      </c>
      <c r="D1171" s="989">
        <f t="shared" si="37"/>
        <v>136437996</v>
      </c>
      <c r="I1171" t="s">
        <v>524</v>
      </c>
    </row>
    <row r="1172" spans="1:9" hidden="1" outlineLevel="2">
      <c r="A1172" s="988" t="s">
        <v>525</v>
      </c>
      <c r="B1172" s="470">
        <v>19242494</v>
      </c>
      <c r="C1172" s="391">
        <v>0</v>
      </c>
      <c r="D1172" s="989">
        <f t="shared" si="37"/>
        <v>19242494</v>
      </c>
      <c r="I1172" t="s">
        <v>526</v>
      </c>
    </row>
    <row r="1173" spans="1:9" hidden="1" outlineLevel="2">
      <c r="A1173" s="988" t="s">
        <v>527</v>
      </c>
      <c r="B1173" s="470">
        <v>181910899</v>
      </c>
      <c r="C1173" s="391">
        <v>2850659</v>
      </c>
      <c r="D1173" s="989">
        <f t="shared" si="37"/>
        <v>184761558</v>
      </c>
      <c r="I1173" t="s">
        <v>528</v>
      </c>
    </row>
    <row r="1174" spans="1:9" hidden="1" outlineLevel="2">
      <c r="A1174" s="988" t="s">
        <v>529</v>
      </c>
      <c r="B1174" s="470">
        <v>11202656</v>
      </c>
      <c r="C1174" s="391">
        <v>-60395</v>
      </c>
      <c r="D1174" s="989">
        <f t="shared" ref="D1174:D1237" si="38">SUM(B1174:C1174)</f>
        <v>11142261</v>
      </c>
      <c r="I1174" t="s">
        <v>530</v>
      </c>
    </row>
    <row r="1175" spans="1:9" hidden="1" outlineLevel="2">
      <c r="A1175" s="988" t="s">
        <v>531</v>
      </c>
      <c r="B1175" s="470">
        <v>331696388</v>
      </c>
      <c r="C1175" s="391">
        <v>0</v>
      </c>
      <c r="D1175" s="989">
        <f t="shared" si="38"/>
        <v>331696388</v>
      </c>
      <c r="I1175" t="s">
        <v>532</v>
      </c>
    </row>
    <row r="1176" spans="1:9" hidden="1" outlineLevel="2">
      <c r="A1176" s="988" t="s">
        <v>533</v>
      </c>
      <c r="B1176" s="470">
        <v>245192402</v>
      </c>
      <c r="C1176" s="391">
        <v>0</v>
      </c>
      <c r="D1176" s="989">
        <f t="shared" si="38"/>
        <v>245192402</v>
      </c>
      <c r="I1176" t="s">
        <v>534</v>
      </c>
    </row>
    <row r="1177" spans="1:9" hidden="1" outlineLevel="2">
      <c r="A1177" s="988" t="s">
        <v>535</v>
      </c>
      <c r="B1177" s="470">
        <v>142115100</v>
      </c>
      <c r="C1177" s="391">
        <v>-2256833</v>
      </c>
      <c r="D1177" s="989">
        <f t="shared" si="38"/>
        <v>139858267</v>
      </c>
      <c r="I1177" t="s">
        <v>536</v>
      </c>
    </row>
    <row r="1178" spans="1:9" hidden="1" outlineLevel="2">
      <c r="A1178" s="988" t="s">
        <v>537</v>
      </c>
      <c r="B1178" s="470">
        <v>31439938</v>
      </c>
      <c r="C1178" s="391">
        <v>0</v>
      </c>
      <c r="D1178" s="989">
        <f t="shared" si="38"/>
        <v>31439938</v>
      </c>
      <c r="I1178" t="s">
        <v>538</v>
      </c>
    </row>
    <row r="1179" spans="1:9" hidden="1" outlineLevel="2">
      <c r="A1179" s="988" t="s">
        <v>539</v>
      </c>
      <c r="B1179" s="470">
        <v>150455657</v>
      </c>
      <c r="C1179" s="391">
        <v>0</v>
      </c>
      <c r="D1179" s="989">
        <f t="shared" si="38"/>
        <v>150455657</v>
      </c>
      <c r="I1179" t="s">
        <v>540</v>
      </c>
    </row>
    <row r="1180" spans="1:9" hidden="1" outlineLevel="2">
      <c r="A1180" s="988" t="s">
        <v>541</v>
      </c>
      <c r="B1180" s="470">
        <v>2632683051</v>
      </c>
      <c r="C1180" s="391">
        <v>-72766622</v>
      </c>
      <c r="D1180" s="989">
        <f t="shared" si="38"/>
        <v>2559916429</v>
      </c>
      <c r="I1180" t="s">
        <v>542</v>
      </c>
    </row>
    <row r="1181" spans="1:9" hidden="1" outlineLevel="2">
      <c r="A1181" s="988" t="s">
        <v>543</v>
      </c>
      <c r="B1181" s="470">
        <v>298942678</v>
      </c>
      <c r="C1181" s="391">
        <v>-24013</v>
      </c>
      <c r="D1181" s="989">
        <f t="shared" si="38"/>
        <v>298918665</v>
      </c>
      <c r="I1181" t="s">
        <v>544</v>
      </c>
    </row>
    <row r="1182" spans="1:9" hidden="1" outlineLevel="2">
      <c r="A1182" s="988" t="s">
        <v>545</v>
      </c>
      <c r="B1182" s="470">
        <v>83737207</v>
      </c>
      <c r="C1182" s="391">
        <v>-482097</v>
      </c>
      <c r="D1182" s="989">
        <f t="shared" si="38"/>
        <v>83255110</v>
      </c>
      <c r="I1182" t="s">
        <v>546</v>
      </c>
    </row>
    <row r="1183" spans="1:9" hidden="1" outlineLevel="2">
      <c r="A1183" s="988" t="s">
        <v>547</v>
      </c>
      <c r="B1183" s="470">
        <v>155752424</v>
      </c>
      <c r="C1183" s="391">
        <v>-57716</v>
      </c>
      <c r="D1183" s="989">
        <f t="shared" si="38"/>
        <v>155694708</v>
      </c>
      <c r="I1183" t="s">
        <v>548</v>
      </c>
    </row>
    <row r="1184" spans="1:9" hidden="1" outlineLevel="2">
      <c r="A1184" s="988" t="s">
        <v>549</v>
      </c>
      <c r="B1184" s="470">
        <v>75912656</v>
      </c>
      <c r="C1184" s="391">
        <v>165569</v>
      </c>
      <c r="D1184" s="989">
        <f t="shared" si="38"/>
        <v>76078225</v>
      </c>
      <c r="I1184" t="s">
        <v>550</v>
      </c>
    </row>
    <row r="1185" spans="1:9" hidden="1" outlineLevel="2">
      <c r="A1185" s="988" t="s">
        <v>551</v>
      </c>
      <c r="B1185" s="470">
        <v>459326757</v>
      </c>
      <c r="C1185" s="391">
        <v>2568532</v>
      </c>
      <c r="D1185" s="989">
        <f t="shared" si="38"/>
        <v>461895289</v>
      </c>
      <c r="I1185" t="s">
        <v>552</v>
      </c>
    </row>
    <row r="1186" spans="1:9" hidden="1" outlineLevel="2">
      <c r="A1186" s="988" t="s">
        <v>553</v>
      </c>
      <c r="B1186" s="470">
        <v>353715302</v>
      </c>
      <c r="C1186" s="391">
        <v>-2285409</v>
      </c>
      <c r="D1186" s="989">
        <f t="shared" si="38"/>
        <v>351429893</v>
      </c>
      <c r="I1186" t="s">
        <v>554</v>
      </c>
    </row>
    <row r="1187" spans="1:9" hidden="1" outlineLevel="2">
      <c r="A1187" s="988" t="s">
        <v>555</v>
      </c>
      <c r="B1187" s="470">
        <v>173151986</v>
      </c>
      <c r="C1187" s="391">
        <v>-1703322</v>
      </c>
      <c r="D1187" s="989">
        <f t="shared" si="38"/>
        <v>171448664</v>
      </c>
      <c r="I1187" t="s">
        <v>556</v>
      </c>
    </row>
    <row r="1188" spans="1:9" hidden="1" outlineLevel="2">
      <c r="A1188" s="988" t="s">
        <v>559</v>
      </c>
      <c r="B1188" s="470">
        <v>10987166</v>
      </c>
      <c r="C1188" s="391">
        <v>-4356</v>
      </c>
      <c r="D1188" s="989">
        <f t="shared" si="38"/>
        <v>10982810</v>
      </c>
      <c r="I1188" t="s">
        <v>560</v>
      </c>
    </row>
    <row r="1189" spans="1:9" hidden="1" outlineLevel="2">
      <c r="A1189" s="988" t="s">
        <v>561</v>
      </c>
      <c r="B1189" s="470">
        <v>3254890</v>
      </c>
      <c r="C1189" s="391">
        <v>4540</v>
      </c>
      <c r="D1189" s="989">
        <f t="shared" si="38"/>
        <v>3259430</v>
      </c>
      <c r="I1189" t="s">
        <v>562</v>
      </c>
    </row>
    <row r="1190" spans="1:9" hidden="1" outlineLevel="2">
      <c r="A1190" s="988" t="s">
        <v>563</v>
      </c>
      <c r="B1190" s="470">
        <v>78978002</v>
      </c>
      <c r="C1190" s="391">
        <v>1820679</v>
      </c>
      <c r="D1190" s="989">
        <f t="shared" si="38"/>
        <v>80798681</v>
      </c>
      <c r="I1190" t="s">
        <v>564</v>
      </c>
    </row>
    <row r="1191" spans="1:9" hidden="1" outlineLevel="2">
      <c r="A1191" s="988" t="s">
        <v>565</v>
      </c>
      <c r="B1191" s="470">
        <v>116308497</v>
      </c>
      <c r="C1191" s="391">
        <v>0</v>
      </c>
      <c r="D1191" s="989">
        <f t="shared" si="38"/>
        <v>116308497</v>
      </c>
      <c r="I1191" t="s">
        <v>566</v>
      </c>
    </row>
    <row r="1192" spans="1:9" hidden="1" outlineLevel="2">
      <c r="A1192" s="988" t="s">
        <v>567</v>
      </c>
      <c r="B1192" s="470">
        <v>2337661713</v>
      </c>
      <c r="C1192" s="391">
        <v>18872151</v>
      </c>
      <c r="D1192" s="989">
        <f t="shared" si="38"/>
        <v>2356533864</v>
      </c>
      <c r="I1192" t="s">
        <v>568</v>
      </c>
    </row>
    <row r="1193" spans="1:9" hidden="1" outlineLevel="2">
      <c r="A1193" s="988" t="s">
        <v>569</v>
      </c>
      <c r="B1193" s="470">
        <v>46026523</v>
      </c>
      <c r="C1193" s="391">
        <v>0</v>
      </c>
      <c r="D1193" s="989">
        <f t="shared" si="38"/>
        <v>46026523</v>
      </c>
      <c r="I1193" t="s">
        <v>570</v>
      </c>
    </row>
    <row r="1194" spans="1:9" hidden="1" outlineLevel="2">
      <c r="A1194" s="988" t="s">
        <v>571</v>
      </c>
      <c r="B1194" s="470">
        <v>55759316</v>
      </c>
      <c r="C1194" s="391">
        <v>0</v>
      </c>
      <c r="D1194" s="989">
        <f t="shared" si="38"/>
        <v>55759316</v>
      </c>
      <c r="I1194" t="s">
        <v>572</v>
      </c>
    </row>
    <row r="1195" spans="1:9" hidden="1" outlineLevel="2">
      <c r="A1195" s="988" t="s">
        <v>573</v>
      </c>
      <c r="B1195" s="470">
        <v>255962896</v>
      </c>
      <c r="C1195" s="391">
        <v>-4748335</v>
      </c>
      <c r="D1195" s="989">
        <f t="shared" si="38"/>
        <v>251214561</v>
      </c>
      <c r="I1195" t="s">
        <v>574</v>
      </c>
    </row>
    <row r="1196" spans="1:9" hidden="1" outlineLevel="2">
      <c r="A1196" s="988" t="s">
        <v>575</v>
      </c>
      <c r="B1196" s="470">
        <v>115468416</v>
      </c>
      <c r="C1196" s="391">
        <v>-129555</v>
      </c>
      <c r="D1196" s="989">
        <f t="shared" si="38"/>
        <v>115338861</v>
      </c>
      <c r="I1196" t="s">
        <v>576</v>
      </c>
    </row>
    <row r="1197" spans="1:9" hidden="1" outlineLevel="2">
      <c r="A1197" s="988" t="s">
        <v>577</v>
      </c>
      <c r="B1197" s="470">
        <v>3169446215</v>
      </c>
      <c r="C1197" s="391">
        <v>-8245330</v>
      </c>
      <c r="D1197" s="989">
        <f t="shared" si="38"/>
        <v>3161200885</v>
      </c>
      <c r="I1197" t="s">
        <v>578</v>
      </c>
    </row>
    <row r="1198" spans="1:9" hidden="1" outlineLevel="2">
      <c r="A1198" s="988" t="s">
        <v>579</v>
      </c>
      <c r="B1198" s="470">
        <v>140170690</v>
      </c>
      <c r="C1198" s="391">
        <v>-267480</v>
      </c>
      <c r="D1198" s="989">
        <f t="shared" si="38"/>
        <v>139903210</v>
      </c>
      <c r="I1198" t="s">
        <v>580</v>
      </c>
    </row>
    <row r="1199" spans="1:9" hidden="1" outlineLevel="2">
      <c r="A1199" s="988" t="s">
        <v>581</v>
      </c>
      <c r="B1199" s="470">
        <v>32190923</v>
      </c>
      <c r="C1199" s="391">
        <v>-663394</v>
      </c>
      <c r="D1199" s="989">
        <f t="shared" si="38"/>
        <v>31527529</v>
      </c>
      <c r="I1199" t="s">
        <v>582</v>
      </c>
    </row>
    <row r="1200" spans="1:9" hidden="1" outlineLevel="2">
      <c r="A1200" s="988" t="s">
        <v>583</v>
      </c>
      <c r="B1200" s="470">
        <v>117495396</v>
      </c>
      <c r="C1200" s="391">
        <v>130535</v>
      </c>
      <c r="D1200" s="989">
        <f t="shared" si="38"/>
        <v>117625931</v>
      </c>
      <c r="I1200" t="s">
        <v>584</v>
      </c>
    </row>
    <row r="1201" spans="1:9" hidden="1" outlineLevel="2">
      <c r="A1201" s="988" t="s">
        <v>585</v>
      </c>
      <c r="B1201" s="470">
        <v>1664705</v>
      </c>
      <c r="C1201" s="391">
        <v>0</v>
      </c>
      <c r="D1201" s="989">
        <f t="shared" si="38"/>
        <v>1664705</v>
      </c>
      <c r="I1201" t="s">
        <v>586</v>
      </c>
    </row>
    <row r="1202" spans="1:9" hidden="1" outlineLevel="2">
      <c r="A1202" s="988" t="s">
        <v>585</v>
      </c>
      <c r="B1202" s="470">
        <v>41898817</v>
      </c>
      <c r="C1202" s="391">
        <v>0</v>
      </c>
      <c r="D1202" s="989">
        <f t="shared" si="38"/>
        <v>41898817</v>
      </c>
      <c r="I1202" t="s">
        <v>586</v>
      </c>
    </row>
    <row r="1203" spans="1:9" hidden="1" outlineLevel="2">
      <c r="A1203" s="988" t="s">
        <v>587</v>
      </c>
      <c r="B1203" s="470">
        <v>71296872</v>
      </c>
      <c r="C1203" s="391">
        <v>-436033</v>
      </c>
      <c r="D1203" s="989">
        <f t="shared" si="38"/>
        <v>70860839</v>
      </c>
      <c r="I1203" t="s">
        <v>588</v>
      </c>
    </row>
    <row r="1204" spans="1:9" hidden="1" outlineLevel="2">
      <c r="A1204" s="988" t="s">
        <v>589</v>
      </c>
      <c r="B1204" s="470">
        <v>136253265</v>
      </c>
      <c r="C1204" s="391">
        <v>524746</v>
      </c>
      <c r="D1204" s="989">
        <f t="shared" si="38"/>
        <v>136778011</v>
      </c>
      <c r="I1204" t="s">
        <v>590</v>
      </c>
    </row>
    <row r="1205" spans="1:9" hidden="1" outlineLevel="2">
      <c r="A1205" s="988" t="s">
        <v>591</v>
      </c>
      <c r="B1205" s="470">
        <v>608016726</v>
      </c>
      <c r="C1205" s="391">
        <v>-2765270</v>
      </c>
      <c r="D1205" s="989">
        <f t="shared" si="38"/>
        <v>605251456</v>
      </c>
      <c r="I1205" t="s">
        <v>592</v>
      </c>
    </row>
    <row r="1206" spans="1:9" hidden="1" outlineLevel="2">
      <c r="A1206" s="988" t="s">
        <v>593</v>
      </c>
      <c r="B1206" s="470">
        <v>270616277</v>
      </c>
      <c r="C1206" s="391">
        <v>-822783</v>
      </c>
      <c r="D1206" s="989">
        <f t="shared" si="38"/>
        <v>269793494</v>
      </c>
      <c r="I1206" t="s">
        <v>594</v>
      </c>
    </row>
    <row r="1207" spans="1:9" hidden="1" outlineLevel="2">
      <c r="A1207" s="988" t="s">
        <v>595</v>
      </c>
      <c r="B1207" s="470">
        <v>277037032</v>
      </c>
      <c r="C1207" s="391">
        <v>0</v>
      </c>
      <c r="D1207" s="989">
        <f t="shared" si="38"/>
        <v>277037032</v>
      </c>
      <c r="I1207" t="s">
        <v>596</v>
      </c>
    </row>
    <row r="1208" spans="1:9" hidden="1" outlineLevel="2">
      <c r="A1208" s="988" t="s">
        <v>597</v>
      </c>
      <c r="B1208" s="470">
        <v>165431649</v>
      </c>
      <c r="C1208" s="391">
        <v>113944</v>
      </c>
      <c r="D1208" s="989">
        <f t="shared" si="38"/>
        <v>165545593</v>
      </c>
      <c r="I1208" t="s">
        <v>598</v>
      </c>
    </row>
    <row r="1209" spans="1:9" hidden="1" outlineLevel="2">
      <c r="A1209" s="988" t="s">
        <v>599</v>
      </c>
      <c r="B1209" s="470">
        <v>102302571</v>
      </c>
      <c r="C1209" s="391">
        <v>0</v>
      </c>
      <c r="D1209" s="989">
        <f t="shared" si="38"/>
        <v>102302571</v>
      </c>
      <c r="I1209" t="s">
        <v>600</v>
      </c>
    </row>
    <row r="1210" spans="1:9" hidden="1" outlineLevel="2">
      <c r="A1210" s="988" t="s">
        <v>601</v>
      </c>
      <c r="B1210" s="470">
        <v>15834429</v>
      </c>
      <c r="C1210" s="391">
        <v>-395774</v>
      </c>
      <c r="D1210" s="989">
        <f t="shared" si="38"/>
        <v>15438655</v>
      </c>
      <c r="I1210" t="s">
        <v>602</v>
      </c>
    </row>
    <row r="1211" spans="1:9" hidden="1" outlineLevel="2">
      <c r="A1211" s="988" t="s">
        <v>603</v>
      </c>
      <c r="B1211" s="470">
        <v>119907767</v>
      </c>
      <c r="C1211" s="391">
        <v>-5652490</v>
      </c>
      <c r="D1211" s="989">
        <f t="shared" si="38"/>
        <v>114255277</v>
      </c>
      <c r="I1211" t="s">
        <v>604</v>
      </c>
    </row>
    <row r="1212" spans="1:9" hidden="1" outlineLevel="2">
      <c r="A1212" s="988" t="s">
        <v>605</v>
      </c>
      <c r="B1212" s="470">
        <v>274553068</v>
      </c>
      <c r="C1212" s="391">
        <v>0</v>
      </c>
      <c r="D1212" s="989">
        <f t="shared" si="38"/>
        <v>274553068</v>
      </c>
      <c r="I1212" t="s">
        <v>606</v>
      </c>
    </row>
    <row r="1213" spans="1:9" hidden="1" outlineLevel="2">
      <c r="A1213" s="988" t="s">
        <v>607</v>
      </c>
      <c r="B1213" s="470">
        <v>19568428</v>
      </c>
      <c r="C1213" s="391">
        <v>-620681</v>
      </c>
      <c r="D1213" s="989">
        <f t="shared" si="38"/>
        <v>18947747</v>
      </c>
      <c r="I1213" t="s">
        <v>608</v>
      </c>
    </row>
    <row r="1214" spans="1:9" hidden="1" outlineLevel="2">
      <c r="A1214" s="988" t="s">
        <v>609</v>
      </c>
      <c r="B1214" s="470">
        <v>212802154</v>
      </c>
      <c r="C1214" s="391">
        <v>-948959</v>
      </c>
      <c r="D1214" s="989">
        <f t="shared" si="38"/>
        <v>211853195</v>
      </c>
      <c r="I1214" t="s">
        <v>610</v>
      </c>
    </row>
    <row r="1215" spans="1:9" hidden="1" outlineLevel="2">
      <c r="A1215" s="988" t="s">
        <v>611</v>
      </c>
      <c r="B1215" s="470">
        <v>163426844</v>
      </c>
      <c r="C1215" s="391">
        <v>1628099</v>
      </c>
      <c r="D1215" s="989">
        <f t="shared" si="38"/>
        <v>165054943</v>
      </c>
      <c r="I1215" t="s">
        <v>612</v>
      </c>
    </row>
    <row r="1216" spans="1:9" hidden="1" outlineLevel="2">
      <c r="A1216" s="988" t="s">
        <v>613</v>
      </c>
      <c r="B1216" s="470">
        <v>5896100</v>
      </c>
      <c r="C1216" s="391">
        <v>-26767</v>
      </c>
      <c r="D1216" s="989">
        <f t="shared" si="38"/>
        <v>5869333</v>
      </c>
      <c r="I1216" t="s">
        <v>614</v>
      </c>
    </row>
    <row r="1217" spans="1:9" hidden="1" outlineLevel="2">
      <c r="A1217" s="988" t="s">
        <v>615</v>
      </c>
      <c r="B1217" s="470">
        <v>110454111</v>
      </c>
      <c r="C1217" s="391">
        <v>0</v>
      </c>
      <c r="D1217" s="989">
        <f t="shared" si="38"/>
        <v>110454111</v>
      </c>
      <c r="I1217" t="s">
        <v>616</v>
      </c>
    </row>
    <row r="1218" spans="1:9" hidden="1" outlineLevel="2">
      <c r="A1218" s="988" t="s">
        <v>617</v>
      </c>
      <c r="B1218" s="470">
        <v>61599145</v>
      </c>
      <c r="C1218" s="391">
        <v>0</v>
      </c>
      <c r="D1218" s="989">
        <f t="shared" si="38"/>
        <v>61599145</v>
      </c>
      <c r="I1218" t="s">
        <v>618</v>
      </c>
    </row>
    <row r="1219" spans="1:9" hidden="1" outlineLevel="2">
      <c r="A1219" s="988" t="s">
        <v>619</v>
      </c>
      <c r="B1219" s="470">
        <v>403192811</v>
      </c>
      <c r="C1219" s="391">
        <v>0</v>
      </c>
      <c r="D1219" s="989">
        <f t="shared" si="38"/>
        <v>403192811</v>
      </c>
      <c r="I1219" t="s">
        <v>620</v>
      </c>
    </row>
    <row r="1220" spans="1:9" hidden="1" outlineLevel="2">
      <c r="A1220" s="988" t="s">
        <v>621</v>
      </c>
      <c r="B1220" s="470">
        <v>978350700</v>
      </c>
      <c r="C1220" s="391">
        <v>-2911697</v>
      </c>
      <c r="D1220" s="989">
        <f t="shared" si="38"/>
        <v>975439003</v>
      </c>
      <c r="I1220" t="s">
        <v>622</v>
      </c>
    </row>
    <row r="1221" spans="1:9" hidden="1" outlineLevel="2">
      <c r="A1221" s="988" t="s">
        <v>623</v>
      </c>
      <c r="B1221" s="470">
        <v>10781064</v>
      </c>
      <c r="C1221" s="391">
        <v>-345753</v>
      </c>
      <c r="D1221" s="989">
        <f t="shared" si="38"/>
        <v>10435311</v>
      </c>
      <c r="I1221" t="s">
        <v>624</v>
      </c>
    </row>
    <row r="1222" spans="1:9" hidden="1" outlineLevel="2">
      <c r="A1222" s="988" t="s">
        <v>625</v>
      </c>
      <c r="B1222" s="470">
        <v>50460666</v>
      </c>
      <c r="C1222" s="391">
        <v>115812</v>
      </c>
      <c r="D1222" s="989">
        <f t="shared" si="38"/>
        <v>50576478</v>
      </c>
      <c r="I1222" t="s">
        <v>626</v>
      </c>
    </row>
    <row r="1223" spans="1:9" hidden="1" outlineLevel="2">
      <c r="A1223" s="988" t="s">
        <v>627</v>
      </c>
      <c r="B1223" s="470">
        <v>365605912</v>
      </c>
      <c r="C1223" s="391">
        <v>0</v>
      </c>
      <c r="D1223" s="989">
        <f t="shared" si="38"/>
        <v>365605912</v>
      </c>
      <c r="I1223" t="s">
        <v>628</v>
      </c>
    </row>
    <row r="1224" spans="1:9" hidden="1" outlineLevel="2">
      <c r="A1224" s="988" t="s">
        <v>629</v>
      </c>
      <c r="B1224" s="470">
        <v>278415639</v>
      </c>
      <c r="C1224" s="391">
        <v>0</v>
      </c>
      <c r="D1224" s="989">
        <f t="shared" si="38"/>
        <v>278415639</v>
      </c>
      <c r="I1224" t="s">
        <v>630</v>
      </c>
    </row>
    <row r="1225" spans="1:9" hidden="1" outlineLevel="2">
      <c r="A1225" s="988" t="s">
        <v>631</v>
      </c>
      <c r="B1225" s="470">
        <v>145129163</v>
      </c>
      <c r="C1225" s="391">
        <v>755926</v>
      </c>
      <c r="D1225" s="989">
        <f t="shared" si="38"/>
        <v>145885089</v>
      </c>
      <c r="I1225" t="s">
        <v>632</v>
      </c>
    </row>
    <row r="1226" spans="1:9" hidden="1" outlineLevel="2">
      <c r="A1226" s="988" t="s">
        <v>633</v>
      </c>
      <c r="B1226" s="470">
        <v>28806327</v>
      </c>
      <c r="C1226" s="391">
        <v>0</v>
      </c>
      <c r="D1226" s="989">
        <f t="shared" si="38"/>
        <v>28806327</v>
      </c>
      <c r="I1226" t="s">
        <v>634</v>
      </c>
    </row>
    <row r="1227" spans="1:9" hidden="1" outlineLevel="2">
      <c r="A1227" s="988" t="s">
        <v>635</v>
      </c>
      <c r="B1227" s="470">
        <v>53108871</v>
      </c>
      <c r="C1227" s="391">
        <v>0</v>
      </c>
      <c r="D1227" s="989">
        <f t="shared" si="38"/>
        <v>53108871</v>
      </c>
      <c r="I1227" t="s">
        <v>636</v>
      </c>
    </row>
    <row r="1228" spans="1:9" hidden="1" outlineLevel="2">
      <c r="A1228" s="988" t="s">
        <v>637</v>
      </c>
      <c r="B1228" s="470">
        <v>564467244</v>
      </c>
      <c r="C1228" s="391">
        <v>782585</v>
      </c>
      <c r="D1228" s="989">
        <f t="shared" si="38"/>
        <v>565249829</v>
      </c>
      <c r="I1228" t="s">
        <v>638</v>
      </c>
    </row>
    <row r="1229" spans="1:9" hidden="1" outlineLevel="2">
      <c r="A1229" s="988" t="s">
        <v>639</v>
      </c>
      <c r="B1229" s="470">
        <v>2381875449</v>
      </c>
      <c r="C1229" s="391">
        <v>0</v>
      </c>
      <c r="D1229" s="989">
        <f t="shared" si="38"/>
        <v>2381875449</v>
      </c>
      <c r="I1229" t="s">
        <v>640</v>
      </c>
    </row>
    <row r="1230" spans="1:9" hidden="1" outlineLevel="2">
      <c r="A1230" s="988" t="s">
        <v>641</v>
      </c>
      <c r="B1230" s="470">
        <v>27180051</v>
      </c>
      <c r="C1230" s="391">
        <v>-19241</v>
      </c>
      <c r="D1230" s="989">
        <f t="shared" si="38"/>
        <v>27160810</v>
      </c>
      <c r="I1230" t="s">
        <v>642</v>
      </c>
    </row>
    <row r="1231" spans="1:9" hidden="1" outlineLevel="2">
      <c r="A1231" s="988" t="s">
        <v>643</v>
      </c>
      <c r="B1231" s="470">
        <v>88541264</v>
      </c>
      <c r="C1231" s="391">
        <v>251336</v>
      </c>
      <c r="D1231" s="989">
        <f t="shared" si="38"/>
        <v>88792600</v>
      </c>
      <c r="I1231" t="s">
        <v>644</v>
      </c>
    </row>
    <row r="1232" spans="1:9" hidden="1" outlineLevel="2">
      <c r="A1232" s="988" t="s">
        <v>645</v>
      </c>
      <c r="B1232" s="470">
        <v>1002892468</v>
      </c>
      <c r="C1232" s="391">
        <v>615516</v>
      </c>
      <c r="D1232" s="989">
        <f t="shared" si="38"/>
        <v>1003507984</v>
      </c>
      <c r="I1232" t="s">
        <v>646</v>
      </c>
    </row>
    <row r="1233" spans="1:9" hidden="1" outlineLevel="2">
      <c r="A1233" s="988" t="s">
        <v>647</v>
      </c>
      <c r="B1233" s="470">
        <v>90897601</v>
      </c>
      <c r="C1233" s="391">
        <v>0</v>
      </c>
      <c r="D1233" s="989">
        <f t="shared" si="38"/>
        <v>90897601</v>
      </c>
      <c r="I1233" t="s">
        <v>648</v>
      </c>
    </row>
    <row r="1234" spans="1:9" hidden="1" outlineLevel="2">
      <c r="A1234" s="988" t="s">
        <v>649</v>
      </c>
      <c r="B1234" s="470">
        <v>117989560</v>
      </c>
      <c r="C1234" s="391">
        <v>9323</v>
      </c>
      <c r="D1234" s="989">
        <f t="shared" si="38"/>
        <v>117998883</v>
      </c>
      <c r="I1234" t="s">
        <v>650</v>
      </c>
    </row>
    <row r="1235" spans="1:9" hidden="1" outlineLevel="2">
      <c r="A1235" s="988" t="s">
        <v>651</v>
      </c>
      <c r="B1235" s="470">
        <v>1312456551</v>
      </c>
      <c r="C1235" s="391">
        <v>0</v>
      </c>
      <c r="D1235" s="989">
        <f t="shared" si="38"/>
        <v>1312456551</v>
      </c>
      <c r="I1235" t="s">
        <v>652</v>
      </c>
    </row>
    <row r="1236" spans="1:9" hidden="1" outlineLevel="2">
      <c r="A1236" s="988" t="s">
        <v>653</v>
      </c>
      <c r="B1236" s="470">
        <v>11374656</v>
      </c>
      <c r="C1236" s="391">
        <v>-101209</v>
      </c>
      <c r="D1236" s="989">
        <f t="shared" si="38"/>
        <v>11273447</v>
      </c>
      <c r="I1236" t="s">
        <v>654</v>
      </c>
    </row>
    <row r="1237" spans="1:9" hidden="1" outlineLevel="2">
      <c r="A1237" s="988" t="s">
        <v>655</v>
      </c>
      <c r="B1237" s="470">
        <v>182446896</v>
      </c>
      <c r="C1237" s="391">
        <v>0</v>
      </c>
      <c r="D1237" s="989">
        <f t="shared" si="38"/>
        <v>182446896</v>
      </c>
      <c r="I1237" t="s">
        <v>578</v>
      </c>
    </row>
    <row r="1238" spans="1:9" hidden="1" outlineLevel="2">
      <c r="A1238" s="988" t="s">
        <v>656</v>
      </c>
      <c r="B1238" s="470">
        <v>132895566</v>
      </c>
      <c r="C1238" s="391">
        <v>0</v>
      </c>
      <c r="D1238" s="989">
        <f t="shared" ref="D1238:D1301" si="39">SUM(B1238:C1238)</f>
        <v>132895566</v>
      </c>
      <c r="I1238" t="s">
        <v>657</v>
      </c>
    </row>
    <row r="1239" spans="1:9" hidden="1" outlineLevel="2">
      <c r="A1239" s="988" t="s">
        <v>658</v>
      </c>
      <c r="B1239" s="470">
        <v>88775913</v>
      </c>
      <c r="C1239" s="391">
        <v>74836</v>
      </c>
      <c r="D1239" s="989">
        <f t="shared" si="39"/>
        <v>88850749</v>
      </c>
      <c r="I1239" t="s">
        <v>659</v>
      </c>
    </row>
    <row r="1240" spans="1:9" hidden="1" outlineLevel="2">
      <c r="A1240" s="988" t="s">
        <v>660</v>
      </c>
      <c r="B1240" s="470">
        <v>29767612</v>
      </c>
      <c r="C1240" s="391">
        <v>68240</v>
      </c>
      <c r="D1240" s="989">
        <f t="shared" si="39"/>
        <v>29835852</v>
      </c>
      <c r="I1240" t="s">
        <v>661</v>
      </c>
    </row>
    <row r="1241" spans="1:9" hidden="1" outlineLevel="2">
      <c r="A1241" s="988" t="s">
        <v>662</v>
      </c>
      <c r="B1241" s="470">
        <v>1821902277</v>
      </c>
      <c r="C1241" s="391">
        <v>0</v>
      </c>
      <c r="D1241" s="989">
        <f t="shared" si="39"/>
        <v>1821902277</v>
      </c>
      <c r="I1241" t="s">
        <v>663</v>
      </c>
    </row>
    <row r="1242" spans="1:9" hidden="1" outlineLevel="2">
      <c r="A1242" s="988" t="s">
        <v>664</v>
      </c>
      <c r="B1242" s="470">
        <v>405496384</v>
      </c>
      <c r="C1242" s="391">
        <v>1922145</v>
      </c>
      <c r="D1242" s="989">
        <f t="shared" si="39"/>
        <v>407418529</v>
      </c>
      <c r="I1242" t="s">
        <v>665</v>
      </c>
    </row>
    <row r="1243" spans="1:9" hidden="1" outlineLevel="2">
      <c r="A1243" s="988" t="s">
        <v>666</v>
      </c>
      <c r="B1243" s="470">
        <v>234218905</v>
      </c>
      <c r="C1243" s="391">
        <v>-3910143</v>
      </c>
      <c r="D1243" s="989">
        <f t="shared" si="39"/>
        <v>230308762</v>
      </c>
      <c r="I1243" t="s">
        <v>667</v>
      </c>
    </row>
    <row r="1244" spans="1:9" hidden="1" outlineLevel="2">
      <c r="A1244" s="988" t="s">
        <v>668</v>
      </c>
      <c r="B1244" s="470">
        <v>14896055</v>
      </c>
      <c r="C1244" s="391">
        <v>123278</v>
      </c>
      <c r="D1244" s="989">
        <f t="shared" si="39"/>
        <v>15019333</v>
      </c>
      <c r="I1244" t="s">
        <v>669</v>
      </c>
    </row>
    <row r="1245" spans="1:9" hidden="1" outlineLevel="2">
      <c r="A1245" s="988" t="s">
        <v>670</v>
      </c>
      <c r="B1245" s="470">
        <v>424358022</v>
      </c>
      <c r="C1245" s="391">
        <v>-503069</v>
      </c>
      <c r="D1245" s="989">
        <f t="shared" si="39"/>
        <v>423854953</v>
      </c>
      <c r="I1245" t="s">
        <v>671</v>
      </c>
    </row>
    <row r="1246" spans="1:9" hidden="1" outlineLevel="2">
      <c r="A1246" s="988" t="s">
        <v>672</v>
      </c>
      <c r="B1246" s="470">
        <v>91864181</v>
      </c>
      <c r="C1246" s="391">
        <v>0</v>
      </c>
      <c r="D1246" s="989">
        <f t="shared" si="39"/>
        <v>91864181</v>
      </c>
      <c r="I1246" t="s">
        <v>673</v>
      </c>
    </row>
    <row r="1247" spans="1:9" hidden="1" outlineLevel="2">
      <c r="A1247" s="988" t="s">
        <v>674</v>
      </c>
      <c r="B1247" s="470">
        <v>172707198</v>
      </c>
      <c r="C1247" s="391">
        <v>-32436</v>
      </c>
      <c r="D1247" s="989">
        <f t="shared" si="39"/>
        <v>172674762</v>
      </c>
      <c r="I1247" t="s">
        <v>675</v>
      </c>
    </row>
    <row r="1248" spans="1:9" hidden="1" outlineLevel="2">
      <c r="A1248" s="988" t="s">
        <v>676</v>
      </c>
      <c r="B1248" s="470">
        <v>122098163</v>
      </c>
      <c r="C1248" s="391">
        <v>-221393</v>
      </c>
      <c r="D1248" s="989">
        <f t="shared" si="39"/>
        <v>121876770</v>
      </c>
      <c r="I1248" t="s">
        <v>677</v>
      </c>
    </row>
    <row r="1249" spans="1:9" hidden="1" outlineLevel="2">
      <c r="A1249" s="988" t="s">
        <v>678</v>
      </c>
      <c r="B1249" s="470">
        <v>163007763</v>
      </c>
      <c r="C1249" s="391">
        <v>85520</v>
      </c>
      <c r="D1249" s="989">
        <f t="shared" si="39"/>
        <v>163093283</v>
      </c>
      <c r="I1249" t="s">
        <v>679</v>
      </c>
    </row>
    <row r="1250" spans="1:9" hidden="1" outlineLevel="2">
      <c r="A1250" s="988" t="s">
        <v>680</v>
      </c>
      <c r="B1250" s="470">
        <v>258385300</v>
      </c>
      <c r="C1250" s="391">
        <v>0</v>
      </c>
      <c r="D1250" s="989">
        <f t="shared" si="39"/>
        <v>258385300</v>
      </c>
      <c r="I1250" t="s">
        <v>681</v>
      </c>
    </row>
    <row r="1251" spans="1:9" hidden="1" outlineLevel="2">
      <c r="A1251" s="988" t="s">
        <v>682</v>
      </c>
      <c r="B1251" s="470">
        <v>229099657</v>
      </c>
      <c r="C1251" s="391">
        <v>801441</v>
      </c>
      <c r="D1251" s="989">
        <f t="shared" si="39"/>
        <v>229901098</v>
      </c>
      <c r="I1251" t="s">
        <v>683</v>
      </c>
    </row>
    <row r="1252" spans="1:9" hidden="1" outlineLevel="2">
      <c r="A1252" s="988" t="s">
        <v>684</v>
      </c>
      <c r="B1252" s="470">
        <v>141186503</v>
      </c>
      <c r="C1252" s="391">
        <v>0</v>
      </c>
      <c r="D1252" s="989">
        <f t="shared" si="39"/>
        <v>141186503</v>
      </c>
      <c r="I1252" t="s">
        <v>685</v>
      </c>
    </row>
    <row r="1253" spans="1:9" hidden="1" outlineLevel="2">
      <c r="A1253" s="988" t="s">
        <v>688</v>
      </c>
      <c r="B1253" s="470">
        <v>345797000</v>
      </c>
      <c r="C1253" s="391">
        <v>0</v>
      </c>
      <c r="D1253" s="989">
        <f t="shared" si="39"/>
        <v>345797000</v>
      </c>
      <c r="I1253" t="s">
        <v>689</v>
      </c>
    </row>
    <row r="1254" spans="1:9" hidden="1" outlineLevel="2">
      <c r="A1254" s="988" t="s">
        <v>690</v>
      </c>
      <c r="B1254" s="470">
        <v>110529234</v>
      </c>
      <c r="C1254" s="391">
        <v>0</v>
      </c>
      <c r="D1254" s="989">
        <f t="shared" si="39"/>
        <v>110529234</v>
      </c>
      <c r="I1254" t="s">
        <v>691</v>
      </c>
    </row>
    <row r="1255" spans="1:9" hidden="1" outlineLevel="2">
      <c r="A1255" s="988" t="s">
        <v>692</v>
      </c>
      <c r="B1255" s="470">
        <v>447568450</v>
      </c>
      <c r="C1255" s="391">
        <v>8701828</v>
      </c>
      <c r="D1255" s="989">
        <f t="shared" si="39"/>
        <v>456270278</v>
      </c>
      <c r="I1255" t="s">
        <v>693</v>
      </c>
    </row>
    <row r="1256" spans="1:9" hidden="1" outlineLevel="2">
      <c r="A1256" s="988" t="s">
        <v>694</v>
      </c>
      <c r="B1256" s="470">
        <v>3142693</v>
      </c>
      <c r="C1256" s="391">
        <v>9906</v>
      </c>
      <c r="D1256" s="989">
        <f t="shared" si="39"/>
        <v>3152599</v>
      </c>
      <c r="I1256" t="s">
        <v>695</v>
      </c>
    </row>
    <row r="1257" spans="1:9" hidden="1" outlineLevel="2">
      <c r="A1257" s="988" t="s">
        <v>696</v>
      </c>
      <c r="B1257" s="470">
        <v>118903622</v>
      </c>
      <c r="C1257" s="391">
        <v>-378186</v>
      </c>
      <c r="D1257" s="989">
        <f t="shared" si="39"/>
        <v>118525436</v>
      </c>
      <c r="I1257" t="s">
        <v>697</v>
      </c>
    </row>
    <row r="1258" spans="1:9" hidden="1" outlineLevel="2">
      <c r="A1258" s="988" t="s">
        <v>698</v>
      </c>
      <c r="B1258" s="470">
        <v>705811221</v>
      </c>
      <c r="C1258" s="391">
        <v>-11123741</v>
      </c>
      <c r="D1258" s="989">
        <f t="shared" si="39"/>
        <v>694687480</v>
      </c>
      <c r="I1258" t="s">
        <v>699</v>
      </c>
    </row>
    <row r="1259" spans="1:9" hidden="1" outlineLevel="2">
      <c r="A1259" s="988" t="s">
        <v>700</v>
      </c>
      <c r="B1259" s="470">
        <v>10498448</v>
      </c>
      <c r="C1259" s="391">
        <v>37135</v>
      </c>
      <c r="D1259" s="989">
        <f t="shared" si="39"/>
        <v>10535583</v>
      </c>
      <c r="I1259" t="s">
        <v>701</v>
      </c>
    </row>
    <row r="1260" spans="1:9" hidden="1" outlineLevel="2">
      <c r="A1260" s="988" t="s">
        <v>702</v>
      </c>
      <c r="B1260" s="470">
        <v>483018775</v>
      </c>
      <c r="C1260" s="391">
        <v>222660</v>
      </c>
      <c r="D1260" s="989">
        <f t="shared" si="39"/>
        <v>483241435</v>
      </c>
      <c r="I1260" t="s">
        <v>703</v>
      </c>
    </row>
    <row r="1261" spans="1:9" hidden="1" outlineLevel="2">
      <c r="A1261" s="988" t="s">
        <v>704</v>
      </c>
      <c r="B1261" s="470">
        <v>93639946</v>
      </c>
      <c r="C1261" s="391">
        <v>0</v>
      </c>
      <c r="D1261" s="989">
        <f t="shared" si="39"/>
        <v>93639946</v>
      </c>
      <c r="I1261" t="s">
        <v>705</v>
      </c>
    </row>
    <row r="1262" spans="1:9" hidden="1" outlineLevel="2">
      <c r="A1262" s="988" t="s">
        <v>706</v>
      </c>
      <c r="B1262" s="470">
        <v>251403215</v>
      </c>
      <c r="C1262" s="391">
        <v>9731240</v>
      </c>
      <c r="D1262" s="989">
        <f t="shared" si="39"/>
        <v>261134455</v>
      </c>
      <c r="I1262" t="s">
        <v>707</v>
      </c>
    </row>
    <row r="1263" spans="1:9" hidden="1" outlineLevel="2">
      <c r="A1263" s="988" t="s">
        <v>708</v>
      </c>
      <c r="B1263" s="470">
        <v>1224365473</v>
      </c>
      <c r="C1263" s="391">
        <v>-7396680</v>
      </c>
      <c r="D1263" s="989">
        <f t="shared" si="39"/>
        <v>1216968793</v>
      </c>
      <c r="I1263" t="s">
        <v>709</v>
      </c>
    </row>
    <row r="1264" spans="1:9" hidden="1" outlineLevel="2">
      <c r="A1264" s="988" t="s">
        <v>710</v>
      </c>
      <c r="B1264" s="470">
        <v>117829125</v>
      </c>
      <c r="C1264" s="391">
        <v>872439</v>
      </c>
      <c r="D1264" s="989">
        <f t="shared" si="39"/>
        <v>118701564</v>
      </c>
      <c r="I1264" t="s">
        <v>711</v>
      </c>
    </row>
    <row r="1265" spans="1:9" hidden="1" outlineLevel="2">
      <c r="A1265" s="988" t="s">
        <v>712</v>
      </c>
      <c r="B1265" s="470">
        <v>546231684</v>
      </c>
      <c r="C1265" s="391">
        <v>0</v>
      </c>
      <c r="D1265" s="989">
        <f t="shared" si="39"/>
        <v>546231684</v>
      </c>
      <c r="I1265" t="s">
        <v>713</v>
      </c>
    </row>
    <row r="1266" spans="1:9" hidden="1" outlineLevel="2">
      <c r="A1266" s="988" t="s">
        <v>714</v>
      </c>
      <c r="B1266" s="470">
        <v>31497561</v>
      </c>
      <c r="C1266" s="391">
        <v>-280413</v>
      </c>
      <c r="D1266" s="989">
        <f t="shared" si="39"/>
        <v>31217148</v>
      </c>
      <c r="I1266" t="s">
        <v>715</v>
      </c>
    </row>
    <row r="1267" spans="1:9" hidden="1" outlineLevel="2">
      <c r="A1267" s="988" t="s">
        <v>716</v>
      </c>
      <c r="B1267" s="470">
        <v>232955679</v>
      </c>
      <c r="C1267" s="391">
        <v>-1028192</v>
      </c>
      <c r="D1267" s="989">
        <f t="shared" si="39"/>
        <v>231927487</v>
      </c>
      <c r="I1267" t="s">
        <v>717</v>
      </c>
    </row>
    <row r="1268" spans="1:9" hidden="1" outlineLevel="2">
      <c r="A1268" s="988" t="s">
        <v>718</v>
      </c>
      <c r="B1268" s="470">
        <v>171462025</v>
      </c>
      <c r="C1268" s="391">
        <v>0</v>
      </c>
      <c r="D1268" s="989">
        <f t="shared" si="39"/>
        <v>171462025</v>
      </c>
      <c r="I1268" t="s">
        <v>719</v>
      </c>
    </row>
    <row r="1269" spans="1:9" hidden="1" outlineLevel="2">
      <c r="A1269" s="988" t="s">
        <v>720</v>
      </c>
      <c r="B1269" s="470">
        <v>80511358</v>
      </c>
      <c r="C1269" s="391">
        <v>0</v>
      </c>
      <c r="D1269" s="989">
        <f t="shared" si="39"/>
        <v>80511358</v>
      </c>
      <c r="I1269" t="s">
        <v>721</v>
      </c>
    </row>
    <row r="1270" spans="1:9" hidden="1" outlineLevel="2">
      <c r="A1270" s="988" t="s">
        <v>722</v>
      </c>
      <c r="B1270" s="470">
        <v>44636290</v>
      </c>
      <c r="C1270" s="391">
        <v>0</v>
      </c>
      <c r="D1270" s="989">
        <f t="shared" si="39"/>
        <v>44636290</v>
      </c>
      <c r="I1270" t="s">
        <v>723</v>
      </c>
    </row>
    <row r="1271" spans="1:9" hidden="1" outlineLevel="2">
      <c r="A1271" s="988" t="s">
        <v>724</v>
      </c>
      <c r="B1271" s="470">
        <v>294350403</v>
      </c>
      <c r="C1271" s="391">
        <v>-2037613</v>
      </c>
      <c r="D1271" s="989">
        <f t="shared" si="39"/>
        <v>292312790</v>
      </c>
      <c r="I1271" t="s">
        <v>725</v>
      </c>
    </row>
    <row r="1272" spans="1:9" hidden="1" outlineLevel="2">
      <c r="A1272" s="988" t="s">
        <v>726</v>
      </c>
      <c r="B1272" s="470">
        <v>387850191</v>
      </c>
      <c r="C1272" s="391">
        <v>12358218</v>
      </c>
      <c r="D1272" s="989">
        <f t="shared" si="39"/>
        <v>400208409</v>
      </c>
      <c r="I1272" t="s">
        <v>727</v>
      </c>
    </row>
    <row r="1273" spans="1:9" hidden="1" outlineLevel="2">
      <c r="A1273" s="988" t="s">
        <v>728</v>
      </c>
      <c r="B1273" s="470">
        <v>28818528</v>
      </c>
      <c r="C1273" s="391">
        <v>387862</v>
      </c>
      <c r="D1273" s="989">
        <f t="shared" si="39"/>
        <v>29206390</v>
      </c>
      <c r="I1273" t="s">
        <v>729</v>
      </c>
    </row>
    <row r="1274" spans="1:9" hidden="1" outlineLevel="2">
      <c r="A1274" s="988" t="s">
        <v>730</v>
      </c>
      <c r="B1274" s="470">
        <v>114225262</v>
      </c>
      <c r="C1274" s="391">
        <v>1286567</v>
      </c>
      <c r="D1274" s="989">
        <f t="shared" si="39"/>
        <v>115511829</v>
      </c>
      <c r="I1274" t="s">
        <v>731</v>
      </c>
    </row>
    <row r="1275" spans="1:9" hidden="1" outlineLevel="2">
      <c r="A1275" s="988" t="s">
        <v>732</v>
      </c>
      <c r="B1275" s="470">
        <v>9457778</v>
      </c>
      <c r="C1275" s="391">
        <v>-88537</v>
      </c>
      <c r="D1275" s="989">
        <f t="shared" si="39"/>
        <v>9369241</v>
      </c>
      <c r="I1275" t="s">
        <v>733</v>
      </c>
    </row>
    <row r="1276" spans="1:9" hidden="1" outlineLevel="2">
      <c r="A1276" s="988" t="s">
        <v>734</v>
      </c>
      <c r="B1276" s="470">
        <v>1191735043</v>
      </c>
      <c r="C1276" s="391">
        <v>758640</v>
      </c>
      <c r="D1276" s="989">
        <f t="shared" si="39"/>
        <v>1192493683</v>
      </c>
      <c r="I1276" t="s">
        <v>735</v>
      </c>
    </row>
    <row r="1277" spans="1:9" hidden="1" outlineLevel="2">
      <c r="A1277" s="988" t="s">
        <v>736</v>
      </c>
      <c r="B1277" s="470">
        <v>68340937</v>
      </c>
      <c r="C1277" s="391">
        <v>0</v>
      </c>
      <c r="D1277" s="989">
        <f t="shared" si="39"/>
        <v>68340937</v>
      </c>
      <c r="I1277" t="s">
        <v>737</v>
      </c>
    </row>
    <row r="1278" spans="1:9" hidden="1" outlineLevel="2">
      <c r="A1278" s="988" t="s">
        <v>738</v>
      </c>
      <c r="B1278" s="470">
        <v>82770286</v>
      </c>
      <c r="C1278" s="391">
        <v>-1058064</v>
      </c>
      <c r="D1278" s="989">
        <f t="shared" si="39"/>
        <v>81712222</v>
      </c>
      <c r="I1278" t="s">
        <v>739</v>
      </c>
    </row>
    <row r="1279" spans="1:9" hidden="1" outlineLevel="2">
      <c r="A1279" s="988" t="s">
        <v>740</v>
      </c>
      <c r="B1279" s="470">
        <v>24777036</v>
      </c>
      <c r="C1279" s="391">
        <v>0</v>
      </c>
      <c r="D1279" s="989">
        <f t="shared" si="39"/>
        <v>24777036</v>
      </c>
      <c r="I1279" t="s">
        <v>741</v>
      </c>
    </row>
    <row r="1280" spans="1:9" hidden="1" outlineLevel="2">
      <c r="A1280" s="988" t="s">
        <v>742</v>
      </c>
      <c r="B1280" s="470">
        <v>344980392</v>
      </c>
      <c r="C1280" s="391">
        <v>2813655</v>
      </c>
      <c r="D1280" s="989">
        <f t="shared" si="39"/>
        <v>347794047</v>
      </c>
      <c r="I1280" t="s">
        <v>743</v>
      </c>
    </row>
    <row r="1281" spans="1:9" hidden="1" outlineLevel="2">
      <c r="A1281" s="988" t="s">
        <v>744</v>
      </c>
      <c r="B1281" s="470">
        <v>96602293</v>
      </c>
      <c r="C1281" s="391">
        <v>85642</v>
      </c>
      <c r="D1281" s="989">
        <f t="shared" si="39"/>
        <v>96687935</v>
      </c>
      <c r="I1281" t="s">
        <v>745</v>
      </c>
    </row>
    <row r="1282" spans="1:9" hidden="1" outlineLevel="2">
      <c r="A1282" s="988" t="s">
        <v>746</v>
      </c>
      <c r="B1282" s="470">
        <v>1133346564</v>
      </c>
      <c r="C1282" s="391">
        <v>-276455</v>
      </c>
      <c r="D1282" s="989">
        <f t="shared" si="39"/>
        <v>1133070109</v>
      </c>
      <c r="I1282" t="s">
        <v>747</v>
      </c>
    </row>
    <row r="1283" spans="1:9" hidden="1" outlineLevel="2">
      <c r="A1283" s="988" t="s">
        <v>748</v>
      </c>
      <c r="B1283" s="470">
        <v>48659225</v>
      </c>
      <c r="C1283" s="391">
        <v>-631106</v>
      </c>
      <c r="D1283" s="989">
        <f t="shared" si="39"/>
        <v>48028119</v>
      </c>
      <c r="I1283" t="s">
        <v>749</v>
      </c>
    </row>
    <row r="1284" spans="1:9" hidden="1" outlineLevel="2">
      <c r="A1284" s="988" t="s">
        <v>750</v>
      </c>
      <c r="B1284" s="470">
        <v>132689589</v>
      </c>
      <c r="C1284" s="391">
        <v>0</v>
      </c>
      <c r="D1284" s="989">
        <f t="shared" si="39"/>
        <v>132689589</v>
      </c>
      <c r="I1284" t="s">
        <v>751</v>
      </c>
    </row>
    <row r="1285" spans="1:9" hidden="1" outlineLevel="2">
      <c r="A1285" s="988" t="s">
        <v>752</v>
      </c>
      <c r="B1285" s="470">
        <v>1190883758</v>
      </c>
      <c r="C1285" s="391">
        <v>-6138311</v>
      </c>
      <c r="D1285" s="989">
        <f t="shared" si="39"/>
        <v>1184745447</v>
      </c>
      <c r="I1285" t="s">
        <v>753</v>
      </c>
    </row>
    <row r="1286" spans="1:9" hidden="1" outlineLevel="2">
      <c r="A1286" s="988" t="s">
        <v>754</v>
      </c>
      <c r="B1286" s="470">
        <v>3205916109</v>
      </c>
      <c r="C1286" s="391">
        <v>101889</v>
      </c>
      <c r="D1286" s="989">
        <f t="shared" si="39"/>
        <v>3206017998</v>
      </c>
      <c r="I1286" t="s">
        <v>755</v>
      </c>
    </row>
    <row r="1287" spans="1:9" hidden="1" outlineLevel="2">
      <c r="A1287" s="988" t="s">
        <v>756</v>
      </c>
      <c r="B1287" s="470">
        <v>162643572</v>
      </c>
      <c r="C1287" s="391">
        <v>0</v>
      </c>
      <c r="D1287" s="989">
        <f t="shared" si="39"/>
        <v>162643572</v>
      </c>
      <c r="I1287" t="s">
        <v>610</v>
      </c>
    </row>
    <row r="1288" spans="1:9" hidden="1" outlineLevel="2">
      <c r="A1288" s="988" t="s">
        <v>757</v>
      </c>
      <c r="B1288" s="470">
        <v>4928889</v>
      </c>
      <c r="C1288" s="391">
        <v>0</v>
      </c>
      <c r="D1288" s="989">
        <f t="shared" si="39"/>
        <v>4928889</v>
      </c>
      <c r="I1288" t="s">
        <v>758</v>
      </c>
    </row>
    <row r="1289" spans="1:9" hidden="1" outlineLevel="2">
      <c r="A1289" s="988" t="s">
        <v>759</v>
      </c>
      <c r="B1289" s="470">
        <v>126032248</v>
      </c>
      <c r="C1289" s="391">
        <v>-601461</v>
      </c>
      <c r="D1289" s="989">
        <f t="shared" si="39"/>
        <v>125430787</v>
      </c>
      <c r="I1289" t="s">
        <v>760</v>
      </c>
    </row>
    <row r="1290" spans="1:9" hidden="1" outlineLevel="2">
      <c r="A1290" s="988" t="s">
        <v>761</v>
      </c>
      <c r="B1290" s="470">
        <v>988917900</v>
      </c>
      <c r="C1290" s="391">
        <v>0</v>
      </c>
      <c r="D1290" s="989">
        <f t="shared" si="39"/>
        <v>988917900</v>
      </c>
      <c r="I1290" t="s">
        <v>762</v>
      </c>
    </row>
    <row r="1291" spans="1:9" hidden="1" outlineLevel="2">
      <c r="A1291" s="988" t="s">
        <v>763</v>
      </c>
      <c r="B1291" s="470">
        <v>269258242</v>
      </c>
      <c r="C1291" s="391">
        <v>0</v>
      </c>
      <c r="D1291" s="989">
        <f t="shared" si="39"/>
        <v>269258242</v>
      </c>
      <c r="I1291" t="s">
        <v>764</v>
      </c>
    </row>
    <row r="1292" spans="1:9" hidden="1" outlineLevel="2">
      <c r="A1292" s="988" t="s">
        <v>765</v>
      </c>
      <c r="B1292" s="470">
        <v>100516999</v>
      </c>
      <c r="C1292" s="391">
        <v>807515</v>
      </c>
      <c r="D1292" s="989">
        <f t="shared" si="39"/>
        <v>101324514</v>
      </c>
      <c r="I1292" t="s">
        <v>766</v>
      </c>
    </row>
    <row r="1293" spans="1:9" hidden="1" outlineLevel="2">
      <c r="A1293" s="988" t="s">
        <v>767</v>
      </c>
      <c r="B1293" s="470">
        <v>49901845</v>
      </c>
      <c r="C1293" s="391">
        <v>0</v>
      </c>
      <c r="D1293" s="989">
        <f t="shared" si="39"/>
        <v>49901845</v>
      </c>
      <c r="I1293" t="s">
        <v>768</v>
      </c>
    </row>
    <row r="1294" spans="1:9" hidden="1" outlineLevel="2">
      <c r="A1294" s="988" t="s">
        <v>769</v>
      </c>
      <c r="B1294" s="470">
        <v>57883786</v>
      </c>
      <c r="C1294" s="391">
        <v>11022</v>
      </c>
      <c r="D1294" s="989">
        <f t="shared" si="39"/>
        <v>57894808</v>
      </c>
      <c r="I1294" t="s">
        <v>770</v>
      </c>
    </row>
    <row r="1295" spans="1:9" hidden="1" outlineLevel="2">
      <c r="A1295" s="988" t="s">
        <v>771</v>
      </c>
      <c r="B1295" s="470">
        <v>113604575</v>
      </c>
      <c r="C1295" s="391">
        <v>0</v>
      </c>
      <c r="D1295" s="989">
        <f t="shared" si="39"/>
        <v>113604575</v>
      </c>
      <c r="I1295" t="s">
        <v>772</v>
      </c>
    </row>
    <row r="1296" spans="1:9" hidden="1" outlineLevel="2">
      <c r="A1296" s="988" t="s">
        <v>773</v>
      </c>
      <c r="B1296" s="470">
        <v>1447615987</v>
      </c>
      <c r="C1296" s="391">
        <v>7430321</v>
      </c>
      <c r="D1296" s="989">
        <f t="shared" si="39"/>
        <v>1455046308</v>
      </c>
      <c r="I1296" t="s">
        <v>774</v>
      </c>
    </row>
    <row r="1297" spans="1:9" hidden="1" outlineLevel="2">
      <c r="A1297" s="988" t="s">
        <v>356</v>
      </c>
      <c r="B1297" s="470">
        <v>975190</v>
      </c>
      <c r="C1297" s="391">
        <v>29136537</v>
      </c>
      <c r="D1297" s="989">
        <f t="shared" si="39"/>
        <v>30111727</v>
      </c>
      <c r="I1297" t="s">
        <v>357</v>
      </c>
    </row>
    <row r="1298" spans="1:9" hidden="1" outlineLevel="2">
      <c r="A1298" s="988" t="s">
        <v>775</v>
      </c>
      <c r="B1298" s="470">
        <v>1126825756</v>
      </c>
      <c r="C1298" s="391">
        <v>28021617</v>
      </c>
      <c r="D1298" s="989">
        <f t="shared" si="39"/>
        <v>1154847373</v>
      </c>
      <c r="I1298" t="s">
        <v>776</v>
      </c>
    </row>
    <row r="1299" spans="1:9" hidden="1" outlineLevel="2">
      <c r="A1299" s="988" t="s">
        <v>777</v>
      </c>
      <c r="B1299" s="470">
        <v>1897327269</v>
      </c>
      <c r="C1299" s="391">
        <v>-7880251</v>
      </c>
      <c r="D1299" s="989">
        <f t="shared" si="39"/>
        <v>1889447018</v>
      </c>
      <c r="I1299" t="s">
        <v>778</v>
      </c>
    </row>
    <row r="1300" spans="1:9" hidden="1" outlineLevel="2">
      <c r="A1300" s="988" t="s">
        <v>360</v>
      </c>
      <c r="B1300" s="470">
        <v>8979223</v>
      </c>
      <c r="C1300" s="391">
        <v>0</v>
      </c>
      <c r="D1300" s="989">
        <f t="shared" si="39"/>
        <v>8979223</v>
      </c>
      <c r="I1300" t="s">
        <v>361</v>
      </c>
    </row>
    <row r="1301" spans="1:9" hidden="1" outlineLevel="2">
      <c r="A1301" s="988" t="s">
        <v>779</v>
      </c>
      <c r="B1301" s="470">
        <v>119646729</v>
      </c>
      <c r="C1301" s="391">
        <v>-1233951</v>
      </c>
      <c r="D1301" s="989">
        <f t="shared" si="39"/>
        <v>118412778</v>
      </c>
      <c r="I1301" t="s">
        <v>780</v>
      </c>
    </row>
    <row r="1302" spans="1:9" hidden="1" outlineLevel="2">
      <c r="A1302" s="988" t="s">
        <v>781</v>
      </c>
      <c r="B1302" s="470">
        <v>208395394</v>
      </c>
      <c r="C1302" s="391">
        <v>-162281</v>
      </c>
      <c r="D1302" s="989">
        <f t="shared" ref="D1302:D1342" si="40">SUM(B1302:C1302)</f>
        <v>208233113</v>
      </c>
      <c r="I1302" t="s">
        <v>782</v>
      </c>
    </row>
    <row r="1303" spans="1:9" hidden="1" outlineLevel="2">
      <c r="A1303" s="988" t="s">
        <v>783</v>
      </c>
      <c r="B1303" s="470">
        <v>59034795</v>
      </c>
      <c r="C1303" s="391">
        <v>-34131</v>
      </c>
      <c r="D1303" s="989">
        <f t="shared" si="40"/>
        <v>59000664</v>
      </c>
      <c r="I1303" t="s">
        <v>784</v>
      </c>
    </row>
    <row r="1304" spans="1:9" hidden="1" outlineLevel="2">
      <c r="A1304" s="988" t="s">
        <v>785</v>
      </c>
      <c r="B1304" s="470">
        <v>450513062</v>
      </c>
      <c r="C1304" s="391">
        <v>76763</v>
      </c>
      <c r="D1304" s="989">
        <f t="shared" si="40"/>
        <v>450589825</v>
      </c>
      <c r="I1304" t="s">
        <v>786</v>
      </c>
    </row>
    <row r="1305" spans="1:9" hidden="1" outlineLevel="2">
      <c r="A1305" s="988" t="s">
        <v>787</v>
      </c>
      <c r="B1305" s="470">
        <v>152660191</v>
      </c>
      <c r="C1305" s="391">
        <v>599790</v>
      </c>
      <c r="D1305" s="989">
        <f t="shared" si="40"/>
        <v>153259981</v>
      </c>
      <c r="I1305" t="s">
        <v>788</v>
      </c>
    </row>
    <row r="1306" spans="1:9" hidden="1" outlineLevel="2">
      <c r="A1306" s="988" t="s">
        <v>789</v>
      </c>
      <c r="B1306" s="470">
        <v>2033008</v>
      </c>
      <c r="C1306" s="391">
        <v>2911</v>
      </c>
      <c r="D1306" s="989">
        <f t="shared" si="40"/>
        <v>2035919</v>
      </c>
      <c r="I1306" t="s">
        <v>790</v>
      </c>
    </row>
    <row r="1307" spans="1:9" hidden="1" outlineLevel="2">
      <c r="A1307" s="988" t="s">
        <v>791</v>
      </c>
      <c r="B1307" s="470">
        <v>96130202</v>
      </c>
      <c r="C1307" s="391">
        <v>124844</v>
      </c>
      <c r="D1307" s="989">
        <f t="shared" si="40"/>
        <v>96255046</v>
      </c>
      <c r="I1307" t="s">
        <v>792</v>
      </c>
    </row>
    <row r="1308" spans="1:9" hidden="1" outlineLevel="2">
      <c r="A1308" s="988" t="s">
        <v>793</v>
      </c>
      <c r="B1308" s="470">
        <v>140314930</v>
      </c>
      <c r="C1308" s="391">
        <v>2059628</v>
      </c>
      <c r="D1308" s="989">
        <f t="shared" si="40"/>
        <v>142374558</v>
      </c>
      <c r="I1308" t="s">
        <v>794</v>
      </c>
    </row>
    <row r="1309" spans="1:9" hidden="1" outlineLevel="2">
      <c r="A1309" s="988" t="s">
        <v>795</v>
      </c>
      <c r="B1309" s="470">
        <v>162381048</v>
      </c>
      <c r="C1309" s="391">
        <v>1861497</v>
      </c>
      <c r="D1309" s="989">
        <f t="shared" si="40"/>
        <v>164242545</v>
      </c>
      <c r="I1309" t="s">
        <v>796</v>
      </c>
    </row>
    <row r="1310" spans="1:9" hidden="1" outlineLevel="2">
      <c r="A1310" s="988" t="s">
        <v>797</v>
      </c>
      <c r="B1310" s="470">
        <v>37459119</v>
      </c>
      <c r="C1310" s="391">
        <v>276375</v>
      </c>
      <c r="D1310" s="989">
        <f t="shared" si="40"/>
        <v>37735494</v>
      </c>
      <c r="I1310" t="s">
        <v>798</v>
      </c>
    </row>
    <row r="1311" spans="1:9" hidden="1" outlineLevel="2">
      <c r="A1311" s="988" t="s">
        <v>799</v>
      </c>
      <c r="B1311" s="470">
        <v>17423578</v>
      </c>
      <c r="C1311" s="391">
        <v>0</v>
      </c>
      <c r="D1311" s="989">
        <f t="shared" si="40"/>
        <v>17423578</v>
      </c>
      <c r="I1311" t="s">
        <v>800</v>
      </c>
    </row>
    <row r="1312" spans="1:9" hidden="1" outlineLevel="2">
      <c r="A1312" s="988" t="s">
        <v>801</v>
      </c>
      <c r="B1312" s="470">
        <v>21846485</v>
      </c>
      <c r="C1312" s="391">
        <v>0</v>
      </c>
      <c r="D1312" s="989">
        <f t="shared" si="40"/>
        <v>21846485</v>
      </c>
      <c r="I1312" t="s">
        <v>802</v>
      </c>
    </row>
    <row r="1313" spans="1:9" hidden="1" outlineLevel="2">
      <c r="A1313" s="988" t="s">
        <v>803</v>
      </c>
      <c r="B1313" s="470">
        <v>115903091</v>
      </c>
      <c r="C1313" s="391">
        <v>0</v>
      </c>
      <c r="D1313" s="989">
        <f t="shared" si="40"/>
        <v>115903091</v>
      </c>
      <c r="I1313" t="s">
        <v>804</v>
      </c>
    </row>
    <row r="1314" spans="1:9" hidden="1" outlineLevel="2">
      <c r="A1314" s="988" t="s">
        <v>805</v>
      </c>
      <c r="B1314" s="470">
        <v>295767356</v>
      </c>
      <c r="C1314" s="391">
        <v>-1693596</v>
      </c>
      <c r="D1314" s="989">
        <f t="shared" si="40"/>
        <v>294073760</v>
      </c>
      <c r="I1314" t="s">
        <v>806</v>
      </c>
    </row>
    <row r="1315" spans="1:9" hidden="1" outlineLevel="2">
      <c r="A1315" s="988" t="s">
        <v>807</v>
      </c>
      <c r="B1315" s="470">
        <v>142105303</v>
      </c>
      <c r="C1315" s="391">
        <v>-47635</v>
      </c>
      <c r="D1315" s="989">
        <f t="shared" si="40"/>
        <v>142057668</v>
      </c>
      <c r="I1315" t="s">
        <v>808</v>
      </c>
    </row>
    <row r="1316" spans="1:9" hidden="1" outlineLevel="2">
      <c r="A1316" s="988" t="s">
        <v>809</v>
      </c>
      <c r="B1316" s="470">
        <v>920496498</v>
      </c>
      <c r="C1316" s="391">
        <v>-14075885</v>
      </c>
      <c r="D1316" s="989">
        <f t="shared" si="40"/>
        <v>906420613</v>
      </c>
      <c r="I1316" t="s">
        <v>810</v>
      </c>
    </row>
    <row r="1317" spans="1:9" hidden="1" outlineLevel="2">
      <c r="A1317" s="988" t="s">
        <v>811</v>
      </c>
      <c r="B1317" s="470">
        <v>195640169</v>
      </c>
      <c r="C1317" s="391">
        <v>-4806362</v>
      </c>
      <c r="D1317" s="989">
        <f t="shared" si="40"/>
        <v>190833807</v>
      </c>
      <c r="I1317" t="s">
        <v>812</v>
      </c>
    </row>
    <row r="1318" spans="1:9" hidden="1" outlineLevel="2">
      <c r="A1318" s="988" t="s">
        <v>813</v>
      </c>
      <c r="B1318" s="470">
        <v>33909042</v>
      </c>
      <c r="C1318" s="391">
        <v>0</v>
      </c>
      <c r="D1318" s="989">
        <f t="shared" si="40"/>
        <v>33909042</v>
      </c>
      <c r="I1318" t="s">
        <v>814</v>
      </c>
    </row>
    <row r="1319" spans="1:9" hidden="1" outlineLevel="2">
      <c r="A1319" s="988" t="s">
        <v>815</v>
      </c>
      <c r="B1319" s="470">
        <v>71572816</v>
      </c>
      <c r="C1319" s="391">
        <v>0</v>
      </c>
      <c r="D1319" s="989">
        <f t="shared" si="40"/>
        <v>71572816</v>
      </c>
      <c r="I1319" t="s">
        <v>816</v>
      </c>
    </row>
    <row r="1320" spans="1:9" hidden="1" outlineLevel="2">
      <c r="A1320" s="988" t="s">
        <v>817</v>
      </c>
      <c r="B1320" s="470">
        <v>155668250</v>
      </c>
      <c r="C1320" s="391">
        <v>475082</v>
      </c>
      <c r="D1320" s="989">
        <f t="shared" si="40"/>
        <v>156143332</v>
      </c>
      <c r="I1320" t="s">
        <v>818</v>
      </c>
    </row>
    <row r="1321" spans="1:9" hidden="1" outlineLevel="2">
      <c r="A1321" s="988" t="s">
        <v>819</v>
      </c>
      <c r="B1321" s="470">
        <v>10266585</v>
      </c>
      <c r="C1321" s="391">
        <v>0</v>
      </c>
      <c r="D1321" s="989">
        <f t="shared" si="40"/>
        <v>10266585</v>
      </c>
      <c r="I1321" t="s">
        <v>820</v>
      </c>
    </row>
    <row r="1322" spans="1:9" hidden="1" outlineLevel="2">
      <c r="A1322" s="988" t="s">
        <v>821</v>
      </c>
      <c r="B1322" s="470">
        <v>413117090</v>
      </c>
      <c r="C1322" s="391">
        <v>0</v>
      </c>
      <c r="D1322" s="989">
        <f t="shared" si="40"/>
        <v>413117090</v>
      </c>
      <c r="I1322" t="s">
        <v>822</v>
      </c>
    </row>
    <row r="1323" spans="1:9" hidden="1" outlineLevel="2">
      <c r="A1323" s="988" t="s">
        <v>821</v>
      </c>
      <c r="B1323" s="470">
        <v>27009993</v>
      </c>
      <c r="C1323" s="391">
        <v>0</v>
      </c>
      <c r="D1323" s="989">
        <f t="shared" si="40"/>
        <v>27009993</v>
      </c>
      <c r="I1323" t="s">
        <v>822</v>
      </c>
    </row>
    <row r="1324" spans="1:9" hidden="1" outlineLevel="2">
      <c r="A1324" s="988" t="s">
        <v>821</v>
      </c>
      <c r="B1324" s="470">
        <v>308151363</v>
      </c>
      <c r="C1324" s="391">
        <v>0</v>
      </c>
      <c r="D1324" s="989">
        <f t="shared" si="40"/>
        <v>308151363</v>
      </c>
      <c r="I1324" t="s">
        <v>822</v>
      </c>
    </row>
    <row r="1325" spans="1:9" hidden="1" outlineLevel="2">
      <c r="A1325" s="988" t="s">
        <v>823</v>
      </c>
      <c r="B1325" s="470">
        <v>19451521</v>
      </c>
      <c r="C1325" s="391">
        <v>83515</v>
      </c>
      <c r="D1325" s="989">
        <f t="shared" si="40"/>
        <v>19535036</v>
      </c>
      <c r="I1325" t="s">
        <v>824</v>
      </c>
    </row>
    <row r="1326" spans="1:9" hidden="1" outlineLevel="2">
      <c r="A1326" s="988" t="s">
        <v>825</v>
      </c>
      <c r="B1326" s="470">
        <v>67781609</v>
      </c>
      <c r="C1326" s="391">
        <v>0</v>
      </c>
      <c r="D1326" s="989">
        <f t="shared" si="40"/>
        <v>67781609</v>
      </c>
      <c r="I1326" t="s">
        <v>826</v>
      </c>
    </row>
    <row r="1327" spans="1:9" hidden="1" outlineLevel="2">
      <c r="A1327" s="988" t="s">
        <v>827</v>
      </c>
      <c r="B1327" s="470">
        <v>32748317</v>
      </c>
      <c r="C1327" s="391">
        <v>-99563</v>
      </c>
      <c r="D1327" s="989">
        <f t="shared" si="40"/>
        <v>32648754</v>
      </c>
      <c r="I1327" t="s">
        <v>828</v>
      </c>
    </row>
    <row r="1328" spans="1:9" hidden="1" outlineLevel="2">
      <c r="A1328" s="988" t="s">
        <v>829</v>
      </c>
      <c r="B1328" s="470">
        <v>38975399</v>
      </c>
      <c r="C1328" s="391">
        <v>-1363686</v>
      </c>
      <c r="D1328" s="989">
        <f t="shared" si="40"/>
        <v>37611713</v>
      </c>
      <c r="I1328" t="s">
        <v>830</v>
      </c>
    </row>
    <row r="1329" spans="1:9" hidden="1" outlineLevel="2">
      <c r="A1329" s="988" t="s">
        <v>831</v>
      </c>
      <c r="B1329" s="470">
        <v>1111648277</v>
      </c>
      <c r="C1329" s="391">
        <v>0</v>
      </c>
      <c r="D1329" s="989">
        <f t="shared" si="40"/>
        <v>1111648277</v>
      </c>
      <c r="I1329" t="s">
        <v>832</v>
      </c>
    </row>
    <row r="1330" spans="1:9" hidden="1" outlineLevel="2">
      <c r="A1330" s="988" t="s">
        <v>833</v>
      </c>
      <c r="B1330" s="470">
        <v>95226966</v>
      </c>
      <c r="C1330" s="391">
        <v>9520</v>
      </c>
      <c r="D1330" s="989">
        <f t="shared" si="40"/>
        <v>95236486</v>
      </c>
      <c r="I1330" t="s">
        <v>834</v>
      </c>
    </row>
    <row r="1331" spans="1:9" hidden="1" outlineLevel="2">
      <c r="A1331" s="988" t="s">
        <v>835</v>
      </c>
      <c r="B1331" s="470">
        <v>451702806</v>
      </c>
      <c r="C1331" s="391">
        <v>-2585548</v>
      </c>
      <c r="D1331" s="989">
        <f t="shared" si="40"/>
        <v>449117258</v>
      </c>
      <c r="I1331" t="s">
        <v>836</v>
      </c>
    </row>
    <row r="1332" spans="1:9" hidden="1" outlineLevel="2">
      <c r="A1332" s="988" t="s">
        <v>837</v>
      </c>
      <c r="B1332" s="470">
        <v>37965796</v>
      </c>
      <c r="C1332" s="391">
        <v>0</v>
      </c>
      <c r="D1332" s="989">
        <f t="shared" si="40"/>
        <v>37965796</v>
      </c>
      <c r="I1332" t="s">
        <v>838</v>
      </c>
    </row>
    <row r="1333" spans="1:9" hidden="1" outlineLevel="2">
      <c r="A1333" s="988" t="s">
        <v>837</v>
      </c>
      <c r="B1333" s="470">
        <v>4756847</v>
      </c>
      <c r="C1333" s="391">
        <v>0</v>
      </c>
      <c r="D1333" s="989">
        <f t="shared" si="40"/>
        <v>4756847</v>
      </c>
      <c r="I1333" t="s">
        <v>838</v>
      </c>
    </row>
    <row r="1334" spans="1:9" hidden="1" outlineLevel="2">
      <c r="A1334" s="988" t="s">
        <v>837</v>
      </c>
      <c r="B1334" s="470">
        <v>23559816</v>
      </c>
      <c r="C1334" s="391">
        <v>0</v>
      </c>
      <c r="D1334" s="989">
        <f t="shared" si="40"/>
        <v>23559816</v>
      </c>
      <c r="I1334" t="s">
        <v>838</v>
      </c>
    </row>
    <row r="1335" spans="1:9" hidden="1" outlineLevel="2">
      <c r="A1335" s="988" t="s">
        <v>839</v>
      </c>
      <c r="B1335" s="470">
        <v>3863682</v>
      </c>
      <c r="C1335" s="391">
        <v>0</v>
      </c>
      <c r="D1335" s="989">
        <f t="shared" si="40"/>
        <v>3863682</v>
      </c>
      <c r="I1335" t="s">
        <v>840</v>
      </c>
    </row>
    <row r="1336" spans="1:9" hidden="1" outlineLevel="2">
      <c r="A1336" s="988" t="s">
        <v>841</v>
      </c>
      <c r="B1336" s="470">
        <v>51116116</v>
      </c>
      <c r="C1336" s="391">
        <v>82830</v>
      </c>
      <c r="D1336" s="989">
        <f t="shared" si="40"/>
        <v>51198946</v>
      </c>
      <c r="I1336" t="s">
        <v>842</v>
      </c>
    </row>
    <row r="1337" spans="1:9" hidden="1" outlineLevel="2">
      <c r="A1337" s="988" t="s">
        <v>843</v>
      </c>
      <c r="B1337" s="470">
        <v>62371706</v>
      </c>
      <c r="C1337" s="391">
        <v>0</v>
      </c>
      <c r="D1337" s="989">
        <f t="shared" si="40"/>
        <v>62371706</v>
      </c>
      <c r="I1337" t="s">
        <v>844</v>
      </c>
    </row>
    <row r="1338" spans="1:9" hidden="1" outlineLevel="2">
      <c r="A1338" s="988" t="s">
        <v>845</v>
      </c>
      <c r="B1338" s="470">
        <v>639145481</v>
      </c>
      <c r="C1338" s="391">
        <v>1083070</v>
      </c>
      <c r="D1338" s="989">
        <f t="shared" si="40"/>
        <v>640228551</v>
      </c>
      <c r="I1338" t="s">
        <v>846</v>
      </c>
    </row>
    <row r="1339" spans="1:9" hidden="1" outlineLevel="2">
      <c r="A1339" s="988" t="s">
        <v>847</v>
      </c>
      <c r="B1339" s="470">
        <v>48793952</v>
      </c>
      <c r="C1339" s="391">
        <v>0</v>
      </c>
      <c r="D1339" s="989">
        <f t="shared" si="40"/>
        <v>48793952</v>
      </c>
      <c r="I1339" t="s">
        <v>848</v>
      </c>
    </row>
    <row r="1340" spans="1:9" hidden="1" outlineLevel="2">
      <c r="A1340" s="988" t="s">
        <v>849</v>
      </c>
      <c r="B1340" s="470">
        <v>124760681</v>
      </c>
      <c r="C1340" s="391">
        <v>0</v>
      </c>
      <c r="D1340" s="989">
        <f t="shared" si="40"/>
        <v>124760681</v>
      </c>
      <c r="I1340" t="s">
        <v>850</v>
      </c>
    </row>
    <row r="1341" spans="1:9" hidden="1" outlineLevel="2">
      <c r="A1341" s="988" t="s">
        <v>398</v>
      </c>
      <c r="B1341" s="470">
        <v>15935131</v>
      </c>
      <c r="C1341" s="391">
        <v>73222</v>
      </c>
      <c r="D1341" s="989">
        <f t="shared" si="40"/>
        <v>16008353</v>
      </c>
      <c r="I1341" t="s">
        <v>399</v>
      </c>
    </row>
    <row r="1342" spans="1:9" hidden="1" outlineLevel="2">
      <c r="A1342" s="988" t="s">
        <v>851</v>
      </c>
      <c r="B1342" s="470">
        <v>11990006</v>
      </c>
      <c r="C1342" s="391">
        <v>-440417</v>
      </c>
      <c r="D1342" s="989">
        <f t="shared" si="40"/>
        <v>11549589</v>
      </c>
      <c r="I1342" t="s">
        <v>852</v>
      </c>
    </row>
    <row r="1343" spans="1:9" hidden="1" outlineLevel="2">
      <c r="A1343" s="988" t="s">
        <v>853</v>
      </c>
      <c r="B1343" s="470">
        <v>144274972</v>
      </c>
      <c r="C1343" s="391">
        <v>0</v>
      </c>
      <c r="D1343" s="989">
        <f t="shared" ref="D1343:D1366" si="41">SUM(B1343:C1343)</f>
        <v>144274972</v>
      </c>
      <c r="I1343" t="s">
        <v>854</v>
      </c>
    </row>
    <row r="1344" spans="1:9" collapsed="1">
      <c r="A1344" s="988" t="str">
        <f>'Anlage 3a_Zusammenfassung_KWKG'!A3093</f>
        <v>Regelzone TenneT (gesamt)</v>
      </c>
      <c r="B1344" s="871">
        <f>+SUM(B1345:B1724)</f>
        <v>107681602232.5</v>
      </c>
      <c r="C1344" s="1037">
        <f>'Anlage 3a_Zusammenfassung_KWKG'!C3093</f>
        <v>-58701221.696999997</v>
      </c>
      <c r="D1344" s="989">
        <f>SUM(B1344:C1344)</f>
        <v>107622901010.80299</v>
      </c>
    </row>
    <row r="1345" spans="1:4" hidden="1" outlineLevel="2">
      <c r="A1345" s="988" t="str">
        <f>'Anlage 2a_Letztverbrauch'!A413</f>
        <v>SNB921080203146</v>
      </c>
      <c r="B1345" s="470">
        <f>+'Anlage 2a_Letztverbrauch'!I413</f>
        <v>6078966.04</v>
      </c>
      <c r="C1345" s="391">
        <f>'Anlage 3a_Zusammenfassung_KWKG'!C3094</f>
        <v>0</v>
      </c>
      <c r="D1345" s="989">
        <f t="shared" si="41"/>
        <v>6078966.04</v>
      </c>
    </row>
    <row r="1346" spans="1:4" hidden="1" outlineLevel="2">
      <c r="A1346" s="988" t="str">
        <f>'Anlage 2a_Letztverbrauch'!A414</f>
        <v>SNB981193584808</v>
      </c>
      <c r="B1346" s="470">
        <f>+'Anlage 2a_Letztverbrauch'!I414</f>
        <v>18425752</v>
      </c>
      <c r="C1346" s="391">
        <f>'Anlage 3a_Zusammenfassung_KWKG'!C3095</f>
        <v>0</v>
      </c>
      <c r="D1346" s="989">
        <f t="shared" si="41"/>
        <v>18425752</v>
      </c>
    </row>
    <row r="1347" spans="1:4" hidden="1" outlineLevel="2">
      <c r="A1347" s="988" t="str">
        <f>'Anlage 2a_Letztverbrauch'!A415</f>
        <v>SNB991410365127</v>
      </c>
      <c r="B1347" s="470">
        <f>+'Anlage 2a_Letztverbrauch'!I415</f>
        <v>31284831</v>
      </c>
      <c r="C1347" s="391">
        <f>'Anlage 3a_Zusammenfassung_KWKG'!C3096</f>
        <v>-197924</v>
      </c>
      <c r="D1347" s="989">
        <f t="shared" si="41"/>
        <v>31086907</v>
      </c>
    </row>
    <row r="1348" spans="1:4" hidden="1" outlineLevel="2">
      <c r="A1348" s="988" t="str">
        <f>'Anlage 2a_Letztverbrauch'!A416</f>
        <v>SNB919208961290</v>
      </c>
      <c r="B1348" s="470">
        <f>+'Anlage 2a_Letztverbrauch'!I416</f>
        <v>54775238</v>
      </c>
      <c r="C1348" s="391">
        <f>'Anlage 3a_Zusammenfassung_KWKG'!C3097</f>
        <v>0</v>
      </c>
      <c r="D1348" s="989">
        <f t="shared" si="41"/>
        <v>54775238</v>
      </c>
    </row>
    <row r="1349" spans="1:4" hidden="1" outlineLevel="2">
      <c r="A1349" s="988" t="str">
        <f>'Anlage 2a_Letztverbrauch'!A417</f>
        <v>SNB913346629968</v>
      </c>
      <c r="B1349" s="470">
        <f>+'Anlage 2a_Letztverbrauch'!I417</f>
        <v>23755295</v>
      </c>
      <c r="C1349" s="391">
        <f>'Anlage 3a_Zusammenfassung_KWKG'!C3098</f>
        <v>-39422</v>
      </c>
      <c r="D1349" s="989">
        <f t="shared" si="41"/>
        <v>23715873</v>
      </c>
    </row>
    <row r="1350" spans="1:4" hidden="1" outlineLevel="2">
      <c r="A1350" s="988" t="str">
        <f>'Anlage 2a_Letztverbrauch'!A418</f>
        <v>SNB960502792271</v>
      </c>
      <c r="B1350" s="470">
        <f>+'Anlage 2a_Letztverbrauch'!I418</f>
        <v>41353895</v>
      </c>
      <c r="C1350" s="391">
        <f>'Anlage 3a_Zusammenfassung_KWKG'!C3099</f>
        <v>4582035</v>
      </c>
      <c r="D1350" s="989">
        <f t="shared" si="41"/>
        <v>45935930</v>
      </c>
    </row>
    <row r="1351" spans="1:4" hidden="1" outlineLevel="2">
      <c r="A1351" s="988" t="str">
        <f>'Anlage 2a_Letztverbrauch'!A419</f>
        <v>SNB962756415364</v>
      </c>
      <c r="B1351" s="470">
        <f>+'Anlage 2a_Letztverbrauch'!I419</f>
        <v>13546877</v>
      </c>
      <c r="C1351" s="391">
        <f>'Anlage 3a_Zusammenfassung_KWKG'!C3100</f>
        <v>0</v>
      </c>
      <c r="D1351" s="989">
        <f t="shared" si="41"/>
        <v>13546877</v>
      </c>
    </row>
    <row r="1352" spans="1:4" hidden="1" outlineLevel="2">
      <c r="A1352" s="988" t="str">
        <f>'Anlage 2a_Letztverbrauch'!A420</f>
        <v>SNB951791941969</v>
      </c>
      <c r="B1352" s="470">
        <f>+'Anlage 2a_Letztverbrauch'!I420</f>
        <v>78854670</v>
      </c>
      <c r="C1352" s="391">
        <f>'Anlage 3a_Zusammenfassung_KWKG'!C3101</f>
        <v>0</v>
      </c>
      <c r="D1352" s="989">
        <f t="shared" si="41"/>
        <v>78854670</v>
      </c>
    </row>
    <row r="1353" spans="1:4" hidden="1" outlineLevel="2">
      <c r="A1353" s="988" t="str">
        <f>'Anlage 2a_Letztverbrauch'!A421</f>
        <v>SNB959255155907</v>
      </c>
      <c r="B1353" s="470">
        <f>+'Anlage 2a_Letztverbrauch'!I421</f>
        <v>168424188</v>
      </c>
      <c r="C1353" s="391">
        <f>'Anlage 3a_Zusammenfassung_KWKG'!C3102</f>
        <v>0</v>
      </c>
      <c r="D1353" s="989">
        <f t="shared" si="41"/>
        <v>168424188</v>
      </c>
    </row>
    <row r="1354" spans="1:4" hidden="1" outlineLevel="2">
      <c r="A1354" s="988" t="str">
        <f>'Anlage 2a_Letztverbrauch'!A422</f>
        <v>SNB931823254809</v>
      </c>
      <c r="B1354" s="470">
        <f>+'Anlage 2a_Letztverbrauch'!I422</f>
        <v>24445731</v>
      </c>
      <c r="C1354" s="391">
        <f>'Anlage 3a_Zusammenfassung_KWKG'!C3103</f>
        <v>0</v>
      </c>
      <c r="D1354" s="989">
        <f t="shared" si="41"/>
        <v>24445731</v>
      </c>
    </row>
    <row r="1355" spans="1:4" hidden="1" outlineLevel="2">
      <c r="A1355" s="988" t="str">
        <f>'Anlage 2a_Letztverbrauch'!A423</f>
        <v>SNB922811950100</v>
      </c>
      <c r="B1355" s="470">
        <f>+'Anlage 2a_Letztverbrauch'!I423</f>
        <v>500262351</v>
      </c>
      <c r="C1355" s="391">
        <f>'Anlage 3a_Zusammenfassung_KWKG'!C3104</f>
        <v>0</v>
      </c>
      <c r="D1355" s="989">
        <f t="shared" si="41"/>
        <v>500262351</v>
      </c>
    </row>
    <row r="1356" spans="1:4" hidden="1" outlineLevel="2">
      <c r="A1356" s="988" t="str">
        <f>'Anlage 2a_Letztverbrauch'!A424</f>
        <v>SNB987795519491</v>
      </c>
      <c r="B1356" s="470">
        <f>+'Anlage 2a_Letztverbrauch'!I424</f>
        <v>0</v>
      </c>
      <c r="C1356" s="391">
        <f>'Anlage 3a_Zusammenfassung_KWKG'!C3105</f>
        <v>0</v>
      </c>
      <c r="D1356" s="989">
        <f t="shared" si="41"/>
        <v>0</v>
      </c>
    </row>
    <row r="1357" spans="1:4" hidden="1" outlineLevel="2">
      <c r="A1357" s="988" t="str">
        <f>'Anlage 2a_Letztverbrauch'!A425</f>
        <v>SNB943984165313</v>
      </c>
      <c r="B1357" s="470">
        <f>+'Anlage 2a_Letztverbrauch'!I425</f>
        <v>27902438</v>
      </c>
      <c r="C1357" s="391">
        <f>'Anlage 3a_Zusammenfassung_KWKG'!C3106</f>
        <v>25543</v>
      </c>
      <c r="D1357" s="989">
        <f t="shared" si="41"/>
        <v>27927981</v>
      </c>
    </row>
    <row r="1358" spans="1:4" hidden="1" outlineLevel="2">
      <c r="A1358" s="988" t="str">
        <f>'Anlage 2a_Letztverbrauch'!A426</f>
        <v>SNB910882213224</v>
      </c>
      <c r="B1358" s="470">
        <f>+'Anlage 2a_Letztverbrauch'!I426</f>
        <v>27633970</v>
      </c>
      <c r="C1358" s="391">
        <f>'Anlage 3a_Zusammenfassung_KWKG'!C3107</f>
        <v>0</v>
      </c>
      <c r="D1358" s="989">
        <f t="shared" si="41"/>
        <v>27633970</v>
      </c>
    </row>
    <row r="1359" spans="1:4" hidden="1" outlineLevel="2">
      <c r="A1359" s="988" t="str">
        <f>'Anlage 2a_Letztverbrauch'!A427</f>
        <v>SNB971770548286</v>
      </c>
      <c r="B1359" s="470">
        <f>+'Anlage 2a_Letztverbrauch'!I427</f>
        <v>42437857</v>
      </c>
      <c r="C1359" s="391">
        <f>'Anlage 3a_Zusammenfassung_KWKG'!C3108</f>
        <v>-62002</v>
      </c>
      <c r="D1359" s="989">
        <f t="shared" si="41"/>
        <v>42375855</v>
      </c>
    </row>
    <row r="1360" spans="1:4" hidden="1" outlineLevel="2">
      <c r="A1360" s="988" t="str">
        <f>'Anlage 2a_Letztverbrauch'!A428</f>
        <v>SNB947092763157</v>
      </c>
      <c r="B1360" s="470">
        <f>+'Anlage 2a_Letztverbrauch'!I428</f>
        <v>54568061</v>
      </c>
      <c r="C1360" s="391">
        <f>'Anlage 3a_Zusammenfassung_KWKG'!C3109</f>
        <v>-157307</v>
      </c>
      <c r="D1360" s="989">
        <f t="shared" si="41"/>
        <v>54410754</v>
      </c>
    </row>
    <row r="1361" spans="1:4" hidden="1" outlineLevel="2">
      <c r="A1361" s="988" t="str">
        <f>'Anlage 2a_Letztverbrauch'!A429</f>
        <v>SNB916743652645</v>
      </c>
      <c r="B1361" s="470">
        <f>+'Anlage 2a_Letztverbrauch'!I429</f>
        <v>182430555.40000001</v>
      </c>
      <c r="C1361" s="391">
        <f>'Anlage 3a_Zusammenfassung_KWKG'!C3110</f>
        <v>175519.6</v>
      </c>
      <c r="D1361" s="989">
        <f t="shared" si="41"/>
        <v>182606075</v>
      </c>
    </row>
    <row r="1362" spans="1:4" hidden="1" outlineLevel="2">
      <c r="A1362" s="988" t="str">
        <f>'Anlage 2a_Letztverbrauch'!A430</f>
        <v>SNB910956210043</v>
      </c>
      <c r="B1362" s="470">
        <f>+'Anlage 2a_Letztverbrauch'!I430</f>
        <v>194980086</v>
      </c>
      <c r="C1362" s="391">
        <f>'Anlage 3a_Zusammenfassung_KWKG'!C3111</f>
        <v>1109944</v>
      </c>
      <c r="D1362" s="989">
        <f t="shared" si="41"/>
        <v>196090030</v>
      </c>
    </row>
    <row r="1363" spans="1:4" hidden="1" outlineLevel="2">
      <c r="A1363" s="988" t="str">
        <f>'Anlage 2a_Letztverbrauch'!A431</f>
        <v>SNB968646876970</v>
      </c>
      <c r="B1363" s="470">
        <f>+'Anlage 2a_Letztverbrauch'!I431</f>
        <v>59806101</v>
      </c>
      <c r="C1363" s="391">
        <f>'Anlage 3a_Zusammenfassung_KWKG'!C3112</f>
        <v>376474</v>
      </c>
      <c r="D1363" s="989">
        <f t="shared" si="41"/>
        <v>60182575</v>
      </c>
    </row>
    <row r="1364" spans="1:4" hidden="1" outlineLevel="2">
      <c r="A1364" s="988" t="str">
        <f>'Anlage 2a_Letztverbrauch'!A432</f>
        <v>SNB963795614626</v>
      </c>
      <c r="B1364" s="470">
        <f>+'Anlage 2a_Letztverbrauch'!I432</f>
        <v>39741554</v>
      </c>
      <c r="C1364" s="391">
        <f>'Anlage 3a_Zusammenfassung_KWKG'!C3113</f>
        <v>0</v>
      </c>
      <c r="D1364" s="989">
        <f t="shared" si="41"/>
        <v>39741554</v>
      </c>
    </row>
    <row r="1365" spans="1:4" hidden="1" outlineLevel="2">
      <c r="A1365" s="988" t="str">
        <f>'Anlage 2a_Letztverbrauch'!A433</f>
        <v>SNB957632855181</v>
      </c>
      <c r="B1365" s="470">
        <f>+'Anlage 2a_Letztverbrauch'!I433</f>
        <v>181682481</v>
      </c>
      <c r="C1365" s="391">
        <f>'Anlage 3a_Zusammenfassung_KWKG'!C3114</f>
        <v>-20</v>
      </c>
      <c r="D1365" s="989">
        <f t="shared" si="41"/>
        <v>181682461</v>
      </c>
    </row>
    <row r="1366" spans="1:4" hidden="1" outlineLevel="2">
      <c r="A1366" s="988" t="str">
        <f>'Anlage 2a_Letztverbrauch'!A434</f>
        <v>SNB967068117678</v>
      </c>
      <c r="B1366" s="470">
        <f>+'Anlage 2a_Letztverbrauch'!I434</f>
        <v>7258319</v>
      </c>
      <c r="C1366" s="391">
        <f>'Anlage 3a_Zusammenfassung_KWKG'!C3115</f>
        <v>406617</v>
      </c>
      <c r="D1366" s="989">
        <f t="shared" si="41"/>
        <v>7664936</v>
      </c>
    </row>
    <row r="1367" spans="1:4" hidden="1" outlineLevel="2">
      <c r="A1367" s="988" t="str">
        <f>'Anlage 2a_Letztverbrauch'!A435</f>
        <v>SNB972153058149</v>
      </c>
      <c r="B1367" s="470">
        <f>+'Anlage 2a_Letztverbrauch'!I435</f>
        <v>96874307</v>
      </c>
      <c r="C1367" s="391">
        <f>'Anlage 3a_Zusammenfassung_KWKG'!C3116</f>
        <v>0</v>
      </c>
      <c r="D1367" s="989">
        <f t="shared" ref="D1367:D1430" si="42">SUM(B1367:C1367)</f>
        <v>96874307</v>
      </c>
    </row>
    <row r="1368" spans="1:4" hidden="1" outlineLevel="2">
      <c r="A1368" s="988" t="str">
        <f>'Anlage 2a_Letztverbrauch'!A436</f>
        <v>SNB983546347757</v>
      </c>
      <c r="B1368" s="470">
        <f>+'Anlage 2a_Letztverbrauch'!I436</f>
        <v>127944407</v>
      </c>
      <c r="C1368" s="391">
        <f>'Anlage 3a_Zusammenfassung_KWKG'!C3117</f>
        <v>11182472</v>
      </c>
      <c r="D1368" s="989">
        <f t="shared" si="42"/>
        <v>139126879</v>
      </c>
    </row>
    <row r="1369" spans="1:4" hidden="1" outlineLevel="2">
      <c r="A1369" s="988" t="str">
        <f>'Anlage 2a_Letztverbrauch'!A437</f>
        <v>SNB951232597106</v>
      </c>
      <c r="B1369" s="470">
        <f>+'Anlage 2a_Letztverbrauch'!I437</f>
        <v>29504783</v>
      </c>
      <c r="C1369" s="391">
        <f>'Anlage 3a_Zusammenfassung_KWKG'!C3118</f>
        <v>419979</v>
      </c>
      <c r="D1369" s="989">
        <f t="shared" si="42"/>
        <v>29924762</v>
      </c>
    </row>
    <row r="1370" spans="1:4" hidden="1" outlineLevel="2">
      <c r="A1370" s="988" t="str">
        <f>'Anlage 2a_Letztverbrauch'!A438</f>
        <v>SNB979202870318</v>
      </c>
      <c r="B1370" s="470">
        <f>+'Anlage 2a_Letztverbrauch'!I438</f>
        <v>54139007</v>
      </c>
      <c r="C1370" s="391">
        <f>'Anlage 3a_Zusammenfassung_KWKG'!C3119</f>
        <v>5910118</v>
      </c>
      <c r="D1370" s="989">
        <f t="shared" si="42"/>
        <v>60049125</v>
      </c>
    </row>
    <row r="1371" spans="1:4" hidden="1" outlineLevel="2">
      <c r="A1371" s="988" t="str">
        <f>'Anlage 2a_Letztverbrauch'!A439</f>
        <v>SNB942824437573</v>
      </c>
      <c r="B1371" s="470">
        <f>+'Anlage 2a_Letztverbrauch'!I439</f>
        <v>10443898</v>
      </c>
      <c r="C1371" s="391">
        <f>'Anlage 3a_Zusammenfassung_KWKG'!C3120</f>
        <v>0</v>
      </c>
      <c r="D1371" s="989">
        <f t="shared" si="42"/>
        <v>10443898</v>
      </c>
    </row>
    <row r="1372" spans="1:4" hidden="1" outlineLevel="2">
      <c r="A1372" s="988" t="str">
        <f>'Anlage 2a_Letztverbrauch'!A440</f>
        <v>SNB948413721931</v>
      </c>
      <c r="B1372" s="470">
        <f>+'Anlage 2a_Letztverbrauch'!I440</f>
        <v>188789219</v>
      </c>
      <c r="C1372" s="391">
        <f>'Anlage 3a_Zusammenfassung_KWKG'!C3121</f>
        <v>-513572</v>
      </c>
      <c r="D1372" s="989">
        <f t="shared" si="42"/>
        <v>188275647</v>
      </c>
    </row>
    <row r="1373" spans="1:4" hidden="1" outlineLevel="2">
      <c r="A1373" s="988" t="str">
        <f>'Anlage 2a_Letztverbrauch'!A441</f>
        <v>SNB911696239035</v>
      </c>
      <c r="B1373" s="470">
        <f>+'Anlage 2a_Letztverbrauch'!I441</f>
        <v>197731148</v>
      </c>
      <c r="C1373" s="391">
        <f>'Anlage 3a_Zusammenfassung_KWKG'!C3122</f>
        <v>314991</v>
      </c>
      <c r="D1373" s="989">
        <f t="shared" si="42"/>
        <v>198046139</v>
      </c>
    </row>
    <row r="1374" spans="1:4" hidden="1" outlineLevel="2">
      <c r="A1374" s="988" t="str">
        <f>'Anlage 2a_Letztverbrauch'!A442</f>
        <v>SNB927574397889</v>
      </c>
      <c r="B1374" s="470">
        <f>+'Anlage 2a_Letztverbrauch'!I442</f>
        <v>85367727.952999994</v>
      </c>
      <c r="C1374" s="391">
        <f>'Anlage 3a_Zusammenfassung_KWKG'!C3123</f>
        <v>0</v>
      </c>
      <c r="D1374" s="989">
        <f t="shared" si="42"/>
        <v>85367727.952999994</v>
      </c>
    </row>
    <row r="1375" spans="1:4" hidden="1" outlineLevel="2">
      <c r="A1375" s="988" t="str">
        <f>'Anlage 2a_Letztverbrauch'!A443</f>
        <v>SNB991797615686</v>
      </c>
      <c r="B1375" s="470">
        <f>+'Anlage 2a_Letztverbrauch'!I443</f>
        <v>146247455</v>
      </c>
      <c r="C1375" s="391">
        <f>'Anlage 3a_Zusammenfassung_KWKG'!C3124</f>
        <v>0</v>
      </c>
      <c r="D1375" s="989">
        <f t="shared" si="42"/>
        <v>146247455</v>
      </c>
    </row>
    <row r="1376" spans="1:4" hidden="1" outlineLevel="2">
      <c r="A1376" s="988" t="str">
        <f>'Anlage 2a_Letztverbrauch'!A444</f>
        <v>SNB911960309587</v>
      </c>
      <c r="B1376" s="470">
        <f>+'Anlage 2a_Letztverbrauch'!I444</f>
        <v>460055212</v>
      </c>
      <c r="C1376" s="391">
        <f>'Anlage 3a_Zusammenfassung_KWKG'!C3125</f>
        <v>-710878</v>
      </c>
      <c r="D1376" s="989">
        <f t="shared" si="42"/>
        <v>459344334</v>
      </c>
    </row>
    <row r="1377" spans="1:4" hidden="1" outlineLevel="2">
      <c r="A1377" s="988" t="str">
        <f>'Anlage 2a_Letztverbrauch'!A445</f>
        <v>SNB935626894156</v>
      </c>
      <c r="B1377" s="470">
        <f>+'Anlage 2a_Letztverbrauch'!I445</f>
        <v>17058447</v>
      </c>
      <c r="C1377" s="391">
        <f>'Anlage 3a_Zusammenfassung_KWKG'!C3126</f>
        <v>0</v>
      </c>
      <c r="D1377" s="989">
        <f t="shared" si="42"/>
        <v>17058447</v>
      </c>
    </row>
    <row r="1378" spans="1:4" hidden="1" outlineLevel="2">
      <c r="A1378" s="988" t="str">
        <f>'Anlage 2a_Letztverbrauch'!A446</f>
        <v>SNB960882503184</v>
      </c>
      <c r="B1378" s="470">
        <f>+'Anlage 2a_Letztverbrauch'!I446</f>
        <v>104723630</v>
      </c>
      <c r="C1378" s="391">
        <f>'Anlage 3a_Zusammenfassung_KWKG'!C3127</f>
        <v>343326</v>
      </c>
      <c r="D1378" s="989">
        <f t="shared" si="42"/>
        <v>105066956</v>
      </c>
    </row>
    <row r="1379" spans="1:4" hidden="1" outlineLevel="2">
      <c r="A1379" s="988" t="str">
        <f>'Anlage 2a_Letztverbrauch'!A447</f>
        <v>SNB939428749966</v>
      </c>
      <c r="B1379" s="470">
        <f>+'Anlage 2a_Letztverbrauch'!I447</f>
        <v>13414232</v>
      </c>
      <c r="C1379" s="391">
        <f>'Anlage 3a_Zusammenfassung_KWKG'!C3128</f>
        <v>0</v>
      </c>
      <c r="D1379" s="989">
        <f t="shared" si="42"/>
        <v>13414232</v>
      </c>
    </row>
    <row r="1380" spans="1:4" hidden="1" outlineLevel="2">
      <c r="A1380" s="988" t="str">
        <f>'Anlage 2a_Letztverbrauch'!A448</f>
        <v>SNB941183960449</v>
      </c>
      <c r="B1380" s="470">
        <f>+'Anlage 2a_Letztverbrauch'!I448</f>
        <v>144168815</v>
      </c>
      <c r="C1380" s="391">
        <f>'Anlage 3a_Zusammenfassung_KWKG'!C3129</f>
        <v>0</v>
      </c>
      <c r="D1380" s="989">
        <f t="shared" si="42"/>
        <v>144168815</v>
      </c>
    </row>
    <row r="1381" spans="1:4" hidden="1" outlineLevel="2">
      <c r="A1381" s="988" t="str">
        <f>'Anlage 2a_Letztverbrauch'!A449</f>
        <v>SNB949646353012</v>
      </c>
      <c r="B1381" s="470">
        <f>+'Anlage 2a_Letztverbrauch'!I449</f>
        <v>476437261.56599998</v>
      </c>
      <c r="C1381" s="391">
        <f>'Anlage 3a_Zusammenfassung_KWKG'!C3130</f>
        <v>0</v>
      </c>
      <c r="D1381" s="989">
        <f t="shared" si="42"/>
        <v>476437261.56599998</v>
      </c>
    </row>
    <row r="1382" spans="1:4" hidden="1" outlineLevel="2">
      <c r="A1382" s="988" t="str">
        <f>'Anlage 2a_Letztverbrauch'!A450</f>
        <v>SNB916328839515</v>
      </c>
      <c r="B1382" s="470">
        <f>+'Anlage 2a_Letztverbrauch'!I450</f>
        <v>11505967</v>
      </c>
      <c r="C1382" s="391">
        <f>'Anlage 3a_Zusammenfassung_KWKG'!C3131</f>
        <v>0</v>
      </c>
      <c r="D1382" s="989">
        <f t="shared" si="42"/>
        <v>11505967</v>
      </c>
    </row>
    <row r="1383" spans="1:4" hidden="1" outlineLevel="2">
      <c r="A1383" s="988" t="str">
        <f>'Anlage 2a_Letztverbrauch'!A451</f>
        <v>SNB958337664054</v>
      </c>
      <c r="B1383" s="470">
        <f>+'Anlage 2a_Letztverbrauch'!I451</f>
        <v>2329263</v>
      </c>
      <c r="C1383" s="391">
        <f>'Anlage 3a_Zusammenfassung_KWKG'!C3132</f>
        <v>0</v>
      </c>
      <c r="D1383" s="989">
        <f t="shared" si="42"/>
        <v>2329263</v>
      </c>
    </row>
    <row r="1384" spans="1:4" hidden="1" outlineLevel="2">
      <c r="A1384" s="988" t="str">
        <f>'Anlage 2a_Letztverbrauch'!A452</f>
        <v>SNB955872978110</v>
      </c>
      <c r="B1384" s="470">
        <f>+'Anlage 2a_Letztverbrauch'!I452</f>
        <v>6371795</v>
      </c>
      <c r="C1384" s="391">
        <f>'Anlage 3a_Zusammenfassung_KWKG'!C3133</f>
        <v>0</v>
      </c>
      <c r="D1384" s="989">
        <f t="shared" si="42"/>
        <v>6371795</v>
      </c>
    </row>
    <row r="1385" spans="1:4" hidden="1" outlineLevel="2">
      <c r="A1385" s="988" t="str">
        <f>'Anlage 2a_Letztverbrauch'!A453</f>
        <v>SNB977206503256</v>
      </c>
      <c r="B1385" s="470">
        <f>+'Anlage 2a_Letztverbrauch'!I453</f>
        <v>231349937</v>
      </c>
      <c r="C1385" s="391">
        <f>'Anlage 3a_Zusammenfassung_KWKG'!C3134</f>
        <v>-12991</v>
      </c>
      <c r="D1385" s="989">
        <f t="shared" si="42"/>
        <v>231336946</v>
      </c>
    </row>
    <row r="1386" spans="1:4" hidden="1" outlineLevel="2">
      <c r="A1386" s="988" t="str">
        <f>'Anlage 2a_Letztverbrauch'!A454</f>
        <v>SNB943571241628</v>
      </c>
      <c r="B1386" s="470">
        <f>+'Anlage 2a_Letztverbrauch'!I454</f>
        <v>101840663.62</v>
      </c>
      <c r="C1386" s="391">
        <f>'Anlage 3a_Zusammenfassung_KWKG'!C3135</f>
        <v>0</v>
      </c>
      <c r="D1386" s="989">
        <f t="shared" si="42"/>
        <v>101840663.62</v>
      </c>
    </row>
    <row r="1387" spans="1:4" hidden="1" outlineLevel="2">
      <c r="A1387" s="988" t="str">
        <f>'Anlage 2a_Letztverbrauch'!A455</f>
        <v>SNB937406641264</v>
      </c>
      <c r="B1387" s="470">
        <f>+'Anlage 2a_Letztverbrauch'!I455</f>
        <v>202998838</v>
      </c>
      <c r="C1387" s="391">
        <f>'Anlage 3a_Zusammenfassung_KWKG'!C3136</f>
        <v>0</v>
      </c>
      <c r="D1387" s="989">
        <f t="shared" si="42"/>
        <v>202998838</v>
      </c>
    </row>
    <row r="1388" spans="1:4" hidden="1" outlineLevel="2">
      <c r="A1388" s="988" t="str">
        <f>'Anlage 2a_Letztverbrauch'!A456</f>
        <v>SNB956377097702</v>
      </c>
      <c r="B1388" s="470">
        <f>+'Anlage 2a_Letztverbrauch'!I456</f>
        <v>21545915</v>
      </c>
      <c r="C1388" s="391">
        <f>'Anlage 3a_Zusammenfassung_KWKG'!C3137</f>
        <v>-170123</v>
      </c>
      <c r="D1388" s="989">
        <f t="shared" si="42"/>
        <v>21375792</v>
      </c>
    </row>
    <row r="1389" spans="1:4" hidden="1" outlineLevel="2">
      <c r="A1389" s="988" t="str">
        <f>'Anlage 2a_Letztverbrauch'!A457</f>
        <v>SNB970033313272</v>
      </c>
      <c r="B1389" s="470">
        <f>+'Anlage 2a_Letztverbrauch'!I457</f>
        <v>1671231616</v>
      </c>
      <c r="C1389" s="391">
        <f>'Anlage 3a_Zusammenfassung_KWKG'!C3138</f>
        <v>0</v>
      </c>
      <c r="D1389" s="989">
        <f t="shared" si="42"/>
        <v>1671231616</v>
      </c>
    </row>
    <row r="1390" spans="1:4" hidden="1" outlineLevel="2">
      <c r="A1390" s="988" t="str">
        <f>'Anlage 2a_Letztverbrauch'!A458</f>
        <v>SNB906862380628</v>
      </c>
      <c r="B1390" s="470">
        <f>+'Anlage 2a_Letztverbrauch'!I458</f>
        <v>572033765.72000003</v>
      </c>
      <c r="C1390" s="391">
        <f>'Anlage 3a_Zusammenfassung_KWKG'!C3139</f>
        <v>0</v>
      </c>
      <c r="D1390" s="989">
        <f t="shared" si="42"/>
        <v>572033765.72000003</v>
      </c>
    </row>
    <row r="1391" spans="1:4" hidden="1" outlineLevel="2">
      <c r="A1391" s="988" t="str">
        <f>'Anlage 2a_Letztverbrauch'!A459</f>
        <v>SNB929383206369</v>
      </c>
      <c r="B1391" s="470">
        <f>+'Anlage 2a_Letztverbrauch'!I459</f>
        <v>32868674</v>
      </c>
      <c r="C1391" s="391">
        <f>'Anlage 3a_Zusammenfassung_KWKG'!C3140</f>
        <v>-4900</v>
      </c>
      <c r="D1391" s="989">
        <f t="shared" si="42"/>
        <v>32863774</v>
      </c>
    </row>
    <row r="1392" spans="1:4" hidden="1" outlineLevel="2">
      <c r="A1392" s="988" t="str">
        <f>'Anlage 2a_Letztverbrauch'!A460</f>
        <v>SNB965315499379</v>
      </c>
      <c r="B1392" s="470">
        <f>+'Anlage 2a_Letztverbrauch'!I460</f>
        <v>47253350</v>
      </c>
      <c r="C1392" s="391">
        <f>'Anlage 3a_Zusammenfassung_KWKG'!C3141</f>
        <v>0</v>
      </c>
      <c r="D1392" s="989">
        <f t="shared" si="42"/>
        <v>47253350</v>
      </c>
    </row>
    <row r="1393" spans="1:4" hidden="1" outlineLevel="2">
      <c r="A1393" s="988" t="str">
        <f>'Anlage 2a_Letztverbrauch'!A461</f>
        <v>SNB946115797155</v>
      </c>
      <c r="B1393" s="470">
        <f>+'Anlage 2a_Letztverbrauch'!I461</f>
        <v>16079968</v>
      </c>
      <c r="C1393" s="391">
        <f>'Anlage 3a_Zusammenfassung_KWKG'!C3142</f>
        <v>0</v>
      </c>
      <c r="D1393" s="989">
        <f t="shared" si="42"/>
        <v>16079968</v>
      </c>
    </row>
    <row r="1394" spans="1:4" hidden="1" outlineLevel="2">
      <c r="A1394" s="988" t="str">
        <f>'Anlage 2a_Letztverbrauch'!A462</f>
        <v>SNB936940951426</v>
      </c>
      <c r="B1394" s="470">
        <f>+'Anlage 2a_Letztverbrauch'!I462</f>
        <v>279175062</v>
      </c>
      <c r="C1394" s="391">
        <f>'Anlage 3a_Zusammenfassung_KWKG'!C3143</f>
        <v>0</v>
      </c>
      <c r="D1394" s="989">
        <f t="shared" si="42"/>
        <v>279175062</v>
      </c>
    </row>
    <row r="1395" spans="1:4" hidden="1" outlineLevel="2">
      <c r="A1395" s="988" t="str">
        <f>'Anlage 2a_Letztverbrauch'!A463</f>
        <v>SNB962996832648</v>
      </c>
      <c r="B1395" s="470">
        <f>+'Anlage 2a_Letztverbrauch'!I463</f>
        <v>119592378</v>
      </c>
      <c r="C1395" s="391">
        <f>'Anlage 3a_Zusammenfassung_KWKG'!C3144</f>
        <v>308017</v>
      </c>
      <c r="D1395" s="989">
        <f t="shared" si="42"/>
        <v>119900395</v>
      </c>
    </row>
    <row r="1396" spans="1:4" hidden="1" outlineLevel="2">
      <c r="A1396" s="988" t="str">
        <f>'Anlage 2a_Letztverbrauch'!A464</f>
        <v>SNB988769717073</v>
      </c>
      <c r="B1396" s="470">
        <f>+'Anlage 2a_Letztverbrauch'!I464</f>
        <v>31804412</v>
      </c>
      <c r="C1396" s="391">
        <f>'Anlage 3a_Zusammenfassung_KWKG'!C3145</f>
        <v>0</v>
      </c>
      <c r="D1396" s="989">
        <f t="shared" si="42"/>
        <v>31804412</v>
      </c>
    </row>
    <row r="1397" spans="1:4" hidden="1" outlineLevel="2">
      <c r="A1397" s="988" t="str">
        <f>'Anlage 2a_Letztverbrauch'!A465</f>
        <v>SNB924120395771</v>
      </c>
      <c r="B1397" s="470">
        <f>+'Anlage 2a_Letztverbrauch'!I465</f>
        <v>11399063</v>
      </c>
      <c r="C1397" s="391">
        <f>'Anlage 3a_Zusammenfassung_KWKG'!C3146</f>
        <v>0</v>
      </c>
      <c r="D1397" s="989">
        <f t="shared" si="42"/>
        <v>11399063</v>
      </c>
    </row>
    <row r="1398" spans="1:4" hidden="1" outlineLevel="2">
      <c r="A1398" s="988" t="str">
        <f>'Anlage 2a_Letztverbrauch'!A466</f>
        <v>SNB965813404431</v>
      </c>
      <c r="B1398" s="470">
        <f>+'Anlage 2a_Letztverbrauch'!I466</f>
        <v>23409292</v>
      </c>
      <c r="C1398" s="391">
        <f>'Anlage 3a_Zusammenfassung_KWKG'!C3147</f>
        <v>0</v>
      </c>
      <c r="D1398" s="989">
        <f t="shared" si="42"/>
        <v>23409292</v>
      </c>
    </row>
    <row r="1399" spans="1:4" hidden="1" outlineLevel="2">
      <c r="A1399" s="988" t="str">
        <f>'Anlage 2a_Letztverbrauch'!A467</f>
        <v>SNB990562890006</v>
      </c>
      <c r="B1399" s="470">
        <f>+'Anlage 2a_Letztverbrauch'!I467</f>
        <v>63836297</v>
      </c>
      <c r="C1399" s="391">
        <f>'Anlage 3a_Zusammenfassung_KWKG'!C3148</f>
        <v>0</v>
      </c>
      <c r="D1399" s="989">
        <f t="shared" si="42"/>
        <v>63836297</v>
      </c>
    </row>
    <row r="1400" spans="1:4" hidden="1" outlineLevel="2">
      <c r="A1400" s="988" t="str">
        <f>'Anlage 2a_Letztverbrauch'!A468</f>
        <v>SNB926119738552</v>
      </c>
      <c r="B1400" s="470">
        <f>+'Anlage 2a_Letztverbrauch'!I468</f>
        <v>144489730</v>
      </c>
      <c r="C1400" s="391">
        <f>'Anlage 3a_Zusammenfassung_KWKG'!C3149</f>
        <v>0</v>
      </c>
      <c r="D1400" s="989">
        <f t="shared" si="42"/>
        <v>144489730</v>
      </c>
    </row>
    <row r="1401" spans="1:4" hidden="1" outlineLevel="2">
      <c r="A1401" s="988" t="str">
        <f>'Anlage 2a_Letztverbrauch'!A469</f>
        <v>SNB925878615876</v>
      </c>
      <c r="B1401" s="470">
        <f>+'Anlage 2a_Letztverbrauch'!I469</f>
        <v>35775745</v>
      </c>
      <c r="C1401" s="391">
        <f>'Anlage 3a_Zusammenfassung_KWKG'!C3150</f>
        <v>0</v>
      </c>
      <c r="D1401" s="989">
        <f t="shared" si="42"/>
        <v>35775745</v>
      </c>
    </row>
    <row r="1402" spans="1:4" hidden="1" outlineLevel="2">
      <c r="A1402" s="988" t="str">
        <f>'Anlage 2a_Letztverbrauch'!A470</f>
        <v>SNB924409922308</v>
      </c>
      <c r="B1402" s="470">
        <f>+'Anlage 2a_Letztverbrauch'!I470</f>
        <v>101636138</v>
      </c>
      <c r="C1402" s="391">
        <f>'Anlage 3a_Zusammenfassung_KWKG'!C3151</f>
        <v>-191125</v>
      </c>
      <c r="D1402" s="989">
        <f t="shared" si="42"/>
        <v>101445013</v>
      </c>
    </row>
    <row r="1403" spans="1:4" hidden="1" outlineLevel="2">
      <c r="A1403" s="988" t="str">
        <f>'Anlage 2a_Letztverbrauch'!A471</f>
        <v>SNB930423383254</v>
      </c>
      <c r="B1403" s="470">
        <f>+'Anlage 2a_Letztverbrauch'!I471</f>
        <v>108908044</v>
      </c>
      <c r="C1403" s="391">
        <f>'Anlage 3a_Zusammenfassung_KWKG'!C3152</f>
        <v>0</v>
      </c>
      <c r="D1403" s="989">
        <f t="shared" si="42"/>
        <v>108908044</v>
      </c>
    </row>
    <row r="1404" spans="1:4" hidden="1" outlineLevel="2">
      <c r="A1404" s="988" t="str">
        <f>'Anlage 2a_Letztverbrauch'!A472</f>
        <v>SNB967075358620</v>
      </c>
      <c r="B1404" s="470">
        <f>+'Anlage 2a_Letztverbrauch'!I472</f>
        <v>135469900</v>
      </c>
      <c r="C1404" s="391">
        <f>'Anlage 3a_Zusammenfassung_KWKG'!C3153</f>
        <v>1092446</v>
      </c>
      <c r="D1404" s="989">
        <f t="shared" si="42"/>
        <v>136562346</v>
      </c>
    </row>
    <row r="1405" spans="1:4" hidden="1" outlineLevel="2">
      <c r="A1405" s="988" t="str">
        <f>'Anlage 2a_Letztverbrauch'!A473</f>
        <v>SNB945322307522</v>
      </c>
      <c r="B1405" s="470">
        <f>+'Anlage 2a_Letztverbrauch'!I473</f>
        <v>4729184.4400000004</v>
      </c>
      <c r="C1405" s="391">
        <f>'Anlage 3a_Zusammenfassung_KWKG'!C3154</f>
        <v>0</v>
      </c>
      <c r="D1405" s="989">
        <f t="shared" si="42"/>
        <v>4729184.4400000004</v>
      </c>
    </row>
    <row r="1406" spans="1:4" hidden="1" outlineLevel="2">
      <c r="A1406" s="988" t="str">
        <f>'Anlage 2a_Letztverbrauch'!A474</f>
        <v>SNB917625393281</v>
      </c>
      <c r="B1406" s="470">
        <f>+'Anlage 2a_Letztverbrauch'!I474</f>
        <v>266452097</v>
      </c>
      <c r="C1406" s="391">
        <f>'Anlage 3a_Zusammenfassung_KWKG'!C3155</f>
        <v>0</v>
      </c>
      <c r="D1406" s="989">
        <f t="shared" si="42"/>
        <v>266452097</v>
      </c>
    </row>
    <row r="1407" spans="1:4" hidden="1" outlineLevel="2">
      <c r="A1407" s="988" t="str">
        <f>'Anlage 2a_Letztverbrauch'!A475</f>
        <v>SNB936468720238</v>
      </c>
      <c r="B1407" s="470">
        <f>+'Anlage 2a_Letztverbrauch'!I475</f>
        <v>0</v>
      </c>
      <c r="C1407" s="391">
        <f>'Anlage 3a_Zusammenfassung_KWKG'!C3156</f>
        <v>0</v>
      </c>
      <c r="D1407" s="989">
        <f t="shared" si="42"/>
        <v>0</v>
      </c>
    </row>
    <row r="1408" spans="1:4" hidden="1" outlineLevel="2">
      <c r="A1408" s="988" t="str">
        <f>'Anlage 2a_Letztverbrauch'!A476</f>
        <v>SNB962736090291</v>
      </c>
      <c r="B1408" s="470">
        <f>+'Anlage 2a_Letztverbrauch'!I476</f>
        <v>16081355</v>
      </c>
      <c r="C1408" s="391">
        <f>'Anlage 3a_Zusammenfassung_KWKG'!C3157</f>
        <v>-46406</v>
      </c>
      <c r="D1408" s="989">
        <f t="shared" si="42"/>
        <v>16034949</v>
      </c>
    </row>
    <row r="1409" spans="1:4" hidden="1" outlineLevel="2">
      <c r="A1409" s="988" t="str">
        <f>'Anlage 2a_Letztverbrauch'!A477</f>
        <v>SNB944723161733</v>
      </c>
      <c r="B1409" s="470">
        <f>+'Anlage 2a_Letztverbrauch'!I477</f>
        <v>45418359</v>
      </c>
      <c r="C1409" s="391">
        <f>'Anlage 3a_Zusammenfassung_KWKG'!C3158</f>
        <v>0</v>
      </c>
      <c r="D1409" s="989">
        <f t="shared" si="42"/>
        <v>45418359</v>
      </c>
    </row>
    <row r="1410" spans="1:4" hidden="1" outlineLevel="2">
      <c r="A1410" s="988" t="str">
        <f>'Anlage 2a_Letztverbrauch'!A478</f>
        <v>SNB968325295962</v>
      </c>
      <c r="B1410" s="470">
        <f>+'Anlage 2a_Letztverbrauch'!I478</f>
        <v>6331095</v>
      </c>
      <c r="C1410" s="391">
        <f>'Anlage 3a_Zusammenfassung_KWKG'!C3159</f>
        <v>0</v>
      </c>
      <c r="D1410" s="989">
        <f t="shared" si="42"/>
        <v>6331095</v>
      </c>
    </row>
    <row r="1411" spans="1:4" hidden="1" outlineLevel="2">
      <c r="A1411" s="988" t="str">
        <f>'Anlage 2a_Letztverbrauch'!A479</f>
        <v>SNB962006136537</v>
      </c>
      <c r="B1411" s="470">
        <f>+'Anlage 2a_Letztverbrauch'!I479</f>
        <v>26278002</v>
      </c>
      <c r="C1411" s="391">
        <f>'Anlage 3a_Zusammenfassung_KWKG'!C3160</f>
        <v>0</v>
      </c>
      <c r="D1411" s="989">
        <f t="shared" si="42"/>
        <v>26278002</v>
      </c>
    </row>
    <row r="1412" spans="1:4" hidden="1" outlineLevel="2">
      <c r="A1412" s="988" t="str">
        <f>'Anlage 2a_Letztverbrauch'!A480</f>
        <v>SNB911347846643</v>
      </c>
      <c r="B1412" s="470">
        <f>+'Anlage 2a_Letztverbrauch'!I480</f>
        <v>500903315</v>
      </c>
      <c r="C1412" s="391">
        <f>'Anlage 3a_Zusammenfassung_KWKG'!C3161</f>
        <v>0</v>
      </c>
      <c r="D1412" s="989">
        <f t="shared" si="42"/>
        <v>500903315</v>
      </c>
    </row>
    <row r="1413" spans="1:4" hidden="1" outlineLevel="2">
      <c r="A1413" s="988" t="str">
        <f>'Anlage 2a_Letztverbrauch'!A481</f>
        <v>SNB941929592729</v>
      </c>
      <c r="B1413" s="470">
        <f>+'Anlage 2a_Letztverbrauch'!I481</f>
        <v>932424543</v>
      </c>
      <c r="C1413" s="391">
        <f>'Anlage 3a_Zusammenfassung_KWKG'!C3162</f>
        <v>0</v>
      </c>
      <c r="D1413" s="989">
        <f t="shared" si="42"/>
        <v>932424543</v>
      </c>
    </row>
    <row r="1414" spans="1:4" hidden="1" outlineLevel="2">
      <c r="A1414" s="988" t="str">
        <f>'Anlage 2a_Letztverbrauch'!A482</f>
        <v>SNB913576376151</v>
      </c>
      <c r="B1414" s="470">
        <f>+'Anlage 2a_Letztverbrauch'!I482</f>
        <v>112903408.16</v>
      </c>
      <c r="C1414" s="391">
        <f>'Anlage 3a_Zusammenfassung_KWKG'!C3163</f>
        <v>1442180.7999999998</v>
      </c>
      <c r="D1414" s="989">
        <f t="shared" si="42"/>
        <v>114345588.95999999</v>
      </c>
    </row>
    <row r="1415" spans="1:4" hidden="1" outlineLevel="2">
      <c r="A1415" s="988" t="str">
        <f>'Anlage 2a_Letztverbrauch'!A483</f>
        <v>SNB927533168369</v>
      </c>
      <c r="B1415" s="470">
        <f>+'Anlage 2a_Letztverbrauch'!I483</f>
        <v>147910530</v>
      </c>
      <c r="C1415" s="391">
        <f>'Anlage 3a_Zusammenfassung_KWKG'!C3164</f>
        <v>0</v>
      </c>
      <c r="D1415" s="989">
        <f t="shared" si="42"/>
        <v>147910530</v>
      </c>
    </row>
    <row r="1416" spans="1:4" hidden="1" outlineLevel="2">
      <c r="A1416" s="988" t="str">
        <f>'Anlage 2a_Letztverbrauch'!A484</f>
        <v>SNB972740218178</v>
      </c>
      <c r="B1416" s="470">
        <f>+'Anlage 2a_Letztverbrauch'!I484</f>
        <v>285269248</v>
      </c>
      <c r="C1416" s="391">
        <f>'Anlage 3a_Zusammenfassung_KWKG'!C3165</f>
        <v>0</v>
      </c>
      <c r="D1416" s="989">
        <f t="shared" si="42"/>
        <v>285269248</v>
      </c>
    </row>
    <row r="1417" spans="1:4" hidden="1" outlineLevel="2">
      <c r="A1417" s="988" t="str">
        <f>'Anlage 2a_Letztverbrauch'!A485</f>
        <v>SNB954662803168</v>
      </c>
      <c r="B1417" s="470">
        <f>+'Anlage 2a_Letztverbrauch'!I485</f>
        <v>22378068</v>
      </c>
      <c r="C1417" s="391">
        <f>'Anlage 3a_Zusammenfassung_KWKG'!C3166</f>
        <v>-2631</v>
      </c>
      <c r="D1417" s="989">
        <f t="shared" si="42"/>
        <v>22375437</v>
      </c>
    </row>
    <row r="1418" spans="1:4" hidden="1" outlineLevel="2">
      <c r="A1418" s="988" t="str">
        <f>'Anlage 2a_Letztverbrauch'!A486</f>
        <v>SNB930312838582</v>
      </c>
      <c r="B1418" s="470">
        <f>+'Anlage 2a_Letztverbrauch'!I486</f>
        <v>154933305</v>
      </c>
      <c r="C1418" s="391">
        <f>'Anlage 3a_Zusammenfassung_KWKG'!C3167</f>
        <v>-4627981</v>
      </c>
      <c r="D1418" s="989">
        <f t="shared" si="42"/>
        <v>150305324</v>
      </c>
    </row>
    <row r="1419" spans="1:4" hidden="1" outlineLevel="2">
      <c r="A1419" s="988" t="str">
        <f>'Anlage 2a_Letztverbrauch'!A487</f>
        <v>SNB914522191989</v>
      </c>
      <c r="B1419" s="470">
        <f>+'Anlage 2a_Letztverbrauch'!I487</f>
        <v>47342596</v>
      </c>
      <c r="C1419" s="391">
        <f>'Anlage 3a_Zusammenfassung_KWKG'!C3168</f>
        <v>-7144</v>
      </c>
      <c r="D1419" s="989">
        <f t="shared" si="42"/>
        <v>47335452</v>
      </c>
    </row>
    <row r="1420" spans="1:4" hidden="1" outlineLevel="2">
      <c r="A1420" s="988" t="str">
        <f>'Anlage 2a_Letztverbrauch'!A488</f>
        <v>SNB978191145308</v>
      </c>
      <c r="B1420" s="470">
        <f>+'Anlage 2a_Letztverbrauch'!I488</f>
        <v>169907058.39399999</v>
      </c>
      <c r="C1420" s="391">
        <f>'Anlage 3a_Zusammenfassung_KWKG'!C3169</f>
        <v>0</v>
      </c>
      <c r="D1420" s="989">
        <f t="shared" si="42"/>
        <v>169907058.39399999</v>
      </c>
    </row>
    <row r="1421" spans="1:4" hidden="1" outlineLevel="2">
      <c r="A1421" s="988" t="str">
        <f>'Anlage 2a_Letztverbrauch'!A489</f>
        <v>SNB955607007702</v>
      </c>
      <c r="B1421" s="470">
        <f>+'Anlage 2a_Letztverbrauch'!I489</f>
        <v>39147582</v>
      </c>
      <c r="C1421" s="391">
        <f>'Anlage 3a_Zusammenfassung_KWKG'!C3170</f>
        <v>0</v>
      </c>
      <c r="D1421" s="989">
        <f t="shared" si="42"/>
        <v>39147582</v>
      </c>
    </row>
    <row r="1422" spans="1:4" hidden="1" outlineLevel="2">
      <c r="A1422" s="988" t="str">
        <f>'Anlage 2a_Letztverbrauch'!A490</f>
        <v>SNB953794435957</v>
      </c>
      <c r="B1422" s="470">
        <f>+'Anlage 2a_Letztverbrauch'!I490</f>
        <v>61992142</v>
      </c>
      <c r="C1422" s="391">
        <f>'Anlage 3a_Zusammenfassung_KWKG'!C3171</f>
        <v>0</v>
      </c>
      <c r="D1422" s="989">
        <f t="shared" si="42"/>
        <v>61992142</v>
      </c>
    </row>
    <row r="1423" spans="1:4" hidden="1" outlineLevel="2">
      <c r="A1423" s="988" t="str">
        <f>'Anlage 2a_Letztverbrauch'!A491</f>
        <v>SNB928557841498</v>
      </c>
      <c r="B1423" s="470">
        <f>+'Anlage 2a_Letztverbrauch'!I491</f>
        <v>37796903</v>
      </c>
      <c r="C1423" s="391">
        <f>'Anlage 3a_Zusammenfassung_KWKG'!C3172</f>
        <v>0</v>
      </c>
      <c r="D1423" s="989">
        <f t="shared" si="42"/>
        <v>37796903</v>
      </c>
    </row>
    <row r="1424" spans="1:4" hidden="1" outlineLevel="2">
      <c r="A1424" s="988" t="str">
        <f>'Anlage 2a_Letztverbrauch'!A492</f>
        <v>SNB977581070640</v>
      </c>
      <c r="B1424" s="470">
        <f>+'Anlage 2a_Letztverbrauch'!I492</f>
        <v>15037161</v>
      </c>
      <c r="C1424" s="391">
        <f>'Anlage 3a_Zusammenfassung_KWKG'!C3173</f>
        <v>0</v>
      </c>
      <c r="D1424" s="989">
        <f t="shared" si="42"/>
        <v>15037161</v>
      </c>
    </row>
    <row r="1425" spans="1:4" hidden="1" outlineLevel="2">
      <c r="A1425" s="988" t="str">
        <f>'Anlage 2a_Letztverbrauch'!A493</f>
        <v>SNB919230329570</v>
      </c>
      <c r="B1425" s="470">
        <f>+'Anlage 2a_Letztverbrauch'!I493</f>
        <v>11588290</v>
      </c>
      <c r="C1425" s="391">
        <f>'Anlage 3a_Zusammenfassung_KWKG'!C3174</f>
        <v>-21601</v>
      </c>
      <c r="D1425" s="989">
        <f t="shared" si="42"/>
        <v>11566689</v>
      </c>
    </row>
    <row r="1426" spans="1:4" hidden="1" outlineLevel="2">
      <c r="A1426" s="988" t="str">
        <f>'Anlage 2a_Letztverbrauch'!A494</f>
        <v>SNB983359308570</v>
      </c>
      <c r="B1426" s="470">
        <f>+'Anlage 2a_Letztverbrauch'!I494</f>
        <v>20519559</v>
      </c>
      <c r="C1426" s="391">
        <f>'Anlage 3a_Zusammenfassung_KWKG'!C3175</f>
        <v>0</v>
      </c>
      <c r="D1426" s="989">
        <f t="shared" si="42"/>
        <v>20519559</v>
      </c>
    </row>
    <row r="1427" spans="1:4" hidden="1" outlineLevel="2">
      <c r="A1427" s="988" t="str">
        <f>'Anlage 2a_Letztverbrauch'!A495</f>
        <v>SNB975283859389</v>
      </c>
      <c r="B1427" s="470">
        <f>+'Anlage 2a_Letztverbrauch'!I495</f>
        <v>94838521</v>
      </c>
      <c r="C1427" s="391">
        <f>'Anlage 3a_Zusammenfassung_KWKG'!C3176</f>
        <v>268846</v>
      </c>
      <c r="D1427" s="989">
        <f t="shared" si="42"/>
        <v>95107367</v>
      </c>
    </row>
    <row r="1428" spans="1:4" hidden="1" outlineLevel="2">
      <c r="A1428" s="988" t="str">
        <f>'Anlage 2a_Letztverbrauch'!A496</f>
        <v>SNB913866241817</v>
      </c>
      <c r="B1428" s="470">
        <f>+'Anlage 2a_Letztverbrauch'!I496</f>
        <v>44699871</v>
      </c>
      <c r="C1428" s="391">
        <f>'Anlage 3a_Zusammenfassung_KWKG'!C3177</f>
        <v>0</v>
      </c>
      <c r="D1428" s="989">
        <f t="shared" si="42"/>
        <v>44699871</v>
      </c>
    </row>
    <row r="1429" spans="1:4" hidden="1" outlineLevel="2">
      <c r="A1429" s="988" t="str">
        <f>'Anlage 2a_Letztverbrauch'!A497</f>
        <v>SNB932685335767</v>
      </c>
      <c r="B1429" s="470">
        <f>+'Anlage 2a_Letztverbrauch'!I497</f>
        <v>52804951</v>
      </c>
      <c r="C1429" s="391">
        <f>'Anlage 3a_Zusammenfassung_KWKG'!C3178</f>
        <v>-7391</v>
      </c>
      <c r="D1429" s="989">
        <f t="shared" si="42"/>
        <v>52797560</v>
      </c>
    </row>
    <row r="1430" spans="1:4" hidden="1" outlineLevel="2">
      <c r="A1430" s="988" t="str">
        <f>'Anlage 2a_Letztverbrauch'!A498</f>
        <v>SNB971196250442</v>
      </c>
      <c r="B1430" s="470">
        <f>+'Anlage 2a_Letztverbrauch'!I498</f>
        <v>14141114</v>
      </c>
      <c r="C1430" s="391">
        <f>'Anlage 3a_Zusammenfassung_KWKG'!C3179</f>
        <v>-31760</v>
      </c>
      <c r="D1430" s="989">
        <f t="shared" si="42"/>
        <v>14109354</v>
      </c>
    </row>
    <row r="1431" spans="1:4" hidden="1" outlineLevel="2">
      <c r="A1431" s="988" t="str">
        <f>'Anlage 2a_Letztverbrauch'!A499</f>
        <v>SNB971174411018</v>
      </c>
      <c r="B1431" s="470">
        <f>+'Anlage 2a_Letztverbrauch'!I499</f>
        <v>17304854</v>
      </c>
      <c r="C1431" s="391">
        <f>'Anlage 3a_Zusammenfassung_KWKG'!C3180</f>
        <v>-47187</v>
      </c>
      <c r="D1431" s="989">
        <f t="shared" ref="D1431:D1494" si="43">SUM(B1431:C1431)</f>
        <v>17257667</v>
      </c>
    </row>
    <row r="1432" spans="1:4" hidden="1" outlineLevel="2">
      <c r="A1432" s="988" t="str">
        <f>'Anlage 2a_Letztverbrauch'!A500</f>
        <v>SNB958561375085</v>
      </c>
      <c r="B1432" s="470">
        <f>+'Anlage 2a_Letztverbrauch'!I500</f>
        <v>5780753</v>
      </c>
      <c r="C1432" s="391">
        <f>'Anlage 3a_Zusammenfassung_KWKG'!C3181</f>
        <v>0</v>
      </c>
      <c r="D1432" s="989">
        <f t="shared" si="43"/>
        <v>5780753</v>
      </c>
    </row>
    <row r="1433" spans="1:4" hidden="1" outlineLevel="2">
      <c r="A1433" s="988" t="str">
        <f>'Anlage 2a_Letztverbrauch'!A501</f>
        <v>SNB965500640463</v>
      </c>
      <c r="B1433" s="470">
        <f>+'Anlage 2a_Letztverbrauch'!I501</f>
        <v>50824022</v>
      </c>
      <c r="C1433" s="391">
        <f>'Anlage 3a_Zusammenfassung_KWKG'!C3182</f>
        <v>-359374</v>
      </c>
      <c r="D1433" s="989">
        <f t="shared" si="43"/>
        <v>50464648</v>
      </c>
    </row>
    <row r="1434" spans="1:4" hidden="1" outlineLevel="2">
      <c r="A1434" s="988" t="str">
        <f>'Anlage 2a_Letztverbrauch'!A502</f>
        <v>SNB955706777742</v>
      </c>
      <c r="B1434" s="470">
        <f>+'Anlage 2a_Letztverbrauch'!I502</f>
        <v>7235631</v>
      </c>
      <c r="C1434" s="391">
        <f>'Anlage 3a_Zusammenfassung_KWKG'!C3183</f>
        <v>0</v>
      </c>
      <c r="D1434" s="989">
        <f t="shared" si="43"/>
        <v>7235631</v>
      </c>
    </row>
    <row r="1435" spans="1:4" hidden="1" outlineLevel="2">
      <c r="A1435" s="988" t="str">
        <f>'Anlage 2a_Letztverbrauch'!A503</f>
        <v>SNB953938790515</v>
      </c>
      <c r="B1435" s="470">
        <f>+'Anlage 2a_Letztverbrauch'!I503</f>
        <v>64912065</v>
      </c>
      <c r="C1435" s="391">
        <f>'Anlage 3a_Zusammenfassung_KWKG'!C3184</f>
        <v>0</v>
      </c>
      <c r="D1435" s="989">
        <f t="shared" si="43"/>
        <v>64912065</v>
      </c>
    </row>
    <row r="1436" spans="1:4" hidden="1" outlineLevel="2">
      <c r="A1436" s="988" t="str">
        <f>'Anlage 2a_Letztverbrauch'!A504</f>
        <v>SNB943319305469</v>
      </c>
      <c r="B1436" s="470">
        <f>+'Anlage 2a_Letztverbrauch'!I504</f>
        <v>87066241</v>
      </c>
      <c r="C1436" s="391">
        <f>'Anlage 3a_Zusammenfassung_KWKG'!C3185</f>
        <v>0</v>
      </c>
      <c r="D1436" s="989">
        <f t="shared" si="43"/>
        <v>87066241</v>
      </c>
    </row>
    <row r="1437" spans="1:4" hidden="1" outlineLevel="2">
      <c r="A1437" s="988" t="str">
        <f>'Anlage 2a_Letztverbrauch'!A505</f>
        <v>SNB985701689504</v>
      </c>
      <c r="B1437" s="470">
        <f>+'Anlage 2a_Letztverbrauch'!I505</f>
        <v>239395114</v>
      </c>
      <c r="C1437" s="391">
        <f>'Anlage 3a_Zusammenfassung_KWKG'!C3186</f>
        <v>-2242894</v>
      </c>
      <c r="D1437" s="989">
        <f t="shared" si="43"/>
        <v>237152220</v>
      </c>
    </row>
    <row r="1438" spans="1:4" hidden="1" outlineLevel="2">
      <c r="A1438" s="988" t="str">
        <f>'Anlage 2a_Letztverbrauch'!A506</f>
        <v>SNB935482852901</v>
      </c>
      <c r="B1438" s="470">
        <f>+'Anlage 2a_Letztverbrauch'!I506</f>
        <v>796612810.56200004</v>
      </c>
      <c r="C1438" s="391">
        <f>'Anlage 3a_Zusammenfassung_KWKG'!C3187</f>
        <v>-2287719.4170000004</v>
      </c>
      <c r="D1438" s="989">
        <f t="shared" si="43"/>
        <v>794325091.14499998</v>
      </c>
    </row>
    <row r="1439" spans="1:4" hidden="1" outlineLevel="2">
      <c r="A1439" s="988" t="str">
        <f>'Anlage 2a_Letztverbrauch'!A507</f>
        <v>SNB941424038838</v>
      </c>
      <c r="B1439" s="470">
        <f>+'Anlage 2a_Letztverbrauch'!I507</f>
        <v>84013824.5</v>
      </c>
      <c r="C1439" s="391">
        <f>'Anlage 3a_Zusammenfassung_KWKG'!C3188</f>
        <v>0</v>
      </c>
      <c r="D1439" s="989">
        <f t="shared" si="43"/>
        <v>84013824.5</v>
      </c>
    </row>
    <row r="1440" spans="1:4" hidden="1" outlineLevel="2">
      <c r="A1440" s="988" t="str">
        <f>'Anlage 2a_Letztverbrauch'!A508</f>
        <v>SNB964573708865</v>
      </c>
      <c r="B1440" s="470">
        <f>+'Anlage 2a_Letztverbrauch'!I508</f>
        <v>17530858</v>
      </c>
      <c r="C1440" s="391">
        <f>'Anlage 3a_Zusammenfassung_KWKG'!C3189</f>
        <v>0</v>
      </c>
      <c r="D1440" s="989">
        <f t="shared" si="43"/>
        <v>17530858</v>
      </c>
    </row>
    <row r="1441" spans="1:4" hidden="1" outlineLevel="2">
      <c r="A1441" s="988" t="str">
        <f>'Anlage 2a_Letztverbrauch'!A509</f>
        <v>SNB936172924014</v>
      </c>
      <c r="B1441" s="470">
        <f>+'Anlage 2a_Letztverbrauch'!I509</f>
        <v>603267066</v>
      </c>
      <c r="C1441" s="391">
        <f>'Anlage 3a_Zusammenfassung_KWKG'!C3190</f>
        <v>0</v>
      </c>
      <c r="D1441" s="989">
        <f t="shared" si="43"/>
        <v>603267066</v>
      </c>
    </row>
    <row r="1442" spans="1:4" hidden="1" outlineLevel="2">
      <c r="A1442" s="988" t="str">
        <f>'Anlage 2a_Letztverbrauch'!A510</f>
        <v>SNB946958756494</v>
      </c>
      <c r="B1442" s="470">
        <f>+'Anlage 2a_Letztverbrauch'!I510</f>
        <v>10103927</v>
      </c>
      <c r="C1442" s="391">
        <f>'Anlage 3a_Zusammenfassung_KWKG'!C3191</f>
        <v>0</v>
      </c>
      <c r="D1442" s="989">
        <f t="shared" si="43"/>
        <v>10103927</v>
      </c>
    </row>
    <row r="1443" spans="1:4" hidden="1" outlineLevel="2">
      <c r="A1443" s="988" t="str">
        <f>'Anlage 2a_Letztverbrauch'!A511</f>
        <v>SNB914092143906</v>
      </c>
      <c r="B1443" s="470">
        <f>+'Anlage 2a_Letztverbrauch'!I511</f>
        <v>7783080</v>
      </c>
      <c r="C1443" s="391">
        <f>'Anlage 3a_Zusammenfassung_KWKG'!C3192</f>
        <v>0</v>
      </c>
      <c r="D1443" s="989">
        <f t="shared" si="43"/>
        <v>7783080</v>
      </c>
    </row>
    <row r="1444" spans="1:4" hidden="1" outlineLevel="2">
      <c r="A1444" s="988" t="str">
        <f>'Anlage 2a_Letztverbrauch'!A512</f>
        <v>SNB940718804685</v>
      </c>
      <c r="B1444" s="470">
        <f>+'Anlage 2a_Letztverbrauch'!I512</f>
        <v>90502060</v>
      </c>
      <c r="C1444" s="391">
        <f>'Anlage 3a_Zusammenfassung_KWKG'!C3193</f>
        <v>0</v>
      </c>
      <c r="D1444" s="989">
        <f t="shared" si="43"/>
        <v>90502060</v>
      </c>
    </row>
    <row r="1445" spans="1:4" hidden="1" outlineLevel="2">
      <c r="A1445" s="988" t="str">
        <f>'Anlage 2a_Letztverbrauch'!A513</f>
        <v>SNB976863966633</v>
      </c>
      <c r="B1445" s="470">
        <f>+'Anlage 2a_Letztverbrauch'!I513</f>
        <v>21865807</v>
      </c>
      <c r="C1445" s="391">
        <f>'Anlage 3a_Zusammenfassung_KWKG'!C3194</f>
        <v>0</v>
      </c>
      <c r="D1445" s="989">
        <f t="shared" si="43"/>
        <v>21865807</v>
      </c>
    </row>
    <row r="1446" spans="1:4" hidden="1" outlineLevel="2">
      <c r="A1446" s="988" t="str">
        <f>'Anlage 2a_Letztverbrauch'!A514</f>
        <v>SNB916008519201</v>
      </c>
      <c r="B1446" s="470">
        <f>+'Anlage 2a_Letztverbrauch'!I514</f>
        <v>34015679</v>
      </c>
      <c r="C1446" s="391">
        <f>'Anlage 3a_Zusammenfassung_KWKG'!C3195</f>
        <v>0</v>
      </c>
      <c r="D1446" s="989">
        <f t="shared" si="43"/>
        <v>34015679</v>
      </c>
    </row>
    <row r="1447" spans="1:4" hidden="1" outlineLevel="2">
      <c r="A1447" s="988" t="str">
        <f>'Anlage 2a_Letztverbrauch'!A515</f>
        <v>SNB914668240749</v>
      </c>
      <c r="B1447" s="470">
        <f>+'Anlage 2a_Letztverbrauch'!I515</f>
        <v>25380262</v>
      </c>
      <c r="C1447" s="391">
        <f>'Anlage 3a_Zusammenfassung_KWKG'!C3196</f>
        <v>0</v>
      </c>
      <c r="D1447" s="989">
        <f t="shared" si="43"/>
        <v>25380262</v>
      </c>
    </row>
    <row r="1448" spans="1:4" hidden="1" outlineLevel="2">
      <c r="A1448" s="988" t="str">
        <f>'Anlage 2a_Letztverbrauch'!A516</f>
        <v>SNB945768616967</v>
      </c>
      <c r="B1448" s="470">
        <f>+'Anlage 2a_Letztverbrauch'!I516</f>
        <v>43373293</v>
      </c>
      <c r="C1448" s="391">
        <f>'Anlage 3a_Zusammenfassung_KWKG'!C3197</f>
        <v>0</v>
      </c>
      <c r="D1448" s="989">
        <f t="shared" si="43"/>
        <v>43373293</v>
      </c>
    </row>
    <row r="1449" spans="1:4" hidden="1" outlineLevel="2">
      <c r="A1449" s="988" t="str">
        <f>'Anlage 2a_Letztverbrauch'!A517</f>
        <v>SNB981972152532</v>
      </c>
      <c r="B1449" s="470">
        <f>+'Anlage 2a_Letztverbrauch'!I517</f>
        <v>25148257</v>
      </c>
      <c r="C1449" s="391">
        <f>'Anlage 3a_Zusammenfassung_KWKG'!C3198</f>
        <v>961321</v>
      </c>
      <c r="D1449" s="989">
        <f t="shared" si="43"/>
        <v>26109578</v>
      </c>
    </row>
    <row r="1450" spans="1:4" hidden="1" outlineLevel="2">
      <c r="A1450" s="988" t="str">
        <f>'Anlage 2a_Letztverbrauch'!A518</f>
        <v>SNB927892816017</v>
      </c>
      <c r="B1450" s="470">
        <f>+'Anlage 2a_Letztverbrauch'!I518</f>
        <v>39851478</v>
      </c>
      <c r="C1450" s="391">
        <f>'Anlage 3a_Zusammenfassung_KWKG'!C3199</f>
        <v>0</v>
      </c>
      <c r="D1450" s="989">
        <f t="shared" si="43"/>
        <v>39851478</v>
      </c>
    </row>
    <row r="1451" spans="1:4" hidden="1" outlineLevel="2">
      <c r="A1451" s="988" t="str">
        <f>'Anlage 2a_Letztverbrauch'!A519</f>
        <v>SNB939653726848</v>
      </c>
      <c r="B1451" s="470">
        <f>+'Anlage 2a_Letztverbrauch'!I519</f>
        <v>58712505</v>
      </c>
      <c r="C1451" s="391">
        <f>'Anlage 3a_Zusammenfassung_KWKG'!C3200</f>
        <v>0</v>
      </c>
      <c r="D1451" s="989">
        <f t="shared" si="43"/>
        <v>58712505</v>
      </c>
    </row>
    <row r="1452" spans="1:4" hidden="1" outlineLevel="2">
      <c r="A1452" s="988" t="str">
        <f>'Anlage 2a_Letztverbrauch'!A520</f>
        <v>SNB947270211210</v>
      </c>
      <c r="B1452" s="470">
        <f>+'Anlage 2a_Letztverbrauch'!I520</f>
        <v>53312543</v>
      </c>
      <c r="C1452" s="391">
        <f>'Anlage 3a_Zusammenfassung_KWKG'!C3201</f>
        <v>0</v>
      </c>
      <c r="D1452" s="989">
        <f t="shared" si="43"/>
        <v>53312543</v>
      </c>
    </row>
    <row r="1453" spans="1:4" hidden="1" outlineLevel="2">
      <c r="A1453" s="988" t="str">
        <f>'Anlage 2a_Letztverbrauch'!A521</f>
        <v>SNB954026274702</v>
      </c>
      <c r="B1453" s="470">
        <f>+'Anlage 2a_Letztverbrauch'!I521</f>
        <v>171860860</v>
      </c>
      <c r="C1453" s="391">
        <f>'Anlage 3a_Zusammenfassung_KWKG'!C3202</f>
        <v>-1792921</v>
      </c>
      <c r="D1453" s="989">
        <f t="shared" si="43"/>
        <v>170067939</v>
      </c>
    </row>
    <row r="1454" spans="1:4" hidden="1" outlineLevel="2">
      <c r="A1454" s="988" t="str">
        <f>'Anlage 2a_Letztverbrauch'!A522</f>
        <v>SNB935738221819</v>
      </c>
      <c r="B1454" s="470">
        <f>+'Anlage 2a_Letztverbrauch'!I522</f>
        <v>25033478</v>
      </c>
      <c r="C1454" s="391">
        <f>'Anlage 3a_Zusammenfassung_KWKG'!C3203</f>
        <v>0</v>
      </c>
      <c r="D1454" s="989">
        <f t="shared" si="43"/>
        <v>25033478</v>
      </c>
    </row>
    <row r="1455" spans="1:4" hidden="1" outlineLevel="2">
      <c r="A1455" s="988" t="str">
        <f>'Anlage 2a_Letztverbrauch'!A523</f>
        <v>SNB996457394093</v>
      </c>
      <c r="B1455" s="470">
        <f>+'Anlage 2a_Letztverbrauch'!I523</f>
        <v>169093057</v>
      </c>
      <c r="C1455" s="391">
        <f>'Anlage 3a_Zusammenfassung_KWKG'!C3204</f>
        <v>-284086.2</v>
      </c>
      <c r="D1455" s="989">
        <f t="shared" si="43"/>
        <v>168808970.80000001</v>
      </c>
    </row>
    <row r="1456" spans="1:4" hidden="1" outlineLevel="2">
      <c r="A1456" s="988" t="str">
        <f>'Anlage 2a_Letztverbrauch'!A524</f>
        <v>SNB972723368326</v>
      </c>
      <c r="B1456" s="470">
        <f>+'Anlage 2a_Letztverbrauch'!I524</f>
        <v>117153080</v>
      </c>
      <c r="C1456" s="391">
        <f>'Anlage 3a_Zusammenfassung_KWKG'!C3205</f>
        <v>0</v>
      </c>
      <c r="D1456" s="989">
        <f t="shared" si="43"/>
        <v>117153080</v>
      </c>
    </row>
    <row r="1457" spans="1:4" hidden="1" outlineLevel="2">
      <c r="A1457" s="988" t="str">
        <f>'Anlage 2a_Letztverbrauch'!A525</f>
        <v>SNB960416123321</v>
      </c>
      <c r="B1457" s="470">
        <f>+'Anlage 2a_Letztverbrauch'!I525</f>
        <v>74906536</v>
      </c>
      <c r="C1457" s="391">
        <f>'Anlage 3a_Zusammenfassung_KWKG'!C3206</f>
        <v>0</v>
      </c>
      <c r="D1457" s="989">
        <f t="shared" si="43"/>
        <v>74906536</v>
      </c>
    </row>
    <row r="1458" spans="1:4" hidden="1" outlineLevel="2">
      <c r="A1458" s="988" t="str">
        <f>'Anlage 2a_Letztverbrauch'!A526</f>
        <v>SNB962110557570</v>
      </c>
      <c r="B1458" s="470">
        <f>+'Anlage 2a_Letztverbrauch'!I526</f>
        <v>143562363</v>
      </c>
      <c r="C1458" s="391">
        <f>'Anlage 3a_Zusammenfassung_KWKG'!C3207</f>
        <v>1211809</v>
      </c>
      <c r="D1458" s="989">
        <f t="shared" si="43"/>
        <v>144774172</v>
      </c>
    </row>
    <row r="1459" spans="1:4" hidden="1" outlineLevel="2">
      <c r="A1459" s="988" t="str">
        <f>'Anlage 2a_Letztverbrauch'!A527</f>
        <v>SNB958680286002</v>
      </c>
      <c r="B1459" s="470">
        <f>+'Anlage 2a_Letztverbrauch'!I527</f>
        <v>8000430</v>
      </c>
      <c r="C1459" s="391">
        <f>'Anlage 3a_Zusammenfassung_KWKG'!C3208</f>
        <v>119809</v>
      </c>
      <c r="D1459" s="989">
        <f t="shared" si="43"/>
        <v>8120239</v>
      </c>
    </row>
    <row r="1460" spans="1:4" hidden="1" outlineLevel="2">
      <c r="A1460" s="988" t="str">
        <f>'Anlage 2a_Letztverbrauch'!A528</f>
        <v>SNB947030954821</v>
      </c>
      <c r="B1460" s="470">
        <f>+'Anlage 2a_Letztverbrauch'!I528</f>
        <v>114463127</v>
      </c>
      <c r="C1460" s="391">
        <f>'Anlage 3a_Zusammenfassung_KWKG'!C3209</f>
        <v>0</v>
      </c>
      <c r="D1460" s="989">
        <f t="shared" si="43"/>
        <v>114463127</v>
      </c>
    </row>
    <row r="1461" spans="1:4" hidden="1" outlineLevel="2">
      <c r="A1461" s="988" t="str">
        <f>'Anlage 2a_Letztverbrauch'!A529</f>
        <v>SNB950028563172</v>
      </c>
      <c r="B1461" s="470">
        <f>+'Anlage 2a_Letztverbrauch'!I529</f>
        <v>77608827</v>
      </c>
      <c r="C1461" s="391">
        <f>'Anlage 3a_Zusammenfassung_KWKG'!C3210</f>
        <v>395328</v>
      </c>
      <c r="D1461" s="989">
        <f t="shared" si="43"/>
        <v>78004155</v>
      </c>
    </row>
    <row r="1462" spans="1:4" hidden="1" outlineLevel="2">
      <c r="A1462" s="988" t="str">
        <f>'Anlage 2a_Letztverbrauch'!A530</f>
        <v>SNB963499807249</v>
      </c>
      <c r="B1462" s="470">
        <f>+'Anlage 2a_Letztverbrauch'!I530</f>
        <v>60986154</v>
      </c>
      <c r="C1462" s="391">
        <f>'Anlage 3a_Zusammenfassung_KWKG'!C3211</f>
        <v>0</v>
      </c>
      <c r="D1462" s="989">
        <f t="shared" si="43"/>
        <v>60986154</v>
      </c>
    </row>
    <row r="1463" spans="1:4" hidden="1" outlineLevel="2">
      <c r="A1463" s="988" t="str">
        <f>'Anlage 2a_Letztverbrauch'!A531</f>
        <v>SNB924774487556</v>
      </c>
      <c r="B1463" s="470">
        <f>+'Anlage 2a_Letztverbrauch'!I531</f>
        <v>221162686</v>
      </c>
      <c r="C1463" s="391">
        <f>'Anlage 3a_Zusammenfassung_KWKG'!C3212</f>
        <v>204713</v>
      </c>
      <c r="D1463" s="989">
        <f t="shared" si="43"/>
        <v>221367399</v>
      </c>
    </row>
    <row r="1464" spans="1:4" hidden="1" outlineLevel="2">
      <c r="A1464" s="988" t="str">
        <f>'Anlage 2a_Letztverbrauch'!A532</f>
        <v>SNB982085566391</v>
      </c>
      <c r="B1464" s="470">
        <f>+'Anlage 2a_Letztverbrauch'!I532</f>
        <v>44888755</v>
      </c>
      <c r="C1464" s="391">
        <f>'Anlage 3a_Zusammenfassung_KWKG'!C3213</f>
        <v>0</v>
      </c>
      <c r="D1464" s="989">
        <f t="shared" si="43"/>
        <v>44888755</v>
      </c>
    </row>
    <row r="1465" spans="1:4" hidden="1" outlineLevel="2">
      <c r="A1465" s="988" t="str">
        <f>'Anlage 2a_Letztverbrauch'!A533</f>
        <v>SNB932388577952</v>
      </c>
      <c r="B1465" s="470">
        <f>+'Anlage 2a_Letztverbrauch'!I533</f>
        <v>57378095</v>
      </c>
      <c r="C1465" s="391">
        <f>'Anlage 3a_Zusammenfassung_KWKG'!C3214</f>
        <v>0</v>
      </c>
      <c r="D1465" s="989">
        <f t="shared" si="43"/>
        <v>57378095</v>
      </c>
    </row>
    <row r="1466" spans="1:4" hidden="1" outlineLevel="2">
      <c r="A1466" s="988" t="str">
        <f>'Anlage 2a_Letztverbrauch'!A534</f>
        <v>SNB968489334224</v>
      </c>
      <c r="B1466" s="470">
        <f>+'Anlage 2a_Letztverbrauch'!I534</f>
        <v>112517614</v>
      </c>
      <c r="C1466" s="391">
        <f>'Anlage 3a_Zusammenfassung_KWKG'!C3215</f>
        <v>0</v>
      </c>
      <c r="D1466" s="989">
        <f t="shared" si="43"/>
        <v>112517614</v>
      </c>
    </row>
    <row r="1467" spans="1:4" hidden="1" outlineLevel="2">
      <c r="A1467" s="988" t="str">
        <f>'Anlage 2a_Letztverbrauch'!A535</f>
        <v>SNB959513498364</v>
      </c>
      <c r="B1467" s="470">
        <f>+'Anlage 2a_Letztverbrauch'!I535</f>
        <v>40553197</v>
      </c>
      <c r="C1467" s="391">
        <f>'Anlage 3a_Zusammenfassung_KWKG'!C3216</f>
        <v>0</v>
      </c>
      <c r="D1467" s="989">
        <f t="shared" si="43"/>
        <v>40553197</v>
      </c>
    </row>
    <row r="1468" spans="1:4" hidden="1" outlineLevel="2">
      <c r="A1468" s="988" t="str">
        <f>'Anlage 2a_Letztverbrauch'!A536</f>
        <v>SNB911031559460</v>
      </c>
      <c r="B1468" s="470">
        <f>+'Anlage 2a_Letztverbrauch'!I536</f>
        <v>74088272</v>
      </c>
      <c r="C1468" s="391">
        <f>'Anlage 3a_Zusammenfassung_KWKG'!C3217</f>
        <v>146532</v>
      </c>
      <c r="D1468" s="989">
        <f t="shared" si="43"/>
        <v>74234804</v>
      </c>
    </row>
    <row r="1469" spans="1:4" hidden="1" outlineLevel="2">
      <c r="A1469" s="988" t="str">
        <f>'Anlage 2a_Letztverbrauch'!A537</f>
        <v>SNB959373877170</v>
      </c>
      <c r="B1469" s="470">
        <f>+'Anlage 2a_Letztverbrauch'!I537</f>
        <v>105477836</v>
      </c>
      <c r="C1469" s="391">
        <f>'Anlage 3a_Zusammenfassung_KWKG'!C3218</f>
        <v>385977</v>
      </c>
      <c r="D1469" s="989">
        <f t="shared" si="43"/>
        <v>105863813</v>
      </c>
    </row>
    <row r="1470" spans="1:4" hidden="1" outlineLevel="2">
      <c r="A1470" s="988" t="str">
        <f>'Anlage 2a_Letztverbrauch'!A538</f>
        <v>SNB940847187345</v>
      </c>
      <c r="B1470" s="470">
        <f>+'Anlage 2a_Letztverbrauch'!I538</f>
        <v>103999946</v>
      </c>
      <c r="C1470" s="391">
        <f>'Anlage 3a_Zusammenfassung_KWKG'!C3219</f>
        <v>0</v>
      </c>
      <c r="D1470" s="989">
        <f t="shared" si="43"/>
        <v>103999946</v>
      </c>
    </row>
    <row r="1471" spans="1:4" hidden="1" outlineLevel="2">
      <c r="A1471" s="988" t="str">
        <f>'Anlage 2a_Letztverbrauch'!A539</f>
        <v>SNB964046129302</v>
      </c>
      <c r="B1471" s="470">
        <f>+'Anlage 2a_Letztverbrauch'!I539</f>
        <v>64382556</v>
      </c>
      <c r="C1471" s="391">
        <f>'Anlage 3a_Zusammenfassung_KWKG'!C3220</f>
        <v>0</v>
      </c>
      <c r="D1471" s="989">
        <f t="shared" si="43"/>
        <v>64382556</v>
      </c>
    </row>
    <row r="1472" spans="1:4" hidden="1" outlineLevel="2">
      <c r="A1472" s="988" t="str">
        <f>'Anlage 2a_Letztverbrauch'!A540</f>
        <v>SNB976170444053</v>
      </c>
      <c r="B1472" s="470">
        <f>+'Anlage 2a_Letztverbrauch'!I540</f>
        <v>91722545</v>
      </c>
      <c r="C1472" s="391">
        <f>'Anlage 3a_Zusammenfassung_KWKG'!C3221</f>
        <v>0</v>
      </c>
      <c r="D1472" s="989">
        <f t="shared" si="43"/>
        <v>91722545</v>
      </c>
    </row>
    <row r="1473" spans="1:4" hidden="1" outlineLevel="2">
      <c r="A1473" s="988" t="str">
        <f>'Anlage 2a_Letztverbrauch'!A541</f>
        <v>SNB965692805121</v>
      </c>
      <c r="B1473" s="470">
        <f>+'Anlage 2a_Letztverbrauch'!I541</f>
        <v>116316652</v>
      </c>
      <c r="C1473" s="391">
        <f>'Anlage 3a_Zusammenfassung_KWKG'!C3222</f>
        <v>0</v>
      </c>
      <c r="D1473" s="989">
        <f t="shared" si="43"/>
        <v>116316652</v>
      </c>
    </row>
    <row r="1474" spans="1:4" hidden="1" outlineLevel="2">
      <c r="A1474" s="988" t="str">
        <f>'Anlage 2a_Letztverbrauch'!A542</f>
        <v>SNB964375043041</v>
      </c>
      <c r="B1474" s="470">
        <f>+'Anlage 2a_Letztverbrauch'!I542</f>
        <v>63401607</v>
      </c>
      <c r="C1474" s="391">
        <f>'Anlage 3a_Zusammenfassung_KWKG'!C3223</f>
        <v>0</v>
      </c>
      <c r="D1474" s="989">
        <f t="shared" si="43"/>
        <v>63401607</v>
      </c>
    </row>
    <row r="1475" spans="1:4" hidden="1" outlineLevel="2">
      <c r="A1475" s="988" t="str">
        <f>'Anlage 2a_Letztverbrauch'!A543</f>
        <v>SNB957268511697</v>
      </c>
      <c r="B1475" s="470">
        <f>+'Anlage 2a_Letztverbrauch'!I543</f>
        <v>28600467</v>
      </c>
      <c r="C1475" s="391">
        <f>'Anlage 3a_Zusammenfassung_KWKG'!C3224</f>
        <v>-36439</v>
      </c>
      <c r="D1475" s="989">
        <f t="shared" si="43"/>
        <v>28564028</v>
      </c>
    </row>
    <row r="1476" spans="1:4" hidden="1" outlineLevel="2">
      <c r="A1476" s="988" t="str">
        <f>'Anlage 2a_Letztverbrauch'!A544</f>
        <v>SNB973519584647</v>
      </c>
      <c r="B1476" s="470">
        <f>+'Anlage 2a_Letztverbrauch'!I544</f>
        <v>23839551</v>
      </c>
      <c r="C1476" s="391">
        <f>'Anlage 3a_Zusammenfassung_KWKG'!C3225</f>
        <v>0</v>
      </c>
      <c r="D1476" s="989">
        <f t="shared" si="43"/>
        <v>23839551</v>
      </c>
    </row>
    <row r="1477" spans="1:4" hidden="1" outlineLevel="2">
      <c r="A1477" s="988" t="str">
        <f>'Anlage 2a_Letztverbrauch'!A545</f>
        <v>SNB983425156814</v>
      </c>
      <c r="B1477" s="470">
        <f>+'Anlage 2a_Letztverbrauch'!I545</f>
        <v>1060698830</v>
      </c>
      <c r="C1477" s="391">
        <f>'Anlage 3a_Zusammenfassung_KWKG'!C3226</f>
        <v>0</v>
      </c>
      <c r="D1477" s="989">
        <f t="shared" si="43"/>
        <v>1060698830</v>
      </c>
    </row>
    <row r="1478" spans="1:4" hidden="1" outlineLevel="2">
      <c r="A1478" s="988" t="str">
        <f>'Anlage 2a_Letztverbrauch'!A546</f>
        <v>SNB931546188436</v>
      </c>
      <c r="B1478" s="470">
        <f>+'Anlage 2a_Letztverbrauch'!I546</f>
        <v>21684440.522999998</v>
      </c>
      <c r="C1478" s="391">
        <f>'Anlage 3a_Zusammenfassung_KWKG'!C3227</f>
        <v>0</v>
      </c>
      <c r="D1478" s="989">
        <f t="shared" si="43"/>
        <v>21684440.522999998</v>
      </c>
    </row>
    <row r="1479" spans="1:4" hidden="1" outlineLevel="2">
      <c r="A1479" s="988" t="str">
        <f>'Anlage 2a_Letztverbrauch'!A547</f>
        <v>SNB925050442719</v>
      </c>
      <c r="B1479" s="470">
        <f>+'Anlage 2a_Letztverbrauch'!I547</f>
        <v>35914118</v>
      </c>
      <c r="C1479" s="391">
        <f>'Anlage 3a_Zusammenfassung_KWKG'!C3228</f>
        <v>0</v>
      </c>
      <c r="D1479" s="989">
        <f t="shared" si="43"/>
        <v>35914118</v>
      </c>
    </row>
    <row r="1480" spans="1:4" hidden="1" outlineLevel="2">
      <c r="A1480" s="988" t="str">
        <f>'Anlage 2a_Letztverbrauch'!A548</f>
        <v>SNB956741146944</v>
      </c>
      <c r="B1480" s="470">
        <f>+'Anlage 2a_Letztverbrauch'!I548</f>
        <v>32687853</v>
      </c>
      <c r="C1480" s="391">
        <f>'Anlage 3a_Zusammenfassung_KWKG'!C3229</f>
        <v>0</v>
      </c>
      <c r="D1480" s="989">
        <f t="shared" si="43"/>
        <v>32687853</v>
      </c>
    </row>
    <row r="1481" spans="1:4" hidden="1" outlineLevel="2">
      <c r="A1481" s="988" t="str">
        <f>'Anlage 2a_Letztverbrauch'!A549</f>
        <v>SNB953868012787</v>
      </c>
      <c r="B1481" s="470">
        <f>+'Anlage 2a_Letztverbrauch'!I549</f>
        <v>78379318</v>
      </c>
      <c r="C1481" s="391">
        <f>'Anlage 3a_Zusammenfassung_KWKG'!C3230</f>
        <v>-1212123</v>
      </c>
      <c r="D1481" s="989">
        <f t="shared" si="43"/>
        <v>77167195</v>
      </c>
    </row>
    <row r="1482" spans="1:4" hidden="1" outlineLevel="2">
      <c r="A1482" s="988" t="str">
        <f>'Anlage 2a_Letztverbrauch'!A550</f>
        <v>SNB929073868471</v>
      </c>
      <c r="B1482" s="470">
        <f>+'Anlage 2a_Letztverbrauch'!I550</f>
        <v>41068479</v>
      </c>
      <c r="C1482" s="391">
        <f>'Anlage 3a_Zusammenfassung_KWKG'!C3231</f>
        <v>0</v>
      </c>
      <c r="D1482" s="989">
        <f t="shared" si="43"/>
        <v>41068479</v>
      </c>
    </row>
    <row r="1483" spans="1:4" hidden="1" outlineLevel="2">
      <c r="A1483" s="988" t="str">
        <f>'Anlage 2a_Letztverbrauch'!A551</f>
        <v>SNB968949417344</v>
      </c>
      <c r="B1483" s="470">
        <f>+'Anlage 2a_Letztverbrauch'!I551</f>
        <v>119492791</v>
      </c>
      <c r="C1483" s="391">
        <f>'Anlage 3a_Zusammenfassung_KWKG'!C3232</f>
        <v>0</v>
      </c>
      <c r="D1483" s="989">
        <f t="shared" si="43"/>
        <v>119492791</v>
      </c>
    </row>
    <row r="1484" spans="1:4" hidden="1" outlineLevel="2">
      <c r="A1484" s="988" t="str">
        <f>'Anlage 2a_Letztverbrauch'!A552</f>
        <v>SNB948134408678</v>
      </c>
      <c r="B1484" s="470">
        <f>+'Anlage 2a_Letztverbrauch'!I552</f>
        <v>76170999</v>
      </c>
      <c r="C1484" s="391">
        <f>'Anlage 3a_Zusammenfassung_KWKG'!C3233</f>
        <v>0</v>
      </c>
      <c r="D1484" s="989">
        <f t="shared" si="43"/>
        <v>76170999</v>
      </c>
    </row>
    <row r="1485" spans="1:4" hidden="1" outlineLevel="2">
      <c r="A1485" s="988" t="str">
        <f>'Anlage 2a_Letztverbrauch'!A553</f>
        <v>SNB958672501014</v>
      </c>
      <c r="B1485" s="470">
        <f>+'Anlage 2a_Letztverbrauch'!I553</f>
        <v>59601375.380000003</v>
      </c>
      <c r="C1485" s="391">
        <f>'Anlage 3a_Zusammenfassung_KWKG'!C3234</f>
        <v>-93991</v>
      </c>
      <c r="D1485" s="989">
        <f t="shared" si="43"/>
        <v>59507384.380000003</v>
      </c>
    </row>
    <row r="1486" spans="1:4" hidden="1" outlineLevel="2">
      <c r="A1486" s="988" t="str">
        <f>'Anlage 2a_Letztverbrauch'!A554</f>
        <v>SNB945149216045</v>
      </c>
      <c r="B1486" s="470">
        <f>+'Anlage 2a_Letztverbrauch'!I554</f>
        <v>140314230</v>
      </c>
      <c r="C1486" s="391">
        <f>'Anlage 3a_Zusammenfassung_KWKG'!C3235</f>
        <v>0</v>
      </c>
      <c r="D1486" s="989">
        <f t="shared" si="43"/>
        <v>140314230</v>
      </c>
    </row>
    <row r="1487" spans="1:4" hidden="1" outlineLevel="2">
      <c r="A1487" s="988" t="str">
        <f>'Anlage 2a_Letztverbrauch'!A555</f>
        <v>SNB985206131959</v>
      </c>
      <c r="B1487" s="470">
        <f>+'Anlage 2a_Letztverbrauch'!I555</f>
        <v>15878505</v>
      </c>
      <c r="C1487" s="391">
        <f>'Anlage 3a_Zusammenfassung_KWKG'!C3236</f>
        <v>0</v>
      </c>
      <c r="D1487" s="989">
        <f t="shared" si="43"/>
        <v>15878505</v>
      </c>
    </row>
    <row r="1488" spans="1:4" hidden="1" outlineLevel="2">
      <c r="A1488" s="988" t="str">
        <f>'Anlage 2a_Letztverbrauch'!A556</f>
        <v>SNB971746988153</v>
      </c>
      <c r="B1488" s="470">
        <f>+'Anlage 2a_Letztverbrauch'!I556</f>
        <v>2622522409</v>
      </c>
      <c r="C1488" s="391">
        <f>'Anlage 3a_Zusammenfassung_KWKG'!C3237</f>
        <v>0</v>
      </c>
      <c r="D1488" s="989">
        <f t="shared" si="43"/>
        <v>2622522409</v>
      </c>
    </row>
    <row r="1489" spans="1:4" hidden="1" outlineLevel="2">
      <c r="A1489" s="988" t="str">
        <f>'Anlage 2a_Letztverbrauch'!A557</f>
        <v>SNB978963778161</v>
      </c>
      <c r="B1489" s="470">
        <f>+'Anlage 2a_Letztverbrauch'!I557</f>
        <v>253721291.81299999</v>
      </c>
      <c r="C1489" s="391">
        <f>'Anlage 3a_Zusammenfassung_KWKG'!C3238</f>
        <v>0</v>
      </c>
      <c r="D1489" s="989">
        <f t="shared" si="43"/>
        <v>253721291.81299999</v>
      </c>
    </row>
    <row r="1490" spans="1:4" hidden="1" outlineLevel="2">
      <c r="A1490" s="988" t="str">
        <f>'Anlage 2a_Letztverbrauch'!A558</f>
        <v>SNB985979481190</v>
      </c>
      <c r="B1490" s="470">
        <f>+'Anlage 2a_Letztverbrauch'!I558</f>
        <v>2352509</v>
      </c>
      <c r="C1490" s="391">
        <f>'Anlage 3a_Zusammenfassung_KWKG'!C3239</f>
        <v>-5943</v>
      </c>
      <c r="D1490" s="989">
        <f t="shared" si="43"/>
        <v>2346566</v>
      </c>
    </row>
    <row r="1491" spans="1:4" hidden="1" outlineLevel="2">
      <c r="A1491" s="988" t="str">
        <f>'Anlage 2a_Letztverbrauch'!A559</f>
        <v>SNB930134015819</v>
      </c>
      <c r="B1491" s="470">
        <f>+'Anlage 2a_Letztverbrauch'!I559</f>
        <v>33983847.479999997</v>
      </c>
      <c r="C1491" s="391">
        <f>'Anlage 3a_Zusammenfassung_KWKG'!C3240</f>
        <v>323679.8</v>
      </c>
      <c r="D1491" s="989">
        <f t="shared" si="43"/>
        <v>34307527.279999994</v>
      </c>
    </row>
    <row r="1492" spans="1:4" hidden="1" outlineLevel="2">
      <c r="A1492" s="988" t="str">
        <f>'Anlage 2a_Letztverbrauch'!A560</f>
        <v>SNB973056451075</v>
      </c>
      <c r="B1492" s="470">
        <f>+'Anlage 2a_Letztverbrauch'!I560</f>
        <v>114667043.7</v>
      </c>
      <c r="C1492" s="391">
        <f>'Anlage 3a_Zusammenfassung_KWKG'!C3241</f>
        <v>0</v>
      </c>
      <c r="D1492" s="989">
        <f t="shared" si="43"/>
        <v>114667043.7</v>
      </c>
    </row>
    <row r="1493" spans="1:4" hidden="1" outlineLevel="2">
      <c r="A1493" s="988" t="str">
        <f>'Anlage 2a_Letztverbrauch'!A561</f>
        <v>SNB943915605062</v>
      </c>
      <c r="B1493" s="470">
        <f>+'Anlage 2a_Letztverbrauch'!I561</f>
        <v>26477874</v>
      </c>
      <c r="C1493" s="391">
        <f>'Anlage 3a_Zusammenfassung_KWKG'!C3242</f>
        <v>0</v>
      </c>
      <c r="D1493" s="989">
        <f t="shared" si="43"/>
        <v>26477874</v>
      </c>
    </row>
    <row r="1494" spans="1:4" hidden="1" outlineLevel="2">
      <c r="A1494" s="988" t="str">
        <f>'Anlage 2a_Letztverbrauch'!A562</f>
        <v>SNB965557517831</v>
      </c>
      <c r="B1494" s="470">
        <f>+'Anlage 2a_Letztverbrauch'!I562</f>
        <v>126065707</v>
      </c>
      <c r="C1494" s="391">
        <f>'Anlage 3a_Zusammenfassung_KWKG'!C3243</f>
        <v>3422333</v>
      </c>
      <c r="D1494" s="989">
        <f t="shared" si="43"/>
        <v>129488040</v>
      </c>
    </row>
    <row r="1495" spans="1:4" hidden="1" outlineLevel="2">
      <c r="A1495" s="988" t="str">
        <f>'Anlage 2a_Letztverbrauch'!A563</f>
        <v>SNB922051401837</v>
      </c>
      <c r="B1495" s="470">
        <f>+'Anlage 2a_Letztverbrauch'!I563</f>
        <v>18534759</v>
      </c>
      <c r="C1495" s="391">
        <f>'Anlage 3a_Zusammenfassung_KWKG'!C3244</f>
        <v>0</v>
      </c>
      <c r="D1495" s="989">
        <f t="shared" ref="D1495:D1558" si="44">SUM(B1495:C1495)</f>
        <v>18534759</v>
      </c>
    </row>
    <row r="1496" spans="1:4" hidden="1" outlineLevel="2">
      <c r="A1496" s="988" t="str">
        <f>'Anlage 2a_Letztverbrauch'!A564</f>
        <v>SNB917615238004</v>
      </c>
      <c r="B1496" s="470">
        <f>+'Anlage 2a_Letztverbrauch'!I564</f>
        <v>79107870</v>
      </c>
      <c r="C1496" s="391">
        <f>'Anlage 3a_Zusammenfassung_KWKG'!C3245</f>
        <v>52270</v>
      </c>
      <c r="D1496" s="989">
        <f t="shared" si="44"/>
        <v>79160140</v>
      </c>
    </row>
    <row r="1497" spans="1:4" hidden="1" outlineLevel="2">
      <c r="A1497" s="988" t="str">
        <f>'Anlage 2a_Letztverbrauch'!A565</f>
        <v>SNB916672506194</v>
      </c>
      <c r="B1497" s="470">
        <f>+'Anlage 2a_Letztverbrauch'!I565</f>
        <v>16340900</v>
      </c>
      <c r="C1497" s="391">
        <f>'Anlage 3a_Zusammenfassung_KWKG'!C3246</f>
        <v>0</v>
      </c>
      <c r="D1497" s="989">
        <f t="shared" si="44"/>
        <v>16340900</v>
      </c>
    </row>
    <row r="1498" spans="1:4" hidden="1" outlineLevel="2">
      <c r="A1498" s="988" t="str">
        <f>'Anlage 2a_Letztverbrauch'!A566</f>
        <v>SNB978299965228</v>
      </c>
      <c r="B1498" s="470">
        <f>+'Anlage 2a_Letztverbrauch'!I566</f>
        <v>10491997</v>
      </c>
      <c r="C1498" s="391">
        <f>'Anlage 3a_Zusammenfassung_KWKG'!C3247</f>
        <v>-4388</v>
      </c>
      <c r="D1498" s="989">
        <f t="shared" si="44"/>
        <v>10487609</v>
      </c>
    </row>
    <row r="1499" spans="1:4" hidden="1" outlineLevel="2">
      <c r="A1499" s="988" t="str">
        <f>'Anlage 2a_Letztverbrauch'!A567</f>
        <v>SNB975659838086</v>
      </c>
      <c r="B1499" s="470">
        <f>+'Anlage 2a_Letztverbrauch'!I567</f>
        <v>174220522</v>
      </c>
      <c r="C1499" s="391">
        <f>'Anlage 3a_Zusammenfassung_KWKG'!C3248</f>
        <v>-11664161</v>
      </c>
      <c r="D1499" s="989">
        <f t="shared" si="44"/>
        <v>162556361</v>
      </c>
    </row>
    <row r="1500" spans="1:4" hidden="1" outlineLevel="2">
      <c r="A1500" s="988" t="str">
        <f>'Anlage 2a_Letztverbrauch'!A568</f>
        <v>SNB924332586844</v>
      </c>
      <c r="B1500" s="470">
        <f>+'Anlage 2a_Letztverbrauch'!I568</f>
        <v>31133382</v>
      </c>
      <c r="C1500" s="391">
        <f>'Anlage 3a_Zusammenfassung_KWKG'!C3249</f>
        <v>0</v>
      </c>
      <c r="D1500" s="989">
        <f t="shared" si="44"/>
        <v>31133382</v>
      </c>
    </row>
    <row r="1501" spans="1:4" hidden="1" outlineLevel="2">
      <c r="A1501" s="988" t="str">
        <f>'Anlage 2a_Letztverbrauch'!A569</f>
        <v>SNB980412578185</v>
      </c>
      <c r="B1501" s="470">
        <f>+'Anlage 2a_Letztverbrauch'!I569</f>
        <v>37039641</v>
      </c>
      <c r="C1501" s="391">
        <f>'Anlage 3a_Zusammenfassung_KWKG'!C3250</f>
        <v>0</v>
      </c>
      <c r="D1501" s="989">
        <f t="shared" si="44"/>
        <v>37039641</v>
      </c>
    </row>
    <row r="1502" spans="1:4" hidden="1" outlineLevel="2">
      <c r="A1502" s="988" t="str">
        <f>'Anlage 2a_Letztverbrauch'!A570</f>
        <v>SNB967958627669</v>
      </c>
      <c r="B1502" s="470">
        <f>+'Anlage 2a_Letztverbrauch'!I570</f>
        <v>17297214</v>
      </c>
      <c r="C1502" s="391">
        <f>'Anlage 3a_Zusammenfassung_KWKG'!C3251</f>
        <v>393328</v>
      </c>
      <c r="D1502" s="989">
        <f t="shared" si="44"/>
        <v>17690542</v>
      </c>
    </row>
    <row r="1503" spans="1:4" hidden="1" outlineLevel="2">
      <c r="A1503" s="988" t="str">
        <f>'Anlage 2a_Letztverbrauch'!A571</f>
        <v>SNB975801091031</v>
      </c>
      <c r="B1503" s="470">
        <f>+'Anlage 2a_Letztverbrauch'!I571</f>
        <v>6055732</v>
      </c>
      <c r="C1503" s="391">
        <f>'Anlage 3a_Zusammenfassung_KWKG'!C3252</f>
        <v>0</v>
      </c>
      <c r="D1503" s="989">
        <f t="shared" si="44"/>
        <v>6055732</v>
      </c>
    </row>
    <row r="1504" spans="1:4" hidden="1" outlineLevel="2">
      <c r="A1504" s="988" t="str">
        <f>'Anlage 2a_Letztverbrauch'!A572</f>
        <v>SNB980181102130</v>
      </c>
      <c r="B1504" s="470">
        <f>+'Anlage 2a_Letztverbrauch'!I572</f>
        <v>33879194</v>
      </c>
      <c r="C1504" s="391">
        <f>'Anlage 3a_Zusammenfassung_KWKG'!C3253</f>
        <v>-201688</v>
      </c>
      <c r="D1504" s="989">
        <f t="shared" si="44"/>
        <v>33677506</v>
      </c>
    </row>
    <row r="1505" spans="1:4" hidden="1" outlineLevel="2">
      <c r="A1505" s="988" t="str">
        <f>'Anlage 2a_Letztverbrauch'!A573</f>
        <v>SNB916711029424</v>
      </c>
      <c r="B1505" s="470">
        <f>+'Anlage 2a_Letztverbrauch'!I573</f>
        <v>17059007</v>
      </c>
      <c r="C1505" s="391">
        <f>'Anlage 3a_Zusammenfassung_KWKG'!C3254</f>
        <v>0</v>
      </c>
      <c r="D1505" s="989">
        <f t="shared" si="44"/>
        <v>17059007</v>
      </c>
    </row>
    <row r="1506" spans="1:4" hidden="1" outlineLevel="2">
      <c r="A1506" s="988" t="str">
        <f>'Anlage 2a_Letztverbrauch'!A574</f>
        <v>SNB990329664031</v>
      </c>
      <c r="B1506" s="470">
        <f>+'Anlage 2a_Letztverbrauch'!I574</f>
        <v>8410100</v>
      </c>
      <c r="C1506" s="391">
        <f>'Anlage 3a_Zusammenfassung_KWKG'!C3255</f>
        <v>-9933</v>
      </c>
      <c r="D1506" s="989">
        <f t="shared" si="44"/>
        <v>8400167</v>
      </c>
    </row>
    <row r="1507" spans="1:4" hidden="1" outlineLevel="2">
      <c r="A1507" s="988" t="str">
        <f>'Anlage 2a_Letztverbrauch'!A575</f>
        <v>SNB938620426132</v>
      </c>
      <c r="B1507" s="470">
        <f>+'Anlage 2a_Letztverbrauch'!I575</f>
        <v>28440272</v>
      </c>
      <c r="C1507" s="391">
        <f>'Anlage 3a_Zusammenfassung_KWKG'!C3256</f>
        <v>0</v>
      </c>
      <c r="D1507" s="989">
        <f t="shared" si="44"/>
        <v>28440272</v>
      </c>
    </row>
    <row r="1508" spans="1:4" hidden="1" outlineLevel="2">
      <c r="A1508" s="988" t="str">
        <f>'Anlage 2a_Letztverbrauch'!A576</f>
        <v>SNB925861098273</v>
      </c>
      <c r="B1508" s="470">
        <f>+'Anlage 2a_Letztverbrauch'!I576</f>
        <v>20544997</v>
      </c>
      <c r="C1508" s="391">
        <f>'Anlage 3a_Zusammenfassung_KWKG'!C3257</f>
        <v>0</v>
      </c>
      <c r="D1508" s="989">
        <f t="shared" si="44"/>
        <v>20544997</v>
      </c>
    </row>
    <row r="1509" spans="1:4" hidden="1" outlineLevel="2">
      <c r="A1509" s="988" t="str">
        <f>'Anlage 2a_Letztverbrauch'!A577</f>
        <v>SNB922220582657</v>
      </c>
      <c r="B1509" s="470">
        <f>+'Anlage 2a_Letztverbrauch'!I577</f>
        <v>378044187.82099998</v>
      </c>
      <c r="C1509" s="391">
        <f>'Anlage 3a_Zusammenfassung_KWKG'!C3258</f>
        <v>-774965.03299999982</v>
      </c>
      <c r="D1509" s="989">
        <f t="shared" si="44"/>
        <v>377269222.78799999</v>
      </c>
    </row>
    <row r="1510" spans="1:4" hidden="1" outlineLevel="2">
      <c r="A1510" s="988" t="str">
        <f>'Anlage 2a_Letztverbrauch'!A578</f>
        <v>SNB917574266223</v>
      </c>
      <c r="B1510" s="470">
        <f>+'Anlage 2a_Letztverbrauch'!I578</f>
        <v>81825390</v>
      </c>
      <c r="C1510" s="391">
        <f>'Anlage 3a_Zusammenfassung_KWKG'!C3259</f>
        <v>0</v>
      </c>
      <c r="D1510" s="989">
        <f t="shared" si="44"/>
        <v>81825390</v>
      </c>
    </row>
    <row r="1511" spans="1:4" hidden="1" outlineLevel="2">
      <c r="A1511" s="988" t="str">
        <f>'Anlage 2a_Letztverbrauch'!A579</f>
        <v>SNB946137378622</v>
      </c>
      <c r="B1511" s="470">
        <f>+'Anlage 2a_Letztverbrauch'!I579</f>
        <v>129869981</v>
      </c>
      <c r="C1511" s="391">
        <f>'Anlage 3a_Zusammenfassung_KWKG'!C3260</f>
        <v>109077</v>
      </c>
      <c r="D1511" s="989">
        <f t="shared" si="44"/>
        <v>129979058</v>
      </c>
    </row>
    <row r="1512" spans="1:4" hidden="1" outlineLevel="2">
      <c r="A1512" s="988" t="str">
        <f>'Anlage 2a_Letztverbrauch'!A580</f>
        <v>SNB947553215997</v>
      </c>
      <c r="B1512" s="470">
        <f>+'Anlage 2a_Letztverbrauch'!I580</f>
        <v>3187305</v>
      </c>
      <c r="C1512" s="391">
        <f>'Anlage 3a_Zusammenfassung_KWKG'!C3261</f>
        <v>0</v>
      </c>
      <c r="D1512" s="989">
        <f t="shared" si="44"/>
        <v>3187305</v>
      </c>
    </row>
    <row r="1513" spans="1:4" hidden="1" outlineLevel="2">
      <c r="A1513" s="988" t="str">
        <f>'Anlage 2a_Letztverbrauch'!A581</f>
        <v>SNB977253144464</v>
      </c>
      <c r="B1513" s="470">
        <f>+'Anlage 2a_Letztverbrauch'!I581</f>
        <v>28637241</v>
      </c>
      <c r="C1513" s="391">
        <f>'Anlage 3a_Zusammenfassung_KWKG'!C3262</f>
        <v>0</v>
      </c>
      <c r="D1513" s="989">
        <f t="shared" si="44"/>
        <v>28637241</v>
      </c>
    </row>
    <row r="1514" spans="1:4" hidden="1" outlineLevel="2">
      <c r="A1514" s="988" t="str">
        <f>'Anlage 2a_Letztverbrauch'!A582</f>
        <v>SNB967967636034</v>
      </c>
      <c r="B1514" s="470">
        <f>+'Anlage 2a_Letztverbrauch'!I582</f>
        <v>56414596</v>
      </c>
      <c r="C1514" s="391">
        <f>'Anlage 3a_Zusammenfassung_KWKG'!C3263</f>
        <v>-63644</v>
      </c>
      <c r="D1514" s="989">
        <f t="shared" si="44"/>
        <v>56350952</v>
      </c>
    </row>
    <row r="1515" spans="1:4" hidden="1" outlineLevel="2">
      <c r="A1515" s="988" t="str">
        <f>'Anlage 2a_Letztverbrauch'!A583</f>
        <v>SNB966216072913</v>
      </c>
      <c r="B1515" s="470">
        <f>+'Anlage 2a_Letztverbrauch'!I583</f>
        <v>37737821</v>
      </c>
      <c r="C1515" s="391">
        <f>'Anlage 3a_Zusammenfassung_KWKG'!C3264</f>
        <v>-7050</v>
      </c>
      <c r="D1515" s="989">
        <f t="shared" si="44"/>
        <v>37730771</v>
      </c>
    </row>
    <row r="1516" spans="1:4" hidden="1" outlineLevel="2">
      <c r="A1516" s="988" t="str">
        <f>'Anlage 2a_Letztverbrauch'!A584</f>
        <v>SNB985965721965</v>
      </c>
      <c r="B1516" s="470">
        <f>+'Anlage 2a_Letztverbrauch'!I584</f>
        <v>332411946</v>
      </c>
      <c r="C1516" s="391">
        <f>'Anlage 3a_Zusammenfassung_KWKG'!C3265</f>
        <v>-299265</v>
      </c>
      <c r="D1516" s="989">
        <f t="shared" si="44"/>
        <v>332112681</v>
      </c>
    </row>
    <row r="1517" spans="1:4" hidden="1" outlineLevel="2">
      <c r="A1517" s="988" t="str">
        <f>'Anlage 2a_Letztverbrauch'!A585</f>
        <v>SNB967782555602</v>
      </c>
      <c r="B1517" s="470">
        <f>+'Anlage 2a_Letztverbrauch'!I585</f>
        <v>361514643</v>
      </c>
      <c r="C1517" s="391">
        <f>'Anlage 3a_Zusammenfassung_KWKG'!C3266</f>
        <v>1075008.52</v>
      </c>
      <c r="D1517" s="989">
        <f t="shared" si="44"/>
        <v>362589651.51999998</v>
      </c>
    </row>
    <row r="1518" spans="1:4" hidden="1" outlineLevel="2">
      <c r="A1518" s="988" t="str">
        <f>'Anlage 2a_Letztverbrauch'!A586</f>
        <v>SNB914735995145</v>
      </c>
      <c r="B1518" s="470">
        <f>+'Anlage 2a_Letztverbrauch'!I586</f>
        <v>17836406</v>
      </c>
      <c r="C1518" s="391">
        <f>'Anlage 3a_Zusammenfassung_KWKG'!C3267</f>
        <v>-363099</v>
      </c>
      <c r="D1518" s="989">
        <f t="shared" si="44"/>
        <v>17473307</v>
      </c>
    </row>
    <row r="1519" spans="1:4" hidden="1" outlineLevel="2">
      <c r="A1519" s="988" t="str">
        <f>'Anlage 2a_Letztverbrauch'!A587</f>
        <v>SNB943806148289</v>
      </c>
      <c r="B1519" s="470">
        <f>+'Anlage 2a_Letztverbrauch'!I587</f>
        <v>0</v>
      </c>
      <c r="C1519" s="391">
        <f>'Anlage 3a_Zusammenfassung_KWKG'!C3268</f>
        <v>0</v>
      </c>
      <c r="D1519" s="989">
        <f t="shared" si="44"/>
        <v>0</v>
      </c>
    </row>
    <row r="1520" spans="1:4" hidden="1" outlineLevel="2">
      <c r="A1520" s="988" t="str">
        <f>'Anlage 2a_Letztverbrauch'!A588</f>
        <v>SNB939431117011</v>
      </c>
      <c r="B1520" s="470">
        <f>+'Anlage 2a_Letztverbrauch'!I588</f>
        <v>16614843</v>
      </c>
      <c r="C1520" s="391">
        <f>'Anlage 3a_Zusammenfassung_KWKG'!C3269</f>
        <v>0</v>
      </c>
      <c r="D1520" s="989">
        <f t="shared" si="44"/>
        <v>16614843</v>
      </c>
    </row>
    <row r="1521" spans="1:4" hidden="1" outlineLevel="2">
      <c r="A1521" s="988" t="str">
        <f>'Anlage 2a_Letztverbrauch'!A589</f>
        <v>SNB949422762892</v>
      </c>
      <c r="B1521" s="470">
        <f>+'Anlage 2a_Letztverbrauch'!I589</f>
        <v>21105358</v>
      </c>
      <c r="C1521" s="391">
        <f>'Anlage 3a_Zusammenfassung_KWKG'!C3270</f>
        <v>53430</v>
      </c>
      <c r="D1521" s="989">
        <f t="shared" si="44"/>
        <v>21158788</v>
      </c>
    </row>
    <row r="1522" spans="1:4" hidden="1" outlineLevel="2">
      <c r="A1522" s="988" t="str">
        <f>'Anlage 2a_Letztverbrauch'!A590</f>
        <v>SNB924793953759</v>
      </c>
      <c r="B1522" s="470">
        <f>+'Anlage 2a_Letztverbrauch'!I590</f>
        <v>144084021</v>
      </c>
      <c r="C1522" s="391">
        <f>'Anlage 3a_Zusammenfassung_KWKG'!C3271</f>
        <v>0</v>
      </c>
      <c r="D1522" s="989">
        <f t="shared" si="44"/>
        <v>144084021</v>
      </c>
    </row>
    <row r="1523" spans="1:4" hidden="1" outlineLevel="2">
      <c r="A1523" s="988" t="str">
        <f>'Anlage 2a_Letztverbrauch'!A591</f>
        <v>SNB960060046328</v>
      </c>
      <c r="B1523" s="470">
        <f>+'Anlage 2a_Letztverbrauch'!I591</f>
        <v>87563053</v>
      </c>
      <c r="C1523" s="391">
        <f>'Anlage 3a_Zusammenfassung_KWKG'!C3272</f>
        <v>92644</v>
      </c>
      <c r="D1523" s="989">
        <f t="shared" si="44"/>
        <v>87655697</v>
      </c>
    </row>
    <row r="1524" spans="1:4" hidden="1" outlineLevel="2">
      <c r="A1524" s="988" t="str">
        <f>'Anlage 2a_Letztverbrauch'!A592</f>
        <v>SNB964802985821</v>
      </c>
      <c r="B1524" s="470">
        <f>+'Anlage 2a_Letztverbrauch'!I592</f>
        <v>24506432</v>
      </c>
      <c r="C1524" s="391">
        <f>'Anlage 3a_Zusammenfassung_KWKG'!C3273</f>
        <v>0</v>
      </c>
      <c r="D1524" s="989">
        <f t="shared" si="44"/>
        <v>24506432</v>
      </c>
    </row>
    <row r="1525" spans="1:4" hidden="1" outlineLevel="2">
      <c r="A1525" s="988" t="str">
        <f>'Anlage 2a_Letztverbrauch'!A593</f>
        <v>SNB922161652860</v>
      </c>
      <c r="B1525" s="470">
        <f>+'Anlage 2a_Letztverbrauch'!I593</f>
        <v>87910758.010000005</v>
      </c>
      <c r="C1525" s="391">
        <f>'Anlage 3a_Zusammenfassung_KWKG'!C3274</f>
        <v>-929584</v>
      </c>
      <c r="D1525" s="989">
        <f t="shared" si="44"/>
        <v>86981174.010000005</v>
      </c>
    </row>
    <row r="1526" spans="1:4" hidden="1" outlineLevel="2">
      <c r="A1526" s="988" t="str">
        <f>'Anlage 2a_Letztverbrauch'!A594</f>
        <v>SNB914149166902</v>
      </c>
      <c r="B1526" s="470">
        <f>+'Anlage 2a_Letztverbrauch'!I594</f>
        <v>118732096</v>
      </c>
      <c r="C1526" s="391">
        <f>'Anlage 3a_Zusammenfassung_KWKG'!C3275</f>
        <v>0</v>
      </c>
      <c r="D1526" s="989">
        <f t="shared" si="44"/>
        <v>118732096</v>
      </c>
    </row>
    <row r="1527" spans="1:4" hidden="1" outlineLevel="2">
      <c r="A1527" s="988" t="str">
        <f>'Anlage 2a_Letztverbrauch'!A595</f>
        <v>SNB964137069203</v>
      </c>
      <c r="B1527" s="470">
        <f>+'Anlage 2a_Letztverbrauch'!I595</f>
        <v>43382932</v>
      </c>
      <c r="C1527" s="391">
        <f>'Anlage 3a_Zusammenfassung_KWKG'!C3276</f>
        <v>-166440</v>
      </c>
      <c r="D1527" s="989">
        <f t="shared" si="44"/>
        <v>43216492</v>
      </c>
    </row>
    <row r="1528" spans="1:4" hidden="1" outlineLevel="2">
      <c r="A1528" s="988" t="str">
        <f>'Anlage 2a_Letztverbrauch'!A596</f>
        <v>SNB928258126528</v>
      </c>
      <c r="B1528" s="470">
        <f>+'Anlage 2a_Letztverbrauch'!I596</f>
        <v>96924486</v>
      </c>
      <c r="C1528" s="391">
        <f>'Anlage 3a_Zusammenfassung_KWKG'!C3277</f>
        <v>-498603</v>
      </c>
      <c r="D1528" s="989">
        <f t="shared" si="44"/>
        <v>96425883</v>
      </c>
    </row>
    <row r="1529" spans="1:4" hidden="1" outlineLevel="2">
      <c r="A1529" s="988" t="str">
        <f>'Anlage 2a_Letztverbrauch'!A597</f>
        <v>SNB942238573102</v>
      </c>
      <c r="B1529" s="470">
        <f>+'Anlage 2a_Letztverbrauch'!I597</f>
        <v>2067497473</v>
      </c>
      <c r="C1529" s="391">
        <f>'Anlage 3a_Zusammenfassung_KWKG'!C3278</f>
        <v>0</v>
      </c>
      <c r="D1529" s="989">
        <f t="shared" si="44"/>
        <v>2067497473</v>
      </c>
    </row>
    <row r="1530" spans="1:4" hidden="1" outlineLevel="2">
      <c r="A1530" s="988" t="str">
        <f>'Anlage 2a_Letztverbrauch'!A598</f>
        <v>SNB971641248901</v>
      </c>
      <c r="B1530" s="470">
        <f>+'Anlage 2a_Letztverbrauch'!I598</f>
        <v>239077408</v>
      </c>
      <c r="C1530" s="391">
        <f>'Anlage 3a_Zusammenfassung_KWKG'!C3279</f>
        <v>27864</v>
      </c>
      <c r="D1530" s="989">
        <f t="shared" si="44"/>
        <v>239105272</v>
      </c>
    </row>
    <row r="1531" spans="1:4" hidden="1" outlineLevel="2">
      <c r="A1531" s="988" t="str">
        <f>'Anlage 2a_Letztverbrauch'!A599</f>
        <v>SNB987617847795</v>
      </c>
      <c r="B1531" s="470">
        <f>+'Anlage 2a_Letztverbrauch'!I599</f>
        <v>19412416</v>
      </c>
      <c r="C1531" s="391">
        <f>'Anlage 3a_Zusammenfassung_KWKG'!C3280</f>
        <v>0</v>
      </c>
      <c r="D1531" s="989">
        <f t="shared" si="44"/>
        <v>19412416</v>
      </c>
    </row>
    <row r="1532" spans="1:4" hidden="1" outlineLevel="2">
      <c r="A1532" s="988" t="str">
        <f>'Anlage 2a_Letztverbrauch'!A600</f>
        <v>SNB969473762610</v>
      </c>
      <c r="B1532" s="470">
        <f>+'Anlage 2a_Letztverbrauch'!I600</f>
        <v>6359390192</v>
      </c>
      <c r="C1532" s="391">
        <f>'Anlage 3a_Zusammenfassung_KWKG'!C3281</f>
        <v>17014060</v>
      </c>
      <c r="D1532" s="989">
        <f t="shared" si="44"/>
        <v>6376404252</v>
      </c>
    </row>
    <row r="1533" spans="1:4" hidden="1" outlineLevel="2">
      <c r="A1533" s="988" t="str">
        <f>'Anlage 2a_Letztverbrauch'!A601</f>
        <v>SNB914767582221</v>
      </c>
      <c r="B1533" s="470">
        <f>+'Anlage 2a_Letztverbrauch'!I601</f>
        <v>83641407</v>
      </c>
      <c r="C1533" s="391">
        <f>'Anlage 3a_Zusammenfassung_KWKG'!C3282</f>
        <v>0</v>
      </c>
      <c r="D1533" s="989">
        <f t="shared" si="44"/>
        <v>83641407</v>
      </c>
    </row>
    <row r="1534" spans="1:4" hidden="1" outlineLevel="2">
      <c r="A1534" s="988" t="str">
        <f>'Anlage 2a_Letztverbrauch'!A602</f>
        <v>SNB967490557615</v>
      </c>
      <c r="B1534" s="470">
        <f>+'Anlage 2a_Letztverbrauch'!I602</f>
        <v>53286623</v>
      </c>
      <c r="C1534" s="391">
        <f>'Anlage 3a_Zusammenfassung_KWKG'!C3283</f>
        <v>0</v>
      </c>
      <c r="D1534" s="989">
        <f t="shared" si="44"/>
        <v>53286623</v>
      </c>
    </row>
    <row r="1535" spans="1:4" hidden="1" outlineLevel="2">
      <c r="A1535" s="988" t="str">
        <f>'Anlage 2a_Letztverbrauch'!A603</f>
        <v>SNB926644622999</v>
      </c>
      <c r="B1535" s="470">
        <f>+'Anlage 2a_Letztverbrauch'!I603</f>
        <v>1007599312</v>
      </c>
      <c r="C1535" s="391">
        <f>'Anlage 3a_Zusammenfassung_KWKG'!C3284</f>
        <v>0</v>
      </c>
      <c r="D1535" s="989">
        <f t="shared" si="44"/>
        <v>1007599312</v>
      </c>
    </row>
    <row r="1536" spans="1:4" hidden="1" outlineLevel="2">
      <c r="A1536" s="988" t="str">
        <f>'Anlage 2a_Letztverbrauch'!A604</f>
        <v>SNB924330086940</v>
      </c>
      <c r="B1536" s="470">
        <f>+'Anlage 2a_Letztverbrauch'!I604</f>
        <v>64524761</v>
      </c>
      <c r="C1536" s="391">
        <f>'Anlage 3a_Zusammenfassung_KWKG'!C3285</f>
        <v>0</v>
      </c>
      <c r="D1536" s="989">
        <f t="shared" si="44"/>
        <v>64524761</v>
      </c>
    </row>
    <row r="1537" spans="1:4" hidden="1" outlineLevel="2">
      <c r="A1537" s="988" t="str">
        <f>'Anlage 2a_Letztverbrauch'!A605</f>
        <v>SNB934967462406</v>
      </c>
      <c r="B1537" s="470">
        <f>+'Anlage 2a_Letztverbrauch'!I605</f>
        <v>26779877.550000001</v>
      </c>
      <c r="C1537" s="391">
        <f>'Anlage 3a_Zusammenfassung_KWKG'!C3286</f>
        <v>0</v>
      </c>
      <c r="D1537" s="989">
        <f t="shared" si="44"/>
        <v>26779877.550000001</v>
      </c>
    </row>
    <row r="1538" spans="1:4" hidden="1" outlineLevel="2">
      <c r="A1538" s="988" t="str">
        <f>'Anlage 2a_Letztverbrauch'!A606</f>
        <v>SNB913273314623</v>
      </c>
      <c r="B1538" s="470">
        <f>+'Anlage 2a_Letztverbrauch'!I606</f>
        <v>36641432</v>
      </c>
      <c r="C1538" s="391">
        <f>'Anlage 3a_Zusammenfassung_KWKG'!C3287</f>
        <v>0</v>
      </c>
      <c r="D1538" s="989">
        <f t="shared" si="44"/>
        <v>36641432</v>
      </c>
    </row>
    <row r="1539" spans="1:4" hidden="1" outlineLevel="2">
      <c r="A1539" s="988" t="str">
        <f>'Anlage 2a_Letztverbrauch'!A607</f>
        <v>SNB919649671758</v>
      </c>
      <c r="B1539" s="470">
        <f>+'Anlage 2a_Letztverbrauch'!I607</f>
        <v>59847711</v>
      </c>
      <c r="C1539" s="391">
        <f>'Anlage 3a_Zusammenfassung_KWKG'!C3288</f>
        <v>0</v>
      </c>
      <c r="D1539" s="989">
        <f t="shared" si="44"/>
        <v>59847711</v>
      </c>
    </row>
    <row r="1540" spans="1:4" hidden="1" outlineLevel="2">
      <c r="A1540" s="988" t="str">
        <f>'Anlage 2a_Letztverbrauch'!A608</f>
        <v>SNB944601935326</v>
      </c>
      <c r="B1540" s="470">
        <f>+'Anlage 2a_Letztverbrauch'!I608</f>
        <v>61824518</v>
      </c>
      <c r="C1540" s="391">
        <f>'Anlage 3a_Zusammenfassung_KWKG'!C3289</f>
        <v>0</v>
      </c>
      <c r="D1540" s="989">
        <f t="shared" si="44"/>
        <v>61824518</v>
      </c>
    </row>
    <row r="1541" spans="1:4" hidden="1" outlineLevel="2">
      <c r="A1541" s="988" t="str">
        <f>'Anlage 2a_Letztverbrauch'!A609</f>
        <v>SNB988838479086</v>
      </c>
      <c r="B1541" s="470">
        <f>+'Anlage 2a_Letztverbrauch'!I609</f>
        <v>237071357</v>
      </c>
      <c r="C1541" s="391">
        <f>'Anlage 3a_Zusammenfassung_KWKG'!C3290</f>
        <v>-41478</v>
      </c>
      <c r="D1541" s="989">
        <f t="shared" si="44"/>
        <v>237029879</v>
      </c>
    </row>
    <row r="1542" spans="1:4" hidden="1" outlineLevel="2">
      <c r="A1542" s="988" t="str">
        <f>'Anlage 2a_Letztverbrauch'!A610</f>
        <v>SNB955718588763</v>
      </c>
      <c r="B1542" s="470">
        <f>+'Anlage 2a_Letztverbrauch'!I610</f>
        <v>57349763</v>
      </c>
      <c r="C1542" s="391">
        <f>'Anlage 3a_Zusammenfassung_KWKG'!C3291</f>
        <v>0</v>
      </c>
      <c r="D1542" s="989">
        <f t="shared" si="44"/>
        <v>57349763</v>
      </c>
    </row>
    <row r="1543" spans="1:4" hidden="1" outlineLevel="2">
      <c r="A1543" s="988" t="str">
        <f>'Anlage 2a_Letztverbrauch'!A611</f>
        <v>SNB939779591900</v>
      </c>
      <c r="B1543" s="470">
        <f>+'Anlage 2a_Letztverbrauch'!I611</f>
        <v>54116170</v>
      </c>
      <c r="C1543" s="391">
        <f>'Anlage 3a_Zusammenfassung_KWKG'!C3292</f>
        <v>0</v>
      </c>
      <c r="D1543" s="989">
        <f t="shared" si="44"/>
        <v>54116170</v>
      </c>
    </row>
    <row r="1544" spans="1:4" hidden="1" outlineLevel="2">
      <c r="A1544" s="988" t="str">
        <f>'Anlage 2a_Letztverbrauch'!A612</f>
        <v>SNB983964953738</v>
      </c>
      <c r="B1544" s="470">
        <f>+'Anlage 2a_Letztverbrauch'!I612</f>
        <v>58787734</v>
      </c>
      <c r="C1544" s="391">
        <f>'Anlage 3a_Zusammenfassung_KWKG'!C3293</f>
        <v>0</v>
      </c>
      <c r="D1544" s="989">
        <f t="shared" si="44"/>
        <v>58787734</v>
      </c>
    </row>
    <row r="1545" spans="1:4" hidden="1" outlineLevel="2">
      <c r="A1545" s="988" t="str">
        <f>'Anlage 2a_Letztverbrauch'!A613</f>
        <v>SNB989365725226</v>
      </c>
      <c r="B1545" s="470">
        <f>+'Anlage 2a_Letztverbrauch'!I613</f>
        <v>143831363</v>
      </c>
      <c r="C1545" s="391">
        <f>'Anlage 3a_Zusammenfassung_KWKG'!C3294</f>
        <v>-78859</v>
      </c>
      <c r="D1545" s="989">
        <f t="shared" si="44"/>
        <v>143752504</v>
      </c>
    </row>
    <row r="1546" spans="1:4" hidden="1" outlineLevel="2">
      <c r="A1546" s="988" t="str">
        <f>'Anlage 2a_Letztverbrauch'!A614</f>
        <v>SNB922269370765</v>
      </c>
      <c r="B1546" s="470">
        <f>+'Anlage 2a_Letztverbrauch'!I614</f>
        <v>52173453</v>
      </c>
      <c r="C1546" s="391">
        <f>'Anlage 3a_Zusammenfassung_KWKG'!C3295</f>
        <v>-1861</v>
      </c>
      <c r="D1546" s="989">
        <f t="shared" si="44"/>
        <v>52171592</v>
      </c>
    </row>
    <row r="1547" spans="1:4" hidden="1" outlineLevel="2">
      <c r="A1547" s="988" t="str">
        <f>'Anlage 2a_Letztverbrauch'!A615</f>
        <v>SNB984334051054</v>
      </c>
      <c r="B1547" s="470">
        <f>+'Anlage 2a_Letztverbrauch'!I615</f>
        <v>20294171</v>
      </c>
      <c r="C1547" s="391">
        <f>'Anlage 3a_Zusammenfassung_KWKG'!C3296</f>
        <v>0</v>
      </c>
      <c r="D1547" s="989">
        <f t="shared" si="44"/>
        <v>20294171</v>
      </c>
    </row>
    <row r="1548" spans="1:4" hidden="1" outlineLevel="2">
      <c r="A1548" s="988" t="str">
        <f>'Anlage 2a_Letztverbrauch'!A616</f>
        <v>SNB955248518643</v>
      </c>
      <c r="B1548" s="470">
        <f>+'Anlage 2a_Letztverbrauch'!I616</f>
        <v>23696656.870000001</v>
      </c>
      <c r="C1548" s="391">
        <f>'Anlage 3a_Zusammenfassung_KWKG'!C3297</f>
        <v>0</v>
      </c>
      <c r="D1548" s="989">
        <f t="shared" si="44"/>
        <v>23696656.870000001</v>
      </c>
    </row>
    <row r="1549" spans="1:4" hidden="1" outlineLevel="2">
      <c r="A1549" s="988" t="str">
        <f>'Anlage 2a_Letztverbrauch'!A617</f>
        <v>SNB933386930565</v>
      </c>
      <c r="B1549" s="470">
        <f>+'Anlage 2a_Letztverbrauch'!I617</f>
        <v>55845024</v>
      </c>
      <c r="C1549" s="391">
        <f>'Anlage 3a_Zusammenfassung_KWKG'!C3298</f>
        <v>0</v>
      </c>
      <c r="D1549" s="989">
        <f t="shared" si="44"/>
        <v>55845024</v>
      </c>
    </row>
    <row r="1550" spans="1:4" hidden="1" outlineLevel="2">
      <c r="A1550" s="988" t="str">
        <f>'Anlage 2a_Letztverbrauch'!A618</f>
        <v>SNB973742186519</v>
      </c>
      <c r="B1550" s="470">
        <f>+'Anlage 2a_Letztverbrauch'!I618</f>
        <v>860773647</v>
      </c>
      <c r="C1550" s="391">
        <f>'Anlage 3a_Zusammenfassung_KWKG'!C3299</f>
        <v>0</v>
      </c>
      <c r="D1550" s="989">
        <f t="shared" si="44"/>
        <v>860773647</v>
      </c>
    </row>
    <row r="1551" spans="1:4" hidden="1" outlineLevel="2">
      <c r="A1551" s="988" t="str">
        <f>'Anlage 2a_Letztverbrauch'!A619</f>
        <v>SNB977966674678</v>
      </c>
      <c r="B1551" s="470">
        <f>+'Anlage 2a_Letztverbrauch'!I619</f>
        <v>6078622</v>
      </c>
      <c r="C1551" s="391">
        <f>'Anlage 3a_Zusammenfassung_KWKG'!C3300</f>
        <v>0</v>
      </c>
      <c r="D1551" s="989">
        <f t="shared" si="44"/>
        <v>6078622</v>
      </c>
    </row>
    <row r="1552" spans="1:4" hidden="1" outlineLevel="2">
      <c r="A1552" s="988" t="str">
        <f>'Anlage 2a_Letztverbrauch'!A620</f>
        <v>SNB984571613121</v>
      </c>
      <c r="B1552" s="470">
        <f>+'Anlage 2a_Letztverbrauch'!I620</f>
        <v>19166246</v>
      </c>
      <c r="C1552" s="391">
        <f>'Anlage 3a_Zusammenfassung_KWKG'!C3301</f>
        <v>191827</v>
      </c>
      <c r="D1552" s="989">
        <f t="shared" si="44"/>
        <v>19358073</v>
      </c>
    </row>
    <row r="1553" spans="1:4" hidden="1" outlineLevel="2">
      <c r="A1553" s="988" t="str">
        <f>'Anlage 2a_Letztverbrauch'!A621</f>
        <v>SNB942257679137</v>
      </c>
      <c r="B1553" s="470">
        <f>+'Anlage 2a_Letztverbrauch'!I621</f>
        <v>177702669</v>
      </c>
      <c r="C1553" s="391">
        <f>'Anlage 3a_Zusammenfassung_KWKG'!C3302</f>
        <v>2174242</v>
      </c>
      <c r="D1553" s="989">
        <f t="shared" si="44"/>
        <v>179876911</v>
      </c>
    </row>
    <row r="1554" spans="1:4" hidden="1" outlineLevel="2">
      <c r="A1554" s="988" t="str">
        <f>'Anlage 2a_Letztverbrauch'!A622</f>
        <v>SNB947683785568</v>
      </c>
      <c r="B1554" s="470">
        <f>+'Anlage 2a_Letztverbrauch'!I622</f>
        <v>16274583</v>
      </c>
      <c r="C1554" s="391">
        <f>'Anlage 3a_Zusammenfassung_KWKG'!C3303</f>
        <v>0</v>
      </c>
      <c r="D1554" s="989">
        <f t="shared" si="44"/>
        <v>16274583</v>
      </c>
    </row>
    <row r="1555" spans="1:4" hidden="1" outlineLevel="2">
      <c r="A1555" s="988" t="str">
        <f>'Anlage 2a_Letztverbrauch'!A623</f>
        <v>SNB980054996408</v>
      </c>
      <c r="B1555" s="470">
        <f>+'Anlage 2a_Letztverbrauch'!I623</f>
        <v>115782685</v>
      </c>
      <c r="C1555" s="391">
        <f>'Anlage 3a_Zusammenfassung_KWKG'!C3304</f>
        <v>924161</v>
      </c>
      <c r="D1555" s="989">
        <f t="shared" si="44"/>
        <v>116706846</v>
      </c>
    </row>
    <row r="1556" spans="1:4" hidden="1" outlineLevel="2">
      <c r="A1556" s="988" t="str">
        <f>'Anlage 2a_Letztverbrauch'!A624</f>
        <v>SNB915728555230</v>
      </c>
      <c r="B1556" s="470">
        <f>+'Anlage 2a_Letztverbrauch'!I624</f>
        <v>14683775</v>
      </c>
      <c r="C1556" s="391">
        <f>'Anlage 3a_Zusammenfassung_KWKG'!C3305</f>
        <v>0</v>
      </c>
      <c r="D1556" s="989">
        <f t="shared" si="44"/>
        <v>14683775</v>
      </c>
    </row>
    <row r="1557" spans="1:4" hidden="1" outlineLevel="2">
      <c r="A1557" s="988" t="str">
        <f>'Anlage 2a_Letztverbrauch'!A625</f>
        <v>SNB928992067729</v>
      </c>
      <c r="B1557" s="470">
        <f>+'Anlage 2a_Letztverbrauch'!I625</f>
        <v>342918982</v>
      </c>
      <c r="C1557" s="391">
        <f>'Anlage 3a_Zusammenfassung_KWKG'!C3306</f>
        <v>0</v>
      </c>
      <c r="D1557" s="989">
        <f t="shared" si="44"/>
        <v>342918982</v>
      </c>
    </row>
    <row r="1558" spans="1:4" hidden="1" outlineLevel="2">
      <c r="A1558" s="988" t="str">
        <f>'Anlage 2a_Letztverbrauch'!A626</f>
        <v>SNB971076036227</v>
      </c>
      <c r="B1558" s="470">
        <f>+'Anlage 2a_Letztverbrauch'!I626</f>
        <v>45607942</v>
      </c>
      <c r="C1558" s="391">
        <f>'Anlage 3a_Zusammenfassung_KWKG'!C3307</f>
        <v>0</v>
      </c>
      <c r="D1558" s="989">
        <f t="shared" si="44"/>
        <v>45607942</v>
      </c>
    </row>
    <row r="1559" spans="1:4" hidden="1" outlineLevel="2">
      <c r="A1559" s="988" t="str">
        <f>'Anlage 2a_Letztverbrauch'!A627</f>
        <v>SNB957209230809</v>
      </c>
      <c r="B1559" s="470">
        <f>+'Anlage 2a_Letztverbrauch'!I627</f>
        <v>99293434</v>
      </c>
      <c r="C1559" s="391">
        <f>'Anlage 3a_Zusammenfassung_KWKG'!C3308</f>
        <v>-104552</v>
      </c>
      <c r="D1559" s="989">
        <f t="shared" ref="D1559:D1622" si="45">SUM(B1559:C1559)</f>
        <v>99188882</v>
      </c>
    </row>
    <row r="1560" spans="1:4" hidden="1" outlineLevel="2">
      <c r="A1560" s="988" t="str">
        <f>'Anlage 2a_Letztverbrauch'!A628</f>
        <v>SNB911969765803</v>
      </c>
      <c r="B1560" s="470">
        <f>+'Anlage 2a_Letztverbrauch'!I628</f>
        <v>14453637</v>
      </c>
      <c r="C1560" s="391">
        <f>'Anlage 3a_Zusammenfassung_KWKG'!C3309</f>
        <v>-47450</v>
      </c>
      <c r="D1560" s="989">
        <f t="shared" si="45"/>
        <v>14406187</v>
      </c>
    </row>
    <row r="1561" spans="1:4" hidden="1" outlineLevel="2">
      <c r="A1561" s="988" t="str">
        <f>'Anlage 2a_Letztverbrauch'!A629</f>
        <v>SNB982713229933</v>
      </c>
      <c r="B1561" s="470">
        <f>+'Anlage 2a_Letztverbrauch'!I629</f>
        <v>18372112</v>
      </c>
      <c r="C1561" s="391">
        <f>'Anlage 3a_Zusammenfassung_KWKG'!C3310</f>
        <v>30422</v>
      </c>
      <c r="D1561" s="989">
        <f t="shared" si="45"/>
        <v>18402534</v>
      </c>
    </row>
    <row r="1562" spans="1:4" hidden="1" outlineLevel="2">
      <c r="A1562" s="988" t="str">
        <f>'Anlage 2a_Letztverbrauch'!A630</f>
        <v>SNB918516395612</v>
      </c>
      <c r="B1562" s="470">
        <f>+'Anlage 2a_Letztverbrauch'!I630</f>
        <v>1117032948</v>
      </c>
      <c r="C1562" s="391">
        <f>'Anlage 3a_Zusammenfassung_KWKG'!C3311</f>
        <v>8258591</v>
      </c>
      <c r="D1562" s="989">
        <f t="shared" si="45"/>
        <v>1125291539</v>
      </c>
    </row>
    <row r="1563" spans="1:4" hidden="1" outlineLevel="2">
      <c r="A1563" s="988" t="str">
        <f>'Anlage 2a_Letztverbrauch'!A631</f>
        <v>SNB974547197724</v>
      </c>
      <c r="B1563" s="470">
        <f>+'Anlage 2a_Letztverbrauch'!I631</f>
        <v>164340091</v>
      </c>
      <c r="C1563" s="391">
        <f>'Anlage 3a_Zusammenfassung_KWKG'!C3312</f>
        <v>0</v>
      </c>
      <c r="D1563" s="989">
        <f t="shared" si="45"/>
        <v>164340091</v>
      </c>
    </row>
    <row r="1564" spans="1:4" hidden="1" outlineLevel="2">
      <c r="A1564" s="988" t="str">
        <f>'Anlage 2a_Letztverbrauch'!A632</f>
        <v>SNB982597073882</v>
      </c>
      <c r="B1564" s="470">
        <f>+'Anlage 2a_Letztverbrauch'!I632</f>
        <v>1726795</v>
      </c>
      <c r="C1564" s="391">
        <f>'Anlage 3a_Zusammenfassung_KWKG'!C3313</f>
        <v>0</v>
      </c>
      <c r="D1564" s="989">
        <f t="shared" si="45"/>
        <v>1726795</v>
      </c>
    </row>
    <row r="1565" spans="1:4" hidden="1" outlineLevel="2">
      <c r="A1565" s="988" t="str">
        <f>'Anlage 2a_Letztverbrauch'!A633</f>
        <v>SNB945186990991</v>
      </c>
      <c r="B1565" s="470">
        <f>+'Anlage 2a_Letztverbrauch'!I633</f>
        <v>21827657</v>
      </c>
      <c r="C1565" s="391">
        <f>'Anlage 3a_Zusammenfassung_KWKG'!C3314</f>
        <v>0</v>
      </c>
      <c r="D1565" s="989">
        <f t="shared" si="45"/>
        <v>21827657</v>
      </c>
    </row>
    <row r="1566" spans="1:4" hidden="1" outlineLevel="2">
      <c r="A1566" s="988" t="str">
        <f>'Anlage 2a_Letztverbrauch'!A634</f>
        <v>SNB935303204162</v>
      </c>
      <c r="B1566" s="470">
        <f>+'Anlage 2a_Letztverbrauch'!I634</f>
        <v>20979052</v>
      </c>
      <c r="C1566" s="391">
        <f>'Anlage 3a_Zusammenfassung_KWKG'!C3315</f>
        <v>0</v>
      </c>
      <c r="D1566" s="989">
        <f t="shared" si="45"/>
        <v>20979052</v>
      </c>
    </row>
    <row r="1567" spans="1:4" hidden="1" outlineLevel="2">
      <c r="A1567" s="988" t="str">
        <f>'Anlage 2a_Letztverbrauch'!A635</f>
        <v>SNB965819408044</v>
      </c>
      <c r="B1567" s="470">
        <f>+'Anlage 2a_Letztverbrauch'!I635</f>
        <v>86774145</v>
      </c>
      <c r="C1567" s="391">
        <f>'Anlage 3a_Zusammenfassung_KWKG'!C3316</f>
        <v>0</v>
      </c>
      <c r="D1567" s="989">
        <f t="shared" si="45"/>
        <v>86774145</v>
      </c>
    </row>
    <row r="1568" spans="1:4" hidden="1" outlineLevel="2">
      <c r="A1568" s="988" t="str">
        <f>'Anlage 2a_Letztverbrauch'!A636</f>
        <v>SNB972511582064</v>
      </c>
      <c r="B1568" s="470">
        <f>+'Anlage 2a_Letztverbrauch'!I636</f>
        <v>43572706</v>
      </c>
      <c r="C1568" s="391">
        <f>'Anlage 3a_Zusammenfassung_KWKG'!C3317</f>
        <v>0</v>
      </c>
      <c r="D1568" s="989">
        <f t="shared" si="45"/>
        <v>43572706</v>
      </c>
    </row>
    <row r="1569" spans="1:4" hidden="1" outlineLevel="2">
      <c r="A1569" s="988" t="str">
        <f>'Anlage 2a_Letztverbrauch'!A637</f>
        <v>SNB955238223991</v>
      </c>
      <c r="B1569" s="470">
        <f>+'Anlage 2a_Letztverbrauch'!I637</f>
        <v>778392127</v>
      </c>
      <c r="C1569" s="391">
        <f>'Anlage 3a_Zusammenfassung_KWKG'!C3318</f>
        <v>0</v>
      </c>
      <c r="D1569" s="989">
        <f t="shared" si="45"/>
        <v>778392127</v>
      </c>
    </row>
    <row r="1570" spans="1:4" hidden="1" outlineLevel="2">
      <c r="A1570" s="988" t="str">
        <f>'Anlage 2a_Letztverbrauch'!A638</f>
        <v>SNB931316685899</v>
      </c>
      <c r="B1570" s="470">
        <f>+'Anlage 2a_Letztverbrauch'!I638</f>
        <v>66536736.799999997</v>
      </c>
      <c r="C1570" s="391">
        <f>'Anlage 3a_Zusammenfassung_KWKG'!C3319</f>
        <v>0</v>
      </c>
      <c r="D1570" s="989">
        <f t="shared" si="45"/>
        <v>66536736.799999997</v>
      </c>
    </row>
    <row r="1571" spans="1:4" hidden="1" outlineLevel="2">
      <c r="A1571" s="988" t="str">
        <f>'Anlage 2a_Letztverbrauch'!A639</f>
        <v>SNB952939058372</v>
      </c>
      <c r="B1571" s="470">
        <f>+'Anlage 2a_Letztverbrauch'!I639</f>
        <v>34702805</v>
      </c>
      <c r="C1571" s="391">
        <f>'Anlage 3a_Zusammenfassung_KWKG'!C3320</f>
        <v>-217692</v>
      </c>
      <c r="D1571" s="989">
        <f t="shared" si="45"/>
        <v>34485113</v>
      </c>
    </row>
    <row r="1572" spans="1:4" hidden="1" outlineLevel="2">
      <c r="A1572" s="988" t="str">
        <f>'Anlage 2a_Letztverbrauch'!A640</f>
        <v>SNB994749019716</v>
      </c>
      <c r="B1572" s="470">
        <f>+'Anlage 2a_Letztverbrauch'!I640</f>
        <v>140520474</v>
      </c>
      <c r="C1572" s="391">
        <f>'Anlage 3a_Zusammenfassung_KWKG'!C3321</f>
        <v>-1430388</v>
      </c>
      <c r="D1572" s="989">
        <f t="shared" si="45"/>
        <v>139090086</v>
      </c>
    </row>
    <row r="1573" spans="1:4" hidden="1" outlineLevel="2">
      <c r="A1573" s="988" t="str">
        <f>'Anlage 2a_Letztverbrauch'!A641</f>
        <v>SNB911838879365</v>
      </c>
      <c r="B1573" s="470">
        <f>+'Anlage 2a_Letztverbrauch'!I641</f>
        <v>69079672</v>
      </c>
      <c r="C1573" s="391">
        <f>'Anlage 3a_Zusammenfassung_KWKG'!C3322</f>
        <v>-1054988</v>
      </c>
      <c r="D1573" s="989">
        <f t="shared" si="45"/>
        <v>68024684</v>
      </c>
    </row>
    <row r="1574" spans="1:4" hidden="1" outlineLevel="2">
      <c r="A1574" s="988" t="str">
        <f>'Anlage 2a_Letztverbrauch'!A642</f>
        <v>SNB989583209836</v>
      </c>
      <c r="B1574" s="470">
        <f>+'Anlage 2a_Letztverbrauch'!I642</f>
        <v>33590614</v>
      </c>
      <c r="C1574" s="391">
        <f>'Anlage 3a_Zusammenfassung_KWKG'!C3323</f>
        <v>0</v>
      </c>
      <c r="D1574" s="989">
        <f t="shared" si="45"/>
        <v>33590614</v>
      </c>
    </row>
    <row r="1575" spans="1:4" hidden="1" outlineLevel="2">
      <c r="A1575" s="988" t="str">
        <f>'Anlage 2a_Letztverbrauch'!A643</f>
        <v>SNB974959002937</v>
      </c>
      <c r="B1575" s="470">
        <f>+'Anlage 2a_Letztverbrauch'!I643</f>
        <v>11333833</v>
      </c>
      <c r="C1575" s="391">
        <f>'Anlage 3a_Zusammenfassung_KWKG'!C3324</f>
        <v>0</v>
      </c>
      <c r="D1575" s="989">
        <f t="shared" si="45"/>
        <v>11333833</v>
      </c>
    </row>
    <row r="1576" spans="1:4" hidden="1" outlineLevel="2">
      <c r="A1576" s="988" t="str">
        <f>'Anlage 2a_Letztverbrauch'!A644</f>
        <v>SNB976987786759</v>
      </c>
      <c r="B1576" s="470">
        <f>+'Anlage 2a_Letztverbrauch'!I644</f>
        <v>47297499</v>
      </c>
      <c r="C1576" s="391">
        <f>'Anlage 3a_Zusammenfassung_KWKG'!C3325</f>
        <v>-52091</v>
      </c>
      <c r="D1576" s="989">
        <f t="shared" si="45"/>
        <v>47245408</v>
      </c>
    </row>
    <row r="1577" spans="1:4" hidden="1" outlineLevel="2">
      <c r="A1577" s="988" t="str">
        <f>'Anlage 2a_Letztverbrauch'!A645</f>
        <v>SNB921899277833</v>
      </c>
      <c r="B1577" s="470">
        <f>+'Anlage 2a_Letztverbrauch'!I645</f>
        <v>4447637590</v>
      </c>
      <c r="C1577" s="391">
        <f>'Anlage 3a_Zusammenfassung_KWKG'!C3326</f>
        <v>-95818401</v>
      </c>
      <c r="D1577" s="989">
        <f t="shared" si="45"/>
        <v>4351819189</v>
      </c>
    </row>
    <row r="1578" spans="1:4" hidden="1" outlineLevel="2">
      <c r="A1578" s="988" t="str">
        <f>'Anlage 2a_Letztverbrauch'!A646</f>
        <v>SNB945552907998</v>
      </c>
      <c r="B1578" s="470">
        <f>+'Anlage 2a_Letztverbrauch'!I646</f>
        <v>36329473</v>
      </c>
      <c r="C1578" s="391">
        <f>'Anlage 3a_Zusammenfassung_KWKG'!C3327</f>
        <v>13822</v>
      </c>
      <c r="D1578" s="989">
        <f t="shared" si="45"/>
        <v>36343295</v>
      </c>
    </row>
    <row r="1579" spans="1:4" hidden="1" outlineLevel="2">
      <c r="A1579" s="988" t="str">
        <f>'Anlage 2a_Letztverbrauch'!A647</f>
        <v>SNB921626387354</v>
      </c>
      <c r="B1579" s="470">
        <f>+'Anlage 2a_Letztverbrauch'!I647</f>
        <v>195967782</v>
      </c>
      <c r="C1579" s="391">
        <f>'Anlage 3a_Zusammenfassung_KWKG'!C3328</f>
        <v>-249410</v>
      </c>
      <c r="D1579" s="989">
        <f t="shared" si="45"/>
        <v>195718372</v>
      </c>
    </row>
    <row r="1580" spans="1:4" hidden="1" outlineLevel="2">
      <c r="A1580" s="988" t="str">
        <f>'Anlage 2a_Letztverbrauch'!A648</f>
        <v>SNB917593691679</v>
      </c>
      <c r="B1580" s="470">
        <f>+'Anlage 2a_Letztverbrauch'!I648</f>
        <v>6585130</v>
      </c>
      <c r="C1580" s="391">
        <f>'Anlage 3a_Zusammenfassung_KWKG'!C3329</f>
        <v>0</v>
      </c>
      <c r="D1580" s="989">
        <f t="shared" si="45"/>
        <v>6585130</v>
      </c>
    </row>
    <row r="1581" spans="1:4" hidden="1" outlineLevel="2">
      <c r="A1581" s="988" t="str">
        <f>'Anlage 2a_Letztverbrauch'!A649</f>
        <v>SNB957862279702</v>
      </c>
      <c r="B1581" s="470">
        <f>+'Anlage 2a_Letztverbrauch'!I649</f>
        <v>1088036624</v>
      </c>
      <c r="C1581" s="391">
        <f>'Anlage 3a_Zusammenfassung_KWKG'!C3330</f>
        <v>-3501105</v>
      </c>
      <c r="D1581" s="989">
        <f t="shared" si="45"/>
        <v>1084535519</v>
      </c>
    </row>
    <row r="1582" spans="1:4" hidden="1" outlineLevel="2">
      <c r="A1582" s="988" t="str">
        <f>'Anlage 2a_Letztverbrauch'!A650</f>
        <v>SNB923242117018</v>
      </c>
      <c r="B1582" s="470">
        <f>+'Anlage 2a_Letztverbrauch'!I650</f>
        <v>6137969</v>
      </c>
      <c r="C1582" s="391">
        <f>'Anlage 3a_Zusammenfassung_KWKG'!C3331</f>
        <v>0</v>
      </c>
      <c r="D1582" s="989">
        <f t="shared" si="45"/>
        <v>6137969</v>
      </c>
    </row>
    <row r="1583" spans="1:4" hidden="1" outlineLevel="2">
      <c r="A1583" s="988" t="str">
        <f>'Anlage 2a_Letztverbrauch'!A651</f>
        <v>SNB984060961757</v>
      </c>
      <c r="B1583" s="470">
        <f>+'Anlage 2a_Letztverbrauch'!I651</f>
        <v>58516883</v>
      </c>
      <c r="C1583" s="391">
        <f>'Anlage 3a_Zusammenfassung_KWKG'!C3332</f>
        <v>-55800</v>
      </c>
      <c r="D1583" s="989">
        <f t="shared" si="45"/>
        <v>58461083</v>
      </c>
    </row>
    <row r="1584" spans="1:4" hidden="1" outlineLevel="2">
      <c r="A1584" s="988" t="str">
        <f>'Anlage 2a_Letztverbrauch'!A652</f>
        <v>SNB941555074781</v>
      </c>
      <c r="B1584" s="470">
        <f>+'Anlage 2a_Letztverbrauch'!I652</f>
        <v>6133872</v>
      </c>
      <c r="C1584" s="391">
        <f>'Anlage 3a_Zusammenfassung_KWKG'!C3333</f>
        <v>0</v>
      </c>
      <c r="D1584" s="989">
        <f t="shared" si="45"/>
        <v>6133872</v>
      </c>
    </row>
    <row r="1585" spans="1:4" hidden="1" outlineLevel="2">
      <c r="A1585" s="988" t="str">
        <f>'Anlage 2a_Letztverbrauch'!A653</f>
        <v>SNB982380015723</v>
      </c>
      <c r="B1585" s="470">
        <f>+'Anlage 2a_Letztverbrauch'!I653</f>
        <v>18197626</v>
      </c>
      <c r="C1585" s="391">
        <f>'Anlage 3a_Zusammenfassung_KWKG'!C3334</f>
        <v>-41227</v>
      </c>
      <c r="D1585" s="989">
        <f t="shared" si="45"/>
        <v>18156399</v>
      </c>
    </row>
    <row r="1586" spans="1:4" hidden="1" outlineLevel="2">
      <c r="A1586" s="988" t="str">
        <f>'Anlage 2a_Letztverbrauch'!A654</f>
        <v>SNB988606051575</v>
      </c>
      <c r="B1586" s="470">
        <f>+'Anlage 2a_Letztverbrauch'!I654</f>
        <v>7737873</v>
      </c>
      <c r="C1586" s="391">
        <f>'Anlage 3a_Zusammenfassung_KWKG'!C3335</f>
        <v>3858</v>
      </c>
      <c r="D1586" s="989">
        <f t="shared" si="45"/>
        <v>7741731</v>
      </c>
    </row>
    <row r="1587" spans="1:4" hidden="1" outlineLevel="2">
      <c r="A1587" s="988" t="str">
        <f>'Anlage 2a_Letztverbrauch'!A655</f>
        <v>SNB950882682972</v>
      </c>
      <c r="B1587" s="470">
        <f>+'Anlage 2a_Letztverbrauch'!I655</f>
        <v>9961572</v>
      </c>
      <c r="C1587" s="391">
        <f>'Anlage 3a_Zusammenfassung_KWKG'!C3336</f>
        <v>0</v>
      </c>
      <c r="D1587" s="989">
        <f t="shared" si="45"/>
        <v>9961572</v>
      </c>
    </row>
    <row r="1588" spans="1:4" hidden="1" outlineLevel="2">
      <c r="A1588" s="988" t="str">
        <f>'Anlage 2a_Letztverbrauch'!A656</f>
        <v>SNB924819944297</v>
      </c>
      <c r="B1588" s="470">
        <f>+'Anlage 2a_Letztverbrauch'!I656</f>
        <v>77093324</v>
      </c>
      <c r="C1588" s="391">
        <f>'Anlage 3a_Zusammenfassung_KWKG'!C3337</f>
        <v>0</v>
      </c>
      <c r="D1588" s="989">
        <f t="shared" si="45"/>
        <v>77093324</v>
      </c>
    </row>
    <row r="1589" spans="1:4" hidden="1" outlineLevel="2">
      <c r="A1589" s="988" t="str">
        <f>'Anlage 2a_Letztverbrauch'!A657</f>
        <v>SNB966494112844</v>
      </c>
      <c r="B1589" s="470">
        <f>+'Anlage 2a_Letztverbrauch'!I657</f>
        <v>16281418</v>
      </c>
      <c r="C1589" s="391">
        <f>'Anlage 3a_Zusammenfassung_KWKG'!C3338</f>
        <v>-35417</v>
      </c>
      <c r="D1589" s="989">
        <f t="shared" si="45"/>
        <v>16246001</v>
      </c>
    </row>
    <row r="1590" spans="1:4" hidden="1" outlineLevel="2">
      <c r="A1590" s="988" t="str">
        <f>'Anlage 2a_Letztverbrauch'!A658</f>
        <v>SNB914963192408</v>
      </c>
      <c r="B1590" s="470">
        <f>+'Anlage 2a_Letztverbrauch'!I658</f>
        <v>26076930</v>
      </c>
      <c r="C1590" s="391">
        <f>'Anlage 3a_Zusammenfassung_KWKG'!C3339</f>
        <v>-947606</v>
      </c>
      <c r="D1590" s="989">
        <f t="shared" si="45"/>
        <v>25129324</v>
      </c>
    </row>
    <row r="1591" spans="1:4" hidden="1" outlineLevel="2">
      <c r="A1591" s="988" t="str">
        <f>'Anlage 2a_Letztverbrauch'!A659</f>
        <v>SNB932374739180</v>
      </c>
      <c r="B1591" s="470">
        <f>+'Anlage 2a_Letztverbrauch'!I659</f>
        <v>35804268</v>
      </c>
      <c r="C1591" s="391">
        <f>'Anlage 3a_Zusammenfassung_KWKG'!C3340</f>
        <v>0</v>
      </c>
      <c r="D1591" s="989">
        <f t="shared" si="45"/>
        <v>35804268</v>
      </c>
    </row>
    <row r="1592" spans="1:4" hidden="1" outlineLevel="2">
      <c r="A1592" s="988" t="str">
        <f>'Anlage 2a_Letztverbrauch'!A660</f>
        <v>SNB916657570554</v>
      </c>
      <c r="B1592" s="470">
        <f>+'Anlage 2a_Letztverbrauch'!I660</f>
        <v>76723338</v>
      </c>
      <c r="C1592" s="391">
        <f>'Anlage 3a_Zusammenfassung_KWKG'!C3341</f>
        <v>134254</v>
      </c>
      <c r="D1592" s="989">
        <f t="shared" si="45"/>
        <v>76857592</v>
      </c>
    </row>
    <row r="1593" spans="1:4" hidden="1" outlineLevel="2">
      <c r="A1593" s="988" t="str">
        <f>'Anlage 2a_Letztverbrauch'!A661</f>
        <v>SNB981113965977</v>
      </c>
      <c r="B1593" s="470">
        <f>+'Anlage 2a_Letztverbrauch'!I661</f>
        <v>45085292.608999997</v>
      </c>
      <c r="C1593" s="391">
        <f>'Anlage 3a_Zusammenfassung_KWKG'!C3342</f>
        <v>0</v>
      </c>
      <c r="D1593" s="989">
        <f t="shared" si="45"/>
        <v>45085292.608999997</v>
      </c>
    </row>
    <row r="1594" spans="1:4" hidden="1" outlineLevel="2">
      <c r="A1594" s="988" t="str">
        <f>'Anlage 2a_Letztverbrauch'!A662</f>
        <v>SNB919067474511</v>
      </c>
      <c r="B1594" s="470">
        <f>+'Anlage 2a_Letztverbrauch'!I662</f>
        <v>72318976</v>
      </c>
      <c r="C1594" s="391">
        <f>'Anlage 3a_Zusammenfassung_KWKG'!C3343</f>
        <v>0</v>
      </c>
      <c r="D1594" s="989">
        <f t="shared" si="45"/>
        <v>72318976</v>
      </c>
    </row>
    <row r="1595" spans="1:4" hidden="1" outlineLevel="2">
      <c r="A1595" s="988" t="str">
        <f>'Anlage 2a_Letztverbrauch'!A663</f>
        <v>SNB979973883449</v>
      </c>
      <c r="B1595" s="470">
        <f>+'Anlage 2a_Letztverbrauch'!I663</f>
        <v>9022417</v>
      </c>
      <c r="C1595" s="391">
        <f>'Anlage 3a_Zusammenfassung_KWKG'!C3344</f>
        <v>0</v>
      </c>
      <c r="D1595" s="989">
        <f t="shared" si="45"/>
        <v>9022417</v>
      </c>
    </row>
    <row r="1596" spans="1:4" hidden="1" outlineLevel="2">
      <c r="A1596" s="988" t="str">
        <f>'Anlage 2a_Letztverbrauch'!A664</f>
        <v>SNB982671807549</v>
      </c>
      <c r="B1596" s="470">
        <f>+'Anlage 2a_Letztverbrauch'!I664</f>
        <v>55633682</v>
      </c>
      <c r="C1596" s="391">
        <f>'Anlage 3a_Zusammenfassung_KWKG'!C3345</f>
        <v>0</v>
      </c>
      <c r="D1596" s="989">
        <f t="shared" si="45"/>
        <v>55633682</v>
      </c>
    </row>
    <row r="1597" spans="1:4" hidden="1" outlineLevel="2">
      <c r="A1597" s="988" t="str">
        <f>'Anlage 2a_Letztverbrauch'!A665</f>
        <v>SNB950960779068</v>
      </c>
      <c r="B1597" s="470">
        <f>+'Anlage 2a_Letztverbrauch'!I665</f>
        <v>148660325</v>
      </c>
      <c r="C1597" s="391">
        <f>'Anlage 3a_Zusammenfassung_KWKG'!C3346</f>
        <v>3366736</v>
      </c>
      <c r="D1597" s="989">
        <f t="shared" si="45"/>
        <v>152027061</v>
      </c>
    </row>
    <row r="1598" spans="1:4" hidden="1" outlineLevel="2">
      <c r="A1598" s="988" t="str">
        <f>'Anlage 2a_Letztverbrauch'!A666</f>
        <v>SNB960280760097</v>
      </c>
      <c r="B1598" s="470">
        <f>+'Anlage 2a_Letztverbrauch'!I666</f>
        <v>51100443</v>
      </c>
      <c r="C1598" s="391">
        <f>'Anlage 3a_Zusammenfassung_KWKG'!C3347</f>
        <v>0</v>
      </c>
      <c r="D1598" s="989">
        <f t="shared" si="45"/>
        <v>51100443</v>
      </c>
    </row>
    <row r="1599" spans="1:4" hidden="1" outlineLevel="2">
      <c r="A1599" s="988" t="str">
        <f>'Anlage 2a_Letztverbrauch'!A667</f>
        <v>SNB985704986426</v>
      </c>
      <c r="B1599" s="470">
        <f>+'Anlage 2a_Letztverbrauch'!I667</f>
        <v>280885824</v>
      </c>
      <c r="C1599" s="391">
        <f>'Anlage 3a_Zusammenfassung_KWKG'!C3348</f>
        <v>0</v>
      </c>
      <c r="D1599" s="989">
        <f t="shared" si="45"/>
        <v>280885824</v>
      </c>
    </row>
    <row r="1600" spans="1:4" hidden="1" outlineLevel="2">
      <c r="A1600" s="988" t="str">
        <f>'Anlage 2a_Letztverbrauch'!A668</f>
        <v>SNB977384143473</v>
      </c>
      <c r="B1600" s="470">
        <f>+'Anlage 2a_Letztverbrauch'!I668</f>
        <v>172831857</v>
      </c>
      <c r="C1600" s="391">
        <f>'Anlage 3a_Zusammenfassung_KWKG'!C3349</f>
        <v>0</v>
      </c>
      <c r="D1600" s="989">
        <f t="shared" si="45"/>
        <v>172831857</v>
      </c>
    </row>
    <row r="1601" spans="1:4" hidden="1" outlineLevel="2">
      <c r="A1601" s="988" t="str">
        <f>'Anlage 2a_Letztverbrauch'!A669</f>
        <v>SNB920157746937</v>
      </c>
      <c r="B1601" s="470">
        <f>+'Anlage 2a_Letztverbrauch'!I669</f>
        <v>328347596</v>
      </c>
      <c r="C1601" s="391">
        <f>'Anlage 3a_Zusammenfassung_KWKG'!C3350</f>
        <v>0</v>
      </c>
      <c r="D1601" s="989">
        <f t="shared" si="45"/>
        <v>328347596</v>
      </c>
    </row>
    <row r="1602" spans="1:4" hidden="1" outlineLevel="2">
      <c r="A1602" s="988" t="str">
        <f>'Anlage 2a_Letztverbrauch'!A670</f>
        <v>SNB950777700255</v>
      </c>
      <c r="B1602" s="470">
        <f>+'Anlage 2a_Letztverbrauch'!I670</f>
        <v>12743060</v>
      </c>
      <c r="C1602" s="391">
        <f>'Anlage 3a_Zusammenfassung_KWKG'!C3351</f>
        <v>0</v>
      </c>
      <c r="D1602" s="989">
        <f t="shared" si="45"/>
        <v>12743060</v>
      </c>
    </row>
    <row r="1603" spans="1:4" hidden="1" outlineLevel="2">
      <c r="A1603" s="988" t="str">
        <f>'Anlage 2a_Letztverbrauch'!A671</f>
        <v>SNB957988771050</v>
      </c>
      <c r="B1603" s="470">
        <f>+'Anlage 2a_Letztverbrauch'!I671</f>
        <v>14154440</v>
      </c>
      <c r="C1603" s="391">
        <f>'Anlage 3a_Zusammenfassung_KWKG'!C3352</f>
        <v>0</v>
      </c>
      <c r="D1603" s="989">
        <f t="shared" si="45"/>
        <v>14154440</v>
      </c>
    </row>
    <row r="1604" spans="1:4" hidden="1" outlineLevel="2">
      <c r="A1604" s="988" t="str">
        <f>'Anlage 2a_Letztverbrauch'!A672</f>
        <v>SNB967812386411</v>
      </c>
      <c r="B1604" s="470">
        <f>+'Anlage 2a_Letztverbrauch'!I672</f>
        <v>59552914</v>
      </c>
      <c r="C1604" s="391">
        <f>'Anlage 3a_Zusammenfassung_KWKG'!C3353</f>
        <v>-66020</v>
      </c>
      <c r="D1604" s="989">
        <f t="shared" si="45"/>
        <v>59486894</v>
      </c>
    </row>
    <row r="1605" spans="1:4" hidden="1" outlineLevel="2">
      <c r="A1605" s="988" t="str">
        <f>'Anlage 2a_Letztverbrauch'!A673</f>
        <v>SNB968862623211</v>
      </c>
      <c r="B1605" s="470">
        <f>+'Anlage 2a_Letztverbrauch'!I673</f>
        <v>323907805</v>
      </c>
      <c r="C1605" s="391">
        <f>'Anlage 3a_Zusammenfassung_KWKG'!C3354</f>
        <v>-2178227.7060000002</v>
      </c>
      <c r="D1605" s="989">
        <f t="shared" si="45"/>
        <v>321729577.29400003</v>
      </c>
    </row>
    <row r="1606" spans="1:4" hidden="1" outlineLevel="2">
      <c r="A1606" s="988" t="str">
        <f>'Anlage 2a_Letztverbrauch'!A674</f>
        <v>SNB978865527096</v>
      </c>
      <c r="B1606" s="470">
        <f>+'Anlage 2a_Letztverbrauch'!I674</f>
        <v>809431757</v>
      </c>
      <c r="C1606" s="391">
        <f>'Anlage 3a_Zusammenfassung_KWKG'!C3355</f>
        <v>0</v>
      </c>
      <c r="D1606" s="989">
        <f t="shared" si="45"/>
        <v>809431757</v>
      </c>
    </row>
    <row r="1607" spans="1:4" hidden="1" outlineLevel="2">
      <c r="A1607" s="988" t="str">
        <f>'Anlage 2a_Letztverbrauch'!A675</f>
        <v>SNB967982606159</v>
      </c>
      <c r="B1607" s="470">
        <f>+'Anlage 2a_Letztverbrauch'!I675</f>
        <v>579966499.50600004</v>
      </c>
      <c r="C1607" s="391">
        <f>'Anlage 3a_Zusammenfassung_KWKG'!C3356</f>
        <v>0</v>
      </c>
      <c r="D1607" s="989">
        <f t="shared" si="45"/>
        <v>579966499.50600004</v>
      </c>
    </row>
    <row r="1608" spans="1:4" hidden="1" outlineLevel="2">
      <c r="A1608" s="988" t="str">
        <f>'Anlage 2a_Letztverbrauch'!A676</f>
        <v>SNB926480464456</v>
      </c>
      <c r="B1608" s="470">
        <f>+'Anlage 2a_Letztverbrauch'!I676</f>
        <v>32900773</v>
      </c>
      <c r="C1608" s="391">
        <f>'Anlage 3a_Zusammenfassung_KWKG'!C3357</f>
        <v>-62400</v>
      </c>
      <c r="D1608" s="989">
        <f t="shared" si="45"/>
        <v>32838373</v>
      </c>
    </row>
    <row r="1609" spans="1:4" hidden="1" outlineLevel="2">
      <c r="A1609" s="988" t="str">
        <f>'Anlage 2a_Letztverbrauch'!A677</f>
        <v>SNB981984960101</v>
      </c>
      <c r="B1609" s="470">
        <f>+'Anlage 2a_Letztverbrauch'!I677</f>
        <v>358541203</v>
      </c>
      <c r="C1609" s="391">
        <f>'Anlage 3a_Zusammenfassung_KWKG'!C3358</f>
        <v>-2190343</v>
      </c>
      <c r="D1609" s="989">
        <f t="shared" si="45"/>
        <v>356350860</v>
      </c>
    </row>
    <row r="1610" spans="1:4" hidden="1" outlineLevel="2">
      <c r="A1610" s="988" t="str">
        <f>'Anlage 2a_Letztverbrauch'!A678</f>
        <v>SNB965998184692</v>
      </c>
      <c r="B1610" s="470">
        <f>+'Anlage 2a_Letztverbrauch'!I678</f>
        <v>65689521</v>
      </c>
      <c r="C1610" s="391">
        <f>'Anlage 3a_Zusammenfassung_KWKG'!C3359</f>
        <v>0</v>
      </c>
      <c r="D1610" s="989">
        <f t="shared" si="45"/>
        <v>65689521</v>
      </c>
    </row>
    <row r="1611" spans="1:4" hidden="1" outlineLevel="2">
      <c r="A1611" s="988" t="str">
        <f>'Anlage 2a_Letztverbrauch'!A679</f>
        <v>SNB954239007623</v>
      </c>
      <c r="B1611" s="470">
        <f>+'Anlage 2a_Letztverbrauch'!I679</f>
        <v>11330413</v>
      </c>
      <c r="C1611" s="391">
        <f>'Anlage 3a_Zusammenfassung_KWKG'!C3360</f>
        <v>0</v>
      </c>
      <c r="D1611" s="989">
        <f t="shared" si="45"/>
        <v>11330413</v>
      </c>
    </row>
    <row r="1612" spans="1:4" hidden="1" outlineLevel="2">
      <c r="A1612" s="988" t="str">
        <f>'Anlage 2a_Letztverbrauch'!A680</f>
        <v>SNB974739102161</v>
      </c>
      <c r="B1612" s="470">
        <f>+'Anlage 2a_Letztverbrauch'!I680</f>
        <v>71795471</v>
      </c>
      <c r="C1612" s="391">
        <f>'Anlage 3a_Zusammenfassung_KWKG'!C3361</f>
        <v>140789</v>
      </c>
      <c r="D1612" s="989">
        <f t="shared" si="45"/>
        <v>71936260</v>
      </c>
    </row>
    <row r="1613" spans="1:4" hidden="1" outlineLevel="2">
      <c r="A1613" s="988" t="str">
        <f>'Anlage 2a_Letztverbrauch'!A681</f>
        <v>SNB937722627607</v>
      </c>
      <c r="B1613" s="470">
        <f>+'Anlage 2a_Letztverbrauch'!I681</f>
        <v>37875402</v>
      </c>
      <c r="C1613" s="391">
        <f>'Anlage 3a_Zusammenfassung_KWKG'!C3362</f>
        <v>-251952</v>
      </c>
      <c r="D1613" s="989">
        <f t="shared" si="45"/>
        <v>37623450</v>
      </c>
    </row>
    <row r="1614" spans="1:4" hidden="1" outlineLevel="2">
      <c r="A1614" s="988" t="str">
        <f>'Anlage 2a_Letztverbrauch'!A682</f>
        <v>SNB969483935394</v>
      </c>
      <c r="B1614" s="470">
        <f>+'Anlage 2a_Letztverbrauch'!I682</f>
        <v>156187111</v>
      </c>
      <c r="C1614" s="391">
        <f>'Anlage 3a_Zusammenfassung_KWKG'!C3363</f>
        <v>0</v>
      </c>
      <c r="D1614" s="989">
        <f t="shared" si="45"/>
        <v>156187111</v>
      </c>
    </row>
    <row r="1615" spans="1:4" hidden="1" outlineLevel="2">
      <c r="A1615" s="988" t="str">
        <f>'Anlage 2a_Letztverbrauch'!A683</f>
        <v>SNB940297211072</v>
      </c>
      <c r="B1615" s="470">
        <f>+'Anlage 2a_Letztverbrauch'!I683</f>
        <v>59894929</v>
      </c>
      <c r="C1615" s="391">
        <f>'Anlage 3a_Zusammenfassung_KWKG'!C3364</f>
        <v>0</v>
      </c>
      <c r="D1615" s="989">
        <f t="shared" si="45"/>
        <v>59894929</v>
      </c>
    </row>
    <row r="1616" spans="1:4" hidden="1" outlineLevel="2">
      <c r="A1616" s="988" t="str">
        <f>'Anlage 2a_Letztverbrauch'!A684</f>
        <v>SNB976297675927</v>
      </c>
      <c r="B1616" s="470">
        <f>+'Anlage 2a_Letztverbrauch'!I684</f>
        <v>8907613</v>
      </c>
      <c r="C1616" s="391">
        <f>'Anlage 3a_Zusammenfassung_KWKG'!C3365</f>
        <v>0</v>
      </c>
      <c r="D1616" s="989">
        <f t="shared" si="45"/>
        <v>8907613</v>
      </c>
    </row>
    <row r="1617" spans="1:4" hidden="1" outlineLevel="2">
      <c r="A1617" s="988" t="str">
        <f>'Anlage 2a_Letztverbrauch'!A685</f>
        <v>SNB980783618473</v>
      </c>
      <c r="B1617" s="470">
        <f>+'Anlage 2a_Letztverbrauch'!I685</f>
        <v>62665436</v>
      </c>
      <c r="C1617" s="391">
        <f>'Anlage 3a_Zusammenfassung_KWKG'!C3366</f>
        <v>0</v>
      </c>
      <c r="D1617" s="989">
        <f t="shared" si="45"/>
        <v>62665436</v>
      </c>
    </row>
    <row r="1618" spans="1:4" hidden="1" outlineLevel="2">
      <c r="A1618" s="988" t="str">
        <f>'Anlage 2a_Letztverbrauch'!A686</f>
        <v>SNB930329896650</v>
      </c>
      <c r="B1618" s="470">
        <f>+'Anlage 2a_Letztverbrauch'!I686</f>
        <v>5615849</v>
      </c>
      <c r="C1618" s="391">
        <f>'Anlage 3a_Zusammenfassung_KWKG'!C3367</f>
        <v>37450</v>
      </c>
      <c r="D1618" s="989">
        <f t="shared" si="45"/>
        <v>5653299</v>
      </c>
    </row>
    <row r="1619" spans="1:4" hidden="1" outlineLevel="2">
      <c r="A1619" s="988" t="str">
        <f>'Anlage 2a_Letztverbrauch'!A687</f>
        <v>SNB997826747014</v>
      </c>
      <c r="B1619" s="470">
        <f>+'Anlage 2a_Letztverbrauch'!I687</f>
        <v>1571416</v>
      </c>
      <c r="C1619" s="391">
        <f>'Anlage 3a_Zusammenfassung_KWKG'!C3368</f>
        <v>16015</v>
      </c>
      <c r="D1619" s="989">
        <f t="shared" si="45"/>
        <v>1587431</v>
      </c>
    </row>
    <row r="1620" spans="1:4" hidden="1" outlineLevel="2">
      <c r="A1620" s="988" t="str">
        <f>'Anlage 2a_Letztverbrauch'!A688</f>
        <v>SNB983973032059</v>
      </c>
      <c r="B1620" s="470">
        <f>+'Anlage 2a_Letztverbrauch'!I688</f>
        <v>4589495</v>
      </c>
      <c r="C1620" s="391">
        <f>'Anlage 3a_Zusammenfassung_KWKG'!C3369</f>
        <v>0</v>
      </c>
      <c r="D1620" s="989">
        <f t="shared" si="45"/>
        <v>4589495</v>
      </c>
    </row>
    <row r="1621" spans="1:4" hidden="1" outlineLevel="2">
      <c r="A1621" s="988" t="str">
        <f>'Anlage 2a_Letztverbrauch'!A689</f>
        <v>SNB980449174619</v>
      </c>
      <c r="B1621" s="470">
        <f>+'Anlage 2a_Letztverbrauch'!I689</f>
        <v>340726984</v>
      </c>
      <c r="C1621" s="391">
        <f>'Anlage 3a_Zusammenfassung_KWKG'!C3370</f>
        <v>0</v>
      </c>
      <c r="D1621" s="989">
        <f t="shared" si="45"/>
        <v>340726984</v>
      </c>
    </row>
    <row r="1622" spans="1:4" hidden="1" outlineLevel="2">
      <c r="A1622" s="988" t="str">
        <f>'Anlage 2a_Letztverbrauch'!A690</f>
        <v>SNB970340354654</v>
      </c>
      <c r="B1622" s="470">
        <f>+'Anlage 2a_Letztverbrauch'!I690</f>
        <v>0</v>
      </c>
      <c r="C1622" s="391">
        <f>'Anlage 3a_Zusammenfassung_KWKG'!C3371</f>
        <v>0</v>
      </c>
      <c r="D1622" s="989">
        <f t="shared" si="45"/>
        <v>0</v>
      </c>
    </row>
    <row r="1623" spans="1:4" hidden="1" outlineLevel="2">
      <c r="A1623" s="988" t="str">
        <f>'Anlage 2a_Letztverbrauch'!A691</f>
        <v>SNB980345455409</v>
      </c>
      <c r="B1623" s="470">
        <f>+'Anlage 2a_Letztverbrauch'!I691</f>
        <v>43037749</v>
      </c>
      <c r="C1623" s="391">
        <f>'Anlage 3a_Zusammenfassung_KWKG'!C3372</f>
        <v>0</v>
      </c>
      <c r="D1623" s="989">
        <f t="shared" ref="D1623:D1686" si="46">SUM(B1623:C1623)</f>
        <v>43037749</v>
      </c>
    </row>
    <row r="1624" spans="1:4" hidden="1" outlineLevel="2">
      <c r="A1624" s="988" t="str">
        <f>'Anlage 2a_Letztverbrauch'!A692</f>
        <v>SNB931610892481</v>
      </c>
      <c r="B1624" s="470">
        <f>+'Anlage 2a_Letztverbrauch'!I692</f>
        <v>28421915.800000001</v>
      </c>
      <c r="C1624" s="391">
        <f>'Anlage 3a_Zusammenfassung_KWKG'!C3373</f>
        <v>21349.1</v>
      </c>
      <c r="D1624" s="989">
        <f t="shared" si="46"/>
        <v>28443264.900000002</v>
      </c>
    </row>
    <row r="1625" spans="1:4" hidden="1" outlineLevel="2">
      <c r="A1625" s="988" t="str">
        <f>'Anlage 2a_Letztverbrauch'!A693</f>
        <v>SNB990522725676</v>
      </c>
      <c r="B1625" s="470">
        <f>+'Anlage 2a_Letztverbrauch'!I693</f>
        <v>97745222</v>
      </c>
      <c r="C1625" s="391">
        <f>'Anlage 3a_Zusammenfassung_KWKG'!C3374</f>
        <v>-90060</v>
      </c>
      <c r="D1625" s="989">
        <f t="shared" si="46"/>
        <v>97655162</v>
      </c>
    </row>
    <row r="1626" spans="1:4" hidden="1" outlineLevel="2">
      <c r="A1626" s="988" t="str">
        <f>'Anlage 2a_Letztverbrauch'!A694</f>
        <v>SNB930558787330</v>
      </c>
      <c r="B1626" s="470">
        <f>+'Anlage 2a_Letztverbrauch'!I694</f>
        <v>10549397</v>
      </c>
      <c r="C1626" s="391">
        <f>'Anlage 3a_Zusammenfassung_KWKG'!C3375</f>
        <v>0</v>
      </c>
      <c r="D1626" s="989">
        <f t="shared" si="46"/>
        <v>10549397</v>
      </c>
    </row>
    <row r="1627" spans="1:4" hidden="1" outlineLevel="2">
      <c r="A1627" s="988" t="str">
        <f>'Anlage 2a_Letztverbrauch'!A695</f>
        <v>SNB981336194529</v>
      </c>
      <c r="B1627" s="470">
        <f>+'Anlage 2a_Letztverbrauch'!I695</f>
        <v>6136466</v>
      </c>
      <c r="C1627" s="391">
        <f>'Anlage 3a_Zusammenfassung_KWKG'!C3376</f>
        <v>0</v>
      </c>
      <c r="D1627" s="989">
        <f t="shared" si="46"/>
        <v>6136466</v>
      </c>
    </row>
    <row r="1628" spans="1:4" hidden="1" outlineLevel="2">
      <c r="A1628" s="988" t="str">
        <f>'Anlage 2a_Letztverbrauch'!A696</f>
        <v>SNB926937565941</v>
      </c>
      <c r="B1628" s="470">
        <f>+'Anlage 2a_Letztverbrauch'!I696</f>
        <v>109296302</v>
      </c>
      <c r="C1628" s="391">
        <f>'Anlage 3a_Zusammenfassung_KWKG'!C3377</f>
        <v>0</v>
      </c>
      <c r="D1628" s="989">
        <f t="shared" si="46"/>
        <v>109296302</v>
      </c>
    </row>
    <row r="1629" spans="1:4" hidden="1" outlineLevel="2">
      <c r="A1629" s="988" t="str">
        <f>'Anlage 2a_Letztverbrauch'!A697</f>
        <v>SNB917454122557</v>
      </c>
      <c r="B1629" s="470">
        <f>+'Anlage 2a_Letztverbrauch'!I697</f>
        <v>131145954</v>
      </c>
      <c r="C1629" s="391">
        <f>'Anlage 3a_Zusammenfassung_KWKG'!C3378</f>
        <v>-8538</v>
      </c>
      <c r="D1629" s="989">
        <f t="shared" si="46"/>
        <v>131137416</v>
      </c>
    </row>
    <row r="1630" spans="1:4" hidden="1" outlineLevel="2">
      <c r="A1630" s="988" t="str">
        <f>'Anlage 2a_Letztverbrauch'!A698</f>
        <v>SNB928340368768</v>
      </c>
      <c r="B1630" s="470">
        <f>+'Anlage 2a_Letztverbrauch'!I698</f>
        <v>50122504</v>
      </c>
      <c r="C1630" s="391">
        <f>'Anlage 3a_Zusammenfassung_KWKG'!C3379</f>
        <v>0</v>
      </c>
      <c r="D1630" s="989">
        <f t="shared" si="46"/>
        <v>50122504</v>
      </c>
    </row>
    <row r="1631" spans="1:4" hidden="1" outlineLevel="2">
      <c r="A1631" s="988" t="str">
        <f>'Anlage 2a_Letztverbrauch'!A699</f>
        <v>SNB963282434775</v>
      </c>
      <c r="B1631" s="470">
        <f>+'Anlage 2a_Letztverbrauch'!I699</f>
        <v>8042640</v>
      </c>
      <c r="C1631" s="391">
        <f>'Anlage 3a_Zusammenfassung_KWKG'!C3380</f>
        <v>0</v>
      </c>
      <c r="D1631" s="989">
        <f t="shared" si="46"/>
        <v>8042640</v>
      </c>
    </row>
    <row r="1632" spans="1:4" hidden="1" outlineLevel="2">
      <c r="A1632" s="988" t="str">
        <f>'Anlage 2a_Letztverbrauch'!A700</f>
        <v>SNB974053451990</v>
      </c>
      <c r="B1632" s="470">
        <f>+'Anlage 2a_Letztverbrauch'!I700</f>
        <v>10004766</v>
      </c>
      <c r="C1632" s="391">
        <f>'Anlage 3a_Zusammenfassung_KWKG'!C3381</f>
        <v>0</v>
      </c>
      <c r="D1632" s="989">
        <f t="shared" si="46"/>
        <v>10004766</v>
      </c>
    </row>
    <row r="1633" spans="1:4" hidden="1" outlineLevel="2">
      <c r="A1633" s="988" t="str">
        <f>'Anlage 2a_Letztverbrauch'!A701</f>
        <v>SNB911081401368</v>
      </c>
      <c r="B1633" s="470">
        <f>+'Anlage 2a_Letztverbrauch'!I701</f>
        <v>53134088</v>
      </c>
      <c r="C1633" s="391">
        <f>'Anlage 3a_Zusammenfassung_KWKG'!C3382</f>
        <v>0</v>
      </c>
      <c r="D1633" s="989">
        <f t="shared" si="46"/>
        <v>53134088</v>
      </c>
    </row>
    <row r="1634" spans="1:4" hidden="1" outlineLevel="2">
      <c r="A1634" s="988" t="str">
        <f>'Anlage 2a_Letztverbrauch'!A702</f>
        <v>SNB921471558077</v>
      </c>
      <c r="B1634" s="470">
        <f>+'Anlage 2a_Letztverbrauch'!I702</f>
        <v>32729201</v>
      </c>
      <c r="C1634" s="391">
        <f>'Anlage 3a_Zusammenfassung_KWKG'!C3383</f>
        <v>0</v>
      </c>
      <c r="D1634" s="989">
        <f t="shared" si="46"/>
        <v>32729201</v>
      </c>
    </row>
    <row r="1635" spans="1:4" hidden="1" outlineLevel="2">
      <c r="A1635" s="988" t="str">
        <f>'Anlage 2a_Letztverbrauch'!A703</f>
        <v>SNB950336540445</v>
      </c>
      <c r="B1635" s="470">
        <f>+'Anlage 2a_Letztverbrauch'!I703</f>
        <v>100931887</v>
      </c>
      <c r="C1635" s="391">
        <f>'Anlage 3a_Zusammenfassung_KWKG'!C3384</f>
        <v>173367</v>
      </c>
      <c r="D1635" s="989">
        <f t="shared" si="46"/>
        <v>101105254</v>
      </c>
    </row>
    <row r="1636" spans="1:4" hidden="1" outlineLevel="2">
      <c r="A1636" s="988" t="str">
        <f>'Anlage 2a_Letztverbrauch'!A704</f>
        <v>SNB924535591034</v>
      </c>
      <c r="B1636" s="470">
        <f>+'Anlage 2a_Letztverbrauch'!I704</f>
        <v>3146062</v>
      </c>
      <c r="C1636" s="391">
        <f>'Anlage 3a_Zusammenfassung_KWKG'!C3385</f>
        <v>0</v>
      </c>
      <c r="D1636" s="989">
        <f t="shared" si="46"/>
        <v>3146062</v>
      </c>
    </row>
    <row r="1637" spans="1:4" hidden="1" outlineLevel="2">
      <c r="A1637" s="988" t="str">
        <f>'Anlage 2a_Letztverbrauch'!A705</f>
        <v>SNB925831583235</v>
      </c>
      <c r="B1637" s="470">
        <f>+'Anlage 2a_Letztverbrauch'!I705</f>
        <v>2897163</v>
      </c>
      <c r="C1637" s="391">
        <f>'Anlage 3a_Zusammenfassung_KWKG'!C3386</f>
        <v>0</v>
      </c>
      <c r="D1637" s="989">
        <f t="shared" si="46"/>
        <v>2897163</v>
      </c>
    </row>
    <row r="1638" spans="1:4" hidden="1" outlineLevel="2">
      <c r="A1638" s="988" t="str">
        <f>'Anlage 2a_Letztverbrauch'!A706</f>
        <v>SNB929185184919</v>
      </c>
      <c r="B1638" s="470">
        <f>+'Anlage 2a_Letztverbrauch'!I706</f>
        <v>372994862</v>
      </c>
      <c r="C1638" s="391">
        <f>'Anlage 3a_Zusammenfassung_KWKG'!C3387</f>
        <v>4887931</v>
      </c>
      <c r="D1638" s="989">
        <f t="shared" si="46"/>
        <v>377882793</v>
      </c>
    </row>
    <row r="1639" spans="1:4" hidden="1" outlineLevel="2">
      <c r="A1639" s="988" t="str">
        <f>'Anlage 2a_Letztverbrauch'!A707</f>
        <v>SNB901665585874</v>
      </c>
      <c r="B1639" s="470">
        <f>+'Anlage 2a_Letztverbrauch'!I707</f>
        <v>189240292.34</v>
      </c>
      <c r="C1639" s="391">
        <f>'Anlage 3a_Zusammenfassung_KWKG'!C3388</f>
        <v>1442797.16</v>
      </c>
      <c r="D1639" s="989">
        <f t="shared" si="46"/>
        <v>190683089.5</v>
      </c>
    </row>
    <row r="1640" spans="1:4" hidden="1" outlineLevel="2">
      <c r="A1640" s="988" t="str">
        <f>'Anlage 2a_Letztverbrauch'!A708</f>
        <v>SNB932489723517</v>
      </c>
      <c r="B1640" s="470">
        <f>+'Anlage 2a_Letztverbrauch'!I708</f>
        <v>6755606</v>
      </c>
      <c r="C1640" s="391">
        <f>'Anlage 3a_Zusammenfassung_KWKG'!C3389</f>
        <v>0</v>
      </c>
      <c r="D1640" s="989">
        <f t="shared" si="46"/>
        <v>6755606</v>
      </c>
    </row>
    <row r="1641" spans="1:4" hidden="1" outlineLevel="2">
      <c r="A1641" s="988" t="str">
        <f>'Anlage 2a_Letztverbrauch'!A709</f>
        <v>SNB981887803796</v>
      </c>
      <c r="B1641" s="470">
        <f>+'Anlage 2a_Letztverbrauch'!I709</f>
        <v>4904235</v>
      </c>
      <c r="C1641" s="391">
        <f>'Anlage 3a_Zusammenfassung_KWKG'!C3390</f>
        <v>0</v>
      </c>
      <c r="D1641" s="989">
        <f t="shared" si="46"/>
        <v>4904235</v>
      </c>
    </row>
    <row r="1642" spans="1:4" hidden="1" outlineLevel="2">
      <c r="A1642" s="988" t="str">
        <f>'Anlage 2a_Letztverbrauch'!A710</f>
        <v>SNB947727983103</v>
      </c>
      <c r="B1642" s="470">
        <f>+'Anlage 2a_Letztverbrauch'!I710</f>
        <v>9685461</v>
      </c>
      <c r="C1642" s="391">
        <f>'Anlage 3a_Zusammenfassung_KWKG'!C3391</f>
        <v>0</v>
      </c>
      <c r="D1642" s="989">
        <f t="shared" si="46"/>
        <v>9685461</v>
      </c>
    </row>
    <row r="1643" spans="1:4" hidden="1" outlineLevel="2">
      <c r="A1643" s="988" t="str">
        <f>'Anlage 2a_Letztverbrauch'!A711</f>
        <v>SNB987171059405</v>
      </c>
      <c r="B1643" s="470">
        <f>+'Anlage 2a_Letztverbrauch'!I711</f>
        <v>8908500.5600000005</v>
      </c>
      <c r="C1643" s="391">
        <f>'Anlage 3a_Zusammenfassung_KWKG'!C3392</f>
        <v>-8751</v>
      </c>
      <c r="D1643" s="989">
        <f t="shared" si="46"/>
        <v>8899749.5600000005</v>
      </c>
    </row>
    <row r="1644" spans="1:4" hidden="1" outlineLevel="2">
      <c r="A1644" s="988" t="str">
        <f>'Anlage 2a_Letztverbrauch'!A712</f>
        <v>SNB946373984786</v>
      </c>
      <c r="B1644" s="470">
        <f>+'Anlage 2a_Letztverbrauch'!I712</f>
        <v>28397616</v>
      </c>
      <c r="C1644" s="391">
        <f>'Anlage 3a_Zusammenfassung_KWKG'!C3393</f>
        <v>4111375</v>
      </c>
      <c r="D1644" s="989">
        <f t="shared" si="46"/>
        <v>32508991</v>
      </c>
    </row>
    <row r="1645" spans="1:4" hidden="1" outlineLevel="2">
      <c r="A1645" s="988" t="str">
        <f>'Anlage 2a_Letztverbrauch'!A713</f>
        <v>SNB917783023525</v>
      </c>
      <c r="B1645" s="470">
        <f>+'Anlage 2a_Letztverbrauch'!I713</f>
        <v>14066802.689999999</v>
      </c>
      <c r="C1645" s="391">
        <f>'Anlage 3a_Zusammenfassung_KWKG'!C3394</f>
        <v>0</v>
      </c>
      <c r="D1645" s="989">
        <f t="shared" si="46"/>
        <v>14066802.689999999</v>
      </c>
    </row>
    <row r="1646" spans="1:4" hidden="1" outlineLevel="2">
      <c r="A1646" s="988" t="str">
        <f>'Anlage 2a_Letztverbrauch'!A714</f>
        <v>SNB937094451244</v>
      </c>
      <c r="B1646" s="470">
        <f>+'Anlage 2a_Letztverbrauch'!I714</f>
        <v>47843494</v>
      </c>
      <c r="C1646" s="391">
        <f>'Anlage 3a_Zusammenfassung_KWKG'!C3395</f>
        <v>0</v>
      </c>
      <c r="D1646" s="989">
        <f t="shared" si="46"/>
        <v>47843494</v>
      </c>
    </row>
    <row r="1647" spans="1:4" hidden="1" outlineLevel="2">
      <c r="A1647" s="988" t="str">
        <f>'Anlage 2a_Letztverbrauch'!A715</f>
        <v>SNB988980270319</v>
      </c>
      <c r="B1647" s="470">
        <f>+'Anlage 2a_Letztverbrauch'!I715</f>
        <v>126920113</v>
      </c>
      <c r="C1647" s="391">
        <f>'Anlage 3a_Zusammenfassung_KWKG'!C3396</f>
        <v>-572073</v>
      </c>
      <c r="D1647" s="989">
        <f t="shared" si="46"/>
        <v>126348040</v>
      </c>
    </row>
    <row r="1648" spans="1:4" hidden="1" outlineLevel="2">
      <c r="A1648" s="988" t="str">
        <f>'Anlage 2a_Letztverbrauch'!A716</f>
        <v>SNB916027833432</v>
      </c>
      <c r="B1648" s="470">
        <f>+'Anlage 2a_Letztverbrauch'!I716</f>
        <v>3566833</v>
      </c>
      <c r="C1648" s="391">
        <f>'Anlage 3a_Zusammenfassung_KWKG'!C3397</f>
        <v>0</v>
      </c>
      <c r="D1648" s="989">
        <f t="shared" si="46"/>
        <v>3566833</v>
      </c>
    </row>
    <row r="1649" spans="1:4" hidden="1" outlineLevel="2">
      <c r="A1649" s="988" t="str">
        <f>'Anlage 2a_Letztverbrauch'!A717</f>
        <v>SNB945187645647</v>
      </c>
      <c r="B1649" s="470">
        <f>+'Anlage 2a_Letztverbrauch'!I717</f>
        <v>7537740</v>
      </c>
      <c r="C1649" s="391">
        <f>'Anlage 3a_Zusammenfassung_KWKG'!C3398</f>
        <v>0</v>
      </c>
      <c r="D1649" s="989">
        <f t="shared" si="46"/>
        <v>7537740</v>
      </c>
    </row>
    <row r="1650" spans="1:4" hidden="1" outlineLevel="2">
      <c r="A1650" s="988" t="str">
        <f>'Anlage 2a_Letztverbrauch'!A718</f>
        <v>SNB911692402044</v>
      </c>
      <c r="B1650" s="470">
        <f>+'Anlage 2a_Letztverbrauch'!I718</f>
        <v>96964762.349999994</v>
      </c>
      <c r="C1650" s="391">
        <f>'Anlage 3a_Zusammenfassung_KWKG'!C3399</f>
        <v>0</v>
      </c>
      <c r="D1650" s="989">
        <f t="shared" si="46"/>
        <v>96964762.349999994</v>
      </c>
    </row>
    <row r="1651" spans="1:4" hidden="1" outlineLevel="2">
      <c r="A1651" s="988" t="str">
        <f>'Anlage 2a_Letztverbrauch'!A719</f>
        <v>SNB985498109605</v>
      </c>
      <c r="B1651" s="470">
        <f>+'Anlage 2a_Letztverbrauch'!I719</f>
        <v>2759715</v>
      </c>
      <c r="C1651" s="391">
        <f>'Anlage 3a_Zusammenfassung_KWKG'!C3400</f>
        <v>-96992</v>
      </c>
      <c r="D1651" s="989">
        <f t="shared" si="46"/>
        <v>2662723</v>
      </c>
    </row>
    <row r="1652" spans="1:4" hidden="1" outlineLevel="2">
      <c r="A1652" s="988" t="str">
        <f>'Anlage 2a_Letztverbrauch'!A720</f>
        <v>SNB937858140285</v>
      </c>
      <c r="B1652" s="470">
        <f>+'Anlage 2a_Letztverbrauch'!I720</f>
        <v>256654635</v>
      </c>
      <c r="C1652" s="391">
        <f>'Anlage 3a_Zusammenfassung_KWKG'!C3401</f>
        <v>9594417</v>
      </c>
      <c r="D1652" s="989">
        <f t="shared" si="46"/>
        <v>266249052</v>
      </c>
    </row>
    <row r="1653" spans="1:4" hidden="1" outlineLevel="2">
      <c r="A1653" s="988" t="str">
        <f>'Anlage 2a_Letztverbrauch'!A721</f>
        <v>SNB934071779865</v>
      </c>
      <c r="B1653" s="470">
        <f>+'Anlage 2a_Letztverbrauch'!I721</f>
        <v>897031446</v>
      </c>
      <c r="C1653" s="391">
        <f>'Anlage 3a_Zusammenfassung_KWKG'!C3402</f>
        <v>0</v>
      </c>
      <c r="D1653" s="989">
        <f t="shared" si="46"/>
        <v>897031446</v>
      </c>
    </row>
    <row r="1654" spans="1:4" hidden="1" outlineLevel="2">
      <c r="A1654" s="988" t="str">
        <f>'Anlage 2a_Letztverbrauch'!A722</f>
        <v>SNB980126228475</v>
      </c>
      <c r="B1654" s="470">
        <f>+'Anlage 2a_Letztverbrauch'!I722</f>
        <v>3678811</v>
      </c>
      <c r="C1654" s="391">
        <f>'Anlage 3a_Zusammenfassung_KWKG'!C3403</f>
        <v>0</v>
      </c>
      <c r="D1654" s="989">
        <f t="shared" si="46"/>
        <v>3678811</v>
      </c>
    </row>
    <row r="1655" spans="1:4" hidden="1" outlineLevel="2">
      <c r="A1655" s="988" t="str">
        <f>'Anlage 2a_Letztverbrauch'!A723</f>
        <v>SNB967186419241</v>
      </c>
      <c r="B1655" s="470">
        <f>+'Anlage 2a_Letztverbrauch'!I723</f>
        <v>28742898</v>
      </c>
      <c r="C1655" s="391">
        <f>'Anlage 3a_Zusammenfassung_KWKG'!C3404</f>
        <v>0</v>
      </c>
      <c r="D1655" s="989">
        <f t="shared" si="46"/>
        <v>28742898</v>
      </c>
    </row>
    <row r="1656" spans="1:4" hidden="1" outlineLevel="2">
      <c r="A1656" s="988" t="str">
        <f>'Anlage 2a_Letztverbrauch'!A724</f>
        <v>SNB915316807789</v>
      </c>
      <c r="B1656" s="470">
        <f>+'Anlage 2a_Letztverbrauch'!I724</f>
        <v>753741678</v>
      </c>
      <c r="C1656" s="391">
        <f>'Anlage 3a_Zusammenfassung_KWKG'!C3405</f>
        <v>15467602</v>
      </c>
      <c r="D1656" s="989">
        <f t="shared" si="46"/>
        <v>769209280</v>
      </c>
    </row>
    <row r="1657" spans="1:4" hidden="1" outlineLevel="2">
      <c r="A1657" s="988" t="str">
        <f>'Anlage 2a_Letztverbrauch'!A725</f>
        <v>SNB960098459084</v>
      </c>
      <c r="B1657" s="470">
        <f>+'Anlage 2a_Letztverbrauch'!I725</f>
        <v>2898827</v>
      </c>
      <c r="C1657" s="391">
        <f>'Anlage 3a_Zusammenfassung_KWKG'!C3406</f>
        <v>0</v>
      </c>
      <c r="D1657" s="989">
        <f t="shared" si="46"/>
        <v>2898827</v>
      </c>
    </row>
    <row r="1658" spans="1:4" hidden="1" outlineLevel="2">
      <c r="A1658" s="988" t="str">
        <f>'Anlage 2a_Letztverbrauch'!A726</f>
        <v>SNB931064958931</v>
      </c>
      <c r="B1658" s="470">
        <f>+'Anlage 2a_Letztverbrauch'!I726</f>
        <v>172955007</v>
      </c>
      <c r="C1658" s="391">
        <f>'Anlage 3a_Zusammenfassung_KWKG'!C3407</f>
        <v>0</v>
      </c>
      <c r="D1658" s="989">
        <f t="shared" si="46"/>
        <v>172955007</v>
      </c>
    </row>
    <row r="1659" spans="1:4" hidden="1" outlineLevel="2">
      <c r="A1659" s="988" t="str">
        <f>'Anlage 2a_Letztverbrauch'!A727</f>
        <v>SNB962011640685</v>
      </c>
      <c r="B1659" s="470">
        <f>+'Anlage 2a_Letztverbrauch'!I727</f>
        <v>70483115</v>
      </c>
      <c r="C1659" s="391">
        <f>'Anlage 3a_Zusammenfassung_KWKG'!C3408</f>
        <v>-2925829</v>
      </c>
      <c r="D1659" s="989">
        <f t="shared" si="46"/>
        <v>67557286</v>
      </c>
    </row>
    <row r="1660" spans="1:4" hidden="1" outlineLevel="2">
      <c r="A1660" s="988" t="str">
        <f>'Anlage 2a_Letztverbrauch'!A728</f>
        <v>SNB913085272050</v>
      </c>
      <c r="B1660" s="470">
        <f>+'Anlage 2a_Letztverbrauch'!I728</f>
        <v>2261882</v>
      </c>
      <c r="C1660" s="391">
        <f>'Anlage 3a_Zusammenfassung_KWKG'!C3409</f>
        <v>0</v>
      </c>
      <c r="D1660" s="989">
        <f t="shared" si="46"/>
        <v>2261882</v>
      </c>
    </row>
    <row r="1661" spans="1:4" hidden="1" outlineLevel="2">
      <c r="A1661" s="988" t="str">
        <f>'Anlage 2a_Letztverbrauch'!A729</f>
        <v>SNB969534177940</v>
      </c>
      <c r="B1661" s="470">
        <f>+'Anlage 2a_Letztverbrauch'!I729</f>
        <v>1248122432</v>
      </c>
      <c r="C1661" s="391">
        <f>'Anlage 3a_Zusammenfassung_KWKG'!C3410</f>
        <v>0</v>
      </c>
      <c r="D1661" s="989">
        <f t="shared" si="46"/>
        <v>1248122432</v>
      </c>
    </row>
    <row r="1662" spans="1:4" hidden="1" outlineLevel="2">
      <c r="A1662" s="988" t="str">
        <f>'Anlage 2a_Letztverbrauch'!A730</f>
        <v>SNB951051725711</v>
      </c>
      <c r="B1662" s="470">
        <f>+'Anlage 2a_Letztverbrauch'!I730</f>
        <v>7598354682</v>
      </c>
      <c r="C1662" s="391">
        <f>'Anlage 3a_Zusammenfassung_KWKG'!C3411</f>
        <v>56197439</v>
      </c>
      <c r="D1662" s="989">
        <f t="shared" si="46"/>
        <v>7654552121</v>
      </c>
    </row>
    <row r="1663" spans="1:4" hidden="1" outlineLevel="2">
      <c r="A1663" s="988" t="str">
        <f>'Anlage 2a_Letztverbrauch'!A731</f>
        <v>SNB944419421783</v>
      </c>
      <c r="B1663" s="470">
        <f>+'Anlage 2a_Letztverbrauch'!I731</f>
        <v>24166538</v>
      </c>
      <c r="C1663" s="391">
        <f>'Anlage 3a_Zusammenfassung_KWKG'!C3412</f>
        <v>0</v>
      </c>
      <c r="D1663" s="989">
        <f t="shared" si="46"/>
        <v>24166538</v>
      </c>
    </row>
    <row r="1664" spans="1:4" hidden="1" outlineLevel="2">
      <c r="A1664" s="988" t="str">
        <f>'Anlage 2a_Letztverbrauch'!A732</f>
        <v>SNB940352624434</v>
      </c>
      <c r="B1664" s="470">
        <f>+'Anlage 2a_Letztverbrauch'!I732</f>
        <v>16482824922</v>
      </c>
      <c r="C1664" s="391">
        <f>'Anlage 3a_Zusammenfassung_KWKG'!C3413</f>
        <v>-26343875</v>
      </c>
      <c r="D1664" s="989">
        <f t="shared" si="46"/>
        <v>16456481047</v>
      </c>
    </row>
    <row r="1665" spans="1:4" hidden="1" outlineLevel="2">
      <c r="A1665" s="988" t="str">
        <f>'Anlage 2a_Letztverbrauch'!A733</f>
        <v>SNB919861978666</v>
      </c>
      <c r="B1665" s="470">
        <f>+'Anlage 2a_Letztverbrauch'!I733</f>
        <v>3642888520</v>
      </c>
      <c r="C1665" s="391">
        <f>'Anlage 3a_Zusammenfassung_KWKG'!C3414</f>
        <v>-17156259</v>
      </c>
      <c r="D1665" s="989">
        <f t="shared" si="46"/>
        <v>3625732261</v>
      </c>
    </row>
    <row r="1666" spans="1:4" hidden="1" outlineLevel="2">
      <c r="A1666" s="988" t="str">
        <f>'Anlage 2a_Letztverbrauch'!A734</f>
        <v>SNB984607096621</v>
      </c>
      <c r="B1666" s="470">
        <f>+'Anlage 2a_Letztverbrauch'!I734</f>
        <v>616675090</v>
      </c>
      <c r="C1666" s="391">
        <f>'Anlage 3a_Zusammenfassung_KWKG'!C3415</f>
        <v>6463054</v>
      </c>
      <c r="D1666" s="989">
        <f t="shared" si="46"/>
        <v>623138144</v>
      </c>
    </row>
    <row r="1667" spans="1:4" hidden="1" outlineLevel="2">
      <c r="A1667" s="988" t="str">
        <f>'Anlage 2a_Letztverbrauch'!A735</f>
        <v>SNB919526009605</v>
      </c>
      <c r="B1667" s="470">
        <f>+'Anlage 2a_Letztverbrauch'!I735</f>
        <v>204905293</v>
      </c>
      <c r="C1667" s="391">
        <f>'Anlage 3a_Zusammenfassung_KWKG'!C3416</f>
        <v>0</v>
      </c>
      <c r="D1667" s="989">
        <f t="shared" si="46"/>
        <v>204905293</v>
      </c>
    </row>
    <row r="1668" spans="1:4" hidden="1" outlineLevel="2">
      <c r="A1668" s="988" t="str">
        <f>'Anlage 2a_Letztverbrauch'!A736</f>
        <v>SNB929881052512</v>
      </c>
      <c r="B1668" s="470">
        <f>+'Anlage 2a_Letztverbrauch'!I736</f>
        <v>3771816165.5500002</v>
      </c>
      <c r="C1668" s="391">
        <f>'Anlage 3a_Zusammenfassung_KWKG'!C3417</f>
        <v>-29993220</v>
      </c>
      <c r="D1668" s="989">
        <f t="shared" si="46"/>
        <v>3741822945.5500002</v>
      </c>
    </row>
    <row r="1669" spans="1:4" hidden="1" outlineLevel="2">
      <c r="A1669" s="988" t="str">
        <f>'Anlage 2a_Letztverbrauch'!A737</f>
        <v>SNB949369515353</v>
      </c>
      <c r="B1669" s="470">
        <f>+'Anlage 2a_Letztverbrauch'!I737</f>
        <v>70055682</v>
      </c>
      <c r="C1669" s="391">
        <f>'Anlage 3a_Zusammenfassung_KWKG'!C3418</f>
        <v>0</v>
      </c>
      <c r="D1669" s="989">
        <f t="shared" si="46"/>
        <v>70055682</v>
      </c>
    </row>
    <row r="1670" spans="1:4" hidden="1" outlineLevel="2">
      <c r="A1670" s="988" t="str">
        <f>'Anlage 2a_Letztverbrauch'!A738</f>
        <v>SNB973875583315</v>
      </c>
      <c r="B1670" s="470">
        <f>+'Anlage 2a_Letztverbrauch'!I738</f>
        <v>4170210979</v>
      </c>
      <c r="C1670" s="391">
        <f>'Anlage 3a_Zusammenfassung_KWKG'!C3419</f>
        <v>0</v>
      </c>
      <c r="D1670" s="989">
        <f t="shared" si="46"/>
        <v>4170210979</v>
      </c>
    </row>
    <row r="1671" spans="1:4" hidden="1" outlineLevel="2">
      <c r="A1671" s="988" t="str">
        <f>'Anlage 2a_Letztverbrauch'!A739</f>
        <v>SNB990362338043</v>
      </c>
      <c r="B1671" s="470">
        <f>+'Anlage 2a_Letztverbrauch'!I739</f>
        <v>4784898401.6529999</v>
      </c>
      <c r="C1671" s="391">
        <f>'Anlage 3a_Zusammenfassung_KWKG'!C3420</f>
        <v>-14732235.064999999</v>
      </c>
      <c r="D1671" s="989">
        <f t="shared" si="46"/>
        <v>4770166166.5880003</v>
      </c>
    </row>
    <row r="1672" spans="1:4" hidden="1" outlineLevel="2">
      <c r="A1672" s="988" t="str">
        <f>'Anlage 2a_Letztverbrauch'!A740</f>
        <v>SNB971311555230</v>
      </c>
      <c r="B1672" s="470">
        <f>+'Anlage 2a_Letztverbrauch'!I740</f>
        <v>3746722480</v>
      </c>
      <c r="C1672" s="391">
        <f>'Anlage 3a_Zusammenfassung_KWKG'!C3421</f>
        <v>4589267</v>
      </c>
      <c r="D1672" s="989">
        <f t="shared" si="46"/>
        <v>3751311747</v>
      </c>
    </row>
    <row r="1673" spans="1:4" hidden="1" outlineLevel="2">
      <c r="A1673" s="988" t="str">
        <f>'Anlage 2a_Letztverbrauch'!A741</f>
        <v>SNB922722422505</v>
      </c>
      <c r="B1673" s="470">
        <f>+'Anlage 2a_Letztverbrauch'!I741</f>
        <v>11447776</v>
      </c>
      <c r="C1673" s="391">
        <f>'Anlage 3a_Zusammenfassung_KWKG'!C3422</f>
        <v>0</v>
      </c>
      <c r="D1673" s="989">
        <f t="shared" si="46"/>
        <v>11447776</v>
      </c>
    </row>
    <row r="1674" spans="1:4" hidden="1" outlineLevel="2">
      <c r="A1674" s="988" t="str">
        <f>'Anlage 2a_Letztverbrauch'!A742</f>
        <v>SNB928184287881</v>
      </c>
      <c r="B1674" s="470">
        <f>+'Anlage 2a_Letztverbrauch'!I742</f>
        <v>3708408</v>
      </c>
      <c r="C1674" s="391">
        <f>'Anlage 3a_Zusammenfassung_KWKG'!C3423</f>
        <v>0</v>
      </c>
      <c r="D1674" s="989">
        <f t="shared" si="46"/>
        <v>3708408</v>
      </c>
    </row>
    <row r="1675" spans="1:4" hidden="1" outlineLevel="2">
      <c r="A1675" s="988" t="str">
        <f>'Anlage 2a_Letztverbrauch'!A743</f>
        <v>SNB952566530197</v>
      </c>
      <c r="B1675" s="470">
        <f>+'Anlage 2a_Letztverbrauch'!I743</f>
        <v>6665779</v>
      </c>
      <c r="C1675" s="391">
        <f>'Anlage 3a_Zusammenfassung_KWKG'!C3424</f>
        <v>0</v>
      </c>
      <c r="D1675" s="989">
        <f t="shared" si="46"/>
        <v>6665779</v>
      </c>
    </row>
    <row r="1676" spans="1:4" hidden="1" outlineLevel="2">
      <c r="A1676" s="988" t="str">
        <f>'Anlage 2a_Letztverbrauch'!A744</f>
        <v>SNB958060904298</v>
      </c>
      <c r="B1676" s="470">
        <f>+'Anlage 2a_Letztverbrauch'!I744</f>
        <v>398738</v>
      </c>
      <c r="C1676" s="391">
        <f>'Anlage 3a_Zusammenfassung_KWKG'!C3425</f>
        <v>0</v>
      </c>
      <c r="D1676" s="989">
        <f t="shared" si="46"/>
        <v>398738</v>
      </c>
    </row>
    <row r="1677" spans="1:4" hidden="1" outlineLevel="2">
      <c r="A1677" s="988" t="str">
        <f>'Anlage 2a_Letztverbrauch'!A745</f>
        <v>SNB986580518855</v>
      </c>
      <c r="B1677" s="470">
        <f>+'Anlage 2a_Letztverbrauch'!I745</f>
        <v>118240727</v>
      </c>
      <c r="C1677" s="391">
        <f>'Anlage 3a_Zusammenfassung_KWKG'!C3426</f>
        <v>-2319310.63</v>
      </c>
      <c r="D1677" s="989">
        <f t="shared" si="46"/>
        <v>115921416.37</v>
      </c>
    </row>
    <row r="1678" spans="1:4" hidden="1" outlineLevel="2">
      <c r="A1678" s="988" t="str">
        <f>'Anlage 2a_Letztverbrauch'!A746</f>
        <v>SNB994111700501</v>
      </c>
      <c r="B1678" s="470">
        <f>+'Anlage 2a_Letztverbrauch'!I746</f>
        <v>89417686</v>
      </c>
      <c r="C1678" s="391">
        <f>'Anlage 3a_Zusammenfassung_KWKG'!C3427</f>
        <v>-372908</v>
      </c>
      <c r="D1678" s="989">
        <f t="shared" si="46"/>
        <v>89044778</v>
      </c>
    </row>
    <row r="1679" spans="1:4" hidden="1" outlineLevel="2">
      <c r="A1679" s="988" t="str">
        <f>'Anlage 2a_Letztverbrauch'!A747</f>
        <v>SNB929575518928</v>
      </c>
      <c r="B1679" s="470">
        <f>+'Anlage 2a_Letztverbrauch'!I747</f>
        <v>72727367</v>
      </c>
      <c r="C1679" s="391">
        <f>'Anlage 3a_Zusammenfassung_KWKG'!C3428</f>
        <v>0</v>
      </c>
      <c r="D1679" s="989">
        <f t="shared" si="46"/>
        <v>72727367</v>
      </c>
    </row>
    <row r="1680" spans="1:4" hidden="1" outlineLevel="2">
      <c r="A1680" s="988" t="str">
        <f>'Anlage 2a_Letztverbrauch'!A748</f>
        <v>SNBFIKTIV000010</v>
      </c>
      <c r="B1680" s="470">
        <f>+'Anlage 2a_Letztverbrauch'!I748</f>
        <v>60000</v>
      </c>
      <c r="C1680" s="391">
        <f>'Anlage 3a_Zusammenfassung_KWKG'!C3429</f>
        <v>0</v>
      </c>
      <c r="D1680" s="989">
        <f t="shared" si="46"/>
        <v>60000</v>
      </c>
    </row>
    <row r="1681" spans="1:4" hidden="1" outlineLevel="2">
      <c r="A1681" s="988" t="str">
        <f>'Anlage 2a_Letztverbrauch'!A749</f>
        <v>SNB954187049256</v>
      </c>
      <c r="B1681" s="470">
        <f>+'Anlage 2a_Letztverbrauch'!I749</f>
        <v>91584037</v>
      </c>
      <c r="C1681" s="391">
        <f>'Anlage 3a_Zusammenfassung_KWKG'!C3430</f>
        <v>0</v>
      </c>
      <c r="D1681" s="989">
        <f t="shared" si="46"/>
        <v>91584037</v>
      </c>
    </row>
    <row r="1682" spans="1:4" hidden="1" outlineLevel="2">
      <c r="A1682" s="988" t="str">
        <f>'Anlage 2a_Letztverbrauch'!A750</f>
        <v>SNB985729975610</v>
      </c>
      <c r="B1682" s="470">
        <f>+'Anlage 2a_Letztverbrauch'!I750</f>
        <v>316409794</v>
      </c>
      <c r="C1682" s="391">
        <f>'Anlage 3a_Zusammenfassung_KWKG'!C3431</f>
        <v>396000</v>
      </c>
      <c r="D1682" s="989">
        <f t="shared" si="46"/>
        <v>316805794</v>
      </c>
    </row>
    <row r="1683" spans="1:4" hidden="1" outlineLevel="2">
      <c r="A1683" s="988" t="str">
        <f>'Anlage 2a_Letztverbrauch'!A751</f>
        <v>SNB913768089142</v>
      </c>
      <c r="B1683" s="470">
        <f>+'Anlage 2a_Letztverbrauch'!I751</f>
        <v>20831998</v>
      </c>
      <c r="C1683" s="391">
        <f>'Anlage 3a_Zusammenfassung_KWKG'!C3432</f>
        <v>167404</v>
      </c>
      <c r="D1683" s="989">
        <f t="shared" si="46"/>
        <v>20999402</v>
      </c>
    </row>
    <row r="1684" spans="1:4" hidden="1" outlineLevel="2">
      <c r="A1684" s="988" t="str">
        <f>'Anlage 2a_Letztverbrauch'!A752</f>
        <v>SNB981122608278</v>
      </c>
      <c r="B1684" s="470">
        <f>+'Anlage 2a_Letztverbrauch'!I752</f>
        <v>12815881</v>
      </c>
      <c r="C1684" s="391">
        <f>'Anlage 3a_Zusammenfassung_KWKG'!C3433</f>
        <v>0</v>
      </c>
      <c r="D1684" s="989">
        <f t="shared" si="46"/>
        <v>12815881</v>
      </c>
    </row>
    <row r="1685" spans="1:4" hidden="1" outlineLevel="2">
      <c r="A1685" s="988" t="str">
        <f>'Anlage 2a_Letztverbrauch'!A753</f>
        <v>SNB942732578894</v>
      </c>
      <c r="B1685" s="470">
        <f>+'Anlage 2a_Letztverbrauch'!I753</f>
        <v>279768824</v>
      </c>
      <c r="C1685" s="391">
        <f>'Anlage 3a_Zusammenfassung_KWKG'!C3434</f>
        <v>0</v>
      </c>
      <c r="D1685" s="989">
        <f t="shared" si="46"/>
        <v>279768824</v>
      </c>
    </row>
    <row r="1686" spans="1:4" hidden="1" outlineLevel="2">
      <c r="A1686" s="988" t="str">
        <f>'Anlage 2a_Letztverbrauch'!A754</f>
        <v>SNB986363918520</v>
      </c>
      <c r="B1686" s="470">
        <f>+'Anlage 2a_Letztverbrauch'!I754</f>
        <v>29425483</v>
      </c>
      <c r="C1686" s="391">
        <f>'Anlage 3a_Zusammenfassung_KWKG'!C3435</f>
        <v>-60697</v>
      </c>
      <c r="D1686" s="989">
        <f t="shared" si="46"/>
        <v>29364786</v>
      </c>
    </row>
    <row r="1687" spans="1:4" hidden="1" outlineLevel="2">
      <c r="A1687" s="988" t="str">
        <f>'Anlage 2a_Letztverbrauch'!A755</f>
        <v>SNB982034089728</v>
      </c>
      <c r="B1687" s="470">
        <f>+'Anlage 2a_Letztverbrauch'!I755</f>
        <v>5627561.2319999998</v>
      </c>
      <c r="C1687" s="391">
        <f>'Anlage 3a_Zusammenfassung_KWKG'!C3436</f>
        <v>0</v>
      </c>
      <c r="D1687" s="989">
        <f t="shared" ref="D1687:D1750" si="47">SUM(B1687:C1687)</f>
        <v>5627561.2319999998</v>
      </c>
    </row>
    <row r="1688" spans="1:4" hidden="1" outlineLevel="2">
      <c r="A1688" s="988" t="str">
        <f>'Anlage 2a_Letztverbrauch'!A756</f>
        <v>SNB951835062254</v>
      </c>
      <c r="B1688" s="470">
        <f>+'Anlage 2a_Letztverbrauch'!I756</f>
        <v>90257243</v>
      </c>
      <c r="C1688" s="391">
        <f>'Anlage 3a_Zusammenfassung_KWKG'!C3437</f>
        <v>-273017</v>
      </c>
      <c r="D1688" s="989">
        <f t="shared" si="47"/>
        <v>89984226</v>
      </c>
    </row>
    <row r="1689" spans="1:4" hidden="1" outlineLevel="2">
      <c r="A1689" s="988" t="str">
        <f>'Anlage 2a_Letztverbrauch'!A757</f>
        <v>SNB933013692798</v>
      </c>
      <c r="B1689" s="470">
        <f>+'Anlage 2a_Letztverbrauch'!I757</f>
        <v>91205960</v>
      </c>
      <c r="C1689" s="391">
        <f>'Anlage 3a_Zusammenfassung_KWKG'!C3438</f>
        <v>0</v>
      </c>
      <c r="D1689" s="989">
        <f t="shared" si="47"/>
        <v>91205960</v>
      </c>
    </row>
    <row r="1690" spans="1:4" hidden="1" outlineLevel="2">
      <c r="A1690" s="988" t="str">
        <f>'Anlage 2a_Letztverbrauch'!A758</f>
        <v>SNB942182027607</v>
      </c>
      <c r="B1690" s="470">
        <f>+'Anlage 2a_Letztverbrauch'!I758</f>
        <v>5121845066</v>
      </c>
      <c r="C1690" s="391">
        <f>'Anlage 3a_Zusammenfassung_KWKG'!C3439</f>
        <v>12357326</v>
      </c>
      <c r="D1690" s="989">
        <f t="shared" si="47"/>
        <v>5134202392</v>
      </c>
    </row>
    <row r="1691" spans="1:4" hidden="1" outlineLevel="2">
      <c r="A1691" s="988" t="str">
        <f>'Anlage 2a_Letztverbrauch'!A759</f>
        <v>SNB965164398427</v>
      </c>
      <c r="B1691" s="470">
        <f>+'Anlage 2a_Letztverbrauch'!I759</f>
        <v>280646125</v>
      </c>
      <c r="C1691" s="391">
        <f>'Anlage 3a_Zusammenfassung_KWKG'!C3440</f>
        <v>0</v>
      </c>
      <c r="D1691" s="989">
        <f t="shared" si="47"/>
        <v>280646125</v>
      </c>
    </row>
    <row r="1692" spans="1:4" hidden="1" outlineLevel="2">
      <c r="A1692" s="988" t="str">
        <f>'Anlage 2a_Letztverbrauch'!A760</f>
        <v>SNB985172238775</v>
      </c>
      <c r="B1692" s="470">
        <f>+'Anlage 2a_Letztverbrauch'!I760</f>
        <v>64618358</v>
      </c>
      <c r="C1692" s="391">
        <f>'Anlage 3a_Zusammenfassung_KWKG'!C3441</f>
        <v>-163641</v>
      </c>
      <c r="D1692" s="989">
        <f t="shared" si="47"/>
        <v>64454717</v>
      </c>
    </row>
    <row r="1693" spans="1:4" hidden="1" outlineLevel="2">
      <c r="A1693" s="988" t="str">
        <f>'Anlage 2a_Letztverbrauch'!A761</f>
        <v>SNB975268997129</v>
      </c>
      <c r="B1693" s="470">
        <f>+'Anlage 2a_Letztverbrauch'!I761</f>
        <v>7393984</v>
      </c>
      <c r="C1693" s="391">
        <f>'Anlage 3a_Zusammenfassung_KWKG'!C3442</f>
        <v>0</v>
      </c>
      <c r="D1693" s="989">
        <f t="shared" si="47"/>
        <v>7393984</v>
      </c>
    </row>
    <row r="1694" spans="1:4" hidden="1" outlineLevel="2">
      <c r="A1694" s="988" t="str">
        <f>'Anlage 2a_Letztverbrauch'!A762</f>
        <v>SNB961497906636</v>
      </c>
      <c r="B1694" s="470">
        <f>+'Anlage 2a_Letztverbrauch'!I762</f>
        <v>67564345</v>
      </c>
      <c r="C1694" s="391">
        <f>'Anlage 3a_Zusammenfassung_KWKG'!C3443</f>
        <v>175863</v>
      </c>
      <c r="D1694" s="989">
        <f t="shared" si="47"/>
        <v>67740208</v>
      </c>
    </row>
    <row r="1695" spans="1:4" hidden="1" outlineLevel="2">
      <c r="A1695" s="988" t="str">
        <f>'Anlage 2a_Letztverbrauch'!A763</f>
        <v>SNB910066952147</v>
      </c>
      <c r="B1695" s="470">
        <f>+'Anlage 2a_Letztverbrauch'!I763</f>
        <v>5216791</v>
      </c>
      <c r="C1695" s="391">
        <f>'Anlage 3a_Zusammenfassung_KWKG'!C3444</f>
        <v>0</v>
      </c>
      <c r="D1695" s="989">
        <f t="shared" si="47"/>
        <v>5216791</v>
      </c>
    </row>
    <row r="1696" spans="1:4" hidden="1" outlineLevel="2">
      <c r="A1696" s="988" t="str">
        <f>'Anlage 2a_Letztverbrauch'!A764</f>
        <v>SNB921897286493</v>
      </c>
      <c r="B1696" s="470">
        <f>+'Anlage 2a_Letztverbrauch'!I764</f>
        <v>205996219</v>
      </c>
      <c r="C1696" s="391">
        <f>'Anlage 3a_Zusammenfassung_KWKG'!C3445</f>
        <v>-4732753</v>
      </c>
      <c r="D1696" s="989">
        <f t="shared" si="47"/>
        <v>201263466</v>
      </c>
    </row>
    <row r="1697" spans="1:4" hidden="1" outlineLevel="2">
      <c r="A1697" s="988" t="str">
        <f>'Anlage 2a_Letztverbrauch'!A765</f>
        <v>SNB916255659316</v>
      </c>
      <c r="B1697" s="470">
        <f>+'Anlage 2a_Letztverbrauch'!I765</f>
        <v>139689389</v>
      </c>
      <c r="C1697" s="391">
        <f>'Anlage 3a_Zusammenfassung_KWKG'!C3446</f>
        <v>-167166</v>
      </c>
      <c r="D1697" s="989">
        <f t="shared" si="47"/>
        <v>139522223</v>
      </c>
    </row>
    <row r="1698" spans="1:4" hidden="1" outlineLevel="2">
      <c r="A1698" s="988" t="str">
        <f>'Anlage 2a_Letztverbrauch'!A766</f>
        <v>SNB946717964085</v>
      </c>
      <c r="B1698" s="470">
        <f>+'Anlage 2a_Letztverbrauch'!I766</f>
        <v>11806198</v>
      </c>
      <c r="C1698" s="391">
        <f>'Anlage 3a_Zusammenfassung_KWKG'!C3447</f>
        <v>0</v>
      </c>
      <c r="D1698" s="989">
        <f t="shared" si="47"/>
        <v>11806198</v>
      </c>
    </row>
    <row r="1699" spans="1:4" hidden="1" outlineLevel="2">
      <c r="A1699" s="988" t="str">
        <f>'Anlage 2a_Letztverbrauch'!A767</f>
        <v>SNB916151866986</v>
      </c>
      <c r="B1699" s="470">
        <f>+'Anlage 2a_Letztverbrauch'!I767</f>
        <v>110182640</v>
      </c>
      <c r="C1699" s="391">
        <f>'Anlage 3a_Zusammenfassung_KWKG'!C3448</f>
        <v>0</v>
      </c>
      <c r="D1699" s="989">
        <f t="shared" si="47"/>
        <v>110182640</v>
      </c>
    </row>
    <row r="1700" spans="1:4" hidden="1" outlineLevel="2">
      <c r="A1700" s="988" t="str">
        <f>'Anlage 2a_Letztverbrauch'!A768</f>
        <v>SNB947514936855</v>
      </c>
      <c r="B1700" s="470">
        <f>+'Anlage 2a_Letztverbrauch'!I768</f>
        <v>143891268</v>
      </c>
      <c r="C1700" s="391">
        <f>'Anlage 3a_Zusammenfassung_KWKG'!C3449</f>
        <v>-1159434</v>
      </c>
      <c r="D1700" s="989">
        <f t="shared" si="47"/>
        <v>142731834</v>
      </c>
    </row>
    <row r="1701" spans="1:4" hidden="1" outlineLevel="2">
      <c r="A1701" s="988" t="str">
        <f>'Anlage 2a_Letztverbrauch'!A769</f>
        <v>SNB986482940686</v>
      </c>
      <c r="B1701" s="470">
        <f>+'Anlage 2a_Letztverbrauch'!I769</f>
        <v>168988780</v>
      </c>
      <c r="C1701" s="391">
        <f>'Anlage 3a_Zusammenfassung_KWKG'!C3450</f>
        <v>-590183</v>
      </c>
      <c r="D1701" s="989">
        <f t="shared" si="47"/>
        <v>168398597</v>
      </c>
    </row>
    <row r="1702" spans="1:4" hidden="1" outlineLevel="2">
      <c r="A1702" s="988" t="str">
        <f>'Anlage 2a_Letztverbrauch'!A770</f>
        <v>SNB946090906887</v>
      </c>
      <c r="B1702" s="470">
        <f>+'Anlage 2a_Letztverbrauch'!I770</f>
        <v>17536514</v>
      </c>
      <c r="C1702" s="391">
        <f>'Anlage 3a_Zusammenfassung_KWKG'!C3451</f>
        <v>0</v>
      </c>
      <c r="D1702" s="989">
        <f t="shared" si="47"/>
        <v>17536514</v>
      </c>
    </row>
    <row r="1703" spans="1:4" hidden="1" outlineLevel="2">
      <c r="A1703" s="988" t="str">
        <f>'Anlage 2a_Letztverbrauch'!A771</f>
        <v>SNB975581504646</v>
      </c>
      <c r="B1703" s="470">
        <f>+'Anlage 2a_Letztverbrauch'!I771</f>
        <v>40766977</v>
      </c>
      <c r="C1703" s="391">
        <f>'Anlage 3a_Zusammenfassung_KWKG'!C3452</f>
        <v>0</v>
      </c>
      <c r="D1703" s="989">
        <f t="shared" si="47"/>
        <v>40766977</v>
      </c>
    </row>
    <row r="1704" spans="1:4" hidden="1" outlineLevel="2">
      <c r="A1704" s="988" t="str">
        <f>'Anlage 2a_Letztverbrauch'!A772</f>
        <v>SNB938180557147</v>
      </c>
      <c r="B1704" s="470">
        <f>+'Anlage 2a_Letztverbrauch'!I772</f>
        <v>16520431</v>
      </c>
      <c r="C1704" s="391">
        <f>'Anlage 3a_Zusammenfassung_KWKG'!C3453</f>
        <v>0</v>
      </c>
      <c r="D1704" s="989">
        <f t="shared" si="47"/>
        <v>16520431</v>
      </c>
    </row>
    <row r="1705" spans="1:4" hidden="1" outlineLevel="2">
      <c r="A1705" s="988" t="str">
        <f>'Anlage 2a_Letztverbrauch'!A773</f>
        <v>SNB974647435931</v>
      </c>
      <c r="B1705" s="470">
        <f>+'Anlage 2a_Letztverbrauch'!I773</f>
        <v>111425093</v>
      </c>
      <c r="C1705" s="391">
        <f>'Anlage 3a_Zusammenfassung_KWKG'!C3454</f>
        <v>0</v>
      </c>
      <c r="D1705" s="989">
        <f t="shared" si="47"/>
        <v>111425093</v>
      </c>
    </row>
    <row r="1706" spans="1:4" hidden="1" outlineLevel="2">
      <c r="A1706" s="988" t="str">
        <f>'Anlage 2a_Letztverbrauch'!A774</f>
        <v>SNB971573473594</v>
      </c>
      <c r="B1706" s="470">
        <f>+'Anlage 2a_Letztverbrauch'!I774</f>
        <v>88641171</v>
      </c>
      <c r="C1706" s="391">
        <f>'Anlage 3a_Zusammenfassung_KWKG'!C3455</f>
        <v>0</v>
      </c>
      <c r="D1706" s="989">
        <f t="shared" si="47"/>
        <v>88641171</v>
      </c>
    </row>
    <row r="1707" spans="1:4" hidden="1" outlineLevel="2">
      <c r="A1707" s="988" t="str">
        <f>'Anlage 2a_Letztverbrauch'!A775</f>
        <v>SNB949124413085</v>
      </c>
      <c r="B1707" s="470">
        <f>+'Anlage 2a_Letztverbrauch'!I775</f>
        <v>5661320</v>
      </c>
      <c r="C1707" s="391">
        <f>'Anlage 3a_Zusammenfassung_KWKG'!C3456</f>
        <v>0</v>
      </c>
      <c r="D1707" s="989">
        <f t="shared" si="47"/>
        <v>5661320</v>
      </c>
    </row>
    <row r="1708" spans="1:4" hidden="1" outlineLevel="2">
      <c r="A1708" s="988" t="str">
        <f>'Anlage 2a_Letztverbrauch'!A776</f>
        <v>SNB950039201827</v>
      </c>
      <c r="B1708" s="470">
        <f>+'Anlage 2a_Letztverbrauch'!I776</f>
        <v>149381074</v>
      </c>
      <c r="C1708" s="391">
        <f>'Anlage 3a_Zusammenfassung_KWKG'!C3457</f>
        <v>-812669</v>
      </c>
      <c r="D1708" s="989">
        <f t="shared" si="47"/>
        <v>148568405</v>
      </c>
    </row>
    <row r="1709" spans="1:4" hidden="1" outlineLevel="2">
      <c r="A1709" s="988" t="str">
        <f>'Anlage 2a_Letztverbrauch'!A777</f>
        <v>SNB920393062051</v>
      </c>
      <c r="B1709" s="470">
        <f>+'Anlage 2a_Letztverbrauch'!I777</f>
        <v>291432030</v>
      </c>
      <c r="C1709" s="391">
        <f>'Anlage 3a_Zusammenfassung_KWKG'!C3458</f>
        <v>-3110155</v>
      </c>
      <c r="D1709" s="989">
        <f t="shared" si="47"/>
        <v>288321875</v>
      </c>
    </row>
    <row r="1710" spans="1:4" hidden="1" outlineLevel="2">
      <c r="A1710" s="988" t="str">
        <f>'Anlage 2a_Letztverbrauch'!A778</f>
        <v>SNB991263248615</v>
      </c>
      <c r="B1710" s="470">
        <f>+'Anlage 2a_Letztverbrauch'!I778</f>
        <v>69194748</v>
      </c>
      <c r="C1710" s="391">
        <f>'Anlage 3a_Zusammenfassung_KWKG'!C3459</f>
        <v>-295544</v>
      </c>
      <c r="D1710" s="989">
        <f t="shared" si="47"/>
        <v>68899204</v>
      </c>
    </row>
    <row r="1711" spans="1:4" hidden="1" outlineLevel="2">
      <c r="A1711" s="988" t="str">
        <f>'Anlage 2a_Letztverbrauch'!A779</f>
        <v>SNB930525911119</v>
      </c>
      <c r="B1711" s="470">
        <f>+'Anlage 2a_Letztverbrauch'!I779</f>
        <v>0</v>
      </c>
      <c r="C1711" s="391">
        <f>'Anlage 3a_Zusammenfassung_KWKG'!C3460</f>
        <v>13103</v>
      </c>
      <c r="D1711" s="989">
        <f t="shared" si="47"/>
        <v>13103</v>
      </c>
    </row>
    <row r="1712" spans="1:4" hidden="1" outlineLevel="2">
      <c r="A1712" s="988" t="str">
        <f>'Anlage 2a_Letztverbrauch'!A780</f>
        <v>SNB903808877785</v>
      </c>
      <c r="B1712" s="470">
        <f>+'Anlage 2a_Letztverbrauch'!I780</f>
        <v>55744249</v>
      </c>
      <c r="C1712" s="391">
        <f>'Anlage 3a_Zusammenfassung_KWKG'!C3461</f>
        <v>-884276.09100000001</v>
      </c>
      <c r="D1712" s="989">
        <f t="shared" si="47"/>
        <v>54859972.909000002</v>
      </c>
    </row>
    <row r="1713" spans="1:9" hidden="1" outlineLevel="2">
      <c r="A1713" s="988" t="str">
        <f>'Anlage 2a_Letztverbrauch'!A781</f>
        <v>SNB980362940834</v>
      </c>
      <c r="B1713" s="470">
        <f>+'Anlage 2a_Letztverbrauch'!I781</f>
        <v>34668252</v>
      </c>
      <c r="C1713" s="391">
        <f>'Anlage 3a_Zusammenfassung_KWKG'!C3462</f>
        <v>9448681</v>
      </c>
      <c r="D1713" s="989">
        <f t="shared" si="47"/>
        <v>44116933</v>
      </c>
    </row>
    <row r="1714" spans="1:9" hidden="1" outlineLevel="2">
      <c r="A1714" s="988" t="str">
        <f>'Anlage 2a_Letztverbrauch'!A782</f>
        <v>SNB930122681040</v>
      </c>
      <c r="B1714" s="470">
        <f>+'Anlage 2a_Letztverbrauch'!I782</f>
        <v>22871439</v>
      </c>
      <c r="C1714" s="391">
        <f>'Anlage 3a_Zusammenfassung_KWKG'!C3463</f>
        <v>294779</v>
      </c>
      <c r="D1714" s="989">
        <f t="shared" si="47"/>
        <v>23166218</v>
      </c>
    </row>
    <row r="1715" spans="1:9" hidden="1" outlineLevel="2">
      <c r="A1715" s="988" t="str">
        <f>'Anlage 2a_Letztverbrauch'!A783</f>
        <v>SNB952845016893</v>
      </c>
      <c r="B1715" s="470">
        <f>+'Anlage 2a_Letztverbrauch'!I783</f>
        <v>291037911</v>
      </c>
      <c r="C1715" s="391">
        <f>'Anlage 3a_Zusammenfassung_KWKG'!C3464</f>
        <v>-1466870</v>
      </c>
      <c r="D1715" s="989">
        <f t="shared" si="47"/>
        <v>289571041</v>
      </c>
    </row>
    <row r="1716" spans="1:9" hidden="1" outlineLevel="2">
      <c r="A1716" s="988" t="str">
        <f>'Anlage 2a_Letztverbrauch'!A784</f>
        <v>SNB910395619643</v>
      </c>
      <c r="B1716" s="470">
        <f>+'Anlage 2a_Letztverbrauch'!I784</f>
        <v>68077084.167999998</v>
      </c>
      <c r="C1716" s="391">
        <f>'Anlage 3a_Zusammenfassung_KWKG'!C3465</f>
        <v>-4497427.6550000003</v>
      </c>
      <c r="D1716" s="989">
        <f t="shared" si="47"/>
        <v>63579656.512999997</v>
      </c>
    </row>
    <row r="1717" spans="1:9" hidden="1" outlineLevel="2">
      <c r="A1717" s="988" t="str">
        <f>'Anlage 2a_Letztverbrauch'!A785</f>
        <v>SNB940478286561</v>
      </c>
      <c r="B1717" s="470">
        <f>+'Anlage 2a_Letztverbrauch'!I785</f>
        <v>68057647</v>
      </c>
      <c r="C1717" s="391">
        <f>'Anlage 3a_Zusammenfassung_KWKG'!C3466</f>
        <v>-1521774.91</v>
      </c>
      <c r="D1717" s="989">
        <f t="shared" si="47"/>
        <v>66535872.090000004</v>
      </c>
    </row>
    <row r="1718" spans="1:9" hidden="1" outlineLevel="2">
      <c r="A1718" s="988" t="str">
        <f>'Anlage 2a_Letztverbrauch'!A786</f>
        <v>SNB929262647085</v>
      </c>
      <c r="B1718" s="470">
        <f>+'Anlage 2a_Letztverbrauch'!I786</f>
        <v>72907543.189999998</v>
      </c>
      <c r="C1718" s="391">
        <f>'Anlage 3a_Zusammenfassung_KWKG'!C3467</f>
        <v>-973197.54999999993</v>
      </c>
      <c r="D1718" s="989">
        <f t="shared" si="47"/>
        <v>71934345.640000001</v>
      </c>
    </row>
    <row r="1719" spans="1:9" hidden="1" outlineLevel="2">
      <c r="A1719" s="988" t="str">
        <f>'Anlage 2a_Letztverbrauch'!A787</f>
        <v>SNB996768145988</v>
      </c>
      <c r="B1719" s="470">
        <f>+'Anlage 2a_Letztverbrauch'!I787</f>
        <v>24775584</v>
      </c>
      <c r="C1719" s="391">
        <f>'Anlage 3a_Zusammenfassung_KWKG'!C3468</f>
        <v>0</v>
      </c>
      <c r="D1719" s="989">
        <f t="shared" si="47"/>
        <v>24775584</v>
      </c>
    </row>
    <row r="1720" spans="1:9" hidden="1" outlineLevel="2">
      <c r="A1720" s="988" t="str">
        <f>'Anlage 2a_Letztverbrauch'!A788</f>
        <v>SNB917014884420</v>
      </c>
      <c r="B1720" s="470">
        <f>+'Anlage 2a_Letztverbrauch'!I788</f>
        <v>56276850</v>
      </c>
      <c r="C1720" s="391">
        <f>'Anlage 3a_Zusammenfassung_KWKG'!C3469</f>
        <v>78514</v>
      </c>
      <c r="D1720" s="989">
        <f t="shared" si="47"/>
        <v>56355364</v>
      </c>
    </row>
    <row r="1721" spans="1:9" hidden="1" outlineLevel="2">
      <c r="A1721" s="988" t="str">
        <f>'Anlage 2a_Letztverbrauch'!A789</f>
        <v>SNB995332374861</v>
      </c>
      <c r="B1721" s="470">
        <f>+'Anlage 2a_Letztverbrauch'!I789</f>
        <v>20025169.5</v>
      </c>
      <c r="C1721" s="391">
        <f>'Anlage 3a_Zusammenfassung_KWKG'!C3470</f>
        <v>111648.58</v>
      </c>
      <c r="D1721" s="989">
        <f t="shared" si="47"/>
        <v>20136818.079999998</v>
      </c>
    </row>
    <row r="1722" spans="1:9" hidden="1" outlineLevel="2">
      <c r="A1722" s="988" t="str">
        <f>'Anlage 2a_Letztverbrauch'!A790</f>
        <v>SNBFIKTIV000008</v>
      </c>
      <c r="B1722" s="470">
        <f>+'Anlage 2a_Letztverbrauch'!I790</f>
        <v>8752730.8499999996</v>
      </c>
      <c r="C1722" s="391">
        <f>'Anlage 3a_Zusammenfassung_KWKG'!C3471</f>
        <v>0</v>
      </c>
      <c r="D1722" s="989">
        <f t="shared" si="47"/>
        <v>8752730.8499999996</v>
      </c>
    </row>
    <row r="1723" spans="1:9" hidden="1" outlineLevel="2">
      <c r="A1723" s="988" t="str">
        <f>'Anlage 2a_Letztverbrauch'!A791</f>
        <v>SNBFIKTIV000006</v>
      </c>
      <c r="B1723" s="470">
        <f>+'Anlage 2a_Letztverbrauch'!I791</f>
        <v>30452984</v>
      </c>
      <c r="C1723" s="391">
        <f>'Anlage 3a_Zusammenfassung_KWKG'!C3472</f>
        <v>0</v>
      </c>
      <c r="D1723" s="989">
        <f t="shared" si="47"/>
        <v>30452984</v>
      </c>
    </row>
    <row r="1724" spans="1:9" hidden="1" outlineLevel="2">
      <c r="A1724" s="988" t="str">
        <f>'Anlage 2a_Letztverbrauch'!A792</f>
        <v>SNB938413573104</v>
      </c>
      <c r="B1724" s="470">
        <f>+'Anlage 2a_Letztverbrauch'!I792</f>
        <v>3512322.2</v>
      </c>
      <c r="C1724" s="391">
        <f>'Anlage 3a_Zusammenfassung_KWKG'!C3473</f>
        <v>-26198</v>
      </c>
      <c r="D1724" s="989">
        <f t="shared" si="47"/>
        <v>3486124.2</v>
      </c>
    </row>
    <row r="1725" spans="1:9" hidden="1" outlineLevel="2">
      <c r="A1725" s="988">
        <f>'Anlage 2a_Letztverbrauch'!A793</f>
        <v>0</v>
      </c>
      <c r="B1725" s="470">
        <f>'Anlage 2a_Letztverbrauch'!I793</f>
        <v>0</v>
      </c>
      <c r="C1725" s="391">
        <f>'Anlage 3a_Zusammenfassung_KWKG'!C3474</f>
        <v>0</v>
      </c>
      <c r="D1725" s="989">
        <f>SUM(B1725:C1725)</f>
        <v>0</v>
      </c>
    </row>
    <row r="1726" spans="1:9" ht="13.5" collapsed="1" thickBot="1">
      <c r="A1726" s="991" t="str">
        <f>'Anlage 3a_Zusammenfassung_KWKG'!A3475</f>
        <v>Regelzone TransnetBW (gesamt)</v>
      </c>
      <c r="B1726" s="471">
        <f>'Anlage 3a_Zusammenfassung_KWKG'!B3475</f>
        <v>47677236564</v>
      </c>
      <c r="C1726" s="1099">
        <f>'Anlage 3a_Zusammenfassung_KWKG'!C3475</f>
        <v>104136053</v>
      </c>
      <c r="D1726" s="992">
        <f>SUM(B1726:C1726)</f>
        <v>47781372617</v>
      </c>
    </row>
    <row r="1727" spans="1:9" hidden="1" outlineLevel="2">
      <c r="A1727" s="993" t="s">
        <v>1487</v>
      </c>
      <c r="B1727" s="472">
        <v>222707661</v>
      </c>
      <c r="C1727" s="341">
        <f>VLOOKUP(A1727,'Anlage 3a_Zusammenfassung_KWKG'!A3476:C3613,3,FALSE)</f>
        <v>0</v>
      </c>
      <c r="D1727" s="994">
        <f>SUM(B1727:C1727)</f>
        <v>222707661</v>
      </c>
      <c r="I1727" t="s">
        <v>1488</v>
      </c>
    </row>
    <row r="1728" spans="1:9" hidden="1" outlineLevel="2">
      <c r="A1728" s="993" t="s">
        <v>1489</v>
      </c>
      <c r="B1728" s="472">
        <v>452208137</v>
      </c>
      <c r="C1728" s="341">
        <f>VLOOKUP(A1728,'Anlage 3a_Zusammenfassung_KWKG'!A3477:C3614,3,FALSE)</f>
        <v>-3234251</v>
      </c>
      <c r="D1728" s="995">
        <f t="shared" si="47"/>
        <v>448973886</v>
      </c>
      <c r="I1728" t="s">
        <v>1490</v>
      </c>
    </row>
    <row r="1729" spans="1:9" hidden="1" outlineLevel="2">
      <c r="A1729" s="993" t="s">
        <v>1491</v>
      </c>
      <c r="B1729" s="472">
        <v>1245441114</v>
      </c>
      <c r="C1729" s="341">
        <f>VLOOKUP(A1729,'Anlage 3a_Zusammenfassung_KWKG'!A3478:C3615,3,FALSE)</f>
        <v>0</v>
      </c>
      <c r="D1729" s="995">
        <f t="shared" si="47"/>
        <v>1245441114</v>
      </c>
      <c r="I1729" t="s">
        <v>1492</v>
      </c>
    </row>
    <row r="1730" spans="1:9" hidden="1" outlineLevel="2">
      <c r="A1730" s="993" t="s">
        <v>1953</v>
      </c>
      <c r="B1730" s="472">
        <v>11201472</v>
      </c>
      <c r="C1730" s="341">
        <f>VLOOKUP(A1730,'Anlage 3a_Zusammenfassung_KWKG'!A3479:C3616,3,FALSE)</f>
        <v>0</v>
      </c>
      <c r="D1730" s="995">
        <f t="shared" si="47"/>
        <v>11201472</v>
      </c>
      <c r="I1730" t="s">
        <v>1954</v>
      </c>
    </row>
    <row r="1731" spans="1:9" hidden="1" outlineLevel="2">
      <c r="A1731" s="993" t="s">
        <v>655</v>
      </c>
      <c r="B1731" s="472">
        <v>1906517082</v>
      </c>
      <c r="C1731" s="341">
        <f>VLOOKUP(A1731,'Anlage 3a_Zusammenfassung_KWKG'!A3480:C3617,3,FALSE)</f>
        <v>1443721</v>
      </c>
      <c r="D1731" s="995">
        <f t="shared" si="47"/>
        <v>1907960803</v>
      </c>
      <c r="I1731" t="s">
        <v>578</v>
      </c>
    </row>
    <row r="1732" spans="1:9" hidden="1" outlineLevel="2">
      <c r="A1732" s="993" t="s">
        <v>1493</v>
      </c>
      <c r="B1732" s="472">
        <v>130265756</v>
      </c>
      <c r="C1732" s="341">
        <f>VLOOKUP(A1732,'Anlage 3a_Zusammenfassung_KWKG'!A3481:C3618,3,FALSE)</f>
        <v>-3062077</v>
      </c>
      <c r="D1732" s="995">
        <f t="shared" si="47"/>
        <v>127203679</v>
      </c>
      <c r="I1732" t="s">
        <v>1494</v>
      </c>
    </row>
    <row r="1733" spans="1:9" hidden="1" outlineLevel="2">
      <c r="A1733" s="993" t="s">
        <v>429</v>
      </c>
      <c r="B1733" s="472">
        <v>5435745</v>
      </c>
      <c r="C1733" s="341">
        <f>VLOOKUP(A1733,'Anlage 3a_Zusammenfassung_KWKG'!A3482:C3619,3,FALSE)</f>
        <v>0</v>
      </c>
      <c r="D1733" s="995">
        <f t="shared" si="47"/>
        <v>5435745</v>
      </c>
      <c r="I1733" t="s">
        <v>430</v>
      </c>
    </row>
    <row r="1734" spans="1:9" hidden="1" outlineLevel="2">
      <c r="A1734" s="993" t="s">
        <v>172</v>
      </c>
      <c r="B1734" s="472">
        <v>1928511</v>
      </c>
      <c r="C1734" s="341">
        <f>VLOOKUP(A1734,'Anlage 3a_Zusammenfassung_KWKG'!A3483:C3620,3,FALSE)</f>
        <v>85120</v>
      </c>
      <c r="D1734" s="995">
        <f t="shared" si="47"/>
        <v>2013631</v>
      </c>
      <c r="I1734" t="s">
        <v>173</v>
      </c>
    </row>
    <row r="1735" spans="1:9" hidden="1" outlineLevel="2">
      <c r="A1735" s="993" t="s">
        <v>1495</v>
      </c>
      <c r="B1735" s="472">
        <v>153980138</v>
      </c>
      <c r="C1735" s="341">
        <f>VLOOKUP(A1735,'Anlage 3a_Zusammenfassung_KWKG'!A3484:C3621,3,FALSE)</f>
        <v>-16483383</v>
      </c>
      <c r="D1735" s="995">
        <f t="shared" si="47"/>
        <v>137496755</v>
      </c>
      <c r="I1735" t="s">
        <v>1496</v>
      </c>
    </row>
    <row r="1736" spans="1:9" hidden="1" outlineLevel="2">
      <c r="A1736" s="993" t="s">
        <v>1497</v>
      </c>
      <c r="B1736" s="472">
        <v>80700224</v>
      </c>
      <c r="C1736" s="341">
        <f>VLOOKUP(A1736,'Anlage 3a_Zusammenfassung_KWKG'!A3485:C3622,3,FALSE)</f>
        <v>-106973</v>
      </c>
      <c r="D1736" s="995">
        <f t="shared" si="47"/>
        <v>80593251</v>
      </c>
      <c r="I1736" t="s">
        <v>1498</v>
      </c>
    </row>
    <row r="1737" spans="1:9" hidden="1" outlineLevel="2">
      <c r="A1737" s="993" t="s">
        <v>1499</v>
      </c>
      <c r="B1737" s="472">
        <v>17210356</v>
      </c>
      <c r="C1737" s="341">
        <f>VLOOKUP(A1737,'Anlage 3a_Zusammenfassung_KWKG'!A3486:C3623,3,FALSE)</f>
        <v>-1327</v>
      </c>
      <c r="D1737" s="995">
        <f t="shared" si="47"/>
        <v>17209029</v>
      </c>
      <c r="I1737" t="s">
        <v>1500</v>
      </c>
    </row>
    <row r="1738" spans="1:9" hidden="1" outlineLevel="2">
      <c r="A1738" s="993" t="s">
        <v>1501</v>
      </c>
      <c r="B1738" s="472">
        <v>36195357</v>
      </c>
      <c r="C1738" s="341">
        <f>VLOOKUP(A1738,'Anlage 3a_Zusammenfassung_KWKG'!A3487:C3624,3,FALSE)</f>
        <v>0</v>
      </c>
      <c r="D1738" s="995">
        <f t="shared" si="47"/>
        <v>36195357</v>
      </c>
      <c r="I1738" t="s">
        <v>1502</v>
      </c>
    </row>
    <row r="1739" spans="1:9" hidden="1" outlineLevel="2">
      <c r="A1739" s="993" t="s">
        <v>1503</v>
      </c>
      <c r="B1739" s="472">
        <v>152330803</v>
      </c>
      <c r="C1739" s="341">
        <f>VLOOKUP(A1739,'Anlage 3a_Zusammenfassung_KWKG'!A3488:C3625,3,FALSE)</f>
        <v>-129748</v>
      </c>
      <c r="D1739" s="995">
        <f t="shared" si="47"/>
        <v>152201055</v>
      </c>
      <c r="I1739" t="s">
        <v>1504</v>
      </c>
    </row>
    <row r="1740" spans="1:9" hidden="1" outlineLevel="2">
      <c r="A1740" s="993" t="s">
        <v>1505</v>
      </c>
      <c r="B1740" s="472">
        <v>40457161</v>
      </c>
      <c r="C1740" s="341">
        <f>VLOOKUP(A1740,'Anlage 3a_Zusammenfassung_KWKG'!A3489:C3626,3,FALSE)</f>
        <v>3387093</v>
      </c>
      <c r="D1740" s="995">
        <f t="shared" si="47"/>
        <v>43844254</v>
      </c>
      <c r="I1740" t="s">
        <v>1506</v>
      </c>
    </row>
    <row r="1741" spans="1:9" hidden="1" outlineLevel="2">
      <c r="A1741" s="993" t="s">
        <v>1955</v>
      </c>
      <c r="B1741" s="472">
        <v>9552022</v>
      </c>
      <c r="C1741" s="341">
        <f>VLOOKUP(A1741,'Anlage 3a_Zusammenfassung_KWKG'!A3490:C3627,3,FALSE)</f>
        <v>0</v>
      </c>
      <c r="D1741" s="995">
        <f t="shared" si="47"/>
        <v>9552022</v>
      </c>
      <c r="I1741" t="s">
        <v>1956</v>
      </c>
    </row>
    <row r="1742" spans="1:9" hidden="1" outlineLevel="2">
      <c r="A1742" s="993" t="s">
        <v>1507</v>
      </c>
      <c r="B1742" s="472">
        <v>40990892</v>
      </c>
      <c r="C1742" s="341">
        <f>VLOOKUP(A1742,'Anlage 3a_Zusammenfassung_KWKG'!A3491:C3628,3,FALSE)</f>
        <v>0</v>
      </c>
      <c r="D1742" s="995">
        <f t="shared" si="47"/>
        <v>40990892</v>
      </c>
      <c r="I1742" t="s">
        <v>1508</v>
      </c>
    </row>
    <row r="1743" spans="1:9" hidden="1" outlineLevel="2">
      <c r="A1743" s="993" t="s">
        <v>1509</v>
      </c>
      <c r="B1743" s="472">
        <v>35377818</v>
      </c>
      <c r="C1743" s="341">
        <f>VLOOKUP(A1743,'Anlage 3a_Zusammenfassung_KWKG'!A3492:C3629,3,FALSE)</f>
        <v>0</v>
      </c>
      <c r="D1743" s="995">
        <f t="shared" si="47"/>
        <v>35377818</v>
      </c>
      <c r="I1743" t="s">
        <v>1510</v>
      </c>
    </row>
    <row r="1744" spans="1:9" hidden="1" outlineLevel="2">
      <c r="A1744" s="993" t="s">
        <v>1511</v>
      </c>
      <c r="B1744" s="472">
        <v>80966732</v>
      </c>
      <c r="C1744" s="341">
        <f>VLOOKUP(A1744,'Anlage 3a_Zusammenfassung_KWKG'!A3493:C3630,3,FALSE)</f>
        <v>745843</v>
      </c>
      <c r="D1744" s="995">
        <f t="shared" si="47"/>
        <v>81712575</v>
      </c>
      <c r="I1744" t="s">
        <v>1512</v>
      </c>
    </row>
    <row r="1745" spans="1:9" hidden="1" outlineLevel="2">
      <c r="A1745" s="993" t="s">
        <v>1513</v>
      </c>
      <c r="B1745" s="472">
        <v>249129348</v>
      </c>
      <c r="C1745" s="341">
        <f>VLOOKUP(A1745,'Anlage 3a_Zusammenfassung_KWKG'!A3494:C3631,3,FALSE)</f>
        <v>-2024827</v>
      </c>
      <c r="D1745" s="995">
        <f t="shared" si="47"/>
        <v>247104521</v>
      </c>
      <c r="I1745" t="s">
        <v>1514</v>
      </c>
    </row>
    <row r="1746" spans="1:9" hidden="1" outlineLevel="2">
      <c r="A1746" s="993" t="s">
        <v>1515</v>
      </c>
      <c r="B1746" s="472">
        <v>24628851</v>
      </c>
      <c r="C1746" s="341">
        <f>VLOOKUP(A1746,'Anlage 3a_Zusammenfassung_KWKG'!A3495:C3632,3,FALSE)</f>
        <v>0</v>
      </c>
      <c r="D1746" s="995">
        <f t="shared" si="47"/>
        <v>24628851</v>
      </c>
      <c r="I1746" t="s">
        <v>1516</v>
      </c>
    </row>
    <row r="1747" spans="1:9" hidden="1" outlineLevel="2">
      <c r="A1747" s="993" t="s">
        <v>1517</v>
      </c>
      <c r="B1747" s="472">
        <v>222367642</v>
      </c>
      <c r="C1747" s="341">
        <f>VLOOKUP(A1747,'Anlage 3a_Zusammenfassung_KWKG'!A3496:C3633,3,FALSE)</f>
        <v>973161</v>
      </c>
      <c r="D1747" s="995">
        <f t="shared" si="47"/>
        <v>223340803</v>
      </c>
      <c r="I1747" t="s">
        <v>1518</v>
      </c>
    </row>
    <row r="1748" spans="1:9" hidden="1" outlineLevel="2">
      <c r="A1748" s="993" t="s">
        <v>1519</v>
      </c>
      <c r="B1748" s="472">
        <v>62406842</v>
      </c>
      <c r="C1748" s="341">
        <f>VLOOKUP(A1748,'Anlage 3a_Zusammenfassung_KWKG'!A3497:C3634,3,FALSE)</f>
        <v>-264169</v>
      </c>
      <c r="D1748" s="995">
        <f t="shared" si="47"/>
        <v>62142673</v>
      </c>
      <c r="I1748" t="s">
        <v>1520</v>
      </c>
    </row>
    <row r="1749" spans="1:9" hidden="1" outlineLevel="2">
      <c r="A1749" s="993" t="s">
        <v>1521</v>
      </c>
      <c r="B1749" s="472">
        <v>120358455</v>
      </c>
      <c r="C1749" s="341">
        <f>VLOOKUP(A1749,'Anlage 3a_Zusammenfassung_KWKG'!A3498:C3635,3,FALSE)</f>
        <v>-820535</v>
      </c>
      <c r="D1749" s="995">
        <f t="shared" si="47"/>
        <v>119537920</v>
      </c>
      <c r="I1749" t="s">
        <v>1522</v>
      </c>
    </row>
    <row r="1750" spans="1:9" hidden="1" outlineLevel="2">
      <c r="A1750" s="993" t="s">
        <v>1523</v>
      </c>
      <c r="B1750" s="472">
        <v>126694150</v>
      </c>
      <c r="C1750" s="341">
        <f>VLOOKUP(A1750,'Anlage 3a_Zusammenfassung_KWKG'!A3499:C3636,3,FALSE)</f>
        <v>701900</v>
      </c>
      <c r="D1750" s="995">
        <f t="shared" si="47"/>
        <v>127396050</v>
      </c>
      <c r="I1750" t="s">
        <v>1524</v>
      </c>
    </row>
    <row r="1751" spans="1:9" hidden="1" outlineLevel="2">
      <c r="A1751" s="993" t="s">
        <v>1525</v>
      </c>
      <c r="B1751" s="472">
        <v>40582774</v>
      </c>
      <c r="C1751" s="341">
        <f>VLOOKUP(A1751,'Anlage 3a_Zusammenfassung_KWKG'!A3500:C3637,3,FALSE)</f>
        <v>0</v>
      </c>
      <c r="D1751" s="995">
        <f t="shared" ref="D1751:D1814" si="48">SUM(B1751:C1751)</f>
        <v>40582774</v>
      </c>
      <c r="I1751" t="s">
        <v>1526</v>
      </c>
    </row>
    <row r="1752" spans="1:9" hidden="1" outlineLevel="2">
      <c r="A1752" s="993" t="s">
        <v>1527</v>
      </c>
      <c r="B1752" s="472">
        <v>53669452</v>
      </c>
      <c r="C1752" s="341">
        <f>VLOOKUP(A1752,'Anlage 3a_Zusammenfassung_KWKG'!A3501:C3638,3,FALSE)</f>
        <v>0</v>
      </c>
      <c r="D1752" s="995">
        <f t="shared" si="48"/>
        <v>53669452</v>
      </c>
      <c r="I1752" t="s">
        <v>1528</v>
      </c>
    </row>
    <row r="1753" spans="1:9" hidden="1" outlineLevel="2">
      <c r="A1753" s="993" t="s">
        <v>1529</v>
      </c>
      <c r="B1753" s="472">
        <v>196458423</v>
      </c>
      <c r="C1753" s="341">
        <f>VLOOKUP(A1753,'Anlage 3a_Zusammenfassung_KWKG'!A3502:C3639,3,FALSE)</f>
        <v>4530981</v>
      </c>
      <c r="D1753" s="995">
        <f t="shared" si="48"/>
        <v>200989404</v>
      </c>
      <c r="I1753" t="s">
        <v>1530</v>
      </c>
    </row>
    <row r="1754" spans="1:9" hidden="1" outlineLevel="2">
      <c r="A1754" s="993" t="s">
        <v>1531</v>
      </c>
      <c r="B1754" s="472">
        <v>17507009</v>
      </c>
      <c r="C1754" s="341">
        <f>VLOOKUP(A1754,'Anlage 3a_Zusammenfassung_KWKG'!A3503:C3640,3,FALSE)</f>
        <v>0</v>
      </c>
      <c r="D1754" s="995">
        <f t="shared" si="48"/>
        <v>17507009</v>
      </c>
      <c r="I1754" t="s">
        <v>1532</v>
      </c>
    </row>
    <row r="1755" spans="1:9" hidden="1" outlineLevel="2">
      <c r="A1755" s="993" t="s">
        <v>1533</v>
      </c>
      <c r="B1755" s="472">
        <v>924268549</v>
      </c>
      <c r="C1755" s="341">
        <f>VLOOKUP(A1755,'Anlage 3a_Zusammenfassung_KWKG'!A3504:C3641,3,FALSE)</f>
        <v>259346</v>
      </c>
      <c r="D1755" s="995">
        <f t="shared" si="48"/>
        <v>924527895</v>
      </c>
      <c r="I1755" t="s">
        <v>1534</v>
      </c>
    </row>
    <row r="1756" spans="1:9" hidden="1" outlineLevel="2">
      <c r="A1756" s="993" t="s">
        <v>1957</v>
      </c>
      <c r="B1756" s="472">
        <v>51655896</v>
      </c>
      <c r="C1756" s="341">
        <f>VLOOKUP(A1756,'Anlage 3a_Zusammenfassung_KWKG'!A3505:C3642,3,FALSE)</f>
        <v>0</v>
      </c>
      <c r="D1756" s="995">
        <f t="shared" si="48"/>
        <v>51655896</v>
      </c>
      <c r="I1756" t="s">
        <v>1958</v>
      </c>
    </row>
    <row r="1757" spans="1:9" hidden="1" outlineLevel="2">
      <c r="A1757" s="993" t="s">
        <v>1959</v>
      </c>
      <c r="B1757" s="472">
        <v>48938230</v>
      </c>
      <c r="C1757" s="341">
        <f>VLOOKUP(A1757,'Anlage 3a_Zusammenfassung_KWKG'!A3506:C3643,3,FALSE)</f>
        <v>0</v>
      </c>
      <c r="D1757" s="995">
        <f t="shared" si="48"/>
        <v>48938230</v>
      </c>
      <c r="I1757" t="s">
        <v>1960</v>
      </c>
    </row>
    <row r="1758" spans="1:9" hidden="1" outlineLevel="2">
      <c r="A1758" s="993" t="s">
        <v>1961</v>
      </c>
      <c r="B1758" s="472">
        <v>23486416</v>
      </c>
      <c r="C1758" s="341">
        <f>VLOOKUP(A1758,'Anlage 3a_Zusammenfassung_KWKG'!A3507:C3644,3,FALSE)</f>
        <v>-3105</v>
      </c>
      <c r="D1758" s="995">
        <f t="shared" si="48"/>
        <v>23483311</v>
      </c>
      <c r="I1758" t="s">
        <v>1962</v>
      </c>
    </row>
    <row r="1759" spans="1:9" hidden="1" outlineLevel="2">
      <c r="A1759" s="993" t="s">
        <v>1535</v>
      </c>
      <c r="B1759" s="472">
        <v>10819072</v>
      </c>
      <c r="C1759" s="341">
        <f>VLOOKUP(A1759,'Anlage 3a_Zusammenfassung_KWKG'!A3508:C3645,3,FALSE)</f>
        <v>0</v>
      </c>
      <c r="D1759" s="995">
        <f t="shared" si="48"/>
        <v>10819072</v>
      </c>
      <c r="I1759" t="s">
        <v>1536</v>
      </c>
    </row>
    <row r="1760" spans="1:9" hidden="1" outlineLevel="2">
      <c r="A1760" s="993" t="s">
        <v>1537</v>
      </c>
      <c r="B1760" s="472">
        <v>43828330</v>
      </c>
      <c r="C1760" s="341">
        <f>VLOOKUP(A1760,'Anlage 3a_Zusammenfassung_KWKG'!A3509:C3646,3,FALSE)</f>
        <v>-37374</v>
      </c>
      <c r="D1760" s="995">
        <f t="shared" si="48"/>
        <v>43790956</v>
      </c>
      <c r="I1760" t="s">
        <v>1538</v>
      </c>
    </row>
    <row r="1761" spans="1:9" hidden="1" outlineLevel="2">
      <c r="A1761" s="993" t="s">
        <v>1539</v>
      </c>
      <c r="B1761" s="472">
        <v>26599665</v>
      </c>
      <c r="C1761" s="341">
        <f>VLOOKUP(A1761,'Anlage 3a_Zusammenfassung_KWKG'!A3510:C3647,3,FALSE)</f>
        <v>0</v>
      </c>
      <c r="D1761" s="995">
        <f t="shared" si="48"/>
        <v>26599665</v>
      </c>
      <c r="I1761" t="s">
        <v>1540</v>
      </c>
    </row>
    <row r="1762" spans="1:9" hidden="1" outlineLevel="2">
      <c r="A1762" s="993" t="s">
        <v>1541</v>
      </c>
      <c r="B1762" s="472">
        <v>50916391</v>
      </c>
      <c r="C1762" s="341">
        <f>VLOOKUP(A1762,'Anlage 3a_Zusammenfassung_KWKG'!A3511:C3648,3,FALSE)</f>
        <v>0</v>
      </c>
      <c r="D1762" s="995">
        <f t="shared" si="48"/>
        <v>50916391</v>
      </c>
      <c r="I1762" t="s">
        <v>1542</v>
      </c>
    </row>
    <row r="1763" spans="1:9" hidden="1" outlineLevel="2">
      <c r="A1763" s="993" t="s">
        <v>1543</v>
      </c>
      <c r="B1763" s="472">
        <v>22633807</v>
      </c>
      <c r="C1763" s="341">
        <f>VLOOKUP(A1763,'Anlage 3a_Zusammenfassung_KWKG'!A3512:C3649,3,FALSE)</f>
        <v>0</v>
      </c>
      <c r="D1763" s="995">
        <f t="shared" si="48"/>
        <v>22633807</v>
      </c>
      <c r="I1763" t="s">
        <v>1544</v>
      </c>
    </row>
    <row r="1764" spans="1:9" hidden="1" outlineLevel="2">
      <c r="A1764" s="993" t="s">
        <v>1545</v>
      </c>
      <c r="B1764" s="472">
        <v>19060914</v>
      </c>
      <c r="C1764" s="341">
        <f>VLOOKUP(A1764,'Anlage 3a_Zusammenfassung_KWKG'!A3513:C3650,3,FALSE)</f>
        <v>0</v>
      </c>
      <c r="D1764" s="995">
        <f t="shared" si="48"/>
        <v>19060914</v>
      </c>
      <c r="I1764" t="s">
        <v>1546</v>
      </c>
    </row>
    <row r="1765" spans="1:9" hidden="1" outlineLevel="2">
      <c r="A1765" s="993" t="s">
        <v>86</v>
      </c>
      <c r="B1765" s="472">
        <v>41351682</v>
      </c>
      <c r="C1765" s="341">
        <f>VLOOKUP(A1765,'Anlage 3a_Zusammenfassung_KWKG'!A3514:C3651,3,FALSE)</f>
        <v>429608</v>
      </c>
      <c r="D1765" s="995">
        <f t="shared" si="48"/>
        <v>41781290</v>
      </c>
      <c r="I1765" t="s">
        <v>87</v>
      </c>
    </row>
    <row r="1766" spans="1:9" hidden="1" outlineLevel="2">
      <c r="A1766" s="993" t="s">
        <v>398</v>
      </c>
      <c r="B1766" s="472">
        <v>7234078</v>
      </c>
      <c r="C1766" s="341">
        <f>VLOOKUP(A1766,'Anlage 3a_Zusammenfassung_KWKG'!A3515:C3652,3,FALSE)</f>
        <v>4851</v>
      </c>
      <c r="D1766" s="995">
        <f t="shared" si="48"/>
        <v>7238929</v>
      </c>
      <c r="I1766" t="s">
        <v>399</v>
      </c>
    </row>
    <row r="1767" spans="1:9" hidden="1" outlineLevel="2">
      <c r="A1767" s="993" t="s">
        <v>1547</v>
      </c>
      <c r="B1767" s="472">
        <v>4826400</v>
      </c>
      <c r="C1767" s="341">
        <f>VLOOKUP(A1767,'Anlage 3a_Zusammenfassung_KWKG'!A3516:C3653,3,FALSE)</f>
        <v>1272</v>
      </c>
      <c r="D1767" s="995">
        <f t="shared" si="48"/>
        <v>4827672</v>
      </c>
      <c r="I1767" t="s">
        <v>1548</v>
      </c>
    </row>
    <row r="1768" spans="1:9" hidden="1" outlineLevel="2">
      <c r="A1768" s="993" t="s">
        <v>1549</v>
      </c>
      <c r="B1768" s="472">
        <v>25230810</v>
      </c>
      <c r="C1768" s="341">
        <f>VLOOKUP(A1768,'Anlage 3a_Zusammenfassung_KWKG'!A3517:C3654,3,FALSE)</f>
        <v>0</v>
      </c>
      <c r="D1768" s="995">
        <f t="shared" si="48"/>
        <v>25230810</v>
      </c>
      <c r="I1768" t="s">
        <v>1550</v>
      </c>
    </row>
    <row r="1769" spans="1:9" hidden="1" outlineLevel="2">
      <c r="A1769" s="993" t="s">
        <v>1963</v>
      </c>
      <c r="B1769" s="472">
        <v>1701090</v>
      </c>
      <c r="C1769" s="341">
        <f>VLOOKUP(A1769,'Anlage 3a_Zusammenfassung_KWKG'!A3518:C3655,3,FALSE)</f>
        <v>0</v>
      </c>
      <c r="D1769" s="995">
        <f t="shared" si="48"/>
        <v>1701090</v>
      </c>
      <c r="I1769" t="s">
        <v>1964</v>
      </c>
    </row>
    <row r="1770" spans="1:9" hidden="1" outlineLevel="2">
      <c r="A1770" s="993" t="s">
        <v>1551</v>
      </c>
      <c r="B1770" s="472">
        <v>173852706</v>
      </c>
      <c r="C1770" s="341">
        <f>VLOOKUP(A1770,'Anlage 3a_Zusammenfassung_KWKG'!A3519:C3656,3,FALSE)</f>
        <v>0</v>
      </c>
      <c r="D1770" s="995">
        <f t="shared" si="48"/>
        <v>173852706</v>
      </c>
      <c r="I1770" t="s">
        <v>1552</v>
      </c>
    </row>
    <row r="1771" spans="1:9" hidden="1" outlineLevel="2">
      <c r="A1771" s="993" t="s">
        <v>1965</v>
      </c>
      <c r="B1771" s="472">
        <v>1376030</v>
      </c>
      <c r="C1771" s="341">
        <f>VLOOKUP(A1771,'Anlage 3a_Zusammenfassung_KWKG'!A3520:C3657,3,FALSE)</f>
        <v>0</v>
      </c>
      <c r="D1771" s="995">
        <f t="shared" si="48"/>
        <v>1376030</v>
      </c>
      <c r="I1771" t="s">
        <v>1966</v>
      </c>
    </row>
    <row r="1772" spans="1:9" hidden="1" outlineLevel="2">
      <c r="A1772" s="993" t="s">
        <v>1967</v>
      </c>
      <c r="B1772" s="472">
        <v>2132576</v>
      </c>
      <c r="C1772" s="341">
        <f>VLOOKUP(A1772,'Anlage 3a_Zusammenfassung_KWKG'!A3521:C3658,3,FALSE)</f>
        <v>0</v>
      </c>
      <c r="D1772" s="995">
        <f t="shared" si="48"/>
        <v>2132576</v>
      </c>
      <c r="I1772" t="s">
        <v>1968</v>
      </c>
    </row>
    <row r="1773" spans="1:9" hidden="1" outlineLevel="2">
      <c r="A1773" s="993" t="s">
        <v>1553</v>
      </c>
      <c r="B1773" s="472">
        <v>108707777</v>
      </c>
      <c r="C1773" s="341">
        <f>VLOOKUP(A1773,'Anlage 3a_Zusammenfassung_KWKG'!A3522:C3659,3,FALSE)</f>
        <v>0</v>
      </c>
      <c r="D1773" s="995">
        <f t="shared" si="48"/>
        <v>108707777</v>
      </c>
      <c r="I1773" t="s">
        <v>1554</v>
      </c>
    </row>
    <row r="1774" spans="1:9" hidden="1" outlineLevel="2">
      <c r="A1774" s="993" t="s">
        <v>1555</v>
      </c>
      <c r="B1774" s="472">
        <v>5520226</v>
      </c>
      <c r="C1774" s="341">
        <f>VLOOKUP(A1774,'Anlage 3a_Zusammenfassung_KWKG'!A3523:C3660,3,FALSE)</f>
        <v>0</v>
      </c>
      <c r="D1774" s="995">
        <f t="shared" si="48"/>
        <v>5520226</v>
      </c>
      <c r="I1774" t="s">
        <v>1556</v>
      </c>
    </row>
    <row r="1775" spans="1:9" hidden="1" outlineLevel="2">
      <c r="A1775" s="993" t="s">
        <v>1557</v>
      </c>
      <c r="B1775" s="472">
        <v>1273844</v>
      </c>
      <c r="C1775" s="341">
        <f>VLOOKUP(A1775,'Anlage 3a_Zusammenfassung_KWKG'!A3524:C3661,3,FALSE)</f>
        <v>0</v>
      </c>
      <c r="D1775" s="995">
        <f t="shared" si="48"/>
        <v>1273844</v>
      </c>
      <c r="I1775" t="s">
        <v>1558</v>
      </c>
    </row>
    <row r="1776" spans="1:9" hidden="1" outlineLevel="2">
      <c r="A1776" s="993" t="s">
        <v>585</v>
      </c>
      <c r="B1776" s="472">
        <v>410439</v>
      </c>
      <c r="C1776" s="341">
        <f>VLOOKUP(A1776,'Anlage 3a_Zusammenfassung_KWKG'!A3525:C3662,3,FALSE)</f>
        <v>0</v>
      </c>
      <c r="D1776" s="995">
        <f t="shared" si="48"/>
        <v>410439</v>
      </c>
      <c r="I1776" t="s">
        <v>1969</v>
      </c>
    </row>
    <row r="1777" spans="1:9" hidden="1" outlineLevel="2">
      <c r="A1777" s="993" t="s">
        <v>1559</v>
      </c>
      <c r="B1777" s="472">
        <v>1549112213</v>
      </c>
      <c r="C1777" s="341">
        <f>VLOOKUP(A1777,'Anlage 3a_Zusammenfassung_KWKG'!A3526:C3663,3,FALSE)</f>
        <v>2035700</v>
      </c>
      <c r="D1777" s="995">
        <f t="shared" si="48"/>
        <v>1551147913</v>
      </c>
      <c r="I1777" t="s">
        <v>1560</v>
      </c>
    </row>
    <row r="1778" spans="1:9" hidden="1" outlineLevel="2">
      <c r="A1778" s="993" t="s">
        <v>1561</v>
      </c>
      <c r="B1778" s="472">
        <v>1678464281</v>
      </c>
      <c r="C1778" s="341">
        <f>VLOOKUP(A1778,'Anlage 3a_Zusammenfassung_KWKG'!A3527:C3664,3,FALSE)</f>
        <v>25165836</v>
      </c>
      <c r="D1778" s="995">
        <f t="shared" si="48"/>
        <v>1703630117</v>
      </c>
      <c r="I1778" t="s">
        <v>1562</v>
      </c>
    </row>
    <row r="1779" spans="1:9" hidden="1" outlineLevel="2">
      <c r="A1779" s="993" t="s">
        <v>1413</v>
      </c>
      <c r="B1779" s="472">
        <v>176056817</v>
      </c>
      <c r="C1779" s="341">
        <f>VLOOKUP(A1779,'Anlage 3a_Zusammenfassung_KWKG'!A3528:C3665,3,FALSE)</f>
        <v>0</v>
      </c>
      <c r="D1779" s="995">
        <f t="shared" si="48"/>
        <v>176056817</v>
      </c>
      <c r="I1779" t="s">
        <v>1414</v>
      </c>
    </row>
    <row r="1780" spans="1:9" hidden="1" outlineLevel="2">
      <c r="A1780" s="993" t="s">
        <v>1563</v>
      </c>
      <c r="B1780" s="472">
        <v>30128801</v>
      </c>
      <c r="C1780" s="341">
        <f>VLOOKUP(A1780,'Anlage 3a_Zusammenfassung_KWKG'!A3529:C3666,3,FALSE)</f>
        <v>0</v>
      </c>
      <c r="D1780" s="995">
        <f t="shared" si="48"/>
        <v>30128801</v>
      </c>
      <c r="I1780" t="s">
        <v>1564</v>
      </c>
    </row>
    <row r="1781" spans="1:9" hidden="1" outlineLevel="2">
      <c r="A1781" s="993" t="s">
        <v>613</v>
      </c>
      <c r="B1781" s="472">
        <v>16020248709</v>
      </c>
      <c r="C1781" s="341">
        <f>VLOOKUP(A1781,'Anlage 3a_Zusammenfassung_KWKG'!A3530:C3667,3,FALSE)</f>
        <v>60633580</v>
      </c>
      <c r="D1781" s="995">
        <f t="shared" si="48"/>
        <v>16080882289</v>
      </c>
      <c r="I1781" t="s">
        <v>614</v>
      </c>
    </row>
    <row r="1782" spans="1:9" hidden="1" outlineLevel="2">
      <c r="A1782" s="993" t="s">
        <v>1565</v>
      </c>
      <c r="B1782" s="472">
        <v>85516437</v>
      </c>
      <c r="C1782" s="341">
        <f>VLOOKUP(A1782,'Anlage 3a_Zusammenfassung_KWKG'!A3531:C3668,3,FALSE)</f>
        <v>0</v>
      </c>
      <c r="D1782" s="995">
        <f t="shared" si="48"/>
        <v>85516437</v>
      </c>
      <c r="I1782" t="s">
        <v>1566</v>
      </c>
    </row>
    <row r="1783" spans="1:9" hidden="1" outlineLevel="2">
      <c r="A1783" s="993" t="s">
        <v>1567</v>
      </c>
      <c r="B1783" s="472">
        <v>111135905</v>
      </c>
      <c r="C1783" s="341">
        <f>VLOOKUP(A1783,'Anlage 3a_Zusammenfassung_KWKG'!A3532:C3669,3,FALSE)</f>
        <v>1067033</v>
      </c>
      <c r="D1783" s="995">
        <f t="shared" si="48"/>
        <v>112202938</v>
      </c>
      <c r="I1783" t="s">
        <v>1568</v>
      </c>
    </row>
    <row r="1784" spans="1:9" hidden="1" outlineLevel="2">
      <c r="A1784" s="993" t="s">
        <v>1569</v>
      </c>
      <c r="B1784" s="472">
        <v>1871982854</v>
      </c>
      <c r="C1784" s="341">
        <f>VLOOKUP(A1784,'Anlage 3a_Zusammenfassung_KWKG'!A3533:C3670,3,FALSE)</f>
        <v>1645192</v>
      </c>
      <c r="D1784" s="995">
        <f t="shared" si="48"/>
        <v>1873628046</v>
      </c>
      <c r="I1784" t="s">
        <v>1570</v>
      </c>
    </row>
    <row r="1785" spans="1:9" hidden="1" outlineLevel="2">
      <c r="A1785" s="993" t="s">
        <v>1571</v>
      </c>
      <c r="B1785" s="472">
        <v>616460549</v>
      </c>
      <c r="C1785" s="341">
        <f>VLOOKUP(A1785,'Anlage 3a_Zusammenfassung_KWKG'!A3534:C3671,3,FALSE)</f>
        <v>0</v>
      </c>
      <c r="D1785" s="995">
        <f t="shared" si="48"/>
        <v>616460549</v>
      </c>
      <c r="I1785" t="s">
        <v>1572</v>
      </c>
    </row>
    <row r="1786" spans="1:9" hidden="1" outlineLevel="2">
      <c r="A1786" s="993" t="s">
        <v>1573</v>
      </c>
      <c r="B1786" s="472">
        <v>14724486</v>
      </c>
      <c r="C1786" s="341">
        <f>VLOOKUP(A1786,'Anlage 3a_Zusammenfassung_KWKG'!A3535:C3672,3,FALSE)</f>
        <v>0</v>
      </c>
      <c r="D1786" s="995">
        <f t="shared" si="48"/>
        <v>14724486</v>
      </c>
      <c r="I1786" t="s">
        <v>1574</v>
      </c>
    </row>
    <row r="1787" spans="1:9" hidden="1" outlineLevel="2">
      <c r="A1787" s="993" t="s">
        <v>1970</v>
      </c>
      <c r="B1787" s="472">
        <v>103029314</v>
      </c>
      <c r="C1787" s="341">
        <f>VLOOKUP(A1787,'Anlage 3a_Zusammenfassung_KWKG'!A3536:C3673,3,FALSE)</f>
        <v>0</v>
      </c>
      <c r="D1787" s="995">
        <f t="shared" si="48"/>
        <v>103029314</v>
      </c>
      <c r="I1787" t="s">
        <v>1971</v>
      </c>
    </row>
    <row r="1788" spans="1:9" hidden="1" outlineLevel="2">
      <c r="A1788" s="993" t="s">
        <v>1575</v>
      </c>
      <c r="B1788" s="472">
        <v>73221496</v>
      </c>
      <c r="C1788" s="341">
        <f>VLOOKUP(A1788,'Anlage 3a_Zusammenfassung_KWKG'!A3537:C3674,3,FALSE)</f>
        <v>0</v>
      </c>
      <c r="D1788" s="995">
        <f t="shared" si="48"/>
        <v>73221496</v>
      </c>
      <c r="I1788" t="s">
        <v>1576</v>
      </c>
    </row>
    <row r="1789" spans="1:9" hidden="1" outlineLevel="2">
      <c r="A1789" s="993" t="s">
        <v>1577</v>
      </c>
      <c r="B1789" s="472">
        <v>213773757</v>
      </c>
      <c r="C1789" s="341">
        <f>VLOOKUP(A1789,'Anlage 3a_Zusammenfassung_KWKG'!A3538:C3675,3,FALSE)</f>
        <v>-289531</v>
      </c>
      <c r="D1789" s="995">
        <f t="shared" si="48"/>
        <v>213484226</v>
      </c>
      <c r="I1789" t="s">
        <v>1578</v>
      </c>
    </row>
    <row r="1790" spans="1:9" hidden="1" outlineLevel="2">
      <c r="A1790" s="993" t="s">
        <v>1579</v>
      </c>
      <c r="B1790" s="472">
        <v>146490234</v>
      </c>
      <c r="C1790" s="341">
        <f>VLOOKUP(A1790,'Anlage 3a_Zusammenfassung_KWKG'!A3539:C3676,3,FALSE)</f>
        <v>-717800</v>
      </c>
      <c r="D1790" s="995">
        <f t="shared" si="48"/>
        <v>145772434</v>
      </c>
      <c r="I1790" t="s">
        <v>1580</v>
      </c>
    </row>
    <row r="1791" spans="1:9" hidden="1" outlineLevel="2">
      <c r="A1791" s="993" t="s">
        <v>1581</v>
      </c>
      <c r="B1791" s="472">
        <v>421073914</v>
      </c>
      <c r="C1791" s="341">
        <f>VLOOKUP(A1791,'Anlage 3a_Zusammenfassung_KWKG'!A3540:C3677,3,FALSE)</f>
        <v>-1202111</v>
      </c>
      <c r="D1791" s="995">
        <f t="shared" si="48"/>
        <v>419871803</v>
      </c>
      <c r="I1791" t="s">
        <v>1582</v>
      </c>
    </row>
    <row r="1792" spans="1:9" hidden="1" outlineLevel="2">
      <c r="A1792" s="993" t="s">
        <v>1583</v>
      </c>
      <c r="B1792" s="472">
        <v>91603876</v>
      </c>
      <c r="C1792" s="341">
        <f>VLOOKUP(A1792,'Anlage 3a_Zusammenfassung_KWKG'!A3541:C3678,3,FALSE)</f>
        <v>0</v>
      </c>
      <c r="D1792" s="995">
        <f t="shared" si="48"/>
        <v>91603876</v>
      </c>
      <c r="I1792" t="s">
        <v>1584</v>
      </c>
    </row>
    <row r="1793" spans="1:9" hidden="1" outlineLevel="2">
      <c r="A1793" s="993" t="s">
        <v>1585</v>
      </c>
      <c r="B1793" s="472">
        <v>181124793</v>
      </c>
      <c r="C1793" s="341">
        <f>VLOOKUP(A1793,'Anlage 3a_Zusammenfassung_KWKG'!A3542:C3679,3,FALSE)</f>
        <v>30494603</v>
      </c>
      <c r="D1793" s="995">
        <f t="shared" si="48"/>
        <v>211619396</v>
      </c>
      <c r="I1793" t="s">
        <v>1586</v>
      </c>
    </row>
    <row r="1794" spans="1:9" hidden="1" outlineLevel="2">
      <c r="A1794" s="993" t="s">
        <v>1587</v>
      </c>
      <c r="B1794" s="472">
        <v>41405250</v>
      </c>
      <c r="C1794" s="341">
        <f>VLOOKUP(A1794,'Anlage 3a_Zusammenfassung_KWKG'!A3543:C3680,3,FALSE)</f>
        <v>-13833</v>
      </c>
      <c r="D1794" s="995">
        <f t="shared" si="48"/>
        <v>41391417</v>
      </c>
      <c r="I1794" t="s">
        <v>1588</v>
      </c>
    </row>
    <row r="1795" spans="1:9" hidden="1" outlineLevel="2">
      <c r="A1795" s="993" t="s">
        <v>1589</v>
      </c>
      <c r="B1795" s="472">
        <v>19751721</v>
      </c>
      <c r="C1795" s="341">
        <f>VLOOKUP(A1795,'Anlage 3a_Zusammenfassung_KWKG'!A3544:C3681,3,FALSE)</f>
        <v>0</v>
      </c>
      <c r="D1795" s="995">
        <f t="shared" si="48"/>
        <v>19751721</v>
      </c>
      <c r="I1795" t="s">
        <v>1590</v>
      </c>
    </row>
    <row r="1796" spans="1:9" hidden="1" outlineLevel="2">
      <c r="A1796" s="993" t="s">
        <v>1591</v>
      </c>
      <c r="B1796" s="472">
        <v>73936635</v>
      </c>
      <c r="C1796" s="341">
        <f>VLOOKUP(A1796,'Anlage 3a_Zusammenfassung_KWKG'!A3545:C3682,3,FALSE)</f>
        <v>0</v>
      </c>
      <c r="D1796" s="995">
        <f t="shared" si="48"/>
        <v>73936635</v>
      </c>
      <c r="I1796" t="s">
        <v>1592</v>
      </c>
    </row>
    <row r="1797" spans="1:9" hidden="1" outlineLevel="2">
      <c r="A1797" s="993" t="s">
        <v>1593</v>
      </c>
      <c r="B1797" s="472">
        <v>58414654</v>
      </c>
      <c r="C1797" s="341">
        <f>VLOOKUP(A1797,'Anlage 3a_Zusammenfassung_KWKG'!A3546:C3683,3,FALSE)</f>
        <v>-123771</v>
      </c>
      <c r="D1797" s="995">
        <f t="shared" si="48"/>
        <v>58290883</v>
      </c>
      <c r="I1797" t="s">
        <v>1594</v>
      </c>
    </row>
    <row r="1798" spans="1:9" hidden="1" outlineLevel="2">
      <c r="A1798" s="993" t="s">
        <v>1595</v>
      </c>
      <c r="B1798" s="472">
        <v>37049231</v>
      </c>
      <c r="C1798" s="341">
        <f>VLOOKUP(A1798,'Anlage 3a_Zusammenfassung_KWKG'!A3547:C3684,3,FALSE)</f>
        <v>0</v>
      </c>
      <c r="D1798" s="995">
        <f t="shared" si="48"/>
        <v>37049231</v>
      </c>
      <c r="I1798" t="s">
        <v>1596</v>
      </c>
    </row>
    <row r="1799" spans="1:9" hidden="1" outlineLevel="2">
      <c r="A1799" s="993" t="s">
        <v>1597</v>
      </c>
      <c r="B1799" s="472">
        <v>218454060</v>
      </c>
      <c r="C1799" s="341">
        <f>VLOOKUP(A1799,'Anlage 3a_Zusammenfassung_KWKG'!A3548:C3685,3,FALSE)</f>
        <v>0</v>
      </c>
      <c r="D1799" s="995">
        <f t="shared" si="48"/>
        <v>218454060</v>
      </c>
      <c r="I1799" t="s">
        <v>1598</v>
      </c>
    </row>
    <row r="1800" spans="1:9" hidden="1" outlineLevel="2">
      <c r="A1800" s="993" t="s">
        <v>1599</v>
      </c>
      <c r="B1800" s="472">
        <v>130304078</v>
      </c>
      <c r="C1800" s="341">
        <f>VLOOKUP(A1800,'Anlage 3a_Zusammenfassung_KWKG'!A3549:C3686,3,FALSE)</f>
        <v>0</v>
      </c>
      <c r="D1800" s="995">
        <f t="shared" si="48"/>
        <v>130304078</v>
      </c>
      <c r="I1800" t="s">
        <v>1600</v>
      </c>
    </row>
    <row r="1801" spans="1:9" hidden="1" outlineLevel="2">
      <c r="A1801" s="993" t="s">
        <v>1601</v>
      </c>
      <c r="B1801" s="472">
        <v>196075373</v>
      </c>
      <c r="C1801" s="341">
        <f>VLOOKUP(A1801,'Anlage 3a_Zusammenfassung_KWKG'!A3550:C3687,3,FALSE)</f>
        <v>14172804</v>
      </c>
      <c r="D1801" s="995">
        <f t="shared" si="48"/>
        <v>210248177</v>
      </c>
      <c r="I1801" t="s">
        <v>1602</v>
      </c>
    </row>
    <row r="1802" spans="1:9" hidden="1" outlineLevel="2">
      <c r="A1802" s="993" t="s">
        <v>1603</v>
      </c>
      <c r="B1802" s="472">
        <v>135979488</v>
      </c>
      <c r="C1802" s="341">
        <f>VLOOKUP(A1802,'Anlage 3a_Zusammenfassung_KWKG'!A3551:C3688,3,FALSE)</f>
        <v>0</v>
      </c>
      <c r="D1802" s="995">
        <f t="shared" si="48"/>
        <v>135979488</v>
      </c>
      <c r="I1802" t="s">
        <v>1604</v>
      </c>
    </row>
    <row r="1803" spans="1:9" hidden="1" outlineLevel="2">
      <c r="A1803" s="993" t="s">
        <v>1605</v>
      </c>
      <c r="B1803" s="472">
        <v>53652564</v>
      </c>
      <c r="C1803" s="341">
        <f>VLOOKUP(A1803,'Anlage 3a_Zusammenfassung_KWKG'!A3552:C3689,3,FALSE)</f>
        <v>18819</v>
      </c>
      <c r="D1803" s="995">
        <f t="shared" si="48"/>
        <v>53671383</v>
      </c>
      <c r="I1803" t="s">
        <v>1606</v>
      </c>
    </row>
    <row r="1804" spans="1:9" hidden="1" outlineLevel="2">
      <c r="A1804" s="993" t="s">
        <v>1607</v>
      </c>
      <c r="B1804" s="472">
        <v>203093381</v>
      </c>
      <c r="C1804" s="341">
        <f>VLOOKUP(A1804,'Anlage 3a_Zusammenfassung_KWKG'!A3553:C3690,3,FALSE)</f>
        <v>0</v>
      </c>
      <c r="D1804" s="995">
        <f t="shared" si="48"/>
        <v>203093381</v>
      </c>
      <c r="I1804" t="s">
        <v>1608</v>
      </c>
    </row>
    <row r="1805" spans="1:9" hidden="1" outlineLevel="2">
      <c r="A1805" s="993" t="s">
        <v>1609</v>
      </c>
      <c r="B1805" s="472">
        <v>216313439</v>
      </c>
      <c r="C1805" s="341">
        <f>VLOOKUP(A1805,'Anlage 3a_Zusammenfassung_KWKG'!A3554:C3691,3,FALSE)</f>
        <v>-1454801</v>
      </c>
      <c r="D1805" s="995">
        <f t="shared" si="48"/>
        <v>214858638</v>
      </c>
      <c r="I1805" t="s">
        <v>1610</v>
      </c>
    </row>
    <row r="1806" spans="1:9" hidden="1" outlineLevel="2">
      <c r="A1806" s="993" t="s">
        <v>1611</v>
      </c>
      <c r="B1806" s="472">
        <v>140031298</v>
      </c>
      <c r="C1806" s="341">
        <f>VLOOKUP(A1806,'Anlage 3a_Zusammenfassung_KWKG'!A3555:C3692,3,FALSE)</f>
        <v>-448464</v>
      </c>
      <c r="D1806" s="995">
        <f t="shared" si="48"/>
        <v>139582834</v>
      </c>
      <c r="I1806" t="s">
        <v>1612</v>
      </c>
    </row>
    <row r="1807" spans="1:9" hidden="1" outlineLevel="2">
      <c r="A1807" s="993" t="s">
        <v>1613</v>
      </c>
      <c r="B1807" s="472">
        <v>55768869</v>
      </c>
      <c r="C1807" s="341">
        <f>VLOOKUP(A1807,'Anlage 3a_Zusammenfassung_KWKG'!A3556:C3693,3,FALSE)</f>
        <v>-203662</v>
      </c>
      <c r="D1807" s="995">
        <f t="shared" si="48"/>
        <v>55565207</v>
      </c>
      <c r="I1807" t="s">
        <v>1614</v>
      </c>
    </row>
    <row r="1808" spans="1:9" hidden="1" outlineLevel="2">
      <c r="A1808" s="993" t="s">
        <v>1615</v>
      </c>
      <c r="B1808" s="472">
        <v>110620941</v>
      </c>
      <c r="C1808" s="341">
        <f>VLOOKUP(A1808,'Anlage 3a_Zusammenfassung_KWKG'!A3557:C3694,3,FALSE)</f>
        <v>0</v>
      </c>
      <c r="D1808" s="995">
        <f t="shared" si="48"/>
        <v>110620941</v>
      </c>
      <c r="I1808" t="s">
        <v>1616</v>
      </c>
    </row>
    <row r="1809" spans="1:9" hidden="1" outlineLevel="2">
      <c r="A1809" s="993" t="s">
        <v>1617</v>
      </c>
      <c r="B1809" s="472">
        <v>33647770</v>
      </c>
      <c r="C1809" s="341">
        <f>VLOOKUP(A1809,'Anlage 3a_Zusammenfassung_KWKG'!A3558:C3695,3,FALSE)</f>
        <v>0</v>
      </c>
      <c r="D1809" s="995">
        <f t="shared" si="48"/>
        <v>33647770</v>
      </c>
      <c r="I1809" t="s">
        <v>1618</v>
      </c>
    </row>
    <row r="1810" spans="1:9" hidden="1" outlineLevel="2">
      <c r="A1810" s="993" t="s">
        <v>1619</v>
      </c>
      <c r="B1810" s="472">
        <v>162790645</v>
      </c>
      <c r="C1810" s="341">
        <f>VLOOKUP(A1810,'Anlage 3a_Zusammenfassung_KWKG'!A3559:C3696,3,FALSE)</f>
        <v>0</v>
      </c>
      <c r="D1810" s="995">
        <f t="shared" si="48"/>
        <v>162790645</v>
      </c>
      <c r="I1810" t="s">
        <v>1620</v>
      </c>
    </row>
    <row r="1811" spans="1:9" hidden="1" outlineLevel="2">
      <c r="A1811" s="993" t="s">
        <v>1621</v>
      </c>
      <c r="B1811" s="472">
        <v>126830342</v>
      </c>
      <c r="C1811" s="341">
        <f>VLOOKUP(A1811,'Anlage 3a_Zusammenfassung_KWKG'!A3560:C3697,3,FALSE)</f>
        <v>-76959</v>
      </c>
      <c r="D1811" s="995">
        <f t="shared" si="48"/>
        <v>126753383</v>
      </c>
      <c r="I1811" t="s">
        <v>1622</v>
      </c>
    </row>
    <row r="1812" spans="1:9" hidden="1" outlineLevel="2">
      <c r="A1812" s="993" t="s">
        <v>1623</v>
      </c>
      <c r="B1812" s="472">
        <v>95924550</v>
      </c>
      <c r="C1812" s="341">
        <f>VLOOKUP(A1812,'Anlage 3a_Zusammenfassung_KWKG'!A3561:C3698,3,FALSE)</f>
        <v>-522904</v>
      </c>
      <c r="D1812" s="995">
        <f t="shared" si="48"/>
        <v>95401646</v>
      </c>
      <c r="I1812" t="s">
        <v>1624</v>
      </c>
    </row>
    <row r="1813" spans="1:9" hidden="1" outlineLevel="2">
      <c r="A1813" s="993" t="s">
        <v>1625</v>
      </c>
      <c r="B1813" s="472">
        <v>23671232</v>
      </c>
      <c r="C1813" s="341">
        <f>VLOOKUP(A1813,'Anlage 3a_Zusammenfassung_KWKG'!A3562:C3699,3,FALSE)</f>
        <v>-85265</v>
      </c>
      <c r="D1813" s="995">
        <f t="shared" si="48"/>
        <v>23585967</v>
      </c>
      <c r="I1813" t="s">
        <v>1626</v>
      </c>
    </row>
    <row r="1814" spans="1:9" hidden="1" outlineLevel="2">
      <c r="A1814" s="993" t="s">
        <v>1627</v>
      </c>
      <c r="B1814" s="472">
        <v>36797686</v>
      </c>
      <c r="C1814" s="341">
        <f>VLOOKUP(A1814,'Anlage 3a_Zusammenfassung_KWKG'!A3563:C3700,3,FALSE)</f>
        <v>0</v>
      </c>
      <c r="D1814" s="995">
        <f t="shared" si="48"/>
        <v>36797686</v>
      </c>
      <c r="I1814" t="s">
        <v>1628</v>
      </c>
    </row>
    <row r="1815" spans="1:9" hidden="1" outlineLevel="2">
      <c r="A1815" s="993" t="s">
        <v>1629</v>
      </c>
      <c r="B1815" s="472">
        <v>771351211</v>
      </c>
      <c r="C1815" s="341">
        <f>VLOOKUP(A1815,'Anlage 3a_Zusammenfassung_KWKG'!A3564:C3701,3,FALSE)</f>
        <v>-6115163</v>
      </c>
      <c r="D1815" s="995">
        <f t="shared" ref="D1815:D1864" si="49">SUM(B1815:C1815)</f>
        <v>765236048</v>
      </c>
      <c r="I1815" t="s">
        <v>1630</v>
      </c>
    </row>
    <row r="1816" spans="1:9" hidden="1" outlineLevel="2">
      <c r="A1816" s="993" t="s">
        <v>1631</v>
      </c>
      <c r="B1816" s="472">
        <v>79591213</v>
      </c>
      <c r="C1816" s="341">
        <f>VLOOKUP(A1816,'Anlage 3a_Zusammenfassung_KWKG'!A3565:C3702,3,FALSE)</f>
        <v>253525</v>
      </c>
      <c r="D1816" s="995">
        <f t="shared" si="49"/>
        <v>79844738</v>
      </c>
      <c r="I1816" t="s">
        <v>1632</v>
      </c>
    </row>
    <row r="1817" spans="1:9" hidden="1" outlineLevel="2">
      <c r="A1817" s="993" t="s">
        <v>1633</v>
      </c>
      <c r="B1817" s="472">
        <v>1295397337</v>
      </c>
      <c r="C1817" s="341">
        <f>VLOOKUP(A1817,'Anlage 3a_Zusammenfassung_KWKG'!A3566:C3703,3,FALSE)</f>
        <v>-7958863</v>
      </c>
      <c r="D1817" s="995">
        <f t="shared" si="49"/>
        <v>1287438474</v>
      </c>
      <c r="I1817" t="s">
        <v>1634</v>
      </c>
    </row>
    <row r="1818" spans="1:9" hidden="1" outlineLevel="2">
      <c r="A1818" s="993" t="s">
        <v>1635</v>
      </c>
      <c r="B1818" s="472">
        <v>255337905</v>
      </c>
      <c r="C1818" s="341">
        <f>VLOOKUP(A1818,'Anlage 3a_Zusammenfassung_KWKG'!A3567:C3704,3,FALSE)</f>
        <v>74019</v>
      </c>
      <c r="D1818" s="995">
        <f t="shared" si="49"/>
        <v>255411924</v>
      </c>
      <c r="I1818" t="s">
        <v>1636</v>
      </c>
    </row>
    <row r="1819" spans="1:9" hidden="1" outlineLevel="2">
      <c r="A1819" s="993" t="s">
        <v>1637</v>
      </c>
      <c r="B1819" s="472">
        <v>139467912</v>
      </c>
      <c r="C1819" s="341">
        <f>VLOOKUP(A1819,'Anlage 3a_Zusammenfassung_KWKG'!A3568:C3705,3,FALSE)</f>
        <v>319540</v>
      </c>
      <c r="D1819" s="995">
        <f t="shared" si="49"/>
        <v>139787452</v>
      </c>
      <c r="I1819" t="s">
        <v>1638</v>
      </c>
    </row>
    <row r="1820" spans="1:9" hidden="1" outlineLevel="2">
      <c r="A1820" s="993" t="s">
        <v>767</v>
      </c>
      <c r="B1820" s="472">
        <v>382669090</v>
      </c>
      <c r="C1820" s="341">
        <f>VLOOKUP(A1820,'Anlage 3a_Zusammenfassung_KWKG'!A3569:C3706,3,FALSE)</f>
        <v>0</v>
      </c>
      <c r="D1820" s="995">
        <f t="shared" si="49"/>
        <v>382669090</v>
      </c>
      <c r="I1820" t="s">
        <v>768</v>
      </c>
    </row>
    <row r="1821" spans="1:9" hidden="1" outlineLevel="2">
      <c r="A1821" s="993" t="s">
        <v>1639</v>
      </c>
      <c r="B1821" s="472">
        <v>38457146</v>
      </c>
      <c r="C1821" s="341">
        <f>VLOOKUP(A1821,'Anlage 3a_Zusammenfassung_KWKG'!A3570:C3707,3,FALSE)</f>
        <v>0</v>
      </c>
      <c r="D1821" s="995">
        <f t="shared" si="49"/>
        <v>38457146</v>
      </c>
      <c r="I1821" t="s">
        <v>1640</v>
      </c>
    </row>
    <row r="1822" spans="1:9" hidden="1" outlineLevel="2">
      <c r="A1822" s="993" t="s">
        <v>1641</v>
      </c>
      <c r="B1822" s="472">
        <v>84757662</v>
      </c>
      <c r="C1822" s="341">
        <f>VLOOKUP(A1822,'Anlage 3a_Zusammenfassung_KWKG'!A3571:C3708,3,FALSE)</f>
        <v>0</v>
      </c>
      <c r="D1822" s="995">
        <f t="shared" si="49"/>
        <v>84757662</v>
      </c>
      <c r="I1822" t="s">
        <v>1642</v>
      </c>
    </row>
    <row r="1823" spans="1:9" hidden="1" outlineLevel="2">
      <c r="A1823" s="993" t="s">
        <v>1643</v>
      </c>
      <c r="B1823" s="472">
        <v>114674006</v>
      </c>
      <c r="C1823" s="341">
        <f>VLOOKUP(A1823,'Anlage 3a_Zusammenfassung_KWKG'!A3572:C3709,3,FALSE)</f>
        <v>0</v>
      </c>
      <c r="D1823" s="995">
        <f t="shared" si="49"/>
        <v>114674006</v>
      </c>
      <c r="I1823" t="s">
        <v>1644</v>
      </c>
    </row>
    <row r="1824" spans="1:9" hidden="1" outlineLevel="2">
      <c r="A1824" s="993" t="s">
        <v>1645</v>
      </c>
      <c r="B1824" s="472">
        <v>52926833</v>
      </c>
      <c r="C1824" s="341">
        <f>VLOOKUP(A1824,'Anlage 3a_Zusammenfassung_KWKG'!A3573:C3710,3,FALSE)</f>
        <v>-336801</v>
      </c>
      <c r="D1824" s="995">
        <f t="shared" si="49"/>
        <v>52590032</v>
      </c>
      <c r="I1824" t="s">
        <v>1646</v>
      </c>
    </row>
    <row r="1825" spans="1:9" hidden="1" outlineLevel="2">
      <c r="A1825" s="993" t="s">
        <v>1647</v>
      </c>
      <c r="B1825" s="472">
        <v>81667115</v>
      </c>
      <c r="C1825" s="341">
        <f>VLOOKUP(A1825,'Anlage 3a_Zusammenfassung_KWKG'!A3574:C3711,3,FALSE)</f>
        <v>-312544</v>
      </c>
      <c r="D1825" s="995">
        <f t="shared" si="49"/>
        <v>81354571</v>
      </c>
      <c r="I1825" t="s">
        <v>1648</v>
      </c>
    </row>
    <row r="1826" spans="1:9" hidden="1" outlineLevel="2">
      <c r="A1826" s="993" t="s">
        <v>1649</v>
      </c>
      <c r="B1826" s="472">
        <v>25930437</v>
      </c>
      <c r="C1826" s="341">
        <f>VLOOKUP(A1826,'Anlage 3a_Zusammenfassung_KWKG'!A3575:C3712,3,FALSE)</f>
        <v>-40096</v>
      </c>
      <c r="D1826" s="995">
        <f t="shared" si="49"/>
        <v>25890341</v>
      </c>
      <c r="I1826" t="s">
        <v>1650</v>
      </c>
    </row>
    <row r="1827" spans="1:9" hidden="1" outlineLevel="2">
      <c r="A1827" s="993" t="s">
        <v>1651</v>
      </c>
      <c r="B1827" s="472">
        <v>128590648</v>
      </c>
      <c r="C1827" s="341">
        <f>VLOOKUP(A1827,'Anlage 3a_Zusammenfassung_KWKG'!A3576:C3713,3,FALSE)</f>
        <v>2305574</v>
      </c>
      <c r="D1827" s="995">
        <f t="shared" si="49"/>
        <v>130896222</v>
      </c>
      <c r="I1827" t="s">
        <v>1652</v>
      </c>
    </row>
    <row r="1828" spans="1:9" hidden="1" outlineLevel="2">
      <c r="A1828" s="993" t="s">
        <v>1653</v>
      </c>
      <c r="B1828" s="472">
        <v>54350261</v>
      </c>
      <c r="C1828" s="341">
        <f>VLOOKUP(A1828,'Anlage 3a_Zusammenfassung_KWKG'!A3577:C3714,3,FALSE)</f>
        <v>0</v>
      </c>
      <c r="D1828" s="995">
        <f t="shared" si="49"/>
        <v>54350261</v>
      </c>
      <c r="I1828" t="s">
        <v>1654</v>
      </c>
    </row>
    <row r="1829" spans="1:9" hidden="1" outlineLevel="2">
      <c r="A1829" s="993" t="s">
        <v>1655</v>
      </c>
      <c r="B1829" s="472">
        <v>106991905</v>
      </c>
      <c r="C1829" s="341">
        <f>VLOOKUP(A1829,'Anlage 3a_Zusammenfassung_KWKG'!A3578:C3715,3,FALSE)</f>
        <v>2995648</v>
      </c>
      <c r="D1829" s="995">
        <f t="shared" si="49"/>
        <v>109987553</v>
      </c>
      <c r="I1829" t="s">
        <v>1656</v>
      </c>
    </row>
    <row r="1830" spans="1:9" hidden="1" outlineLevel="2">
      <c r="A1830" s="993" t="s">
        <v>1657</v>
      </c>
      <c r="B1830" s="472">
        <v>154278523</v>
      </c>
      <c r="C1830" s="341">
        <f>VLOOKUP(A1830,'Anlage 3a_Zusammenfassung_KWKG'!A3579:C3716,3,FALSE)</f>
        <v>292248</v>
      </c>
      <c r="D1830" s="995">
        <f t="shared" si="49"/>
        <v>154570771</v>
      </c>
      <c r="I1830" t="s">
        <v>1658</v>
      </c>
    </row>
    <row r="1831" spans="1:9" hidden="1" outlineLevel="2">
      <c r="A1831" s="993" t="s">
        <v>1659</v>
      </c>
      <c r="B1831" s="472">
        <v>92696274</v>
      </c>
      <c r="C1831" s="341">
        <f>VLOOKUP(A1831,'Anlage 3a_Zusammenfassung_KWKG'!A3580:C3717,3,FALSE)</f>
        <v>-4081710</v>
      </c>
      <c r="D1831" s="995">
        <f t="shared" si="49"/>
        <v>88614564</v>
      </c>
      <c r="I1831" t="s">
        <v>1660</v>
      </c>
    </row>
    <row r="1832" spans="1:9" hidden="1" outlineLevel="2">
      <c r="A1832" s="993" t="s">
        <v>1661</v>
      </c>
      <c r="B1832" s="472">
        <v>146766357</v>
      </c>
      <c r="C1832" s="341">
        <f>VLOOKUP(A1832,'Anlage 3a_Zusammenfassung_KWKG'!A3581:C3718,3,FALSE)</f>
        <v>0</v>
      </c>
      <c r="D1832" s="995">
        <f t="shared" si="49"/>
        <v>146766357</v>
      </c>
      <c r="I1832" t="s">
        <v>1662</v>
      </c>
    </row>
    <row r="1833" spans="1:9" hidden="1" outlineLevel="2">
      <c r="A1833" s="993" t="s">
        <v>1663</v>
      </c>
      <c r="B1833" s="472">
        <v>307952593</v>
      </c>
      <c r="C1833" s="341">
        <f>VLOOKUP(A1833,'Anlage 3a_Zusammenfassung_KWKG'!A3582:C3719,3,FALSE)</f>
        <v>0</v>
      </c>
      <c r="D1833" s="995">
        <f t="shared" si="49"/>
        <v>307952593</v>
      </c>
      <c r="I1833" t="s">
        <v>1664</v>
      </c>
    </row>
    <row r="1834" spans="1:9" hidden="1" outlineLevel="2">
      <c r="A1834" s="993" t="s">
        <v>789</v>
      </c>
      <c r="B1834" s="472">
        <v>243598516</v>
      </c>
      <c r="C1834" s="341">
        <f>VLOOKUP(A1834,'Anlage 3a_Zusammenfassung_KWKG'!A3583:C3720,3,FALSE)</f>
        <v>-1053465</v>
      </c>
      <c r="D1834" s="995">
        <f t="shared" si="49"/>
        <v>242545051</v>
      </c>
      <c r="I1834" t="s">
        <v>790</v>
      </c>
    </row>
    <row r="1835" spans="1:9" hidden="1" outlineLevel="2">
      <c r="A1835" s="993" t="s">
        <v>1665</v>
      </c>
      <c r="B1835" s="472">
        <v>72504526</v>
      </c>
      <c r="C1835" s="341">
        <f>VLOOKUP(A1835,'Anlage 3a_Zusammenfassung_KWKG'!A3584:C3721,3,FALSE)</f>
        <v>0</v>
      </c>
      <c r="D1835" s="995">
        <f t="shared" si="49"/>
        <v>72504526</v>
      </c>
      <c r="I1835" t="s">
        <v>1666</v>
      </c>
    </row>
    <row r="1836" spans="1:9" hidden="1" outlineLevel="2">
      <c r="A1836" s="993" t="s">
        <v>1667</v>
      </c>
      <c r="B1836" s="472">
        <v>211727823</v>
      </c>
      <c r="C1836" s="341">
        <f>VLOOKUP(A1836,'Anlage 3a_Zusammenfassung_KWKG'!A3585:C3722,3,FALSE)</f>
        <v>0</v>
      </c>
      <c r="D1836" s="995">
        <f t="shared" si="49"/>
        <v>211727823</v>
      </c>
      <c r="I1836" t="s">
        <v>1668</v>
      </c>
    </row>
    <row r="1837" spans="1:9" hidden="1" outlineLevel="2">
      <c r="A1837" s="993" t="s">
        <v>1669</v>
      </c>
      <c r="B1837" s="472">
        <v>65033473</v>
      </c>
      <c r="C1837" s="341">
        <f>VLOOKUP(A1837,'Anlage 3a_Zusammenfassung_KWKG'!A3586:C3723,3,FALSE)</f>
        <v>0</v>
      </c>
      <c r="D1837" s="995">
        <f t="shared" si="49"/>
        <v>65033473</v>
      </c>
      <c r="I1837" t="s">
        <v>1670</v>
      </c>
    </row>
    <row r="1838" spans="1:9" hidden="1" outlineLevel="2">
      <c r="A1838" s="993" t="s">
        <v>1671</v>
      </c>
      <c r="B1838" s="472">
        <v>433848103</v>
      </c>
      <c r="C1838" s="341">
        <f>VLOOKUP(A1838,'Anlage 3a_Zusammenfassung_KWKG'!A3587:C3724,3,FALSE)</f>
        <v>0</v>
      </c>
      <c r="D1838" s="995">
        <f t="shared" si="49"/>
        <v>433848103</v>
      </c>
      <c r="I1838" t="s">
        <v>1672</v>
      </c>
    </row>
    <row r="1839" spans="1:9" hidden="1" outlineLevel="2">
      <c r="A1839" s="993" t="s">
        <v>1673</v>
      </c>
      <c r="B1839" s="472">
        <v>210276775</v>
      </c>
      <c r="C1839" s="341">
        <f>VLOOKUP(A1839,'Anlage 3a_Zusammenfassung_KWKG'!A3588:C3725,3,FALSE)</f>
        <v>-1373081</v>
      </c>
      <c r="D1839" s="995">
        <f t="shared" si="49"/>
        <v>208903694</v>
      </c>
      <c r="I1839" t="s">
        <v>1674</v>
      </c>
    </row>
    <row r="1840" spans="1:9" hidden="1" outlineLevel="2">
      <c r="A1840" s="993" t="s">
        <v>543</v>
      </c>
      <c r="B1840" s="472">
        <v>837381679</v>
      </c>
      <c r="C1840" s="341">
        <f>VLOOKUP(A1840,'Anlage 3a_Zusammenfassung_KWKG'!A3589:C3726,3,FALSE)</f>
        <v>0</v>
      </c>
      <c r="D1840" s="995">
        <f t="shared" si="49"/>
        <v>837381679</v>
      </c>
      <c r="I1840" t="s">
        <v>544</v>
      </c>
    </row>
    <row r="1841" spans="1:9" hidden="1" outlineLevel="2">
      <c r="A1841" s="993" t="s">
        <v>1675</v>
      </c>
      <c r="B1841" s="472">
        <v>95636214</v>
      </c>
      <c r="C1841" s="341">
        <f>VLOOKUP(A1841,'Anlage 3a_Zusammenfassung_KWKG'!A3590:C3727,3,FALSE)</f>
        <v>0</v>
      </c>
      <c r="D1841" s="995">
        <f t="shared" si="49"/>
        <v>95636214</v>
      </c>
      <c r="I1841" t="s">
        <v>1676</v>
      </c>
    </row>
    <row r="1842" spans="1:9" hidden="1" outlineLevel="2">
      <c r="A1842" s="993" t="s">
        <v>1677</v>
      </c>
      <c r="B1842" s="472">
        <v>360311408</v>
      </c>
      <c r="C1842" s="341">
        <f>VLOOKUP(A1842,'Anlage 3a_Zusammenfassung_KWKG'!A3591:C3728,3,FALSE)</f>
        <v>-544078</v>
      </c>
      <c r="D1842" s="995">
        <f t="shared" si="49"/>
        <v>359767330</v>
      </c>
      <c r="I1842" t="s">
        <v>1678</v>
      </c>
    </row>
    <row r="1843" spans="1:9" hidden="1" outlineLevel="2">
      <c r="A1843" s="993" t="s">
        <v>1679</v>
      </c>
      <c r="B1843" s="472">
        <v>85884666</v>
      </c>
      <c r="C1843" s="341">
        <f>VLOOKUP(A1843,'Anlage 3a_Zusammenfassung_KWKG'!A3592:C3729,3,FALSE)</f>
        <v>0</v>
      </c>
      <c r="D1843" s="995">
        <f t="shared" si="49"/>
        <v>85884666</v>
      </c>
      <c r="I1843" t="s">
        <v>1680</v>
      </c>
    </row>
    <row r="1844" spans="1:9" hidden="1" outlineLevel="2">
      <c r="A1844" s="993" t="s">
        <v>1681</v>
      </c>
      <c r="B1844" s="472">
        <v>84393763</v>
      </c>
      <c r="C1844" s="341">
        <f>VLOOKUP(A1844,'Anlage 3a_Zusammenfassung_KWKG'!A3593:C3730,3,FALSE)</f>
        <v>0</v>
      </c>
      <c r="D1844" s="995">
        <f t="shared" si="49"/>
        <v>84393763</v>
      </c>
      <c r="I1844" t="s">
        <v>1682</v>
      </c>
    </row>
    <row r="1845" spans="1:9" hidden="1" outlineLevel="2">
      <c r="A1845" s="993" t="s">
        <v>1683</v>
      </c>
      <c r="B1845" s="472">
        <v>59380888</v>
      </c>
      <c r="C1845" s="341">
        <f>VLOOKUP(A1845,'Anlage 3a_Zusammenfassung_KWKG'!A3594:C3731,3,FALSE)</f>
        <v>310411</v>
      </c>
      <c r="D1845" s="995">
        <f t="shared" si="49"/>
        <v>59691299</v>
      </c>
      <c r="I1845" t="s">
        <v>1684</v>
      </c>
    </row>
    <row r="1846" spans="1:9" hidden="1" outlineLevel="2">
      <c r="A1846" s="993" t="s">
        <v>1685</v>
      </c>
      <c r="B1846" s="472">
        <v>58103663</v>
      </c>
      <c r="C1846" s="341">
        <f>VLOOKUP(A1846,'Anlage 3a_Zusammenfassung_KWKG'!A3595:C3732,3,FALSE)</f>
        <v>0</v>
      </c>
      <c r="D1846" s="995">
        <f t="shared" si="49"/>
        <v>58103663</v>
      </c>
      <c r="I1846" t="s">
        <v>1686</v>
      </c>
    </row>
    <row r="1847" spans="1:9" hidden="1" outlineLevel="2">
      <c r="A1847" s="993" t="s">
        <v>1687</v>
      </c>
      <c r="B1847" s="472">
        <v>180812263</v>
      </c>
      <c r="C1847" s="341">
        <f>VLOOKUP(A1847,'Anlage 3a_Zusammenfassung_KWKG'!A3596:C3733,3,FALSE)</f>
        <v>1014802</v>
      </c>
      <c r="D1847" s="995">
        <f t="shared" si="49"/>
        <v>181827065</v>
      </c>
      <c r="I1847" t="s">
        <v>1688</v>
      </c>
    </row>
    <row r="1848" spans="1:9" hidden="1" outlineLevel="2">
      <c r="A1848" s="993" t="s">
        <v>1132</v>
      </c>
      <c r="B1848" s="472">
        <v>135537157</v>
      </c>
      <c r="C1848" s="341">
        <f>VLOOKUP(A1848,'Anlage 3a_Zusammenfassung_KWKG'!A3597:C3734,3,FALSE)</f>
        <v>0</v>
      </c>
      <c r="D1848" s="995">
        <f t="shared" si="49"/>
        <v>135537157</v>
      </c>
      <c r="I1848" t="s">
        <v>1133</v>
      </c>
    </row>
    <row r="1849" spans="1:9" hidden="1" outlineLevel="2">
      <c r="A1849" s="993" t="s">
        <v>1689</v>
      </c>
      <c r="B1849" s="472">
        <v>95963618</v>
      </c>
      <c r="C1849" s="341">
        <f>VLOOKUP(A1849,'Anlage 3a_Zusammenfassung_KWKG'!A3598:C3735,3,FALSE)</f>
        <v>114724</v>
      </c>
      <c r="D1849" s="995">
        <f t="shared" si="49"/>
        <v>96078342</v>
      </c>
      <c r="I1849" t="s">
        <v>1690</v>
      </c>
    </row>
    <row r="1850" spans="1:9" hidden="1" outlineLevel="2">
      <c r="A1850" s="993" t="s">
        <v>1691</v>
      </c>
      <c r="B1850" s="472">
        <v>100337208</v>
      </c>
      <c r="C1850" s="341">
        <f>VLOOKUP(A1850,'Anlage 3a_Zusammenfassung_KWKG'!A3599:C3736,3,FALSE)</f>
        <v>531800</v>
      </c>
      <c r="D1850" s="995">
        <f t="shared" si="49"/>
        <v>100869008</v>
      </c>
      <c r="I1850" t="s">
        <v>1692</v>
      </c>
    </row>
    <row r="1851" spans="1:9" hidden="1" outlineLevel="2">
      <c r="A1851" s="993" t="s">
        <v>1693</v>
      </c>
      <c r="B1851" s="472">
        <v>36612535</v>
      </c>
      <c r="C1851" s="341">
        <f>VLOOKUP(A1851,'Anlage 3a_Zusammenfassung_KWKG'!A3600:C3737,3,FALSE)</f>
        <v>0</v>
      </c>
      <c r="D1851" s="995">
        <f t="shared" si="49"/>
        <v>36612535</v>
      </c>
      <c r="I1851" t="s">
        <v>1694</v>
      </c>
    </row>
    <row r="1852" spans="1:9" hidden="1" outlineLevel="2">
      <c r="A1852" s="993" t="s">
        <v>1695</v>
      </c>
      <c r="B1852" s="472">
        <v>2904739021</v>
      </c>
      <c r="C1852" s="341">
        <f>VLOOKUP(A1852,'Anlage 3a_Zusammenfassung_KWKG'!A3601:C3738,3,FALSE)</f>
        <v>20124826</v>
      </c>
      <c r="D1852" s="995">
        <f t="shared" si="49"/>
        <v>2924863847</v>
      </c>
      <c r="I1852" t="s">
        <v>1696</v>
      </c>
    </row>
    <row r="1853" spans="1:9" hidden="1" outlineLevel="2">
      <c r="A1853" s="993" t="s">
        <v>1697</v>
      </c>
      <c r="B1853" s="472">
        <v>143693325</v>
      </c>
      <c r="C1853" s="341">
        <f>VLOOKUP(A1853,'Anlage 3a_Zusammenfassung_KWKG'!A3602:C3739,3,FALSE)</f>
        <v>0</v>
      </c>
      <c r="D1853" s="995">
        <f t="shared" si="49"/>
        <v>143693325</v>
      </c>
      <c r="I1853" t="s">
        <v>1698</v>
      </c>
    </row>
    <row r="1854" spans="1:9" hidden="1" outlineLevel="2">
      <c r="A1854" s="993" t="s">
        <v>1699</v>
      </c>
      <c r="B1854" s="472">
        <v>573273312</v>
      </c>
      <c r="C1854" s="341">
        <f>VLOOKUP(A1854,'Anlage 3a_Zusammenfassung_KWKG'!A3603:C3740,3,FALSE)</f>
        <v>-5720547</v>
      </c>
      <c r="D1854" s="995">
        <f t="shared" si="49"/>
        <v>567552765</v>
      </c>
      <c r="I1854" t="s">
        <v>1700</v>
      </c>
    </row>
    <row r="1855" spans="1:9" hidden="1" outlineLevel="2">
      <c r="A1855" s="993" t="s">
        <v>449</v>
      </c>
      <c r="B1855" s="472">
        <v>282888008</v>
      </c>
      <c r="C1855" s="341">
        <f>VLOOKUP(A1855,'Anlage 3a_Zusammenfassung_KWKG'!A3604:C3741,3,FALSE)</f>
        <v>4111024</v>
      </c>
      <c r="D1855" s="995">
        <f t="shared" si="49"/>
        <v>286999032</v>
      </c>
      <c r="I1855" t="s">
        <v>450</v>
      </c>
    </row>
    <row r="1856" spans="1:9" hidden="1" outlineLevel="2">
      <c r="A1856" s="993" t="s">
        <v>1701</v>
      </c>
      <c r="B1856" s="472">
        <v>4293533</v>
      </c>
      <c r="C1856" s="341">
        <f>VLOOKUP(A1856,'Anlage 3a_Zusammenfassung_KWKG'!A3605:C3742,3,FALSE)</f>
        <v>0</v>
      </c>
      <c r="D1856" s="995">
        <f t="shared" si="49"/>
        <v>4293533</v>
      </c>
      <c r="I1856" t="s">
        <v>1702</v>
      </c>
    </row>
    <row r="1857" spans="1:10" hidden="1" outlineLevel="2">
      <c r="A1857" s="993" t="s">
        <v>837</v>
      </c>
      <c r="B1857" s="472">
        <v>241118471</v>
      </c>
      <c r="C1857" s="341">
        <f>VLOOKUP(A1857,'Anlage 3a_Zusammenfassung_KWKG'!A3606:C3743,3,FALSE)</f>
        <v>0</v>
      </c>
      <c r="D1857" s="995">
        <f t="shared" si="49"/>
        <v>241118471</v>
      </c>
      <c r="I1857" t="s">
        <v>838</v>
      </c>
    </row>
    <row r="1858" spans="1:10" hidden="1" outlineLevel="2">
      <c r="A1858" s="993" t="s">
        <v>1703</v>
      </c>
      <c r="B1858" s="472">
        <v>893316426</v>
      </c>
      <c r="C1858" s="341">
        <f>VLOOKUP(A1858,'Anlage 3a_Zusammenfassung_KWKG'!A3607:C3744,3,FALSE)</f>
        <v>0</v>
      </c>
      <c r="D1858" s="995">
        <f t="shared" si="49"/>
        <v>893316426</v>
      </c>
      <c r="I1858" t="s">
        <v>1704</v>
      </c>
    </row>
    <row r="1859" spans="1:10" hidden="1" outlineLevel="2">
      <c r="A1859" s="993" t="s">
        <v>1705</v>
      </c>
      <c r="B1859" s="472">
        <v>320695522</v>
      </c>
      <c r="C1859" s="341">
        <f>VLOOKUP(A1859,'Anlage 3a_Zusammenfassung_KWKG'!A3608:C3745,3,FALSE)</f>
        <v>1498017</v>
      </c>
      <c r="D1859" s="995">
        <f t="shared" si="49"/>
        <v>322193539</v>
      </c>
      <c r="I1859" t="s">
        <v>1706</v>
      </c>
    </row>
    <row r="1860" spans="1:10" hidden="1" outlineLevel="2">
      <c r="A1860" s="993" t="s">
        <v>1707</v>
      </c>
      <c r="B1860" s="472">
        <v>38232926</v>
      </c>
      <c r="C1860" s="341">
        <f>VLOOKUP(A1860,'Anlage 3a_Zusammenfassung_KWKG'!A3609:C3746,3,FALSE)</f>
        <v>0</v>
      </c>
      <c r="D1860" s="995">
        <f t="shared" si="49"/>
        <v>38232926</v>
      </c>
      <c r="I1860" t="s">
        <v>1708</v>
      </c>
    </row>
    <row r="1861" spans="1:10" hidden="1" outlineLevel="2">
      <c r="A1861" s="993" t="s">
        <v>1709</v>
      </c>
      <c r="B1861" s="472">
        <v>1654647451</v>
      </c>
      <c r="C1861" s="341">
        <f>VLOOKUP(A1861,'Anlage 3a_Zusammenfassung_KWKG'!A3610:C3747,3,FALSE)</f>
        <v>-18770927</v>
      </c>
      <c r="D1861" s="995">
        <f t="shared" si="49"/>
        <v>1635876524</v>
      </c>
      <c r="I1861" t="s">
        <v>1710</v>
      </c>
    </row>
    <row r="1862" spans="1:10" hidden="1" outlineLevel="2">
      <c r="A1862" s="993" t="s">
        <v>1972</v>
      </c>
      <c r="B1862" s="472">
        <v>4400277</v>
      </c>
      <c r="C1862" s="341">
        <f>VLOOKUP(A1862,'Anlage 3a_Zusammenfassung_KWKG'!A3611:C3748,3,FALSE)</f>
        <v>0</v>
      </c>
      <c r="D1862" s="995">
        <f t="shared" si="49"/>
        <v>4400277</v>
      </c>
      <c r="I1862" t="s">
        <v>1973</v>
      </c>
    </row>
    <row r="1863" spans="1:10" hidden="1" outlineLevel="2">
      <c r="A1863" s="993" t="s">
        <v>1711</v>
      </c>
      <c r="B1863" s="472">
        <v>42732828</v>
      </c>
      <c r="C1863" s="341">
        <f>VLOOKUP(A1863,'Anlage 3a_Zusammenfassung_KWKG'!A3612:C3749,3,FALSE)</f>
        <v>0</v>
      </c>
      <c r="D1863" s="995">
        <f t="shared" si="49"/>
        <v>42732828</v>
      </c>
      <c r="I1863" t="s">
        <v>1712</v>
      </c>
    </row>
    <row r="1864" spans="1:10" hidden="1" outlineLevel="2">
      <c r="A1864" s="993" t="s">
        <v>1713</v>
      </c>
      <c r="B1864" s="472">
        <v>4250260</v>
      </c>
      <c r="C1864" s="341">
        <f>VLOOKUP(A1864,'Anlage 3a_Zusammenfassung_KWKG'!A3613:C3750,3,FALSE)</f>
        <v>7577</v>
      </c>
      <c r="D1864" s="995">
        <f t="shared" si="49"/>
        <v>4257837</v>
      </c>
      <c r="I1864" t="s">
        <v>1714</v>
      </c>
    </row>
    <row r="1865" spans="1:10" ht="13.5" collapsed="1" thickBot="1">
      <c r="A1865" s="996" t="s">
        <v>1715</v>
      </c>
      <c r="B1865" s="997">
        <f>B939+B1109+B1344+B1726</f>
        <v>333141485688.5</v>
      </c>
      <c r="C1865" s="997">
        <f>C939+C1109+C1344+C1726</f>
        <v>-6768509.6969999969</v>
      </c>
      <c r="D1865" s="998">
        <f>D939+D1109+D1344+D1726</f>
        <v>333134717178.80298</v>
      </c>
    </row>
    <row r="1868" spans="1:10">
      <c r="A1868" s="35" t="s">
        <v>2143</v>
      </c>
      <c r="B1868" s="203"/>
      <c r="C1868" s="203"/>
      <c r="D1868" s="203"/>
      <c r="E1868" s="203"/>
      <c r="F1868" s="203"/>
      <c r="G1868" s="203"/>
      <c r="H1868" s="203"/>
      <c r="I1868" s="203"/>
      <c r="J1868" s="203"/>
    </row>
    <row r="1869" spans="1:10" ht="13.5" thickBot="1">
      <c r="A1869" s="8"/>
      <c r="B1869" s="203"/>
      <c r="C1869" s="203"/>
      <c r="D1869" s="203"/>
      <c r="E1869" s="203"/>
      <c r="F1869" s="203"/>
      <c r="G1869" s="203"/>
      <c r="H1869" s="203"/>
      <c r="I1869" s="203"/>
      <c r="J1869" s="203"/>
    </row>
    <row r="1870" spans="1:10" ht="102">
      <c r="A1870" s="970"/>
      <c r="B1870" s="971" t="s">
        <v>2144</v>
      </c>
      <c r="C1870" s="972" t="s">
        <v>2166</v>
      </c>
      <c r="D1870" s="972" t="s">
        <v>2167</v>
      </c>
      <c r="E1870" s="972" t="s">
        <v>2147</v>
      </c>
      <c r="F1870" s="972" t="s">
        <v>2168</v>
      </c>
      <c r="G1870" s="972" t="s">
        <v>2169</v>
      </c>
      <c r="H1870" s="973" t="s">
        <v>2170</v>
      </c>
      <c r="I1870" s="276"/>
      <c r="J1870" s="276"/>
    </row>
    <row r="1871" spans="1:10" s="597" customFormat="1" ht="13.5" thickBot="1">
      <c r="A1871" s="974"/>
      <c r="B1871" s="634" t="s">
        <v>84</v>
      </c>
      <c r="C1871" s="607" t="s">
        <v>1722</v>
      </c>
      <c r="D1871" s="580" t="s">
        <v>1722</v>
      </c>
      <c r="E1871" s="607" t="s">
        <v>84</v>
      </c>
      <c r="F1871" s="607" t="s">
        <v>1722</v>
      </c>
      <c r="G1871" s="607" t="s">
        <v>84</v>
      </c>
      <c r="H1871" s="891" t="s">
        <v>1722</v>
      </c>
    </row>
    <row r="1872" spans="1:10">
      <c r="A1872" s="975" t="s">
        <v>85</v>
      </c>
      <c r="B1872" s="363">
        <f>'Anlage 2a_Letztverbrauch'!B2877</f>
        <v>21755888411</v>
      </c>
      <c r="C1872" s="363">
        <f>'Anlage 2a_Letztverbrauch'!D2877+'Anlage 2a_Letztverbrauch'!D2921+'Anlage 2a_Letztverbrauch'!G2921+'Anlage 2a_Letztverbrauch'!J2921</f>
        <v>21882255.420000002</v>
      </c>
      <c r="D1872" s="363">
        <f>'Anlage 2a_Letztverbrauch'!D2934</f>
        <v>53140.98</v>
      </c>
      <c r="E1872" s="363">
        <f>'Anlage 2b_Korrekturen'!D1227</f>
        <v>37355964</v>
      </c>
      <c r="F1872" s="363">
        <f>'Anlage 2b_Korrekturen'!F1227</f>
        <v>45658.479999999996</v>
      </c>
      <c r="G1872" s="473">
        <f>B1872+E1872</f>
        <v>21793244375</v>
      </c>
      <c r="H1872" s="976">
        <f>D1872+F1872+C1872</f>
        <v>21981054.880000003</v>
      </c>
      <c r="I1872" s="342"/>
      <c r="J1872" s="342"/>
    </row>
    <row r="1873" spans="1:10">
      <c r="A1873" s="977" t="s">
        <v>404</v>
      </c>
      <c r="B1873" s="364">
        <f>'Anlage 2a_Letztverbrauch'!B2878</f>
        <v>42383808632</v>
      </c>
      <c r="C1873" s="364">
        <f>'Anlage 2a_Letztverbrauch'!D2878+'Anlage 2a_Letztverbrauch'!D2922+'Anlage 2a_Letztverbrauch'!G2922+'Anlage 2a_Letztverbrauch'!J2922</f>
        <v>40986407.580000006</v>
      </c>
      <c r="D1873" s="364">
        <f>'Anlage 2a_Letztverbrauch'!D2935</f>
        <v>82892.83</v>
      </c>
      <c r="E1873" s="364">
        <f>'Anlage 2b_Korrekturen'!D1231</f>
        <v>45025348</v>
      </c>
      <c r="F1873" s="364">
        <f>'Anlage 2b_Korrekturen'!F1231</f>
        <v>95986.549999999988</v>
      </c>
      <c r="G1873" s="474">
        <f>B1873+E1873</f>
        <v>42428833980</v>
      </c>
      <c r="H1873" s="978">
        <f>D1873+F1873+C1873</f>
        <v>41165286.960000008</v>
      </c>
      <c r="I1873" s="342"/>
      <c r="J1873" s="342"/>
    </row>
    <row r="1874" spans="1:10">
      <c r="A1874" s="977" t="s">
        <v>855</v>
      </c>
      <c r="B1874" s="364">
        <f>'Anlage 2a_Letztverbrauch'!B2879</f>
        <v>25368573984</v>
      </c>
      <c r="C1874" s="364">
        <f>'Anlage 2a_Letztverbrauch'!D2879+'Anlage 2a_Letztverbrauch'!D2923+'Anlage 2a_Letztverbrauch'!G2923+'Anlage 2a_Letztverbrauch'!J2923</f>
        <v>27137365</v>
      </c>
      <c r="D1874" s="364">
        <f>'Anlage 2a_Letztverbrauch'!D2936</f>
        <v>4584959</v>
      </c>
      <c r="E1874" s="364">
        <f>'Anlage 2b_Korrekturen'!D1237</f>
        <v>-2915653</v>
      </c>
      <c r="F1874" s="364">
        <f>'Anlage 2b_Korrekturen'!F1237</f>
        <v>1567</v>
      </c>
      <c r="G1874" s="474">
        <f t="shared" ref="G1874:G1875" si="50">B1874+E1874</f>
        <v>25365658331</v>
      </c>
      <c r="H1874" s="978">
        <f t="shared" ref="H1874:H1875" si="51">D1874+F1874+C1874</f>
        <v>31723891</v>
      </c>
      <c r="I1874" s="342"/>
      <c r="J1874" s="342"/>
    </row>
    <row r="1875" spans="1:10" ht="13.5" thickBot="1">
      <c r="A1875" s="979" t="s">
        <v>1486</v>
      </c>
      <c r="B1875" s="365">
        <f>'Anlage 2a_Letztverbrauch'!B2880</f>
        <v>7594825476</v>
      </c>
      <c r="C1875" s="365">
        <f>'Anlage 2a_Letztverbrauch'!D2880+'Anlage 2a_Letztverbrauch'!D2924+'Anlage 2a_Letztverbrauch'!G2924+'Anlage 2a_Letztverbrauch'!J2924</f>
        <v>9225976.0099999998</v>
      </c>
      <c r="D1875" s="365">
        <f>'Anlage 2a_Letztverbrauch'!D2937</f>
        <v>205359.89</v>
      </c>
      <c r="E1875" s="365">
        <f>'Anlage 2b_Korrekturen'!D1242</f>
        <v>-26142556</v>
      </c>
      <c r="F1875" s="365">
        <f>'Anlage 2b_Korrekturen'!F1242</f>
        <v>-32633.61</v>
      </c>
      <c r="G1875" s="475">
        <f t="shared" si="50"/>
        <v>7568682920</v>
      </c>
      <c r="H1875" s="980">
        <f t="shared" si="51"/>
        <v>9398702.2899999991</v>
      </c>
      <c r="I1875" s="342"/>
      <c r="J1875" s="342"/>
    </row>
    <row r="1876" spans="1:10" s="28" customFormat="1" ht="15.75" thickBot="1">
      <c r="A1876" s="981" t="s">
        <v>1715</v>
      </c>
      <c r="B1876" s="1006">
        <f t="shared" ref="B1876" si="52">SUM(B1872:B1875)</f>
        <v>97103096503</v>
      </c>
      <c r="C1876" s="1006">
        <f>SUM(C1872:C1875)</f>
        <v>99232004.010000005</v>
      </c>
      <c r="D1876" s="1006">
        <f t="shared" ref="D1876" si="53">SUM(D1872:D1875)</f>
        <v>4926352.6999999993</v>
      </c>
      <c r="E1876" s="1006">
        <f t="shared" ref="E1876:H1876" si="54">SUM(E1872:E1875)</f>
        <v>53323103</v>
      </c>
      <c r="F1876" s="1006">
        <f t="shared" si="54"/>
        <v>110578.41999999997</v>
      </c>
      <c r="G1876" s="1007">
        <f t="shared" si="54"/>
        <v>97156419606</v>
      </c>
      <c r="H1876" s="1008">
        <f t="shared" si="54"/>
        <v>104268935.13</v>
      </c>
      <c r="I1876" s="343"/>
      <c r="J1876" s="343"/>
    </row>
    <row r="1877" spans="1:10">
      <c r="A1877" s="344"/>
      <c r="B1877" s="345"/>
    </row>
    <row r="1878" spans="1:10">
      <c r="A1878" s="35" t="s">
        <v>2151</v>
      </c>
      <c r="B1878" s="203"/>
      <c r="C1878" s="203"/>
      <c r="D1878" s="203"/>
      <c r="E1878" s="203"/>
      <c r="F1878" s="203"/>
      <c r="G1878" s="203"/>
      <c r="H1878" s="203"/>
      <c r="I1878" s="203"/>
      <c r="J1878" s="203"/>
    </row>
    <row r="1879" spans="1:10" ht="13.5" thickBot="1">
      <c r="A1879" s="8"/>
      <c r="B1879" s="203"/>
      <c r="C1879" s="203"/>
      <c r="D1879" s="203"/>
      <c r="E1879" s="203"/>
      <c r="F1879" s="203"/>
      <c r="G1879" s="203"/>
      <c r="H1879" s="203"/>
      <c r="I1879" s="203"/>
      <c r="J1879" s="203"/>
    </row>
    <row r="1880" spans="1:10" ht="123" customHeight="1">
      <c r="A1880" s="468"/>
      <c r="B1880" s="546" t="s">
        <v>2152</v>
      </c>
      <c r="C1880" s="108" t="s">
        <v>2171</v>
      </c>
      <c r="D1880" s="233" t="s">
        <v>2154</v>
      </c>
      <c r="E1880" s="108" t="s">
        <v>2172</v>
      </c>
      <c r="F1880" s="233" t="s">
        <v>2156</v>
      </c>
      <c r="G1880" s="235" t="s">
        <v>2173</v>
      </c>
      <c r="H1880" s="347"/>
      <c r="I1880" s="347"/>
      <c r="J1880" s="347"/>
    </row>
    <row r="1881" spans="1:10" s="8" customFormat="1" ht="13.5" thickBot="1">
      <c r="A1881" s="541"/>
      <c r="B1881" s="581" t="s">
        <v>84</v>
      </c>
      <c r="C1881" s="580" t="s">
        <v>1722</v>
      </c>
      <c r="D1881" s="580" t="s">
        <v>84</v>
      </c>
      <c r="E1881" s="580" t="s">
        <v>1722</v>
      </c>
      <c r="F1881" s="580" t="s">
        <v>84</v>
      </c>
      <c r="G1881" s="586" t="s">
        <v>1722</v>
      </c>
    </row>
    <row r="1882" spans="1:10" s="8" customFormat="1">
      <c r="A1882" s="462" t="s">
        <v>85</v>
      </c>
      <c r="B1882" s="631">
        <f>'Anlage 2a_Letztverbrauch'!I2887</f>
        <v>432919484</v>
      </c>
      <c r="C1882" s="363">
        <f>'Anlage 2a_Letztverbrauch'!I2909</f>
        <v>2839951.85</v>
      </c>
      <c r="D1882" s="363">
        <f>'Anlage 2b_Korrekturen'!D1271</f>
        <v>-50289026</v>
      </c>
      <c r="E1882" s="363">
        <f>'Anlage 2b_Korrekturen'!F1271</f>
        <v>-240330.99000000002</v>
      </c>
      <c r="F1882" s="363">
        <f>B1882+D1882</f>
        <v>382630458</v>
      </c>
      <c r="G1882" s="967">
        <f>C1882+E1882</f>
        <v>2599620.86</v>
      </c>
      <c r="H1882" s="16"/>
      <c r="I1882" s="16"/>
      <c r="J1882" s="16"/>
    </row>
    <row r="1883" spans="1:10" s="8" customFormat="1">
      <c r="A1883" s="418" t="s">
        <v>404</v>
      </c>
      <c r="B1883" s="632">
        <f>'Anlage 2a_Letztverbrauch'!I2888</f>
        <v>1107311118</v>
      </c>
      <c r="C1883" s="364">
        <f>'Anlage 2a_Letztverbrauch'!I2910</f>
        <v>7263960.9299999997</v>
      </c>
      <c r="D1883" s="364">
        <f>'Anlage 2b_Korrekturen'!D1309</f>
        <v>-128973805</v>
      </c>
      <c r="E1883" s="364">
        <f>'Anlage 2b_Korrekturen'!F1309</f>
        <v>-652051.04</v>
      </c>
      <c r="F1883" s="364">
        <f t="shared" ref="F1883:G1885" si="55">B1883+D1883</f>
        <v>978337313</v>
      </c>
      <c r="G1883" s="968">
        <f t="shared" si="55"/>
        <v>6611909.8899999997</v>
      </c>
      <c r="H1883" s="16"/>
      <c r="I1883" s="16"/>
      <c r="J1883" s="16"/>
    </row>
    <row r="1884" spans="1:10" s="8" customFormat="1">
      <c r="A1884" s="418" t="s">
        <v>855</v>
      </c>
      <c r="B1884" s="632">
        <f>'Anlage 2a_Letztverbrauch'!I2889</f>
        <v>773172258</v>
      </c>
      <c r="C1884" s="364">
        <f>'Anlage 2a_Letztverbrauch'!I2911</f>
        <v>5072010.01</v>
      </c>
      <c r="D1884" s="364">
        <f>'Anlage 2b_Korrekturen'!D1337</f>
        <v>6355891</v>
      </c>
      <c r="E1884" s="364">
        <f>'Anlage 2b_Korrekturen'!F1337</f>
        <v>28080</v>
      </c>
      <c r="F1884" s="364">
        <f t="shared" si="55"/>
        <v>779528149</v>
      </c>
      <c r="G1884" s="968">
        <f t="shared" si="55"/>
        <v>5100090.01</v>
      </c>
      <c r="H1884" s="16"/>
      <c r="I1884" s="16"/>
      <c r="J1884" s="16"/>
    </row>
    <row r="1885" spans="1:10" s="8" customFormat="1" ht="13.5" thickBot="1">
      <c r="A1885" s="449" t="s">
        <v>1486</v>
      </c>
      <c r="B1885" s="633">
        <f>'Anlage 2a_Letztverbrauch'!I2890</f>
        <v>169798571</v>
      </c>
      <c r="C1885" s="365">
        <f>'Anlage 2a_Letztverbrauch'!I2912</f>
        <v>1113878.6299999999</v>
      </c>
      <c r="D1885" s="365">
        <f>'Anlage 2b_Korrekturen'!D1360</f>
        <v>-58813</v>
      </c>
      <c r="E1885" s="365">
        <f>'Anlage 2b_Korrekturen'!F1360</f>
        <v>-347.58483000000001</v>
      </c>
      <c r="F1885" s="365">
        <f t="shared" si="55"/>
        <v>169739758</v>
      </c>
      <c r="G1885" s="969">
        <f t="shared" si="55"/>
        <v>1113531.0451699998</v>
      </c>
      <c r="H1885" s="16"/>
      <c r="I1885" s="16"/>
      <c r="J1885" s="16"/>
    </row>
    <row r="1886" spans="1:10" ht="15.75" thickBot="1">
      <c r="A1886" s="447" t="s">
        <v>1715</v>
      </c>
      <c r="B1886" s="964">
        <f t="shared" ref="B1886:G1886" si="56">SUM(B1882:B1885)</f>
        <v>2483201431</v>
      </c>
      <c r="C1886" s="965">
        <f t="shared" si="56"/>
        <v>16289801.419999998</v>
      </c>
      <c r="D1886" s="965">
        <f t="shared" si="56"/>
        <v>-172965753</v>
      </c>
      <c r="E1886" s="965">
        <f t="shared" si="56"/>
        <v>-864649.61482999998</v>
      </c>
      <c r="F1886" s="965">
        <f t="shared" si="56"/>
        <v>2310235678</v>
      </c>
      <c r="G1886" s="966">
        <f t="shared" si="56"/>
        <v>15425151.80517</v>
      </c>
      <c r="H1886" s="349"/>
      <c r="I1886" s="350"/>
      <c r="J1886" s="350"/>
    </row>
    <row r="1887" spans="1:10">
      <c r="A1887" s="344"/>
      <c r="B1887" s="345"/>
    </row>
    <row r="1888" spans="1:10">
      <c r="A1888" s="344"/>
      <c r="B1888" s="345"/>
    </row>
    <row r="1889" spans="1:2">
      <c r="A1889" s="344"/>
      <c r="B1889" s="345"/>
    </row>
    <row r="1890" spans="1:2">
      <c r="A1890" s="344"/>
      <c r="B1890" s="345"/>
    </row>
    <row r="1891" spans="1:2">
      <c r="A1891" s="344"/>
      <c r="B1891" s="345"/>
    </row>
    <row r="1892" spans="1:2">
      <c r="A1892" s="344"/>
      <c r="B1892" s="345"/>
    </row>
    <row r="1893" spans="1:2">
      <c r="A1893" s="344"/>
      <c r="B1893" s="345"/>
    </row>
    <row r="1894" spans="1:2">
      <c r="A1894" s="344"/>
      <c r="B1894" s="345"/>
    </row>
    <row r="1895" spans="1:2">
      <c r="A1895" s="344"/>
      <c r="B1895" s="345"/>
    </row>
    <row r="1896" spans="1:2">
      <c r="A1896" s="344"/>
      <c r="B1896" s="345"/>
    </row>
    <row r="1897" spans="1:2">
      <c r="A1897" s="344"/>
      <c r="B1897" s="345"/>
    </row>
    <row r="1898" spans="1:2">
      <c r="A1898" s="344"/>
      <c r="B1898" s="345"/>
    </row>
    <row r="1899" spans="1:2">
      <c r="A1899" s="344"/>
      <c r="B1899" s="345"/>
    </row>
    <row r="1900" spans="1:2">
      <c r="A1900" s="344"/>
      <c r="B1900" s="345"/>
    </row>
    <row r="1901" spans="1:2">
      <c r="A1901" s="344"/>
      <c r="B1901" s="345"/>
    </row>
    <row r="1902" spans="1:2">
      <c r="A1902" s="344"/>
      <c r="B1902" s="345"/>
    </row>
    <row r="1903" spans="1:2">
      <c r="A1903" s="344"/>
      <c r="B1903" s="345"/>
    </row>
    <row r="1904" spans="1:2">
      <c r="A1904" s="344"/>
      <c r="B1904" s="345"/>
    </row>
    <row r="1905" spans="1:2">
      <c r="A1905" s="344"/>
      <c r="B1905" s="345"/>
    </row>
    <row r="1906" spans="1:2">
      <c r="A1906" s="344"/>
      <c r="B1906" s="345"/>
    </row>
    <row r="1907" spans="1:2">
      <c r="A1907" s="344"/>
      <c r="B1907" s="345"/>
    </row>
    <row r="1908" spans="1:2">
      <c r="A1908" s="344"/>
      <c r="B1908" s="345"/>
    </row>
    <row r="1909" spans="1:2">
      <c r="A1909" s="344"/>
      <c r="B1909" s="345"/>
    </row>
    <row r="1910" spans="1:2">
      <c r="A1910" s="344"/>
      <c r="B1910" s="345"/>
    </row>
    <row r="1911" spans="1:2">
      <c r="A1911" s="344"/>
      <c r="B1911" s="345"/>
    </row>
    <row r="1912" spans="1:2">
      <c r="A1912" s="344"/>
      <c r="B1912" s="345"/>
    </row>
    <row r="1913" spans="1:2">
      <c r="A1913" s="344"/>
      <c r="B1913" s="345"/>
    </row>
    <row r="1914" spans="1:2">
      <c r="A1914" s="344"/>
      <c r="B1914" s="345"/>
    </row>
    <row r="1915" spans="1:2">
      <c r="A1915" s="344"/>
      <c r="B1915" s="345"/>
    </row>
    <row r="1916" spans="1:2">
      <c r="A1916" s="344"/>
      <c r="B1916" s="345"/>
    </row>
    <row r="1917" spans="1:2">
      <c r="A1917" s="344"/>
      <c r="B1917" s="345"/>
    </row>
    <row r="1918" spans="1:2">
      <c r="A1918" s="344"/>
      <c r="B1918" s="345"/>
    </row>
    <row r="1919" spans="1:2">
      <c r="A1919" s="344"/>
      <c r="B1919" s="345"/>
    </row>
    <row r="1920" spans="1:2">
      <c r="A1920" s="344"/>
      <c r="B1920" s="345"/>
    </row>
    <row r="1921" spans="1:2">
      <c r="A1921" s="344"/>
      <c r="B1921" s="345"/>
    </row>
    <row r="1922" spans="1:2">
      <c r="A1922" s="344"/>
      <c r="B1922" s="345"/>
    </row>
    <row r="1923" spans="1:2">
      <c r="A1923" s="344"/>
      <c r="B1923" s="345"/>
    </row>
    <row r="1924" spans="1:2">
      <c r="A1924" s="344"/>
      <c r="B1924" s="345"/>
    </row>
    <row r="1925" spans="1:2">
      <c r="A1925" s="344"/>
      <c r="B1925" s="345"/>
    </row>
    <row r="1926" spans="1:2">
      <c r="A1926" s="344"/>
      <c r="B1926" s="345"/>
    </row>
    <row r="1927" spans="1:2">
      <c r="A1927" s="344"/>
      <c r="B1927" s="345"/>
    </row>
    <row r="1928" spans="1:2">
      <c r="A1928" s="344"/>
      <c r="B1928" s="345"/>
    </row>
    <row r="1929" spans="1:2">
      <c r="A1929" s="344"/>
      <c r="B1929" s="345"/>
    </row>
    <row r="1930" spans="1:2">
      <c r="A1930" s="344"/>
      <c r="B1930" s="345"/>
    </row>
    <row r="1931" spans="1:2">
      <c r="A1931" s="344"/>
      <c r="B1931" s="345"/>
    </row>
    <row r="1932" spans="1:2">
      <c r="A1932" s="344"/>
      <c r="B1932" s="345"/>
    </row>
    <row r="1933" spans="1:2">
      <c r="A1933" s="344"/>
      <c r="B1933" s="345"/>
    </row>
    <row r="1934" spans="1:2">
      <c r="A1934" s="344"/>
      <c r="B1934" s="345"/>
    </row>
    <row r="1935" spans="1:2">
      <c r="A1935" s="344"/>
      <c r="B1935" s="345"/>
    </row>
    <row r="1936" spans="1:2">
      <c r="A1936" s="344"/>
      <c r="B1936" s="345"/>
    </row>
    <row r="1937" spans="1:2">
      <c r="A1937" s="344"/>
      <c r="B1937" s="345"/>
    </row>
    <row r="1938" spans="1:2">
      <c r="A1938" s="344"/>
      <c r="B1938" s="345"/>
    </row>
    <row r="1939" spans="1:2">
      <c r="A1939" s="344"/>
      <c r="B1939" s="345"/>
    </row>
    <row r="1940" spans="1:2">
      <c r="A1940" s="344"/>
      <c r="B1940" s="345"/>
    </row>
    <row r="1941" spans="1:2">
      <c r="A1941" s="344"/>
      <c r="B1941" s="345"/>
    </row>
    <row r="1942" spans="1:2">
      <c r="A1942" s="344"/>
      <c r="B1942" s="345"/>
    </row>
    <row r="1943" spans="1:2">
      <c r="A1943" s="344"/>
      <c r="B1943" s="345"/>
    </row>
    <row r="1944" spans="1:2">
      <c r="A1944" s="344"/>
      <c r="B1944" s="345"/>
    </row>
    <row r="1945" spans="1:2">
      <c r="A1945" s="344"/>
      <c r="B1945" s="345"/>
    </row>
    <row r="1946" spans="1:2">
      <c r="A1946" s="344"/>
      <c r="B1946" s="345"/>
    </row>
    <row r="1947" spans="1:2">
      <c r="A1947" s="344"/>
      <c r="B1947" s="345"/>
    </row>
    <row r="1948" spans="1:2">
      <c r="A1948" s="344"/>
      <c r="B1948" s="345"/>
    </row>
    <row r="1949" spans="1:2">
      <c r="A1949" s="344"/>
      <c r="B1949" s="345"/>
    </row>
    <row r="1950" spans="1:2">
      <c r="A1950" s="344"/>
      <c r="B1950" s="345"/>
    </row>
    <row r="1951" spans="1:2">
      <c r="A1951" s="344"/>
      <c r="B1951" s="345"/>
    </row>
    <row r="1952" spans="1:2">
      <c r="A1952" s="344"/>
      <c r="B1952" s="345"/>
    </row>
    <row r="1953" spans="1:2">
      <c r="A1953" s="344"/>
      <c r="B1953" s="345"/>
    </row>
    <row r="1954" spans="1:2">
      <c r="A1954" s="344"/>
      <c r="B1954" s="345"/>
    </row>
    <row r="1955" spans="1:2">
      <c r="A1955" s="344"/>
      <c r="B1955" s="345"/>
    </row>
    <row r="1956" spans="1:2">
      <c r="A1956" s="344"/>
      <c r="B1956" s="345"/>
    </row>
    <row r="1957" spans="1:2">
      <c r="A1957" s="344"/>
      <c r="B1957" s="345"/>
    </row>
    <row r="1958" spans="1:2">
      <c r="A1958" s="344"/>
      <c r="B1958" s="345"/>
    </row>
    <row r="1959" spans="1:2">
      <c r="A1959" s="344"/>
      <c r="B1959" s="345"/>
    </row>
    <row r="1960" spans="1:2">
      <c r="A1960" s="344"/>
      <c r="B1960" s="345"/>
    </row>
    <row r="1961" spans="1:2">
      <c r="A1961" s="344"/>
      <c r="B1961" s="345"/>
    </row>
    <row r="1962" spans="1:2">
      <c r="A1962" s="344"/>
      <c r="B1962" s="345"/>
    </row>
    <row r="1963" spans="1:2">
      <c r="A1963" s="344"/>
      <c r="B1963" s="345"/>
    </row>
    <row r="1964" spans="1:2">
      <c r="A1964" s="344"/>
      <c r="B1964" s="345"/>
    </row>
    <row r="1965" spans="1:2">
      <c r="A1965" s="344"/>
      <c r="B1965" s="345"/>
    </row>
    <row r="1966" spans="1:2">
      <c r="A1966" s="344"/>
      <c r="B1966" s="345"/>
    </row>
    <row r="1967" spans="1:2">
      <c r="A1967" s="344"/>
      <c r="B1967" s="345"/>
    </row>
    <row r="1968" spans="1:2">
      <c r="A1968" s="344"/>
      <c r="B1968" s="345"/>
    </row>
    <row r="1969" spans="1:2">
      <c r="A1969" s="344"/>
      <c r="B1969" s="345"/>
    </row>
    <row r="1970" spans="1:2">
      <c r="A1970" s="344"/>
      <c r="B1970" s="345"/>
    </row>
    <row r="1971" spans="1:2">
      <c r="A1971" s="344"/>
      <c r="B1971" s="345"/>
    </row>
    <row r="1972" spans="1:2">
      <c r="A1972" s="344"/>
      <c r="B1972" s="345"/>
    </row>
    <row r="1973" spans="1:2">
      <c r="A1973" s="344"/>
      <c r="B1973" s="345"/>
    </row>
    <row r="1974" spans="1:2">
      <c r="A1974" s="344"/>
      <c r="B1974" s="345"/>
    </row>
    <row r="1975" spans="1:2">
      <c r="A1975" s="344"/>
      <c r="B1975" s="345"/>
    </row>
    <row r="1976" spans="1:2">
      <c r="A1976" s="344"/>
      <c r="B1976" s="345"/>
    </row>
    <row r="1977" spans="1:2">
      <c r="A1977" s="344"/>
      <c r="B1977" s="345"/>
    </row>
    <row r="1978" spans="1:2">
      <c r="A1978" s="344"/>
      <c r="B1978" s="345"/>
    </row>
    <row r="1979" spans="1:2">
      <c r="A1979" s="344"/>
      <c r="B1979" s="345"/>
    </row>
    <row r="1980" spans="1:2">
      <c r="A1980" s="344"/>
      <c r="B1980" s="345"/>
    </row>
    <row r="1981" spans="1:2">
      <c r="A1981" s="344"/>
      <c r="B1981" s="345"/>
    </row>
    <row r="1982" spans="1:2">
      <c r="A1982" s="344"/>
      <c r="B1982" s="345"/>
    </row>
    <row r="1983" spans="1:2">
      <c r="A1983" s="344"/>
      <c r="B1983" s="345"/>
    </row>
    <row r="1984" spans="1:2">
      <c r="A1984" s="344"/>
      <c r="B1984" s="345"/>
    </row>
    <row r="1985" spans="1:2">
      <c r="A1985" s="344"/>
      <c r="B1985" s="345"/>
    </row>
    <row r="1986" spans="1:2">
      <c r="A1986" s="344"/>
      <c r="B1986" s="345"/>
    </row>
    <row r="1987" spans="1:2">
      <c r="A1987" s="344"/>
      <c r="B1987" s="345"/>
    </row>
    <row r="1988" spans="1:2">
      <c r="A1988" s="344"/>
      <c r="B1988" s="345"/>
    </row>
    <row r="1989" spans="1:2">
      <c r="A1989" s="344"/>
      <c r="B1989" s="345"/>
    </row>
    <row r="1990" spans="1:2">
      <c r="A1990" s="344"/>
      <c r="B1990" s="345"/>
    </row>
    <row r="1991" spans="1:2">
      <c r="A1991" s="344"/>
      <c r="B1991" s="345"/>
    </row>
    <row r="1992" spans="1:2">
      <c r="A1992" s="344"/>
      <c r="B1992" s="345"/>
    </row>
    <row r="1993" spans="1:2">
      <c r="A1993" s="344"/>
      <c r="B1993" s="345"/>
    </row>
    <row r="1994" spans="1:2">
      <c r="A1994" s="344"/>
      <c r="B1994" s="345"/>
    </row>
    <row r="1995" spans="1:2">
      <c r="A1995" s="344"/>
      <c r="B1995" s="345"/>
    </row>
    <row r="1996" spans="1:2">
      <c r="A1996" s="344"/>
      <c r="B1996" s="345"/>
    </row>
    <row r="1997" spans="1:2">
      <c r="A1997" s="344"/>
      <c r="B1997" s="345"/>
    </row>
    <row r="1998" spans="1:2">
      <c r="A1998" s="344"/>
      <c r="B1998" s="345"/>
    </row>
    <row r="1999" spans="1:2">
      <c r="A1999" s="344"/>
      <c r="B1999" s="345"/>
    </row>
    <row r="2000" spans="1:2">
      <c r="A2000" s="344"/>
      <c r="B2000" s="345"/>
    </row>
    <row r="2001" spans="1:2">
      <c r="A2001" s="344"/>
      <c r="B2001" s="345"/>
    </row>
    <row r="2002" spans="1:2">
      <c r="A2002" s="344"/>
      <c r="B2002" s="345"/>
    </row>
    <row r="2003" spans="1:2">
      <c r="A2003" s="344"/>
      <c r="B2003" s="345"/>
    </row>
    <row r="2004" spans="1:2">
      <c r="A2004" s="344"/>
      <c r="B2004" s="345"/>
    </row>
    <row r="2005" spans="1:2">
      <c r="A2005" s="344"/>
      <c r="B2005" s="345"/>
    </row>
    <row r="2006" spans="1:2">
      <c r="A2006" s="344"/>
      <c r="B2006" s="345"/>
    </row>
    <row r="2007" spans="1:2">
      <c r="A2007" s="344"/>
      <c r="B2007" s="345"/>
    </row>
    <row r="2008" spans="1:2">
      <c r="A2008" s="344"/>
      <c r="B2008" s="345"/>
    </row>
    <row r="2009" spans="1:2">
      <c r="A2009" s="344"/>
      <c r="B2009" s="345"/>
    </row>
    <row r="2010" spans="1:2">
      <c r="A2010" s="344"/>
      <c r="B2010" s="345"/>
    </row>
    <row r="2011" spans="1:2">
      <c r="A2011" s="344"/>
      <c r="B2011" s="345"/>
    </row>
    <row r="2012" spans="1:2">
      <c r="A2012" s="344"/>
      <c r="B2012" s="345"/>
    </row>
    <row r="2013" spans="1:2">
      <c r="A2013" s="344"/>
      <c r="B2013" s="345"/>
    </row>
    <row r="2014" spans="1:2">
      <c r="A2014" s="344"/>
      <c r="B2014" s="345"/>
    </row>
    <row r="2015" spans="1:2">
      <c r="A2015" s="344"/>
      <c r="B2015" s="345"/>
    </row>
    <row r="2016" spans="1:2">
      <c r="A2016" s="344"/>
      <c r="B2016" s="345"/>
    </row>
    <row r="2017" spans="1:2">
      <c r="A2017" s="344"/>
      <c r="B2017" s="345"/>
    </row>
    <row r="2018" spans="1:2">
      <c r="A2018" s="344"/>
      <c r="B2018" s="345"/>
    </row>
    <row r="2019" spans="1:2">
      <c r="A2019" s="344"/>
      <c r="B2019" s="345"/>
    </row>
    <row r="2020" spans="1:2">
      <c r="A2020" s="344"/>
      <c r="B2020" s="345"/>
    </row>
    <row r="2021" spans="1:2">
      <c r="A2021" s="344"/>
      <c r="B2021" s="345"/>
    </row>
    <row r="2022" spans="1:2">
      <c r="A2022" s="344"/>
      <c r="B2022" s="345"/>
    </row>
    <row r="2023" spans="1:2">
      <c r="A2023" s="344"/>
      <c r="B2023" s="345"/>
    </row>
    <row r="2024" spans="1:2">
      <c r="A2024" s="344"/>
      <c r="B2024" s="345"/>
    </row>
    <row r="2025" spans="1:2">
      <c r="A2025" s="344"/>
      <c r="B2025" s="345"/>
    </row>
    <row r="2026" spans="1:2">
      <c r="A2026" s="344"/>
      <c r="B2026" s="345"/>
    </row>
    <row r="2027" spans="1:2">
      <c r="A2027" s="344"/>
      <c r="B2027" s="345"/>
    </row>
    <row r="2028" spans="1:2">
      <c r="A2028" s="344"/>
      <c r="B2028" s="345"/>
    </row>
    <row r="2029" spans="1:2">
      <c r="A2029" s="344"/>
      <c r="B2029" s="345"/>
    </row>
    <row r="2030" spans="1:2">
      <c r="A2030" s="344"/>
      <c r="B2030" s="345"/>
    </row>
    <row r="2031" spans="1:2">
      <c r="A2031" s="344"/>
      <c r="B2031" s="345"/>
    </row>
    <row r="2032" spans="1:2">
      <c r="A2032" s="344"/>
      <c r="B2032" s="345"/>
    </row>
    <row r="2033" spans="1:2">
      <c r="A2033" s="344"/>
      <c r="B2033" s="345"/>
    </row>
    <row r="2034" spans="1:2">
      <c r="A2034" s="344"/>
      <c r="B2034" s="345"/>
    </row>
    <row r="2035" spans="1:2">
      <c r="A2035" s="344"/>
      <c r="B2035" s="345"/>
    </row>
    <row r="2036" spans="1:2">
      <c r="A2036" s="344"/>
      <c r="B2036" s="345"/>
    </row>
    <row r="2037" spans="1:2">
      <c r="A2037" s="344"/>
      <c r="B2037" s="345"/>
    </row>
    <row r="2038" spans="1:2">
      <c r="A2038" s="344"/>
      <c r="B2038" s="345"/>
    </row>
    <row r="2039" spans="1:2">
      <c r="A2039" s="344"/>
      <c r="B2039" s="345"/>
    </row>
    <row r="2040" spans="1:2">
      <c r="A2040" s="344"/>
      <c r="B2040" s="345"/>
    </row>
    <row r="2041" spans="1:2">
      <c r="A2041" s="344"/>
      <c r="B2041" s="345"/>
    </row>
    <row r="2042" spans="1:2">
      <c r="A2042" s="344"/>
      <c r="B2042" s="345"/>
    </row>
    <row r="2043" spans="1:2">
      <c r="A2043" s="344"/>
      <c r="B2043" s="345"/>
    </row>
    <row r="2044" spans="1:2">
      <c r="A2044" s="344"/>
      <c r="B2044" s="345"/>
    </row>
    <row r="2045" spans="1:2">
      <c r="A2045" s="344"/>
      <c r="B2045" s="345"/>
    </row>
    <row r="2046" spans="1:2">
      <c r="A2046" s="344"/>
      <c r="B2046" s="345"/>
    </row>
    <row r="2047" spans="1:2">
      <c r="A2047" s="344"/>
      <c r="B2047" s="345"/>
    </row>
    <row r="2048" spans="1:2">
      <c r="A2048" s="344"/>
      <c r="B2048" s="345"/>
    </row>
    <row r="2049" spans="1:2">
      <c r="A2049" s="344"/>
      <c r="B2049" s="345"/>
    </row>
    <row r="2050" spans="1:2">
      <c r="A2050" s="344"/>
      <c r="B2050" s="345"/>
    </row>
    <row r="2051" spans="1:2">
      <c r="A2051" s="344"/>
      <c r="B2051" s="345"/>
    </row>
    <row r="2052" spans="1:2">
      <c r="A2052" s="344"/>
      <c r="B2052" s="345"/>
    </row>
    <row r="2053" spans="1:2">
      <c r="A2053" s="344"/>
      <c r="B2053" s="345"/>
    </row>
    <row r="2054" spans="1:2">
      <c r="A2054" s="344"/>
      <c r="B2054" s="345"/>
    </row>
    <row r="2055" spans="1:2">
      <c r="A2055" s="344"/>
      <c r="B2055" s="345"/>
    </row>
    <row r="2056" spans="1:2">
      <c r="A2056" s="344"/>
      <c r="B2056" s="345"/>
    </row>
    <row r="2057" spans="1:2">
      <c r="A2057" s="344"/>
      <c r="B2057" s="345"/>
    </row>
    <row r="2058" spans="1:2">
      <c r="A2058" s="344"/>
      <c r="B2058" s="345"/>
    </row>
    <row r="2059" spans="1:2">
      <c r="A2059" s="344"/>
      <c r="B2059" s="345"/>
    </row>
    <row r="2060" spans="1:2">
      <c r="A2060" s="344"/>
      <c r="B2060" s="345"/>
    </row>
    <row r="2061" spans="1:2">
      <c r="A2061" s="344"/>
      <c r="B2061" s="345"/>
    </row>
    <row r="2062" spans="1:2">
      <c r="A2062" s="344"/>
      <c r="B2062" s="345"/>
    </row>
    <row r="2063" spans="1:2">
      <c r="A2063" s="344"/>
      <c r="B2063" s="345"/>
    </row>
    <row r="2064" spans="1:2">
      <c r="A2064" s="344"/>
      <c r="B2064" s="345"/>
    </row>
    <row r="2065" spans="1:2">
      <c r="A2065" s="344"/>
      <c r="B2065" s="345"/>
    </row>
    <row r="2066" spans="1:2">
      <c r="A2066" s="344"/>
      <c r="B2066" s="345"/>
    </row>
    <row r="2067" spans="1:2">
      <c r="A2067" s="344"/>
      <c r="B2067" s="345"/>
    </row>
    <row r="2068" spans="1:2">
      <c r="A2068" s="344"/>
      <c r="B2068" s="345"/>
    </row>
    <row r="2069" spans="1:2">
      <c r="A2069" s="344"/>
      <c r="B2069" s="345"/>
    </row>
    <row r="2070" spans="1:2">
      <c r="A2070" s="344"/>
      <c r="B2070" s="345"/>
    </row>
    <row r="2071" spans="1:2">
      <c r="A2071" s="344"/>
      <c r="B2071" s="345"/>
    </row>
    <row r="2072" spans="1:2">
      <c r="A2072" s="344"/>
      <c r="B2072" s="345"/>
    </row>
    <row r="2073" spans="1:2">
      <c r="A2073" s="344"/>
      <c r="B2073" s="345"/>
    </row>
    <row r="2074" spans="1:2">
      <c r="A2074" s="344"/>
      <c r="B2074" s="345"/>
    </row>
    <row r="2075" spans="1:2">
      <c r="A2075" s="344"/>
      <c r="B2075" s="345"/>
    </row>
    <row r="2076" spans="1:2">
      <c r="A2076" s="344"/>
      <c r="B2076" s="345"/>
    </row>
    <row r="2077" spans="1:2">
      <c r="A2077" s="344"/>
      <c r="B2077" s="345"/>
    </row>
    <row r="2078" spans="1:2">
      <c r="A2078" s="344"/>
      <c r="B2078" s="345"/>
    </row>
    <row r="2079" spans="1:2">
      <c r="A2079" s="344"/>
      <c r="B2079" s="345"/>
    </row>
    <row r="2080" spans="1:2">
      <c r="A2080" s="344"/>
      <c r="B2080" s="345"/>
    </row>
    <row r="2081" spans="1:2">
      <c r="A2081" s="344"/>
      <c r="B2081" s="345"/>
    </row>
    <row r="2082" spans="1:2">
      <c r="A2082" s="344"/>
      <c r="B2082" s="345"/>
    </row>
    <row r="2083" spans="1:2">
      <c r="A2083" s="344"/>
      <c r="B2083" s="345"/>
    </row>
    <row r="2084" spans="1:2">
      <c r="A2084" s="344"/>
      <c r="B2084" s="345"/>
    </row>
    <row r="2085" spans="1:2">
      <c r="A2085" s="344"/>
      <c r="B2085" s="345"/>
    </row>
    <row r="2086" spans="1:2">
      <c r="A2086" s="344"/>
      <c r="B2086" s="345"/>
    </row>
    <row r="2087" spans="1:2">
      <c r="A2087" s="344"/>
      <c r="B2087" s="345"/>
    </row>
    <row r="2088" spans="1:2">
      <c r="A2088" s="344"/>
      <c r="B2088" s="345"/>
    </row>
    <row r="2089" spans="1:2">
      <c r="A2089" s="344"/>
      <c r="B2089" s="345"/>
    </row>
    <row r="2090" spans="1:2">
      <c r="A2090" s="344"/>
      <c r="B2090" s="345"/>
    </row>
    <row r="2091" spans="1:2">
      <c r="A2091" s="344"/>
      <c r="B2091" s="345"/>
    </row>
    <row r="2092" spans="1:2">
      <c r="A2092" s="344"/>
      <c r="B2092" s="345"/>
    </row>
    <row r="2093" spans="1:2">
      <c r="A2093" s="344"/>
      <c r="B2093" s="345"/>
    </row>
    <row r="2094" spans="1:2">
      <c r="A2094" s="344"/>
      <c r="B2094" s="345"/>
    </row>
    <row r="2095" spans="1:2">
      <c r="A2095" s="344"/>
      <c r="B2095" s="345"/>
    </row>
    <row r="2096" spans="1:2">
      <c r="A2096" s="344"/>
      <c r="B2096" s="345"/>
    </row>
    <row r="2097" spans="1:2">
      <c r="A2097" s="344"/>
      <c r="B2097" s="345"/>
    </row>
    <row r="2098" spans="1:2">
      <c r="A2098" s="344"/>
      <c r="B2098" s="345"/>
    </row>
    <row r="2099" spans="1:2">
      <c r="A2099" s="344"/>
      <c r="B2099" s="345"/>
    </row>
    <row r="2100" spans="1:2">
      <c r="A2100" s="344"/>
      <c r="B2100" s="345"/>
    </row>
    <row r="2101" spans="1:2">
      <c r="A2101" s="344"/>
      <c r="B2101" s="345"/>
    </row>
    <row r="2102" spans="1:2">
      <c r="A2102" s="344"/>
      <c r="B2102" s="345"/>
    </row>
    <row r="2103" spans="1:2">
      <c r="A2103" s="344"/>
      <c r="B2103" s="345"/>
    </row>
    <row r="2104" spans="1:2">
      <c r="A2104" s="344"/>
      <c r="B2104" s="345"/>
    </row>
    <row r="2105" spans="1:2">
      <c r="A2105" s="344"/>
      <c r="B2105" s="345"/>
    </row>
    <row r="2106" spans="1:2">
      <c r="A2106" s="344"/>
      <c r="B2106" s="345"/>
    </row>
    <row r="2107" spans="1:2">
      <c r="A2107" s="344"/>
      <c r="B2107" s="345"/>
    </row>
    <row r="2108" spans="1:2">
      <c r="A2108" s="344"/>
      <c r="B2108" s="345"/>
    </row>
    <row r="2109" spans="1:2">
      <c r="A2109" s="344"/>
      <c r="B2109" s="345"/>
    </row>
    <row r="2110" spans="1:2">
      <c r="A2110" s="344"/>
      <c r="B2110" s="345"/>
    </row>
    <row r="2111" spans="1:2">
      <c r="A2111" s="344"/>
      <c r="B2111" s="345"/>
    </row>
    <row r="2112" spans="1:2">
      <c r="A2112" s="344"/>
      <c r="B2112" s="345"/>
    </row>
    <row r="2113" spans="1:2">
      <c r="A2113" s="344"/>
      <c r="B2113" s="345"/>
    </row>
    <row r="2114" spans="1:2">
      <c r="A2114" s="344"/>
      <c r="B2114" s="345"/>
    </row>
    <row r="2115" spans="1:2">
      <c r="A2115" s="344"/>
      <c r="B2115" s="345"/>
    </row>
    <row r="2116" spans="1:2">
      <c r="A2116" s="344"/>
      <c r="B2116" s="345"/>
    </row>
    <row r="2117" spans="1:2">
      <c r="A2117" s="344"/>
      <c r="B2117" s="345"/>
    </row>
    <row r="2118" spans="1:2">
      <c r="A2118" s="344"/>
      <c r="B2118" s="345"/>
    </row>
    <row r="2119" spans="1:2">
      <c r="A2119" s="344"/>
      <c r="B2119" s="345"/>
    </row>
    <row r="2120" spans="1:2">
      <c r="A2120" s="344"/>
      <c r="B2120" s="345"/>
    </row>
    <row r="2121" spans="1:2">
      <c r="A2121" s="344"/>
      <c r="B2121" s="345"/>
    </row>
    <row r="2122" spans="1:2">
      <c r="A2122" s="344"/>
      <c r="B2122" s="345"/>
    </row>
    <row r="2123" spans="1:2">
      <c r="A2123" s="344"/>
      <c r="B2123" s="345"/>
    </row>
    <row r="2124" spans="1:2">
      <c r="A2124" s="344"/>
      <c r="B2124" s="345"/>
    </row>
    <row r="2125" spans="1:2">
      <c r="A2125" s="344"/>
      <c r="B2125" s="345"/>
    </row>
    <row r="2126" spans="1:2">
      <c r="A2126" s="344"/>
      <c r="B2126" s="345"/>
    </row>
    <row r="2127" spans="1:2">
      <c r="A2127" s="344"/>
      <c r="B2127" s="345"/>
    </row>
    <row r="2128" spans="1:2">
      <c r="A2128" s="344"/>
      <c r="B2128" s="345"/>
    </row>
    <row r="2129" spans="1:2">
      <c r="A2129" s="344"/>
      <c r="B2129" s="345"/>
    </row>
    <row r="2130" spans="1:2">
      <c r="A2130" s="344"/>
      <c r="B2130" s="345"/>
    </row>
    <row r="2131" spans="1:2">
      <c r="A2131" s="344"/>
      <c r="B2131" s="345"/>
    </row>
    <row r="2132" spans="1:2">
      <c r="A2132" s="344"/>
      <c r="B2132" s="345"/>
    </row>
    <row r="2133" spans="1:2">
      <c r="A2133" s="344"/>
      <c r="B2133" s="345"/>
    </row>
    <row r="2134" spans="1:2">
      <c r="A2134" s="344"/>
      <c r="B2134" s="345"/>
    </row>
    <row r="2135" spans="1:2">
      <c r="A2135" s="344"/>
      <c r="B2135" s="345"/>
    </row>
    <row r="2136" spans="1:2">
      <c r="A2136" s="344"/>
      <c r="B2136" s="345"/>
    </row>
    <row r="2137" spans="1:2">
      <c r="A2137" s="344"/>
      <c r="B2137" s="345"/>
    </row>
    <row r="2138" spans="1:2">
      <c r="A2138" s="344"/>
      <c r="B2138" s="345"/>
    </row>
    <row r="2139" spans="1:2">
      <c r="A2139" s="344"/>
      <c r="B2139" s="345"/>
    </row>
    <row r="2140" spans="1:2">
      <c r="A2140" s="344"/>
      <c r="B2140" s="345"/>
    </row>
    <row r="2141" spans="1:2">
      <c r="A2141" s="344"/>
      <c r="B2141" s="345"/>
    </row>
    <row r="2142" spans="1:2">
      <c r="A2142" s="344"/>
      <c r="B2142" s="345"/>
    </row>
    <row r="2143" spans="1:2">
      <c r="A2143" s="344"/>
      <c r="B2143" s="345"/>
    </row>
    <row r="2144" spans="1:2">
      <c r="A2144" s="344"/>
      <c r="B2144" s="345"/>
    </row>
    <row r="2145" spans="1:2">
      <c r="A2145" s="344"/>
      <c r="B2145" s="345"/>
    </row>
    <row r="2146" spans="1:2">
      <c r="A2146" s="344"/>
      <c r="B2146" s="345"/>
    </row>
    <row r="2147" spans="1:2">
      <c r="A2147" s="344"/>
      <c r="B2147" s="345"/>
    </row>
    <row r="2148" spans="1:2">
      <c r="A2148" s="344"/>
      <c r="B2148" s="345"/>
    </row>
    <row r="2149" spans="1:2">
      <c r="A2149" s="344"/>
      <c r="B2149" s="345"/>
    </row>
    <row r="2150" spans="1:2">
      <c r="A2150" s="344"/>
      <c r="B2150" s="345"/>
    </row>
    <row r="2151" spans="1:2">
      <c r="A2151" s="344"/>
      <c r="B2151" s="345"/>
    </row>
    <row r="2152" spans="1:2">
      <c r="A2152" s="344"/>
      <c r="B2152" s="345"/>
    </row>
    <row r="2153" spans="1:2">
      <c r="A2153" s="344"/>
      <c r="B2153" s="345"/>
    </row>
    <row r="2154" spans="1:2">
      <c r="A2154" s="344"/>
      <c r="B2154" s="345"/>
    </row>
    <row r="2155" spans="1:2">
      <c r="A2155" s="344"/>
      <c r="B2155" s="345"/>
    </row>
    <row r="2156" spans="1:2">
      <c r="A2156" s="344"/>
      <c r="B2156" s="345"/>
    </row>
    <row r="2157" spans="1:2">
      <c r="A2157" s="344"/>
      <c r="B2157" s="345"/>
    </row>
    <row r="2158" spans="1:2">
      <c r="A2158" s="344"/>
      <c r="B2158" s="345"/>
    </row>
    <row r="2159" spans="1:2">
      <c r="A2159" s="344"/>
      <c r="B2159" s="345"/>
    </row>
    <row r="2160" spans="1:2">
      <c r="A2160" s="344"/>
      <c r="B2160" s="345"/>
    </row>
    <row r="2161" spans="1:2">
      <c r="A2161" s="344"/>
      <c r="B2161" s="345"/>
    </row>
    <row r="2162" spans="1:2">
      <c r="A2162" s="344"/>
      <c r="B2162" s="345"/>
    </row>
    <row r="2163" spans="1:2">
      <c r="A2163" s="344"/>
      <c r="B2163" s="345"/>
    </row>
    <row r="2164" spans="1:2">
      <c r="A2164" s="344"/>
      <c r="B2164" s="345"/>
    </row>
    <row r="2165" spans="1:2">
      <c r="A2165" s="344"/>
      <c r="B2165" s="345"/>
    </row>
    <row r="2166" spans="1:2">
      <c r="A2166" s="344"/>
      <c r="B2166" s="345"/>
    </row>
    <row r="2167" spans="1:2">
      <c r="A2167" s="344"/>
      <c r="B2167" s="345"/>
    </row>
    <row r="2168" spans="1:2">
      <c r="A2168" s="344"/>
      <c r="B2168" s="345"/>
    </row>
    <row r="2169" spans="1:2">
      <c r="A2169" s="344"/>
      <c r="B2169" s="345"/>
    </row>
    <row r="2170" spans="1:2">
      <c r="A2170" s="344"/>
      <c r="B2170" s="345"/>
    </row>
    <row r="2171" spans="1:2">
      <c r="A2171" s="344"/>
      <c r="B2171" s="345"/>
    </row>
    <row r="2172" spans="1:2">
      <c r="A2172" s="344"/>
      <c r="B2172" s="345"/>
    </row>
    <row r="2173" spans="1:2">
      <c r="A2173" s="344"/>
      <c r="B2173" s="345"/>
    </row>
    <row r="2174" spans="1:2">
      <c r="A2174" s="344"/>
      <c r="B2174" s="345"/>
    </row>
    <row r="2175" spans="1:2">
      <c r="A2175" s="344"/>
      <c r="B2175" s="345"/>
    </row>
    <row r="2176" spans="1:2">
      <c r="A2176" s="344"/>
      <c r="B2176" s="345"/>
    </row>
    <row r="2177" spans="1:2">
      <c r="A2177" s="344"/>
      <c r="B2177" s="345"/>
    </row>
    <row r="2178" spans="1:2">
      <c r="A2178" s="344"/>
      <c r="B2178" s="345"/>
    </row>
    <row r="2179" spans="1:2">
      <c r="A2179" s="344"/>
      <c r="B2179" s="345"/>
    </row>
    <row r="2180" spans="1:2">
      <c r="A2180" s="344"/>
      <c r="B2180" s="345"/>
    </row>
    <row r="2181" spans="1:2">
      <c r="A2181" s="344"/>
      <c r="B2181" s="345"/>
    </row>
    <row r="2182" spans="1:2">
      <c r="A2182" s="344"/>
      <c r="B2182" s="345"/>
    </row>
    <row r="2183" spans="1:2">
      <c r="A2183" s="344"/>
      <c r="B2183" s="345"/>
    </row>
    <row r="2184" spans="1:2">
      <c r="A2184" s="344"/>
      <c r="B2184" s="345"/>
    </row>
    <row r="2185" spans="1:2">
      <c r="A2185" s="344"/>
      <c r="B2185" s="345"/>
    </row>
    <row r="2186" spans="1:2">
      <c r="A2186" s="344"/>
      <c r="B2186" s="345"/>
    </row>
    <row r="2187" spans="1:2">
      <c r="A2187" s="344"/>
      <c r="B2187" s="345"/>
    </row>
    <row r="2188" spans="1:2">
      <c r="A2188" s="344"/>
      <c r="B2188" s="345"/>
    </row>
    <row r="2189" spans="1:2">
      <c r="A2189" s="344"/>
      <c r="B2189" s="345"/>
    </row>
    <row r="2190" spans="1:2">
      <c r="A2190" s="344"/>
      <c r="B2190" s="345"/>
    </row>
    <row r="2191" spans="1:2">
      <c r="A2191" s="344"/>
      <c r="B2191" s="345"/>
    </row>
    <row r="2192" spans="1:2">
      <c r="A2192" s="344"/>
      <c r="B2192" s="345"/>
    </row>
    <row r="2193" spans="1:2">
      <c r="A2193" s="344"/>
      <c r="B2193" s="345"/>
    </row>
    <row r="2194" spans="1:2">
      <c r="A2194" s="344"/>
      <c r="B2194" s="345"/>
    </row>
    <row r="2195" spans="1:2">
      <c r="A2195" s="344"/>
      <c r="B2195" s="345"/>
    </row>
    <row r="2196" spans="1:2">
      <c r="A2196" s="344"/>
      <c r="B2196" s="345"/>
    </row>
    <row r="2197" spans="1:2">
      <c r="A2197" s="344"/>
      <c r="B2197" s="345"/>
    </row>
    <row r="2198" spans="1:2">
      <c r="A2198" s="344"/>
      <c r="B2198" s="345"/>
    </row>
    <row r="2199" spans="1:2">
      <c r="A2199" s="344"/>
      <c r="B2199" s="345"/>
    </row>
    <row r="2200" spans="1:2">
      <c r="A2200" s="344"/>
      <c r="B2200" s="345"/>
    </row>
    <row r="2201" spans="1:2">
      <c r="A2201" s="344"/>
      <c r="B2201" s="345"/>
    </row>
    <row r="2202" spans="1:2">
      <c r="A2202" s="344"/>
      <c r="B2202" s="345"/>
    </row>
    <row r="2203" spans="1:2">
      <c r="A2203" s="344"/>
      <c r="B2203" s="345"/>
    </row>
    <row r="2204" spans="1:2">
      <c r="A2204" s="344"/>
      <c r="B2204" s="345"/>
    </row>
    <row r="2205" spans="1:2">
      <c r="A2205" s="344"/>
      <c r="B2205" s="345"/>
    </row>
    <row r="2206" spans="1:2">
      <c r="A2206" s="344"/>
      <c r="B2206" s="345"/>
    </row>
    <row r="2207" spans="1:2">
      <c r="A2207" s="344"/>
      <c r="B2207" s="345"/>
    </row>
    <row r="2208" spans="1:2">
      <c r="A2208" s="344"/>
      <c r="B2208" s="345"/>
    </row>
    <row r="2209" spans="1:2">
      <c r="A2209" s="344"/>
      <c r="B2209" s="345"/>
    </row>
    <row r="2210" spans="1:2">
      <c r="A2210" s="344"/>
      <c r="B2210" s="345"/>
    </row>
    <row r="2211" spans="1:2">
      <c r="A2211" s="344"/>
      <c r="B2211" s="345"/>
    </row>
    <row r="2212" spans="1:2">
      <c r="A2212" s="344"/>
      <c r="B2212" s="345"/>
    </row>
    <row r="2213" spans="1:2">
      <c r="A2213" s="344"/>
      <c r="B2213" s="345"/>
    </row>
    <row r="2214" spans="1:2">
      <c r="A2214" s="344"/>
      <c r="B2214" s="345"/>
    </row>
    <row r="2215" spans="1:2">
      <c r="A2215" s="344"/>
      <c r="B2215" s="345"/>
    </row>
    <row r="2216" spans="1:2">
      <c r="A2216" s="344"/>
      <c r="B2216" s="345"/>
    </row>
    <row r="2217" spans="1:2">
      <c r="A2217" s="344"/>
      <c r="B2217" s="345"/>
    </row>
    <row r="2218" spans="1:2">
      <c r="A2218" s="344"/>
      <c r="B2218" s="345"/>
    </row>
    <row r="2219" spans="1:2">
      <c r="A2219" s="344"/>
      <c r="B2219" s="345"/>
    </row>
    <row r="2220" spans="1:2">
      <c r="A2220" s="344"/>
      <c r="B2220" s="345"/>
    </row>
    <row r="2221" spans="1:2">
      <c r="A2221" s="344"/>
      <c r="B2221" s="345"/>
    </row>
    <row r="2222" spans="1:2">
      <c r="A2222" s="344"/>
      <c r="B2222" s="345"/>
    </row>
    <row r="2223" spans="1:2">
      <c r="A2223" s="344"/>
      <c r="B2223" s="345"/>
    </row>
    <row r="2224" spans="1:2">
      <c r="A2224" s="344"/>
      <c r="B2224" s="345"/>
    </row>
    <row r="2225" spans="1:2">
      <c r="A2225" s="344"/>
      <c r="B2225" s="345"/>
    </row>
    <row r="2226" spans="1:2">
      <c r="A2226" s="344"/>
      <c r="B2226" s="345"/>
    </row>
    <row r="2227" spans="1:2">
      <c r="A2227" s="344"/>
      <c r="B2227" s="345"/>
    </row>
    <row r="2228" spans="1:2">
      <c r="A2228" s="344"/>
      <c r="B2228" s="345"/>
    </row>
    <row r="2229" spans="1:2">
      <c r="A2229" s="344"/>
      <c r="B2229" s="345"/>
    </row>
    <row r="2230" spans="1:2">
      <c r="A2230" s="344"/>
      <c r="B2230" s="345"/>
    </row>
    <row r="2231" spans="1:2">
      <c r="A2231" s="344"/>
      <c r="B2231" s="345"/>
    </row>
    <row r="2232" spans="1:2">
      <c r="A2232" s="344"/>
      <c r="B2232" s="345"/>
    </row>
    <row r="2233" spans="1:2">
      <c r="A2233" s="344"/>
      <c r="B2233" s="345"/>
    </row>
    <row r="2234" spans="1:2">
      <c r="A2234" s="344"/>
      <c r="B2234" s="345"/>
    </row>
    <row r="2235" spans="1:2">
      <c r="A2235" s="344"/>
      <c r="B2235" s="345"/>
    </row>
    <row r="2236" spans="1:2">
      <c r="A2236" s="344"/>
      <c r="B2236" s="345"/>
    </row>
    <row r="2237" spans="1:2">
      <c r="A2237" s="344"/>
      <c r="B2237" s="345"/>
    </row>
    <row r="2238" spans="1:2">
      <c r="A2238" s="344"/>
      <c r="B2238" s="345"/>
    </row>
    <row r="2239" spans="1:2">
      <c r="A2239" s="344"/>
      <c r="B2239" s="345"/>
    </row>
    <row r="2240" spans="1:2">
      <c r="A2240" s="344"/>
      <c r="B2240" s="345"/>
    </row>
    <row r="2241" spans="1:2">
      <c r="A2241" s="344"/>
      <c r="B2241" s="345"/>
    </row>
    <row r="2242" spans="1:2">
      <c r="A2242" s="344"/>
      <c r="B2242" s="345"/>
    </row>
    <row r="2243" spans="1:2">
      <c r="A2243" s="344"/>
      <c r="B2243" s="345"/>
    </row>
    <row r="2244" spans="1:2">
      <c r="A2244" s="344"/>
      <c r="B2244" s="345"/>
    </row>
    <row r="2245" spans="1:2">
      <c r="A2245" s="344"/>
      <c r="B2245" s="345"/>
    </row>
    <row r="2246" spans="1:2">
      <c r="A2246" s="344"/>
      <c r="B2246" s="345"/>
    </row>
    <row r="2247" spans="1:2">
      <c r="A2247" s="344"/>
      <c r="B2247" s="345"/>
    </row>
    <row r="2248" spans="1:2">
      <c r="A2248" s="344"/>
      <c r="B2248" s="345"/>
    </row>
    <row r="2249" spans="1:2">
      <c r="A2249" s="344"/>
      <c r="B2249" s="345"/>
    </row>
    <row r="2250" spans="1:2">
      <c r="A2250" s="344"/>
      <c r="B2250" s="345"/>
    </row>
    <row r="2251" spans="1:2">
      <c r="A2251" s="344"/>
      <c r="B2251" s="345"/>
    </row>
    <row r="2252" spans="1:2">
      <c r="A2252" s="344"/>
      <c r="B2252" s="345"/>
    </row>
    <row r="2253" spans="1:2">
      <c r="A2253" s="344"/>
      <c r="B2253" s="345"/>
    </row>
    <row r="2254" spans="1:2">
      <c r="A2254" s="344"/>
      <c r="B2254" s="345"/>
    </row>
    <row r="2255" spans="1:2">
      <c r="A2255" s="344"/>
      <c r="B2255" s="345"/>
    </row>
    <row r="2256" spans="1:2">
      <c r="A2256" s="344"/>
      <c r="B2256" s="345"/>
    </row>
    <row r="2257" spans="1:2">
      <c r="A2257" s="344"/>
      <c r="B2257" s="345"/>
    </row>
    <row r="2258" spans="1:2">
      <c r="A2258" s="344"/>
      <c r="B2258" s="345"/>
    </row>
    <row r="2259" spans="1:2">
      <c r="A2259" s="344"/>
      <c r="B2259" s="345"/>
    </row>
    <row r="2260" spans="1:2">
      <c r="A2260" s="344"/>
      <c r="B2260" s="345"/>
    </row>
    <row r="2261" spans="1:2">
      <c r="A2261" s="344"/>
      <c r="B2261" s="345"/>
    </row>
    <row r="2262" spans="1:2">
      <c r="A2262" s="344"/>
      <c r="B2262" s="345"/>
    </row>
    <row r="2263" spans="1:2">
      <c r="A2263" s="344"/>
      <c r="B2263" s="345"/>
    </row>
    <row r="2264" spans="1:2">
      <c r="A2264" s="344"/>
      <c r="B2264" s="345"/>
    </row>
    <row r="2265" spans="1:2">
      <c r="A2265" s="344"/>
      <c r="B2265" s="345"/>
    </row>
    <row r="2266" spans="1:2">
      <c r="A2266" s="344"/>
      <c r="B2266" s="345"/>
    </row>
    <row r="2267" spans="1:2">
      <c r="A2267" s="344"/>
      <c r="B2267" s="345"/>
    </row>
    <row r="2268" spans="1:2">
      <c r="A2268" s="344"/>
      <c r="B2268" s="345"/>
    </row>
    <row r="2269" spans="1:2">
      <c r="A2269" s="344"/>
      <c r="B2269" s="345"/>
    </row>
    <row r="2270" spans="1:2">
      <c r="A2270" s="344"/>
      <c r="B2270" s="345"/>
    </row>
    <row r="2271" spans="1:2">
      <c r="A2271" s="344"/>
      <c r="B2271" s="345"/>
    </row>
    <row r="2272" spans="1:2">
      <c r="A2272" s="344"/>
      <c r="B2272" s="345"/>
    </row>
    <row r="2273" spans="1:2">
      <c r="A2273" s="344"/>
      <c r="B2273" s="345"/>
    </row>
    <row r="2274" spans="1:2">
      <c r="A2274" s="344"/>
      <c r="B2274" s="345"/>
    </row>
    <row r="2275" spans="1:2">
      <c r="A2275" s="344"/>
      <c r="B2275" s="345"/>
    </row>
    <row r="2276" spans="1:2">
      <c r="A2276" s="344"/>
      <c r="B2276" s="345"/>
    </row>
    <row r="2277" spans="1:2">
      <c r="A2277" s="344"/>
      <c r="B2277" s="345"/>
    </row>
    <row r="2278" spans="1:2">
      <c r="A2278" s="344"/>
      <c r="B2278" s="345"/>
    </row>
    <row r="2279" spans="1:2">
      <c r="A2279" s="344"/>
      <c r="B2279" s="345"/>
    </row>
    <row r="2280" spans="1:2">
      <c r="A2280" s="344"/>
      <c r="B2280" s="345"/>
    </row>
    <row r="2281" spans="1:2">
      <c r="A2281" s="344"/>
      <c r="B2281" s="345"/>
    </row>
    <row r="2282" spans="1:2">
      <c r="A2282" s="344"/>
      <c r="B2282" s="345"/>
    </row>
    <row r="2283" spans="1:2">
      <c r="A2283" s="344"/>
      <c r="B2283" s="345"/>
    </row>
    <row r="2284" spans="1:2">
      <c r="A2284" s="344"/>
      <c r="B2284" s="345"/>
    </row>
    <row r="2285" spans="1:2">
      <c r="A2285" s="344"/>
      <c r="B2285" s="345"/>
    </row>
    <row r="2286" spans="1:2">
      <c r="A2286" s="344"/>
      <c r="B2286" s="345"/>
    </row>
    <row r="2287" spans="1:2">
      <c r="A2287" s="344"/>
      <c r="B2287" s="345"/>
    </row>
    <row r="2288" spans="1:2">
      <c r="A2288" s="344"/>
      <c r="B2288" s="345"/>
    </row>
    <row r="2289" spans="1:2">
      <c r="A2289" s="344"/>
      <c r="B2289" s="345"/>
    </row>
    <row r="2290" spans="1:2">
      <c r="A2290" s="344"/>
      <c r="B2290" s="345"/>
    </row>
    <row r="2291" spans="1:2">
      <c r="A2291" s="344"/>
      <c r="B2291" s="345"/>
    </row>
    <row r="2292" spans="1:2">
      <c r="A2292" s="344"/>
      <c r="B2292" s="345"/>
    </row>
    <row r="2293" spans="1:2">
      <c r="A2293" s="344"/>
      <c r="B2293" s="345"/>
    </row>
    <row r="2294" spans="1:2">
      <c r="A2294" s="344"/>
      <c r="B2294" s="345"/>
    </row>
    <row r="2295" spans="1:2">
      <c r="A2295" s="344"/>
      <c r="B2295" s="345"/>
    </row>
    <row r="2296" spans="1:2">
      <c r="A2296" s="344"/>
      <c r="B2296" s="345"/>
    </row>
    <row r="2297" spans="1:2">
      <c r="A2297" s="344"/>
      <c r="B2297" s="345"/>
    </row>
    <row r="2298" spans="1:2">
      <c r="A2298" s="344"/>
      <c r="B2298" s="345"/>
    </row>
    <row r="2299" spans="1:2">
      <c r="A2299" s="344"/>
      <c r="B2299" s="345"/>
    </row>
    <row r="2300" spans="1:2">
      <c r="A2300" s="344"/>
      <c r="B2300" s="345"/>
    </row>
    <row r="2301" spans="1:2">
      <c r="A2301" s="344"/>
      <c r="B2301" s="345"/>
    </row>
    <row r="2302" spans="1:2">
      <c r="A2302" s="344"/>
      <c r="B2302" s="345"/>
    </row>
    <row r="2303" spans="1:2">
      <c r="A2303" s="344"/>
      <c r="B2303" s="345"/>
    </row>
    <row r="2304" spans="1:2">
      <c r="A2304" s="344"/>
      <c r="B2304" s="345"/>
    </row>
    <row r="2305" spans="1:2">
      <c r="A2305" s="344"/>
      <c r="B2305" s="345"/>
    </row>
    <row r="2306" spans="1:2">
      <c r="A2306" s="344"/>
      <c r="B2306" s="345"/>
    </row>
    <row r="2307" spans="1:2">
      <c r="A2307" s="344"/>
      <c r="B2307" s="345"/>
    </row>
    <row r="2308" spans="1:2">
      <c r="A2308" s="344"/>
      <c r="B2308" s="345"/>
    </row>
    <row r="2309" spans="1:2">
      <c r="A2309" s="344"/>
      <c r="B2309" s="345"/>
    </row>
    <row r="2310" spans="1:2">
      <c r="A2310" s="344"/>
      <c r="B2310" s="345"/>
    </row>
    <row r="2311" spans="1:2">
      <c r="A2311" s="344"/>
      <c r="B2311" s="345"/>
    </row>
    <row r="2312" spans="1:2">
      <c r="A2312" s="344"/>
      <c r="B2312" s="345"/>
    </row>
    <row r="2313" spans="1:2">
      <c r="A2313" s="344"/>
      <c r="B2313" s="345"/>
    </row>
    <row r="2314" spans="1:2">
      <c r="A2314" s="344"/>
      <c r="B2314" s="345"/>
    </row>
    <row r="2315" spans="1:2">
      <c r="A2315" s="344"/>
      <c r="B2315" s="345"/>
    </row>
    <row r="2316" spans="1:2">
      <c r="A2316" s="344"/>
      <c r="B2316" s="345"/>
    </row>
    <row r="2317" spans="1:2">
      <c r="A2317" s="344"/>
      <c r="B2317" s="345"/>
    </row>
    <row r="2318" spans="1:2">
      <c r="A2318" s="344"/>
      <c r="B2318" s="345"/>
    </row>
    <row r="2319" spans="1:2">
      <c r="A2319" s="344"/>
      <c r="B2319" s="345"/>
    </row>
    <row r="2320" spans="1:2">
      <c r="A2320" s="344"/>
      <c r="B2320" s="345"/>
    </row>
    <row r="2321" spans="1:2">
      <c r="A2321" s="344"/>
      <c r="B2321" s="345"/>
    </row>
    <row r="2322" spans="1:2">
      <c r="A2322" s="344"/>
      <c r="B2322" s="345"/>
    </row>
    <row r="2323" spans="1:2">
      <c r="A2323" s="344"/>
      <c r="B2323" s="345"/>
    </row>
    <row r="2324" spans="1:2">
      <c r="A2324" s="344"/>
      <c r="B2324" s="345"/>
    </row>
    <row r="2325" spans="1:2">
      <c r="A2325" s="344"/>
      <c r="B2325" s="345"/>
    </row>
    <row r="2326" spans="1:2">
      <c r="A2326" s="344"/>
      <c r="B2326" s="345"/>
    </row>
    <row r="2327" spans="1:2">
      <c r="A2327" s="344"/>
      <c r="B2327" s="345"/>
    </row>
    <row r="2328" spans="1:2">
      <c r="A2328" s="344"/>
      <c r="B2328" s="345"/>
    </row>
    <row r="2329" spans="1:2">
      <c r="A2329" s="344"/>
      <c r="B2329" s="345"/>
    </row>
    <row r="2330" spans="1:2">
      <c r="A2330" s="344"/>
      <c r="B2330" s="345"/>
    </row>
    <row r="2331" spans="1:2">
      <c r="A2331" s="344"/>
      <c r="B2331" s="345"/>
    </row>
    <row r="2332" spans="1:2">
      <c r="A2332" s="344"/>
      <c r="B2332" s="345"/>
    </row>
    <row r="2333" spans="1:2">
      <c r="A2333" s="344"/>
      <c r="B2333" s="345"/>
    </row>
    <row r="2334" spans="1:2">
      <c r="A2334" s="344"/>
      <c r="B2334" s="345"/>
    </row>
    <row r="2335" spans="1:2">
      <c r="A2335" s="344"/>
      <c r="B2335" s="345"/>
    </row>
    <row r="2336" spans="1:2">
      <c r="A2336" s="344"/>
      <c r="B2336" s="345"/>
    </row>
    <row r="2337" spans="1:2">
      <c r="A2337" s="344"/>
      <c r="B2337" s="345"/>
    </row>
    <row r="2338" spans="1:2">
      <c r="A2338" s="344"/>
      <c r="B2338" s="345"/>
    </row>
    <row r="2339" spans="1:2">
      <c r="A2339" s="344"/>
      <c r="B2339" s="345"/>
    </row>
    <row r="2340" spans="1:2">
      <c r="A2340" s="344"/>
      <c r="B2340" s="345"/>
    </row>
    <row r="2341" spans="1:2">
      <c r="A2341" s="344"/>
      <c r="B2341" s="345"/>
    </row>
    <row r="2342" spans="1:2">
      <c r="A2342" s="344"/>
      <c r="B2342" s="345"/>
    </row>
    <row r="2343" spans="1:2">
      <c r="A2343" s="344"/>
      <c r="B2343" s="345"/>
    </row>
    <row r="2344" spans="1:2">
      <c r="A2344" s="344"/>
      <c r="B2344" s="345"/>
    </row>
    <row r="2345" spans="1:2">
      <c r="A2345" s="344"/>
      <c r="B2345" s="345"/>
    </row>
    <row r="2346" spans="1:2">
      <c r="A2346" s="344"/>
      <c r="B2346" s="345"/>
    </row>
    <row r="2347" spans="1:2">
      <c r="A2347" s="344"/>
      <c r="B2347" s="345"/>
    </row>
    <row r="2348" spans="1:2">
      <c r="A2348" s="344"/>
      <c r="B2348" s="345"/>
    </row>
    <row r="2349" spans="1:2">
      <c r="A2349" s="344"/>
      <c r="B2349" s="345"/>
    </row>
    <row r="2350" spans="1:2">
      <c r="A2350" s="344"/>
      <c r="B2350" s="345"/>
    </row>
    <row r="2351" spans="1:2">
      <c r="A2351" s="344"/>
      <c r="B2351" s="345"/>
    </row>
    <row r="2352" spans="1:2">
      <c r="A2352" s="344"/>
      <c r="B2352" s="345"/>
    </row>
    <row r="2353" spans="1:2">
      <c r="A2353" s="344"/>
      <c r="B2353" s="345"/>
    </row>
    <row r="2354" spans="1:2">
      <c r="A2354" s="344"/>
      <c r="B2354" s="345"/>
    </row>
    <row r="2355" spans="1:2">
      <c r="A2355" s="344"/>
      <c r="B2355" s="345"/>
    </row>
    <row r="2356" spans="1:2">
      <c r="A2356" s="344"/>
      <c r="B2356" s="345"/>
    </row>
    <row r="2357" spans="1:2">
      <c r="A2357" s="344"/>
      <c r="B2357" s="345"/>
    </row>
    <row r="2358" spans="1:2">
      <c r="A2358" s="344"/>
      <c r="B2358" s="345"/>
    </row>
    <row r="2359" spans="1:2">
      <c r="A2359" s="344"/>
      <c r="B2359" s="345"/>
    </row>
    <row r="2360" spans="1:2">
      <c r="A2360" s="344"/>
      <c r="B2360" s="345"/>
    </row>
    <row r="2361" spans="1:2">
      <c r="A2361" s="344"/>
      <c r="B2361" s="345"/>
    </row>
    <row r="2362" spans="1:2">
      <c r="A2362" s="344"/>
      <c r="B2362" s="345"/>
    </row>
    <row r="2363" spans="1:2">
      <c r="A2363" s="344"/>
      <c r="B2363" s="345"/>
    </row>
    <row r="2364" spans="1:2">
      <c r="A2364" s="344"/>
      <c r="B2364" s="345"/>
    </row>
    <row r="2365" spans="1:2">
      <c r="A2365" s="344"/>
      <c r="B2365" s="345"/>
    </row>
    <row r="2366" spans="1:2">
      <c r="A2366" s="344"/>
      <c r="B2366" s="345"/>
    </row>
    <row r="2367" spans="1:2">
      <c r="A2367" s="344"/>
      <c r="B2367" s="345"/>
    </row>
    <row r="2368" spans="1:2">
      <c r="A2368" s="344"/>
      <c r="B2368" s="345"/>
    </row>
    <row r="2369" spans="1:2">
      <c r="A2369" s="344"/>
      <c r="B2369" s="345"/>
    </row>
    <row r="2370" spans="1:2">
      <c r="A2370" s="344"/>
      <c r="B2370" s="345"/>
    </row>
    <row r="2371" spans="1:2">
      <c r="A2371" s="344"/>
      <c r="B2371" s="345"/>
    </row>
    <row r="2372" spans="1:2">
      <c r="A2372" s="344"/>
      <c r="B2372" s="345"/>
    </row>
    <row r="2373" spans="1:2">
      <c r="A2373" s="344"/>
      <c r="B2373" s="345"/>
    </row>
    <row r="2374" spans="1:2">
      <c r="A2374" s="344"/>
      <c r="B2374" s="345"/>
    </row>
    <row r="2375" spans="1:2">
      <c r="A2375" s="344"/>
      <c r="B2375" s="345"/>
    </row>
    <row r="2376" spans="1:2">
      <c r="A2376" s="344"/>
      <c r="B2376" s="345"/>
    </row>
    <row r="2377" spans="1:2">
      <c r="A2377" s="344"/>
      <c r="B2377" s="345"/>
    </row>
    <row r="2378" spans="1:2">
      <c r="A2378" s="344"/>
      <c r="B2378" s="345"/>
    </row>
    <row r="2379" spans="1:2">
      <c r="A2379" s="344"/>
      <c r="B2379" s="345"/>
    </row>
    <row r="2380" spans="1:2">
      <c r="A2380" s="344"/>
      <c r="B2380" s="345"/>
    </row>
    <row r="2381" spans="1:2">
      <c r="A2381" s="344"/>
      <c r="B2381" s="345"/>
    </row>
    <row r="2382" spans="1:2">
      <c r="A2382" s="344"/>
      <c r="B2382" s="345"/>
    </row>
    <row r="2383" spans="1:2">
      <c r="A2383" s="344"/>
      <c r="B2383" s="345"/>
    </row>
    <row r="2384" spans="1:2">
      <c r="A2384" s="344"/>
      <c r="B2384" s="345"/>
    </row>
    <row r="2385" spans="1:2">
      <c r="A2385" s="344"/>
      <c r="B2385" s="345"/>
    </row>
    <row r="2386" spans="1:2">
      <c r="A2386" s="344"/>
      <c r="B2386" s="345"/>
    </row>
    <row r="2387" spans="1:2">
      <c r="A2387" s="344"/>
      <c r="B2387" s="345"/>
    </row>
    <row r="2388" spans="1:2">
      <c r="A2388" s="344"/>
      <c r="B2388" s="345"/>
    </row>
    <row r="2389" spans="1:2">
      <c r="A2389" s="344"/>
      <c r="B2389" s="345"/>
    </row>
    <row r="2390" spans="1:2">
      <c r="A2390" s="344"/>
      <c r="B2390" s="345"/>
    </row>
    <row r="2391" spans="1:2">
      <c r="A2391" s="344"/>
      <c r="B2391" s="345"/>
    </row>
    <row r="2392" spans="1:2">
      <c r="A2392" s="344"/>
      <c r="B2392" s="345"/>
    </row>
    <row r="2393" spans="1:2">
      <c r="A2393" s="344"/>
      <c r="B2393" s="345"/>
    </row>
    <row r="2394" spans="1:2">
      <c r="A2394" s="344"/>
      <c r="B2394" s="345"/>
    </row>
    <row r="2395" spans="1:2">
      <c r="A2395" s="344"/>
      <c r="B2395" s="345"/>
    </row>
    <row r="2396" spans="1:2">
      <c r="A2396" s="344"/>
      <c r="B2396" s="345"/>
    </row>
    <row r="2397" spans="1:2">
      <c r="A2397" s="344"/>
      <c r="B2397" s="345"/>
    </row>
    <row r="2398" spans="1:2">
      <c r="A2398" s="344"/>
      <c r="B2398" s="345"/>
    </row>
    <row r="2399" spans="1:2">
      <c r="A2399" s="344"/>
      <c r="B2399" s="345"/>
    </row>
    <row r="2400" spans="1:2">
      <c r="A2400" s="344"/>
      <c r="B2400" s="345"/>
    </row>
    <row r="2401" spans="1:2">
      <c r="A2401" s="344"/>
      <c r="B2401" s="345"/>
    </row>
    <row r="2402" spans="1:2">
      <c r="A2402" s="344"/>
      <c r="B2402" s="345"/>
    </row>
    <row r="2403" spans="1:2">
      <c r="A2403" s="344"/>
      <c r="B2403" s="345"/>
    </row>
    <row r="2404" spans="1:2">
      <c r="A2404" s="344"/>
      <c r="B2404" s="345"/>
    </row>
    <row r="2405" spans="1:2">
      <c r="A2405" s="344"/>
      <c r="B2405" s="345"/>
    </row>
    <row r="2406" spans="1:2">
      <c r="A2406" s="344"/>
      <c r="B2406" s="345"/>
    </row>
    <row r="2407" spans="1:2">
      <c r="A2407" s="344"/>
      <c r="B2407" s="345"/>
    </row>
    <row r="2408" spans="1:2">
      <c r="A2408" s="344"/>
      <c r="B2408" s="345"/>
    </row>
    <row r="2409" spans="1:2">
      <c r="A2409" s="344"/>
      <c r="B2409" s="345"/>
    </row>
    <row r="2410" spans="1:2">
      <c r="A2410" s="344"/>
      <c r="B2410" s="345"/>
    </row>
    <row r="2411" spans="1:2">
      <c r="A2411" s="344"/>
      <c r="B2411" s="345"/>
    </row>
    <row r="2412" spans="1:2">
      <c r="A2412" s="344"/>
      <c r="B2412" s="345"/>
    </row>
    <row r="2413" spans="1:2">
      <c r="A2413" s="344"/>
      <c r="B2413" s="345"/>
    </row>
    <row r="2414" spans="1:2">
      <c r="A2414" s="344"/>
      <c r="B2414" s="345"/>
    </row>
    <row r="2415" spans="1:2">
      <c r="A2415" s="344"/>
      <c r="B2415" s="345"/>
    </row>
    <row r="2416" spans="1:2">
      <c r="A2416" s="344"/>
      <c r="B2416" s="345"/>
    </row>
    <row r="2417" spans="1:2">
      <c r="A2417" s="344"/>
      <c r="B2417" s="345"/>
    </row>
    <row r="2418" spans="1:2">
      <c r="A2418" s="344"/>
      <c r="B2418" s="345"/>
    </row>
    <row r="2419" spans="1:2">
      <c r="A2419" s="344"/>
      <c r="B2419" s="345"/>
    </row>
    <row r="2420" spans="1:2">
      <c r="A2420" s="344"/>
      <c r="B2420" s="345"/>
    </row>
    <row r="2421" spans="1:2">
      <c r="A2421" s="344"/>
      <c r="B2421" s="345"/>
    </row>
    <row r="2422" spans="1:2">
      <c r="A2422" s="344"/>
      <c r="B2422" s="345"/>
    </row>
    <row r="2423" spans="1:2">
      <c r="A2423" s="344"/>
      <c r="B2423" s="345"/>
    </row>
    <row r="2424" spans="1:2">
      <c r="A2424" s="344"/>
      <c r="B2424" s="345"/>
    </row>
    <row r="2425" spans="1:2">
      <c r="A2425" s="344"/>
      <c r="B2425" s="345"/>
    </row>
    <row r="2426" spans="1:2">
      <c r="A2426" s="344"/>
      <c r="B2426" s="345"/>
    </row>
    <row r="2427" spans="1:2">
      <c r="A2427" s="344"/>
      <c r="B2427" s="345"/>
    </row>
    <row r="2428" spans="1:2">
      <c r="A2428" s="344"/>
      <c r="B2428" s="345"/>
    </row>
    <row r="2429" spans="1:2">
      <c r="A2429" s="344"/>
      <c r="B2429" s="345"/>
    </row>
    <row r="2430" spans="1:2">
      <c r="A2430" s="344"/>
      <c r="B2430" s="345"/>
    </row>
    <row r="2431" spans="1:2">
      <c r="A2431" s="344"/>
      <c r="B2431" s="345"/>
    </row>
    <row r="2432" spans="1:2">
      <c r="A2432" s="344"/>
      <c r="B2432" s="345"/>
    </row>
    <row r="2433" spans="1:2">
      <c r="A2433" s="344"/>
      <c r="B2433" s="345"/>
    </row>
    <row r="2434" spans="1:2">
      <c r="A2434" s="344"/>
      <c r="B2434" s="345"/>
    </row>
    <row r="2435" spans="1:2">
      <c r="A2435" s="344"/>
      <c r="B2435" s="345"/>
    </row>
    <row r="2436" spans="1:2">
      <c r="A2436" s="344"/>
      <c r="B2436" s="345"/>
    </row>
    <row r="2437" spans="1:2">
      <c r="A2437" s="344"/>
      <c r="B2437" s="345"/>
    </row>
    <row r="2438" spans="1:2">
      <c r="A2438" s="344"/>
      <c r="B2438" s="345"/>
    </row>
    <row r="2439" spans="1:2">
      <c r="A2439" s="344"/>
      <c r="B2439" s="345"/>
    </row>
    <row r="2440" spans="1:2">
      <c r="A2440" s="344"/>
      <c r="B2440" s="345"/>
    </row>
    <row r="2441" spans="1:2">
      <c r="A2441" s="344"/>
      <c r="B2441" s="345"/>
    </row>
    <row r="2442" spans="1:2">
      <c r="A2442" s="344"/>
      <c r="B2442" s="345"/>
    </row>
    <row r="2443" spans="1:2">
      <c r="A2443" s="344"/>
      <c r="B2443" s="345"/>
    </row>
    <row r="2444" spans="1:2">
      <c r="A2444" s="344"/>
      <c r="B2444" s="345"/>
    </row>
    <row r="2445" spans="1:2">
      <c r="A2445" s="344"/>
      <c r="B2445" s="345"/>
    </row>
    <row r="2446" spans="1:2">
      <c r="A2446" s="344"/>
      <c r="B2446" s="345"/>
    </row>
    <row r="2447" spans="1:2">
      <c r="A2447" s="344"/>
      <c r="B2447" s="345"/>
    </row>
    <row r="2448" spans="1:2">
      <c r="A2448" s="344"/>
      <c r="B2448" s="345"/>
    </row>
    <row r="2449" spans="1:2">
      <c r="A2449" s="344"/>
      <c r="B2449" s="345"/>
    </row>
    <row r="2450" spans="1:2">
      <c r="A2450" s="344"/>
      <c r="B2450" s="345"/>
    </row>
    <row r="2451" spans="1:2">
      <c r="A2451" s="344"/>
      <c r="B2451" s="345"/>
    </row>
    <row r="2452" spans="1:2">
      <c r="A2452" s="344"/>
      <c r="B2452" s="345"/>
    </row>
    <row r="2453" spans="1:2">
      <c r="A2453" s="344"/>
      <c r="B2453" s="345"/>
    </row>
    <row r="2454" spans="1:2">
      <c r="A2454" s="344"/>
      <c r="B2454" s="345"/>
    </row>
    <row r="2455" spans="1:2">
      <c r="A2455" s="344"/>
      <c r="B2455" s="345"/>
    </row>
    <row r="2456" spans="1:2">
      <c r="A2456" s="344"/>
      <c r="B2456" s="345"/>
    </row>
    <row r="2457" spans="1:2">
      <c r="A2457" s="344"/>
      <c r="B2457" s="345"/>
    </row>
    <row r="2458" spans="1:2">
      <c r="A2458" s="344"/>
      <c r="B2458" s="345"/>
    </row>
    <row r="2459" spans="1:2">
      <c r="A2459" s="344"/>
      <c r="B2459" s="345"/>
    </row>
    <row r="2460" spans="1:2">
      <c r="A2460" s="344"/>
      <c r="B2460" s="345"/>
    </row>
    <row r="2461" spans="1:2">
      <c r="A2461" s="344"/>
      <c r="B2461" s="345"/>
    </row>
    <row r="2462" spans="1:2">
      <c r="A2462" s="344"/>
      <c r="B2462" s="345"/>
    </row>
    <row r="2463" spans="1:2">
      <c r="A2463" s="344"/>
      <c r="B2463" s="345"/>
    </row>
    <row r="2464" spans="1:2">
      <c r="A2464" s="344"/>
      <c r="B2464" s="345"/>
    </row>
    <row r="2465" spans="1:2">
      <c r="A2465" s="344"/>
      <c r="B2465" s="345"/>
    </row>
    <row r="2466" spans="1:2">
      <c r="A2466" s="344"/>
      <c r="B2466" s="345"/>
    </row>
    <row r="2467" spans="1:2">
      <c r="A2467" s="344"/>
      <c r="B2467" s="345"/>
    </row>
    <row r="2468" spans="1:2">
      <c r="A2468" s="344"/>
      <c r="B2468" s="345"/>
    </row>
    <row r="2469" spans="1:2">
      <c r="A2469" s="344"/>
      <c r="B2469" s="345"/>
    </row>
    <row r="2470" spans="1:2">
      <c r="A2470" s="344"/>
      <c r="B2470" s="345"/>
    </row>
    <row r="2471" spans="1:2">
      <c r="A2471" s="344"/>
      <c r="B2471" s="345"/>
    </row>
    <row r="2472" spans="1:2">
      <c r="A2472" s="344"/>
      <c r="B2472" s="345"/>
    </row>
    <row r="2473" spans="1:2">
      <c r="A2473" s="344"/>
      <c r="B2473" s="345"/>
    </row>
    <row r="2474" spans="1:2">
      <c r="A2474" s="344"/>
      <c r="B2474" s="345"/>
    </row>
    <row r="2475" spans="1:2">
      <c r="A2475" s="344"/>
      <c r="B2475" s="345"/>
    </row>
    <row r="2476" spans="1:2">
      <c r="A2476" s="344"/>
      <c r="B2476" s="345"/>
    </row>
    <row r="2477" spans="1:2">
      <c r="A2477" s="344"/>
      <c r="B2477" s="345"/>
    </row>
    <row r="2478" spans="1:2">
      <c r="A2478" s="344"/>
      <c r="B2478" s="345"/>
    </row>
    <row r="2479" spans="1:2">
      <c r="A2479" s="344"/>
      <c r="B2479" s="345"/>
    </row>
    <row r="2480" spans="1:2">
      <c r="A2480" s="344"/>
      <c r="B2480" s="345"/>
    </row>
    <row r="2481" spans="1:2">
      <c r="A2481" s="344"/>
      <c r="B2481" s="345"/>
    </row>
    <row r="2482" spans="1:2">
      <c r="A2482" s="344"/>
      <c r="B2482" s="345"/>
    </row>
    <row r="2483" spans="1:2">
      <c r="A2483" s="344"/>
      <c r="B2483" s="345"/>
    </row>
    <row r="2484" spans="1:2">
      <c r="A2484" s="344"/>
      <c r="B2484" s="345"/>
    </row>
    <row r="2485" spans="1:2">
      <c r="A2485" s="344"/>
      <c r="B2485" s="345"/>
    </row>
    <row r="2486" spans="1:2">
      <c r="A2486" s="344"/>
      <c r="B2486" s="345"/>
    </row>
    <row r="2487" spans="1:2">
      <c r="A2487" s="344"/>
      <c r="B2487" s="345"/>
    </row>
    <row r="2488" spans="1:2">
      <c r="A2488" s="344"/>
      <c r="B2488" s="345"/>
    </row>
    <row r="2489" spans="1:2">
      <c r="A2489" s="344"/>
      <c r="B2489" s="345"/>
    </row>
    <row r="2490" spans="1:2">
      <c r="A2490" s="344"/>
      <c r="B2490" s="345"/>
    </row>
    <row r="2491" spans="1:2">
      <c r="A2491" s="344"/>
      <c r="B2491" s="345"/>
    </row>
    <row r="2492" spans="1:2">
      <c r="A2492" s="344"/>
      <c r="B2492" s="345"/>
    </row>
    <row r="2493" spans="1:2">
      <c r="A2493" s="344"/>
      <c r="B2493" s="345"/>
    </row>
    <row r="2494" spans="1:2">
      <c r="A2494" s="344"/>
      <c r="B2494" s="345"/>
    </row>
    <row r="2495" spans="1:2">
      <c r="A2495" s="344"/>
      <c r="B2495" s="345"/>
    </row>
    <row r="2496" spans="1:2">
      <c r="A2496" s="344"/>
      <c r="B2496" s="345"/>
    </row>
    <row r="2497" spans="1:2">
      <c r="A2497" s="344"/>
      <c r="B2497" s="345"/>
    </row>
    <row r="2498" spans="1:2">
      <c r="A2498" s="344"/>
      <c r="B2498" s="345"/>
    </row>
    <row r="2499" spans="1:2">
      <c r="A2499" s="344"/>
      <c r="B2499" s="345"/>
    </row>
    <row r="2500" spans="1:2">
      <c r="A2500" s="344"/>
      <c r="B2500" s="345"/>
    </row>
    <row r="2501" spans="1:2">
      <c r="A2501" s="344"/>
      <c r="B2501" s="345"/>
    </row>
    <row r="2502" spans="1:2">
      <c r="A2502" s="344"/>
      <c r="B2502" s="345"/>
    </row>
    <row r="2503" spans="1:2">
      <c r="A2503" s="344"/>
      <c r="B2503" s="345"/>
    </row>
    <row r="2504" spans="1:2">
      <c r="A2504" s="344"/>
      <c r="B2504" s="345"/>
    </row>
    <row r="2505" spans="1:2">
      <c r="A2505" s="344"/>
      <c r="B2505" s="345"/>
    </row>
    <row r="2506" spans="1:2">
      <c r="A2506" s="344"/>
      <c r="B2506" s="345"/>
    </row>
    <row r="2507" spans="1:2">
      <c r="A2507" s="344"/>
      <c r="B2507" s="345"/>
    </row>
    <row r="2508" spans="1:2">
      <c r="A2508" s="344"/>
      <c r="B2508" s="345"/>
    </row>
    <row r="2509" spans="1:2">
      <c r="A2509" s="344"/>
      <c r="B2509" s="345"/>
    </row>
    <row r="2510" spans="1:2">
      <c r="A2510" s="344"/>
      <c r="B2510" s="345"/>
    </row>
    <row r="2511" spans="1:2">
      <c r="A2511" s="344"/>
      <c r="B2511" s="345"/>
    </row>
    <row r="2512" spans="1:2">
      <c r="A2512" s="344"/>
      <c r="B2512" s="345"/>
    </row>
    <row r="2513" spans="1:2">
      <c r="A2513" s="344"/>
      <c r="B2513" s="345"/>
    </row>
    <row r="2514" spans="1:2">
      <c r="A2514" s="344"/>
      <c r="B2514" s="345"/>
    </row>
    <row r="2515" spans="1:2">
      <c r="A2515" s="344"/>
      <c r="B2515" s="345"/>
    </row>
    <row r="2516" spans="1:2">
      <c r="A2516" s="344"/>
      <c r="B2516" s="345"/>
    </row>
    <row r="2517" spans="1:2">
      <c r="A2517" s="344"/>
      <c r="B2517" s="345"/>
    </row>
    <row r="2518" spans="1:2">
      <c r="A2518" s="344"/>
      <c r="B2518" s="345"/>
    </row>
    <row r="2519" spans="1:2">
      <c r="A2519" s="344"/>
      <c r="B2519" s="345"/>
    </row>
    <row r="2520" spans="1:2">
      <c r="A2520" s="344"/>
      <c r="B2520" s="345"/>
    </row>
    <row r="2521" spans="1:2">
      <c r="A2521" s="344"/>
      <c r="B2521" s="345"/>
    </row>
    <row r="2522" spans="1:2">
      <c r="A2522" s="344"/>
      <c r="B2522" s="345"/>
    </row>
    <row r="2523" spans="1:2">
      <c r="A2523" s="344"/>
      <c r="B2523" s="345"/>
    </row>
    <row r="2524" spans="1:2">
      <c r="A2524" s="344"/>
      <c r="B2524" s="345"/>
    </row>
    <row r="2525" spans="1:2">
      <c r="A2525" s="344"/>
      <c r="B2525" s="345"/>
    </row>
    <row r="2526" spans="1:2">
      <c r="A2526" s="344"/>
      <c r="B2526" s="345"/>
    </row>
    <row r="2527" spans="1:2">
      <c r="A2527" s="344"/>
      <c r="B2527" s="345"/>
    </row>
    <row r="2528" spans="1:2">
      <c r="A2528" s="344"/>
      <c r="B2528" s="345"/>
    </row>
    <row r="2529" spans="1:2">
      <c r="A2529" s="344"/>
      <c r="B2529" s="345"/>
    </row>
    <row r="2530" spans="1:2">
      <c r="A2530" s="344"/>
      <c r="B2530" s="345"/>
    </row>
    <row r="2531" spans="1:2">
      <c r="A2531" s="344"/>
      <c r="B2531" s="345"/>
    </row>
    <row r="2532" spans="1:2">
      <c r="A2532" s="344"/>
      <c r="B2532" s="345"/>
    </row>
    <row r="2533" spans="1:2">
      <c r="A2533" s="344"/>
      <c r="B2533" s="345"/>
    </row>
    <row r="2534" spans="1:2">
      <c r="A2534" s="344"/>
      <c r="B2534" s="345"/>
    </row>
    <row r="2535" spans="1:2">
      <c r="A2535" s="344"/>
      <c r="B2535" s="345"/>
    </row>
    <row r="2536" spans="1:2">
      <c r="A2536" s="344"/>
      <c r="B2536" s="345"/>
    </row>
    <row r="2537" spans="1:2">
      <c r="A2537" s="344"/>
      <c r="B2537" s="345"/>
    </row>
    <row r="2538" spans="1:2">
      <c r="A2538" s="344"/>
      <c r="B2538" s="345"/>
    </row>
    <row r="2539" spans="1:2">
      <c r="A2539" s="344"/>
      <c r="B2539" s="345"/>
    </row>
    <row r="2540" spans="1:2">
      <c r="A2540" s="344"/>
      <c r="B2540" s="345"/>
    </row>
    <row r="2541" spans="1:2">
      <c r="A2541" s="344"/>
      <c r="B2541" s="345"/>
    </row>
    <row r="2542" spans="1:2">
      <c r="A2542" s="344"/>
      <c r="B2542" s="345"/>
    </row>
    <row r="2543" spans="1:2">
      <c r="A2543" s="344"/>
      <c r="B2543" s="345"/>
    </row>
    <row r="2544" spans="1:2">
      <c r="A2544" s="344"/>
      <c r="B2544" s="345"/>
    </row>
    <row r="2545" spans="1:2">
      <c r="A2545" s="344"/>
      <c r="B2545" s="345"/>
    </row>
    <row r="2546" spans="1:2">
      <c r="A2546" s="344"/>
      <c r="B2546" s="345"/>
    </row>
    <row r="2547" spans="1:2">
      <c r="A2547" s="344"/>
      <c r="B2547" s="345"/>
    </row>
    <row r="2548" spans="1:2">
      <c r="A2548" s="344"/>
      <c r="B2548" s="345"/>
    </row>
    <row r="2549" spans="1:2">
      <c r="A2549" s="344"/>
      <c r="B2549" s="345"/>
    </row>
    <row r="2550" spans="1:2">
      <c r="A2550" s="344"/>
      <c r="B2550" s="345"/>
    </row>
    <row r="2551" spans="1:2">
      <c r="A2551" s="344"/>
      <c r="B2551" s="345"/>
    </row>
    <row r="2552" spans="1:2">
      <c r="A2552" s="344"/>
      <c r="B2552" s="345"/>
    </row>
    <row r="2553" spans="1:2">
      <c r="A2553" s="344"/>
      <c r="B2553" s="345"/>
    </row>
    <row r="2554" spans="1:2">
      <c r="A2554" s="344"/>
      <c r="B2554" s="345"/>
    </row>
    <row r="2555" spans="1:2">
      <c r="A2555" s="344"/>
      <c r="B2555" s="345"/>
    </row>
    <row r="2556" spans="1:2">
      <c r="A2556" s="344"/>
      <c r="B2556" s="345"/>
    </row>
    <row r="2557" spans="1:2">
      <c r="A2557" s="344"/>
      <c r="B2557" s="345"/>
    </row>
    <row r="2558" spans="1:2">
      <c r="A2558" s="344"/>
      <c r="B2558" s="345"/>
    </row>
    <row r="2559" spans="1:2">
      <c r="A2559" s="344"/>
      <c r="B2559" s="345"/>
    </row>
    <row r="2560" spans="1:2">
      <c r="A2560" s="344"/>
      <c r="B2560" s="345"/>
    </row>
    <row r="2561" spans="1:2">
      <c r="A2561" s="344"/>
      <c r="B2561" s="345"/>
    </row>
    <row r="2562" spans="1:2">
      <c r="A2562" s="344"/>
      <c r="B2562" s="345"/>
    </row>
    <row r="2563" spans="1:2">
      <c r="A2563" s="344"/>
      <c r="B2563" s="345"/>
    </row>
    <row r="2564" spans="1:2">
      <c r="A2564" s="344"/>
      <c r="B2564" s="345"/>
    </row>
    <row r="2565" spans="1:2">
      <c r="A2565" s="344"/>
      <c r="B2565" s="345"/>
    </row>
    <row r="2566" spans="1:2">
      <c r="A2566" s="344"/>
      <c r="B2566" s="345"/>
    </row>
    <row r="2567" spans="1:2">
      <c r="A2567" s="344"/>
      <c r="B2567" s="345"/>
    </row>
    <row r="2568" spans="1:2">
      <c r="A2568" s="344"/>
      <c r="B2568" s="345"/>
    </row>
    <row r="2569" spans="1:2">
      <c r="A2569" s="344"/>
      <c r="B2569" s="345"/>
    </row>
    <row r="2570" spans="1:2">
      <c r="A2570" s="344"/>
      <c r="B2570" s="345"/>
    </row>
    <row r="2571" spans="1:2">
      <c r="A2571" s="344"/>
      <c r="B2571" s="345"/>
    </row>
    <row r="2572" spans="1:2">
      <c r="A2572" s="344"/>
      <c r="B2572" s="345"/>
    </row>
    <row r="2573" spans="1:2">
      <c r="A2573" s="344"/>
      <c r="B2573" s="345"/>
    </row>
    <row r="2574" spans="1:2">
      <c r="A2574" s="344"/>
      <c r="B2574" s="345"/>
    </row>
    <row r="2575" spans="1:2">
      <c r="A2575" s="344"/>
      <c r="B2575" s="345"/>
    </row>
    <row r="2576" spans="1:2">
      <c r="A2576" s="344"/>
      <c r="B2576" s="345"/>
    </row>
    <row r="2577" spans="1:2">
      <c r="A2577" s="344"/>
      <c r="B2577" s="345"/>
    </row>
    <row r="2578" spans="1:2">
      <c r="A2578" s="344"/>
      <c r="B2578" s="345"/>
    </row>
    <row r="2579" spans="1:2">
      <c r="A2579" s="344"/>
      <c r="B2579" s="345"/>
    </row>
    <row r="2580" spans="1:2">
      <c r="A2580" s="344"/>
      <c r="B2580" s="345"/>
    </row>
    <row r="2581" spans="1:2">
      <c r="A2581" s="344"/>
      <c r="B2581" s="345"/>
    </row>
    <row r="2582" spans="1:2">
      <c r="A2582" s="344"/>
      <c r="B2582" s="345"/>
    </row>
    <row r="2583" spans="1:2">
      <c r="A2583" s="344"/>
      <c r="B2583" s="345"/>
    </row>
    <row r="2584" spans="1:2">
      <c r="A2584" s="344"/>
      <c r="B2584" s="345"/>
    </row>
    <row r="2585" spans="1:2">
      <c r="A2585" s="344"/>
      <c r="B2585" s="345"/>
    </row>
    <row r="2586" spans="1:2">
      <c r="A2586" s="344"/>
      <c r="B2586" s="345"/>
    </row>
    <row r="2587" spans="1:2">
      <c r="A2587" s="344"/>
      <c r="B2587" s="345"/>
    </row>
    <row r="2588" spans="1:2">
      <c r="A2588" s="344"/>
      <c r="B2588" s="345"/>
    </row>
    <row r="2589" spans="1:2">
      <c r="A2589" s="344"/>
      <c r="B2589" s="345"/>
    </row>
    <row r="2590" spans="1:2">
      <c r="A2590" s="344"/>
      <c r="B2590" s="345"/>
    </row>
    <row r="2591" spans="1:2">
      <c r="A2591" s="344"/>
      <c r="B2591" s="345"/>
    </row>
    <row r="2592" spans="1:2">
      <c r="A2592" s="344"/>
      <c r="B2592" s="345"/>
    </row>
    <row r="2593" spans="1:2">
      <c r="A2593" s="344"/>
      <c r="B2593" s="345"/>
    </row>
    <row r="2594" spans="1:2">
      <c r="A2594" s="344"/>
      <c r="B2594" s="345"/>
    </row>
    <row r="2595" spans="1:2">
      <c r="A2595" s="344"/>
      <c r="B2595" s="345"/>
    </row>
    <row r="2596" spans="1:2">
      <c r="A2596" s="344"/>
      <c r="B2596" s="345"/>
    </row>
    <row r="2597" spans="1:2">
      <c r="A2597" s="344"/>
      <c r="B2597" s="345"/>
    </row>
    <row r="2598" spans="1:2">
      <c r="A2598" s="344"/>
      <c r="B2598" s="345"/>
    </row>
    <row r="2599" spans="1:2">
      <c r="A2599" s="344"/>
      <c r="B2599" s="345"/>
    </row>
    <row r="2600" spans="1:2">
      <c r="A2600" s="344"/>
      <c r="B2600" s="345"/>
    </row>
    <row r="2601" spans="1:2">
      <c r="A2601" s="344"/>
      <c r="B2601" s="345"/>
    </row>
    <row r="2602" spans="1:2">
      <c r="A2602" s="344"/>
      <c r="B2602" s="345"/>
    </row>
    <row r="2603" spans="1:2">
      <c r="A2603" s="344"/>
      <c r="B2603" s="345"/>
    </row>
    <row r="2604" spans="1:2">
      <c r="A2604" s="344"/>
      <c r="B2604" s="345"/>
    </row>
    <row r="2605" spans="1:2">
      <c r="A2605" s="344"/>
      <c r="B2605" s="345"/>
    </row>
    <row r="2606" spans="1:2">
      <c r="A2606" s="344"/>
      <c r="B2606" s="345"/>
    </row>
    <row r="2607" spans="1:2">
      <c r="A2607" s="344"/>
      <c r="B2607" s="345"/>
    </row>
    <row r="2608" spans="1:2">
      <c r="A2608" s="344"/>
      <c r="B2608" s="345"/>
    </row>
    <row r="2609" spans="1:2">
      <c r="A2609" s="344"/>
      <c r="B2609" s="345"/>
    </row>
    <row r="2610" spans="1:2">
      <c r="A2610" s="344"/>
      <c r="B2610" s="345"/>
    </row>
    <row r="2611" spans="1:2">
      <c r="A2611" s="344"/>
      <c r="B2611" s="345"/>
    </row>
    <row r="2612" spans="1:2">
      <c r="A2612" s="344"/>
      <c r="B2612" s="345"/>
    </row>
    <row r="2613" spans="1:2">
      <c r="A2613" s="344"/>
      <c r="B2613" s="345"/>
    </row>
    <row r="2614" spans="1:2">
      <c r="A2614" s="344"/>
      <c r="B2614" s="345"/>
    </row>
    <row r="2615" spans="1:2">
      <c r="A2615" s="344"/>
      <c r="B2615" s="345"/>
    </row>
    <row r="2616" spans="1:2">
      <c r="A2616" s="344"/>
      <c r="B2616" s="345"/>
    </row>
    <row r="2617" spans="1:2">
      <c r="A2617" s="344"/>
      <c r="B2617" s="345"/>
    </row>
    <row r="2618" spans="1:2">
      <c r="A2618" s="344"/>
      <c r="B2618" s="345"/>
    </row>
    <row r="2619" spans="1:2">
      <c r="A2619" s="344"/>
      <c r="B2619" s="345"/>
    </row>
    <row r="2620" spans="1:2">
      <c r="A2620" s="344"/>
      <c r="B2620" s="345"/>
    </row>
    <row r="2621" spans="1:2">
      <c r="A2621" s="344"/>
      <c r="B2621" s="345"/>
    </row>
    <row r="2622" spans="1:2">
      <c r="A2622" s="344"/>
      <c r="B2622" s="345"/>
    </row>
    <row r="2623" spans="1:2">
      <c r="A2623" s="344"/>
      <c r="B2623" s="345"/>
    </row>
    <row r="2624" spans="1:2">
      <c r="A2624" s="344"/>
      <c r="B2624" s="345"/>
    </row>
    <row r="2625" spans="1:2">
      <c r="A2625" s="344"/>
      <c r="B2625" s="345"/>
    </row>
    <row r="2626" spans="1:2">
      <c r="A2626" s="344"/>
      <c r="B2626" s="345"/>
    </row>
    <row r="2627" spans="1:2">
      <c r="A2627" s="344"/>
      <c r="B2627" s="345"/>
    </row>
    <row r="2628" spans="1:2">
      <c r="A2628" s="344"/>
      <c r="B2628" s="345"/>
    </row>
    <row r="2629" spans="1:2">
      <c r="A2629" s="344"/>
      <c r="B2629" s="345"/>
    </row>
    <row r="2630" spans="1:2">
      <c r="A2630" s="344"/>
      <c r="B2630" s="345"/>
    </row>
    <row r="2631" spans="1:2">
      <c r="A2631" s="344"/>
      <c r="B2631" s="345"/>
    </row>
    <row r="2632" spans="1:2">
      <c r="A2632" s="344"/>
      <c r="B2632" s="345"/>
    </row>
    <row r="2633" spans="1:2">
      <c r="A2633" s="344"/>
      <c r="B2633" s="345"/>
    </row>
    <row r="2634" spans="1:2">
      <c r="A2634" s="344"/>
      <c r="B2634" s="345"/>
    </row>
    <row r="2635" spans="1:2">
      <c r="A2635" s="344"/>
      <c r="B2635" s="345"/>
    </row>
    <row r="2636" spans="1:2">
      <c r="A2636" s="344"/>
      <c r="B2636" s="345"/>
    </row>
    <row r="2637" spans="1:2">
      <c r="A2637" s="344"/>
      <c r="B2637" s="345"/>
    </row>
    <row r="2638" spans="1:2">
      <c r="A2638" s="344"/>
      <c r="B2638" s="345"/>
    </row>
    <row r="2639" spans="1:2">
      <c r="A2639" s="344"/>
      <c r="B2639" s="345"/>
    </row>
    <row r="2640" spans="1:2">
      <c r="A2640" s="344"/>
      <c r="B2640" s="345"/>
    </row>
    <row r="2641" spans="1:2">
      <c r="A2641" s="344"/>
      <c r="B2641" s="345"/>
    </row>
    <row r="2642" spans="1:2">
      <c r="A2642" s="344"/>
      <c r="B2642" s="345"/>
    </row>
    <row r="2643" spans="1:2">
      <c r="A2643" s="344"/>
      <c r="B2643" s="345"/>
    </row>
    <row r="2644" spans="1:2">
      <c r="A2644" s="344"/>
      <c r="B2644" s="345"/>
    </row>
    <row r="2645" spans="1:2">
      <c r="A2645" s="344"/>
      <c r="B2645" s="345"/>
    </row>
    <row r="2646" spans="1:2">
      <c r="A2646" s="344"/>
      <c r="B2646" s="345"/>
    </row>
    <row r="2647" spans="1:2">
      <c r="A2647" s="344"/>
      <c r="B2647" s="345"/>
    </row>
    <row r="2648" spans="1:2">
      <c r="A2648" s="344"/>
      <c r="B2648" s="345"/>
    </row>
    <row r="2649" spans="1:2">
      <c r="A2649" s="344"/>
      <c r="B2649" s="345"/>
    </row>
    <row r="2650" spans="1:2">
      <c r="A2650" s="344"/>
      <c r="B2650" s="345"/>
    </row>
    <row r="2651" spans="1:2">
      <c r="A2651" s="344"/>
      <c r="B2651" s="345"/>
    </row>
    <row r="2652" spans="1:2">
      <c r="A2652" s="344"/>
      <c r="B2652" s="345"/>
    </row>
    <row r="2653" spans="1:2">
      <c r="A2653" s="344"/>
      <c r="B2653" s="345"/>
    </row>
    <row r="2654" spans="1:2">
      <c r="A2654" s="344"/>
      <c r="B2654" s="345"/>
    </row>
    <row r="2655" spans="1:2">
      <c r="A2655" s="344"/>
      <c r="B2655" s="345"/>
    </row>
    <row r="2656" spans="1:2">
      <c r="A2656" s="344"/>
      <c r="B2656" s="345"/>
    </row>
    <row r="2657" spans="1:2">
      <c r="A2657" s="344"/>
      <c r="B2657" s="345"/>
    </row>
    <row r="2658" spans="1:2">
      <c r="A2658" s="344"/>
      <c r="B2658" s="345"/>
    </row>
    <row r="2659" spans="1:2">
      <c r="A2659" s="344"/>
      <c r="B2659" s="345"/>
    </row>
    <row r="2660" spans="1:2">
      <c r="A2660" s="344"/>
      <c r="B2660" s="345"/>
    </row>
    <row r="2661" spans="1:2">
      <c r="A2661" s="344"/>
      <c r="B2661" s="345"/>
    </row>
    <row r="2662" spans="1:2">
      <c r="A2662" s="344"/>
      <c r="B2662" s="345"/>
    </row>
    <row r="2663" spans="1:2">
      <c r="A2663" s="344"/>
      <c r="B2663" s="345"/>
    </row>
    <row r="2664" spans="1:2">
      <c r="A2664" s="344"/>
      <c r="B2664" s="345"/>
    </row>
    <row r="2665" spans="1:2">
      <c r="A2665" s="344"/>
      <c r="B2665" s="345"/>
    </row>
    <row r="2666" spans="1:2">
      <c r="A2666" s="344"/>
      <c r="B2666" s="345"/>
    </row>
    <row r="2667" spans="1:2">
      <c r="A2667" s="344"/>
      <c r="B2667" s="345"/>
    </row>
    <row r="2668" spans="1:2">
      <c r="A2668" s="344"/>
      <c r="B2668" s="345"/>
    </row>
    <row r="2669" spans="1:2">
      <c r="A2669" s="344"/>
      <c r="B2669" s="345"/>
    </row>
    <row r="2670" spans="1:2">
      <c r="A2670" s="344"/>
      <c r="B2670" s="345"/>
    </row>
    <row r="2671" spans="1:2">
      <c r="A2671" s="344"/>
      <c r="B2671" s="345"/>
    </row>
    <row r="2672" spans="1:2">
      <c r="A2672" s="344"/>
      <c r="B2672" s="345"/>
    </row>
    <row r="2673" spans="1:2">
      <c r="A2673" s="344"/>
      <c r="B2673" s="345"/>
    </row>
    <row r="2674" spans="1:2">
      <c r="A2674" s="344"/>
      <c r="B2674" s="345"/>
    </row>
    <row r="2675" spans="1:2">
      <c r="A2675" s="344"/>
      <c r="B2675" s="345"/>
    </row>
    <row r="2676" spans="1:2">
      <c r="A2676" s="344"/>
      <c r="B2676" s="345"/>
    </row>
    <row r="2677" spans="1:2">
      <c r="A2677" s="344"/>
      <c r="B2677" s="345"/>
    </row>
    <row r="2678" spans="1:2">
      <c r="A2678" s="344"/>
      <c r="B2678" s="345"/>
    </row>
    <row r="2679" spans="1:2">
      <c r="A2679" s="344"/>
      <c r="B2679" s="345"/>
    </row>
    <row r="2680" spans="1:2">
      <c r="A2680" s="344"/>
      <c r="B2680" s="345"/>
    </row>
    <row r="2681" spans="1:2">
      <c r="A2681" s="344"/>
      <c r="B2681" s="345"/>
    </row>
    <row r="2682" spans="1:2">
      <c r="A2682" s="344"/>
      <c r="B2682" s="345"/>
    </row>
    <row r="2683" spans="1:2">
      <c r="A2683" s="344"/>
      <c r="B2683" s="345"/>
    </row>
    <row r="2684" spans="1:2">
      <c r="A2684" s="344"/>
      <c r="B2684" s="345"/>
    </row>
    <row r="2685" spans="1:2">
      <c r="A2685" s="344"/>
      <c r="B2685" s="345"/>
    </row>
    <row r="2686" spans="1:2">
      <c r="A2686" s="344"/>
      <c r="B2686" s="345"/>
    </row>
    <row r="2687" spans="1:2">
      <c r="A2687" s="344"/>
      <c r="B2687" s="345"/>
    </row>
    <row r="2688" spans="1:2">
      <c r="A2688" s="344"/>
      <c r="B2688" s="345"/>
    </row>
    <row r="2689" spans="1:2">
      <c r="A2689" s="344"/>
      <c r="B2689" s="345"/>
    </row>
    <row r="2690" spans="1:2">
      <c r="A2690" s="344"/>
      <c r="B2690" s="345"/>
    </row>
    <row r="2691" spans="1:2">
      <c r="A2691" s="344"/>
      <c r="B2691" s="345"/>
    </row>
    <row r="2692" spans="1:2">
      <c r="A2692" s="344"/>
      <c r="B2692" s="345"/>
    </row>
    <row r="2693" spans="1:2">
      <c r="A2693" s="344"/>
      <c r="B2693" s="345"/>
    </row>
    <row r="2694" spans="1:2">
      <c r="A2694" s="344"/>
      <c r="B2694" s="345"/>
    </row>
    <row r="2695" spans="1:2">
      <c r="A2695" s="344"/>
      <c r="B2695" s="345"/>
    </row>
    <row r="2696" spans="1:2">
      <c r="A2696" s="344"/>
      <c r="B2696" s="345"/>
    </row>
    <row r="2697" spans="1:2">
      <c r="A2697" s="344"/>
      <c r="B2697" s="345"/>
    </row>
    <row r="2698" spans="1:2">
      <c r="A2698" s="344"/>
      <c r="B2698" s="345"/>
    </row>
    <row r="2699" spans="1:2">
      <c r="A2699" s="344"/>
      <c r="B2699" s="345"/>
    </row>
    <row r="2700" spans="1:2">
      <c r="A2700" s="344"/>
      <c r="B2700" s="345"/>
    </row>
    <row r="2701" spans="1:2">
      <c r="A2701" s="344"/>
      <c r="B2701" s="345"/>
    </row>
    <row r="2702" spans="1:2">
      <c r="A2702" s="344"/>
      <c r="B2702" s="345"/>
    </row>
    <row r="2703" spans="1:2">
      <c r="A2703" s="344"/>
      <c r="B2703" s="345"/>
    </row>
    <row r="2704" spans="1:2">
      <c r="A2704" s="344"/>
      <c r="B2704" s="345"/>
    </row>
    <row r="2705" spans="1:2">
      <c r="A2705" s="344"/>
      <c r="B2705" s="345"/>
    </row>
    <row r="2706" spans="1:2">
      <c r="A2706" s="344"/>
      <c r="B2706" s="345"/>
    </row>
    <row r="2707" spans="1:2">
      <c r="A2707" s="344"/>
      <c r="B2707" s="345"/>
    </row>
    <row r="2708" spans="1:2">
      <c r="A2708" s="344"/>
      <c r="B2708" s="345"/>
    </row>
    <row r="2709" spans="1:2">
      <c r="A2709" s="344"/>
      <c r="B2709" s="345"/>
    </row>
    <row r="2710" spans="1:2">
      <c r="A2710" s="344"/>
      <c r="B2710" s="345"/>
    </row>
    <row r="2711" spans="1:2">
      <c r="A2711" s="344"/>
      <c r="B2711" s="345"/>
    </row>
    <row r="2712" spans="1:2">
      <c r="A2712" s="344"/>
      <c r="B2712" s="345"/>
    </row>
    <row r="2713" spans="1:2">
      <c r="A2713" s="344"/>
      <c r="B2713" s="345"/>
    </row>
    <row r="2714" spans="1:2">
      <c r="A2714" s="344"/>
      <c r="B2714" s="345"/>
    </row>
    <row r="2715" spans="1:2">
      <c r="A2715" s="344"/>
      <c r="B2715" s="345"/>
    </row>
    <row r="2716" spans="1:2">
      <c r="A2716" s="344"/>
      <c r="B2716" s="345"/>
    </row>
    <row r="2717" spans="1:2">
      <c r="A2717" s="344"/>
      <c r="B2717" s="345"/>
    </row>
    <row r="2718" spans="1:2">
      <c r="A2718" s="344"/>
      <c r="B2718" s="345"/>
    </row>
    <row r="2719" spans="1:2">
      <c r="A2719" s="344"/>
      <c r="B2719" s="345"/>
    </row>
    <row r="2720" spans="1:2">
      <c r="A2720" s="344"/>
      <c r="B2720" s="345"/>
    </row>
    <row r="2721" spans="1:2">
      <c r="A2721" s="344"/>
      <c r="B2721" s="345"/>
    </row>
    <row r="2722" spans="1:2">
      <c r="A2722" s="344"/>
      <c r="B2722" s="345"/>
    </row>
    <row r="2723" spans="1:2">
      <c r="A2723" s="344"/>
      <c r="B2723" s="345"/>
    </row>
    <row r="2724" spans="1:2">
      <c r="A2724" s="344"/>
      <c r="B2724" s="345"/>
    </row>
    <row r="2725" spans="1:2">
      <c r="A2725" s="344"/>
      <c r="B2725" s="345"/>
    </row>
    <row r="2726" spans="1:2">
      <c r="A2726" s="344"/>
      <c r="B2726" s="345"/>
    </row>
    <row r="2727" spans="1:2">
      <c r="A2727" s="344"/>
      <c r="B2727" s="345"/>
    </row>
    <row r="2728" spans="1:2">
      <c r="A2728" s="344"/>
      <c r="B2728" s="345"/>
    </row>
    <row r="2729" spans="1:2">
      <c r="A2729" s="344"/>
      <c r="B2729" s="345"/>
    </row>
    <row r="2730" spans="1:2">
      <c r="A2730" s="344"/>
      <c r="B2730" s="345"/>
    </row>
    <row r="2731" spans="1:2">
      <c r="A2731" s="344"/>
      <c r="B2731" s="345"/>
    </row>
    <row r="2732" spans="1:2">
      <c r="A2732" s="344"/>
      <c r="B2732" s="345"/>
    </row>
    <row r="2733" spans="1:2">
      <c r="A2733" s="344"/>
      <c r="B2733" s="345"/>
    </row>
    <row r="2734" spans="1:2">
      <c r="A2734" s="344"/>
      <c r="B2734" s="345"/>
    </row>
    <row r="2735" spans="1:2">
      <c r="A2735" s="344"/>
      <c r="B2735" s="345"/>
    </row>
    <row r="2736" spans="1:2">
      <c r="A2736" s="344"/>
      <c r="B2736" s="345"/>
    </row>
    <row r="2737" spans="1:2">
      <c r="A2737" s="344"/>
      <c r="B2737" s="345"/>
    </row>
    <row r="2738" spans="1:2">
      <c r="A2738" s="344"/>
      <c r="B2738" s="345"/>
    </row>
    <row r="2739" spans="1:2">
      <c r="A2739" s="344"/>
      <c r="B2739" s="345"/>
    </row>
    <row r="2740" spans="1:2">
      <c r="A2740" s="344"/>
      <c r="B2740" s="345"/>
    </row>
    <row r="2741" spans="1:2">
      <c r="A2741" s="344"/>
      <c r="B2741" s="345"/>
    </row>
    <row r="2742" spans="1:2">
      <c r="A2742" s="344"/>
      <c r="B2742" s="345"/>
    </row>
    <row r="2743" spans="1:2">
      <c r="A2743" s="344"/>
      <c r="B2743" s="345"/>
    </row>
    <row r="2744" spans="1:2">
      <c r="A2744" s="344"/>
      <c r="B2744" s="345"/>
    </row>
    <row r="2745" spans="1:2">
      <c r="A2745" s="344"/>
      <c r="B2745" s="345"/>
    </row>
    <row r="2746" spans="1:2">
      <c r="A2746" s="344"/>
      <c r="B2746" s="345"/>
    </row>
    <row r="2747" spans="1:2">
      <c r="A2747" s="344"/>
      <c r="B2747" s="345"/>
    </row>
    <row r="2748" spans="1:2">
      <c r="A2748" s="344"/>
      <c r="B2748" s="345"/>
    </row>
    <row r="2749" spans="1:2">
      <c r="A2749" s="344"/>
      <c r="B2749" s="345"/>
    </row>
    <row r="2750" spans="1:2">
      <c r="A2750" s="344"/>
      <c r="B2750" s="345"/>
    </row>
    <row r="2751" spans="1:2">
      <c r="A2751" s="344"/>
      <c r="B2751" s="345"/>
    </row>
    <row r="2752" spans="1:2">
      <c r="A2752" s="344"/>
      <c r="B2752" s="345"/>
    </row>
    <row r="2753" spans="1:2">
      <c r="A2753" s="344"/>
      <c r="B2753" s="345"/>
    </row>
    <row r="2754" spans="1:2">
      <c r="A2754" s="344"/>
      <c r="B2754" s="345"/>
    </row>
    <row r="2755" spans="1:2">
      <c r="A2755" s="344"/>
      <c r="B2755" s="345"/>
    </row>
    <row r="2756" spans="1:2">
      <c r="A2756" s="344"/>
      <c r="B2756" s="345"/>
    </row>
    <row r="2757" spans="1:2">
      <c r="A2757" s="344"/>
      <c r="B2757" s="345"/>
    </row>
    <row r="2758" spans="1:2">
      <c r="A2758" s="344"/>
      <c r="B2758" s="345"/>
    </row>
    <row r="2759" spans="1:2">
      <c r="A2759" s="344"/>
      <c r="B2759" s="345"/>
    </row>
    <row r="2760" spans="1:2">
      <c r="A2760" s="344"/>
      <c r="B2760" s="345"/>
    </row>
    <row r="2761" spans="1:2">
      <c r="A2761" s="344"/>
      <c r="B2761" s="345"/>
    </row>
    <row r="2762" spans="1:2">
      <c r="A2762" s="344"/>
      <c r="B2762" s="345"/>
    </row>
    <row r="2763" spans="1:2">
      <c r="A2763" s="344"/>
      <c r="B2763" s="345"/>
    </row>
    <row r="2764" spans="1:2">
      <c r="A2764" s="344"/>
      <c r="B2764" s="345"/>
    </row>
    <row r="2765" spans="1:2">
      <c r="A2765" s="344"/>
      <c r="B2765" s="345"/>
    </row>
    <row r="2766" spans="1:2">
      <c r="A2766" s="344"/>
      <c r="B2766" s="345"/>
    </row>
    <row r="2767" spans="1:2">
      <c r="A2767" s="344"/>
      <c r="B2767" s="345"/>
    </row>
    <row r="2768" spans="1:2">
      <c r="A2768" s="344"/>
      <c r="B2768" s="345"/>
    </row>
    <row r="2769" spans="1:2">
      <c r="A2769" s="344"/>
      <c r="B2769" s="345"/>
    </row>
    <row r="2770" spans="1:2">
      <c r="A2770" s="13"/>
      <c r="B2770" s="346"/>
    </row>
  </sheetData>
  <pageMargins left="0.98425196850393704" right="0.78740157480314965" top="1.1023622047244095" bottom="0.74803149606299213" header="0.31496062992125984" footer="0.31496062992125984"/>
  <pageSetup paperSize="9" scale="53" orientation="landscape" r:id="rId1"/>
  <headerFooter scaleWithDoc="0">
    <oddHeader>&amp;L&amp;G</oddHeader>
    <oddFooter>&amp;R&amp;UAnlage 3b
&amp;USeite &amp;P</oddFooter>
  </headerFooter>
  <rowBreaks count="1" manualBreakCount="1">
    <brk id="1877" max="16383" man="1"/>
  </rowBreaks>
  <ignoredErrors>
    <ignoredError sqref="B178:D178" formulaRange="1"/>
    <ignoredError sqref="E178" formula="1" formulaRange="1"/>
    <ignoredError sqref="E413" formula="1"/>
  </ignoredError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FEBAB-D983-460D-B568-4081174D3832}">
  <sheetPr codeName="Tabelle12">
    <tabColor rgb="FFFF0000"/>
  </sheetPr>
  <dimension ref="A1:D11"/>
  <sheetViews>
    <sheetView workbookViewId="0">
      <selection activeCell="E24" sqref="E24"/>
    </sheetView>
  </sheetViews>
  <sheetFormatPr baseColWidth="10" defaultColWidth="11.42578125" defaultRowHeight="12.75"/>
  <cols>
    <col min="1" max="1" width="36" bestFit="1" customWidth="1"/>
    <col min="2" max="2" width="21.140625" customWidth="1"/>
    <col min="3" max="3" width="33.5703125" customWidth="1"/>
  </cols>
  <sheetData>
    <row r="1" spans="1:4">
      <c r="A1" s="28" t="s">
        <v>2174</v>
      </c>
    </row>
    <row r="2" spans="1:4">
      <c r="D2" s="29">
        <f>'Anlage 1a_Zuschlagszahlungen_NB'!E1</f>
        <v>45915</v>
      </c>
    </row>
    <row r="3" spans="1:4" ht="13.5" thickBot="1"/>
    <row r="4" spans="1:4" ht="15.75">
      <c r="A4" s="367"/>
      <c r="B4" s="368"/>
      <c r="C4" s="366" t="s">
        <v>2175</v>
      </c>
    </row>
    <row r="5" spans="1:4" ht="31.5">
      <c r="A5" s="370"/>
      <c r="B5" s="369" t="s">
        <v>2176</v>
      </c>
      <c r="C5" s="476" t="s">
        <v>2177</v>
      </c>
    </row>
    <row r="6" spans="1:4" ht="16.5" thickBot="1">
      <c r="A6" s="372"/>
      <c r="B6" s="371" t="s">
        <v>2178</v>
      </c>
      <c r="C6" s="371" t="s">
        <v>1768</v>
      </c>
    </row>
    <row r="7" spans="1:4" ht="15.75">
      <c r="A7" s="373" t="s">
        <v>2179</v>
      </c>
      <c r="B7" s="374">
        <f>C7/C11*100</f>
        <v>20.886052359906664</v>
      </c>
      <c r="C7" s="380">
        <v>90152985528</v>
      </c>
    </row>
    <row r="8" spans="1:4" ht="15.75">
      <c r="A8" s="375" t="s">
        <v>2180</v>
      </c>
      <c r="B8" s="376">
        <f>C8/C11*100</f>
        <v>35.416033367734876</v>
      </c>
      <c r="C8" s="380">
        <v>152870494081</v>
      </c>
    </row>
    <row r="9" spans="1:4" ht="15.75">
      <c r="A9" s="375" t="s">
        <v>2181</v>
      </c>
      <c r="B9" s="376">
        <f>C9/C11*100</f>
        <v>30.886512725962028</v>
      </c>
      <c r="C9" s="380">
        <v>133319178120</v>
      </c>
    </row>
    <row r="10" spans="1:4" ht="15.75">
      <c r="A10" s="377" t="s">
        <v>2182</v>
      </c>
      <c r="B10" s="376">
        <f>C10/C11*100</f>
        <v>12.811401546396429</v>
      </c>
      <c r="C10" s="380">
        <v>55299396856</v>
      </c>
    </row>
    <row r="11" spans="1:4" ht="16.5" thickBot="1">
      <c r="A11" s="378" t="s">
        <v>1715</v>
      </c>
      <c r="B11" s="379">
        <f>SUM(B7:B10)</f>
        <v>99.999999999999986</v>
      </c>
      <c r="C11" s="381">
        <f>SUM(C7:C10)</f>
        <v>431642054585</v>
      </c>
    </row>
  </sheetData>
  <sheetProtection algorithmName="SHA-512" hashValue="OCTwwTENjW66vnsoeFSkcmzafHt8tJFYBczBlU7RxU1LTxR0/eBf2h6TUrxZ7sAw0yuO6RTGuG2BkNk8qlaNAA==" saltValue="RytCbRDj7I4ERRm3I7pJIw==" spinCount="100000" sheet="1" objects="1" scenarios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C69C7-2639-4189-A062-234EFEAECC67}">
  <sheetPr codeName="Tabelle1">
    <pageSetUpPr fitToPage="1"/>
  </sheetPr>
  <dimension ref="A1:R1768"/>
  <sheetViews>
    <sheetView tabSelected="1" view="pageLayout" zoomScale="70" zoomScaleNormal="80" zoomScalePageLayoutView="70" workbookViewId="0">
      <selection activeCell="A2" sqref="A2"/>
    </sheetView>
  </sheetViews>
  <sheetFormatPr baseColWidth="10" defaultColWidth="9.140625" defaultRowHeight="12.75" outlineLevelRow="1"/>
  <cols>
    <col min="1" max="1" width="116.140625" customWidth="1"/>
    <col min="2" max="5" width="28.7109375" customWidth="1"/>
    <col min="6" max="6" width="85.42578125" customWidth="1"/>
    <col min="7" max="7" width="15.28515625" customWidth="1"/>
    <col min="8" max="8" width="19.28515625" customWidth="1"/>
    <col min="17" max="17" width="12.5703125" customWidth="1"/>
    <col min="18" max="18" width="14.7109375" customWidth="1"/>
  </cols>
  <sheetData>
    <row r="1" spans="1:6" ht="21" customHeight="1">
      <c r="A1" s="13" t="str">
        <f>"Förderwirksame KWK-Strommengen und Zuschlagszahlungen für das Kalenderjahr "&amp;Hinweise!B3&amp;" auf Basis der Prüfungsvermerke der ÜNB:"</f>
        <v>Förderwirksame KWK-Strommengen und Zuschlagszahlungen für das Kalenderjahr 2024 auf Basis der Prüfungsvermerke der ÜNB:</v>
      </c>
      <c r="E1" s="107">
        <f>Hinweise!B2</f>
        <v>45915</v>
      </c>
    </row>
    <row r="2" spans="1:6">
      <c r="A2" s="13"/>
      <c r="D2" s="384"/>
      <c r="E2" s="385"/>
      <c r="F2" s="385"/>
    </row>
    <row r="3" spans="1:6">
      <c r="A3" s="13"/>
      <c r="D3" s="384"/>
      <c r="E3" s="385"/>
      <c r="F3" s="385"/>
    </row>
    <row r="4" spans="1:6" s="8" customFormat="1">
      <c r="A4" s="13" t="s">
        <v>79</v>
      </c>
      <c r="E4" s="28">
        <f>Hinweise!B3</f>
        <v>2024</v>
      </c>
    </row>
    <row r="5" spans="1:6" ht="13.5" thickBot="1">
      <c r="A5" s="13"/>
    </row>
    <row r="6" spans="1:6" ht="45" customHeight="1">
      <c r="A6" s="542"/>
      <c r="B6" s="116" t="s">
        <v>80</v>
      </c>
      <c r="C6" s="117" t="s">
        <v>81</v>
      </c>
      <c r="D6" s="130" t="s">
        <v>82</v>
      </c>
      <c r="E6" s="118" t="s">
        <v>83</v>
      </c>
    </row>
    <row r="7" spans="1:6" s="8" customFormat="1" ht="13.5" thickBot="1">
      <c r="A7" s="606"/>
      <c r="B7" s="532" t="s">
        <v>84</v>
      </c>
      <c r="C7" s="635" t="s">
        <v>84</v>
      </c>
      <c r="D7" s="636" t="s">
        <v>84</v>
      </c>
      <c r="E7" s="637" t="s">
        <v>84</v>
      </c>
      <c r="F7" s="638"/>
    </row>
    <row r="8" spans="1:6">
      <c r="A8" s="1110" t="s">
        <v>85</v>
      </c>
      <c r="B8" s="119">
        <f>SUM(B9:B167)</f>
        <v>81385698</v>
      </c>
      <c r="C8" s="67">
        <f>SUM(C9:C167)</f>
        <v>154907890</v>
      </c>
      <c r="D8" s="131">
        <f>SUM(D9:D167)</f>
        <v>6696883990</v>
      </c>
      <c r="E8" s="120">
        <f>SUM(B8:D8)</f>
        <v>6933177578</v>
      </c>
    </row>
    <row r="9" spans="1:6" hidden="1" outlineLevel="1">
      <c r="A9" s="1110" t="s">
        <v>86</v>
      </c>
      <c r="B9" s="121">
        <v>0</v>
      </c>
      <c r="C9" s="90">
        <v>0</v>
      </c>
      <c r="D9" s="132">
        <v>691151</v>
      </c>
      <c r="E9" s="120">
        <f t="shared" ref="E9:E72" si="0">SUM(B9:D9)</f>
        <v>691151</v>
      </c>
      <c r="F9" t="s">
        <v>87</v>
      </c>
    </row>
    <row r="10" spans="1:6" hidden="1" outlineLevel="1">
      <c r="A10" s="1110" t="s">
        <v>88</v>
      </c>
      <c r="B10" s="121">
        <v>0</v>
      </c>
      <c r="C10" s="90">
        <v>148688</v>
      </c>
      <c r="D10" s="132">
        <v>218662</v>
      </c>
      <c r="E10" s="120">
        <f t="shared" si="0"/>
        <v>367350</v>
      </c>
      <c r="F10" t="s">
        <v>89</v>
      </c>
    </row>
    <row r="11" spans="1:6" hidden="1" outlineLevel="1">
      <c r="A11" s="1110" t="s">
        <v>90</v>
      </c>
      <c r="B11" s="121">
        <v>0</v>
      </c>
      <c r="C11" s="90">
        <v>0</v>
      </c>
      <c r="D11" s="132">
        <v>313070451</v>
      </c>
      <c r="E11" s="120">
        <f t="shared" si="0"/>
        <v>313070451</v>
      </c>
      <c r="F11" t="s">
        <v>91</v>
      </c>
    </row>
    <row r="12" spans="1:6" hidden="1" outlineLevel="1">
      <c r="A12" s="1110" t="s">
        <v>92</v>
      </c>
      <c r="B12" s="121">
        <v>0</v>
      </c>
      <c r="C12" s="90">
        <v>46093</v>
      </c>
      <c r="D12" s="132">
        <v>0</v>
      </c>
      <c r="E12" s="120">
        <f t="shared" si="0"/>
        <v>46093</v>
      </c>
      <c r="F12" t="s">
        <v>93</v>
      </c>
    </row>
    <row r="13" spans="1:6" hidden="1" outlineLevel="1">
      <c r="A13" s="1110" t="s">
        <v>94</v>
      </c>
      <c r="B13" s="121">
        <v>0</v>
      </c>
      <c r="C13" s="90">
        <v>0</v>
      </c>
      <c r="D13" s="132">
        <v>14723851</v>
      </c>
      <c r="E13" s="120">
        <f t="shared" si="0"/>
        <v>14723851</v>
      </c>
      <c r="F13" t="s">
        <v>95</v>
      </c>
    </row>
    <row r="14" spans="1:6" hidden="1" outlineLevel="1">
      <c r="A14" s="1110" t="s">
        <v>96</v>
      </c>
      <c r="B14" s="121">
        <v>0</v>
      </c>
      <c r="C14" s="90">
        <v>9222</v>
      </c>
      <c r="D14" s="132">
        <v>105456343</v>
      </c>
      <c r="E14" s="120">
        <f t="shared" si="0"/>
        <v>105465565</v>
      </c>
      <c r="F14" t="s">
        <v>97</v>
      </c>
    </row>
    <row r="15" spans="1:6" hidden="1" outlineLevel="1">
      <c r="A15" s="1110" t="s">
        <v>98</v>
      </c>
      <c r="B15" s="121">
        <v>0</v>
      </c>
      <c r="C15" s="90">
        <v>338360</v>
      </c>
      <c r="D15" s="132">
        <v>195952</v>
      </c>
      <c r="E15" s="120">
        <f t="shared" si="0"/>
        <v>534312</v>
      </c>
      <c r="F15" t="s">
        <v>99</v>
      </c>
    </row>
    <row r="16" spans="1:6" hidden="1" outlineLevel="1">
      <c r="A16" s="1110" t="s">
        <v>100</v>
      </c>
      <c r="B16" s="121">
        <v>0</v>
      </c>
      <c r="C16" s="90">
        <v>1156388</v>
      </c>
      <c r="D16" s="132">
        <v>8547336</v>
      </c>
      <c r="E16" s="120">
        <f t="shared" si="0"/>
        <v>9703724</v>
      </c>
      <c r="F16" t="s">
        <v>101</v>
      </c>
    </row>
    <row r="17" spans="1:6" hidden="1" outlineLevel="1">
      <c r="A17" s="1110" t="s">
        <v>102</v>
      </c>
      <c r="B17" s="121">
        <v>0</v>
      </c>
      <c r="C17" s="90">
        <v>109326</v>
      </c>
      <c r="D17" s="132">
        <v>24389332</v>
      </c>
      <c r="E17" s="120">
        <f t="shared" si="0"/>
        <v>24498658</v>
      </c>
      <c r="F17" t="s">
        <v>103</v>
      </c>
    </row>
    <row r="18" spans="1:6" hidden="1" outlineLevel="1">
      <c r="A18" s="1110" t="s">
        <v>104</v>
      </c>
      <c r="B18" s="121">
        <v>0</v>
      </c>
      <c r="C18" s="90">
        <v>137887</v>
      </c>
      <c r="D18" s="132">
        <v>58860</v>
      </c>
      <c r="E18" s="120">
        <f t="shared" si="0"/>
        <v>196747</v>
      </c>
      <c r="F18" t="s">
        <v>105</v>
      </c>
    </row>
    <row r="19" spans="1:6" hidden="1" outlineLevel="1">
      <c r="A19" s="1110" t="s">
        <v>106</v>
      </c>
      <c r="B19" s="121">
        <v>0</v>
      </c>
      <c r="C19" s="90">
        <v>477501</v>
      </c>
      <c r="D19" s="132">
        <v>30948745</v>
      </c>
      <c r="E19" s="120">
        <f t="shared" si="0"/>
        <v>31426246</v>
      </c>
      <c r="F19" t="s">
        <v>107</v>
      </c>
    </row>
    <row r="20" spans="1:6" hidden="1" outlineLevel="1">
      <c r="A20" s="1110" t="s">
        <v>108</v>
      </c>
      <c r="B20" s="121">
        <v>0</v>
      </c>
      <c r="C20" s="90">
        <v>24590</v>
      </c>
      <c r="D20" s="132">
        <v>0</v>
      </c>
      <c r="E20" s="120">
        <f t="shared" si="0"/>
        <v>24590</v>
      </c>
      <c r="F20" t="s">
        <v>109</v>
      </c>
    </row>
    <row r="21" spans="1:6" hidden="1" outlineLevel="1">
      <c r="A21" s="1110" t="s">
        <v>110</v>
      </c>
      <c r="B21" s="121">
        <v>0</v>
      </c>
      <c r="C21" s="90">
        <v>0</v>
      </c>
      <c r="D21" s="132">
        <v>0</v>
      </c>
      <c r="E21" s="120">
        <f t="shared" si="0"/>
        <v>0</v>
      </c>
      <c r="F21" t="s">
        <v>111</v>
      </c>
    </row>
    <row r="22" spans="1:6" hidden="1" outlineLevel="1">
      <c r="A22" s="1110" t="s">
        <v>112</v>
      </c>
      <c r="B22" s="121">
        <v>0</v>
      </c>
      <c r="C22" s="90">
        <v>332261</v>
      </c>
      <c r="D22" s="132">
        <v>31480408</v>
      </c>
      <c r="E22" s="120">
        <f t="shared" si="0"/>
        <v>31812669</v>
      </c>
      <c r="F22" t="s">
        <v>113</v>
      </c>
    </row>
    <row r="23" spans="1:6" hidden="1" outlineLevel="1">
      <c r="A23" s="1110" t="s">
        <v>114</v>
      </c>
      <c r="B23" s="121">
        <v>0</v>
      </c>
      <c r="C23" s="90">
        <v>30312277</v>
      </c>
      <c r="D23" s="132">
        <v>1170867380</v>
      </c>
      <c r="E23" s="120">
        <f t="shared" si="0"/>
        <v>1201179657</v>
      </c>
      <c r="F23" t="s">
        <v>115</v>
      </c>
    </row>
    <row r="24" spans="1:6" hidden="1" outlineLevel="1">
      <c r="A24" s="1110" t="s">
        <v>116</v>
      </c>
      <c r="B24" s="121">
        <v>0</v>
      </c>
      <c r="C24" s="90">
        <v>221905</v>
      </c>
      <c r="D24" s="132">
        <v>589475265</v>
      </c>
      <c r="E24" s="120">
        <f t="shared" si="0"/>
        <v>589697170</v>
      </c>
      <c r="F24" t="s">
        <v>117</v>
      </c>
    </row>
    <row r="25" spans="1:6" hidden="1" outlineLevel="1">
      <c r="A25" s="1110" t="s">
        <v>118</v>
      </c>
      <c r="B25" s="121">
        <v>0</v>
      </c>
      <c r="C25" s="90">
        <v>127958</v>
      </c>
      <c r="D25" s="132">
        <v>256780</v>
      </c>
      <c r="E25" s="120">
        <f t="shared" si="0"/>
        <v>384738</v>
      </c>
      <c r="F25" t="s">
        <v>119</v>
      </c>
    </row>
    <row r="26" spans="1:6" hidden="1" outlineLevel="1">
      <c r="A26" s="1110" t="s">
        <v>120</v>
      </c>
      <c r="B26" s="121">
        <v>0</v>
      </c>
      <c r="C26" s="90">
        <v>0</v>
      </c>
      <c r="D26" s="132">
        <v>579428</v>
      </c>
      <c r="E26" s="120">
        <f t="shared" si="0"/>
        <v>579428</v>
      </c>
      <c r="F26" t="s">
        <v>121</v>
      </c>
    </row>
    <row r="27" spans="1:6" hidden="1" outlineLevel="1">
      <c r="A27" s="1110" t="s">
        <v>122</v>
      </c>
      <c r="B27" s="121">
        <v>0</v>
      </c>
      <c r="C27" s="90">
        <v>18635</v>
      </c>
      <c r="D27" s="132">
        <v>199149</v>
      </c>
      <c r="E27" s="120">
        <f t="shared" si="0"/>
        <v>217784</v>
      </c>
      <c r="F27" t="s">
        <v>123</v>
      </c>
    </row>
    <row r="28" spans="1:6" hidden="1" outlineLevel="1">
      <c r="A28" s="1110" t="s">
        <v>124</v>
      </c>
      <c r="B28" s="121">
        <v>0</v>
      </c>
      <c r="C28" s="90">
        <v>3734</v>
      </c>
      <c r="D28" s="132">
        <v>36000</v>
      </c>
      <c r="E28" s="120">
        <f t="shared" si="0"/>
        <v>39734</v>
      </c>
      <c r="F28" t="s">
        <v>125</v>
      </c>
    </row>
    <row r="29" spans="1:6" hidden="1" outlineLevel="1">
      <c r="A29" s="1110" t="s">
        <v>126</v>
      </c>
      <c r="B29" s="121">
        <v>0</v>
      </c>
      <c r="C29" s="90">
        <v>5</v>
      </c>
      <c r="D29" s="132">
        <v>6652870</v>
      </c>
      <c r="E29" s="120">
        <f t="shared" si="0"/>
        <v>6652875</v>
      </c>
      <c r="F29" t="s">
        <v>127</v>
      </c>
    </row>
    <row r="30" spans="1:6" hidden="1" outlineLevel="1">
      <c r="A30" s="1110" t="s">
        <v>128</v>
      </c>
      <c r="B30" s="121">
        <v>0</v>
      </c>
      <c r="C30" s="90">
        <v>64256</v>
      </c>
      <c r="D30" s="132">
        <v>102182</v>
      </c>
      <c r="E30" s="120">
        <f t="shared" si="0"/>
        <v>166438</v>
      </c>
      <c r="F30" t="s">
        <v>129</v>
      </c>
    </row>
    <row r="31" spans="1:6" hidden="1" outlineLevel="1">
      <c r="A31" s="1110" t="s">
        <v>130</v>
      </c>
      <c r="B31" s="121">
        <v>0</v>
      </c>
      <c r="C31" s="90">
        <v>110862</v>
      </c>
      <c r="D31" s="132">
        <v>184014</v>
      </c>
      <c r="E31" s="120">
        <f t="shared" si="0"/>
        <v>294876</v>
      </c>
      <c r="F31" t="s">
        <v>131</v>
      </c>
    </row>
    <row r="32" spans="1:6" hidden="1" outlineLevel="1">
      <c r="A32" s="1110" t="s">
        <v>132</v>
      </c>
      <c r="B32" s="121">
        <v>0</v>
      </c>
      <c r="C32" s="90">
        <v>159424</v>
      </c>
      <c r="D32" s="132">
        <v>5818783</v>
      </c>
      <c r="E32" s="120">
        <f t="shared" si="0"/>
        <v>5978207</v>
      </c>
      <c r="F32" t="s">
        <v>133</v>
      </c>
    </row>
    <row r="33" spans="1:6" hidden="1" outlineLevel="1">
      <c r="A33" s="1110" t="s">
        <v>134</v>
      </c>
      <c r="B33" s="121">
        <v>0</v>
      </c>
      <c r="C33" s="90">
        <v>1047</v>
      </c>
      <c r="D33" s="132">
        <v>2587052</v>
      </c>
      <c r="E33" s="120">
        <f t="shared" si="0"/>
        <v>2588099</v>
      </c>
      <c r="F33" t="s">
        <v>135</v>
      </c>
    </row>
    <row r="34" spans="1:6" hidden="1" outlineLevel="1">
      <c r="A34" s="1110" t="s">
        <v>136</v>
      </c>
      <c r="B34" s="121">
        <v>0</v>
      </c>
      <c r="C34" s="90">
        <v>176451</v>
      </c>
      <c r="D34" s="132">
        <v>14504142</v>
      </c>
      <c r="E34" s="120">
        <f t="shared" si="0"/>
        <v>14680593</v>
      </c>
      <c r="F34" t="s">
        <v>137</v>
      </c>
    </row>
    <row r="35" spans="1:6" hidden="1" outlineLevel="1">
      <c r="A35" s="1110" t="s">
        <v>138</v>
      </c>
      <c r="B35" s="121">
        <v>0</v>
      </c>
      <c r="C35" s="90">
        <v>0</v>
      </c>
      <c r="D35" s="132">
        <v>2222500</v>
      </c>
      <c r="E35" s="120">
        <f t="shared" si="0"/>
        <v>2222500</v>
      </c>
      <c r="F35" t="s">
        <v>139</v>
      </c>
    </row>
    <row r="36" spans="1:6" hidden="1" outlineLevel="1">
      <c r="A36" s="1110" t="s">
        <v>140</v>
      </c>
      <c r="B36" s="121">
        <v>0</v>
      </c>
      <c r="C36" s="90">
        <v>0</v>
      </c>
      <c r="D36" s="132">
        <v>206989</v>
      </c>
      <c r="E36" s="120">
        <f t="shared" si="0"/>
        <v>206989</v>
      </c>
      <c r="F36" t="s">
        <v>141</v>
      </c>
    </row>
    <row r="37" spans="1:6" hidden="1" outlineLevel="1">
      <c r="A37" s="1110" t="s">
        <v>142</v>
      </c>
      <c r="B37" s="121">
        <v>0</v>
      </c>
      <c r="C37" s="90">
        <v>45711</v>
      </c>
      <c r="D37" s="132">
        <v>454504</v>
      </c>
      <c r="E37" s="120">
        <f t="shared" si="0"/>
        <v>500215</v>
      </c>
      <c r="F37" t="s">
        <v>143</v>
      </c>
    </row>
    <row r="38" spans="1:6" hidden="1" outlineLevel="1">
      <c r="A38" s="1110" t="s">
        <v>144</v>
      </c>
      <c r="B38" s="121">
        <v>0</v>
      </c>
      <c r="C38" s="90">
        <v>15562</v>
      </c>
      <c r="D38" s="132">
        <v>7988246</v>
      </c>
      <c r="E38" s="120">
        <f t="shared" si="0"/>
        <v>8003808</v>
      </c>
      <c r="F38" t="s">
        <v>145</v>
      </c>
    </row>
    <row r="39" spans="1:6" hidden="1" outlineLevel="1">
      <c r="A39" s="1110" t="s">
        <v>146</v>
      </c>
      <c r="B39" s="121">
        <v>0</v>
      </c>
      <c r="C39" s="90">
        <v>15356</v>
      </c>
      <c r="D39" s="132">
        <v>7263208</v>
      </c>
      <c r="E39" s="120">
        <f t="shared" si="0"/>
        <v>7278564</v>
      </c>
      <c r="F39" t="s">
        <v>147</v>
      </c>
    </row>
    <row r="40" spans="1:6" hidden="1" outlineLevel="1">
      <c r="A40" s="1110" t="s">
        <v>148</v>
      </c>
      <c r="B40" s="121">
        <v>0</v>
      </c>
      <c r="C40" s="90">
        <v>360608</v>
      </c>
      <c r="D40" s="132">
        <v>2236595</v>
      </c>
      <c r="E40" s="120">
        <f t="shared" si="0"/>
        <v>2597203</v>
      </c>
      <c r="F40" t="s">
        <v>149</v>
      </c>
    </row>
    <row r="41" spans="1:6" hidden="1" outlineLevel="1">
      <c r="A41" s="1110" t="s">
        <v>150</v>
      </c>
      <c r="B41" s="121">
        <v>0</v>
      </c>
      <c r="C41" s="90">
        <v>0</v>
      </c>
      <c r="D41" s="132">
        <v>22537767</v>
      </c>
      <c r="E41" s="120">
        <f t="shared" si="0"/>
        <v>22537767</v>
      </c>
      <c r="F41" t="s">
        <v>151</v>
      </c>
    </row>
    <row r="42" spans="1:6" hidden="1" outlineLevel="1">
      <c r="A42" s="1110" t="s">
        <v>152</v>
      </c>
      <c r="B42" s="121">
        <v>0</v>
      </c>
      <c r="C42" s="90">
        <v>35511</v>
      </c>
      <c r="D42" s="132">
        <v>14016</v>
      </c>
      <c r="E42" s="120">
        <f t="shared" si="0"/>
        <v>49527</v>
      </c>
      <c r="F42" t="s">
        <v>153</v>
      </c>
    </row>
    <row r="43" spans="1:6" hidden="1" outlineLevel="1">
      <c r="A43" s="1110" t="s">
        <v>154</v>
      </c>
      <c r="B43" s="121">
        <v>0</v>
      </c>
      <c r="C43" s="90">
        <v>25167</v>
      </c>
      <c r="D43" s="132">
        <v>53228531</v>
      </c>
      <c r="E43" s="120">
        <f t="shared" si="0"/>
        <v>53253698</v>
      </c>
      <c r="F43" t="s">
        <v>155</v>
      </c>
    </row>
    <row r="44" spans="1:6" hidden="1" outlineLevel="1">
      <c r="A44" s="1110" t="s">
        <v>156</v>
      </c>
      <c r="B44" s="121">
        <v>0</v>
      </c>
      <c r="C44" s="90">
        <v>54398</v>
      </c>
      <c r="D44" s="132">
        <v>2793299</v>
      </c>
      <c r="E44" s="120">
        <f t="shared" si="0"/>
        <v>2847697</v>
      </c>
      <c r="F44" t="s">
        <v>157</v>
      </c>
    </row>
    <row r="45" spans="1:6" hidden="1" outlineLevel="1">
      <c r="A45" s="1110" t="s">
        <v>158</v>
      </c>
      <c r="B45" s="121">
        <v>0</v>
      </c>
      <c r="C45" s="90">
        <v>0</v>
      </c>
      <c r="D45" s="132">
        <v>19978607</v>
      </c>
      <c r="E45" s="120">
        <f t="shared" si="0"/>
        <v>19978607</v>
      </c>
      <c r="F45" t="s">
        <v>159</v>
      </c>
    </row>
    <row r="46" spans="1:6" hidden="1" outlineLevel="1">
      <c r="A46" s="1110" t="s">
        <v>160</v>
      </c>
      <c r="B46" s="121">
        <v>0</v>
      </c>
      <c r="C46" s="90">
        <v>529155</v>
      </c>
      <c r="D46" s="132">
        <v>668580</v>
      </c>
      <c r="E46" s="120">
        <f t="shared" si="0"/>
        <v>1197735</v>
      </c>
      <c r="F46" t="s">
        <v>161</v>
      </c>
    </row>
    <row r="47" spans="1:6" hidden="1" outlineLevel="1">
      <c r="A47" s="1110" t="s">
        <v>162</v>
      </c>
      <c r="B47" s="121">
        <v>0</v>
      </c>
      <c r="C47" s="90">
        <v>34134</v>
      </c>
      <c r="D47" s="132">
        <v>8337</v>
      </c>
      <c r="E47" s="120">
        <f t="shared" si="0"/>
        <v>42471</v>
      </c>
      <c r="F47" t="s">
        <v>163</v>
      </c>
    </row>
    <row r="48" spans="1:6" hidden="1" outlineLevel="1">
      <c r="A48" s="1110" t="s">
        <v>164</v>
      </c>
      <c r="B48" s="121">
        <v>0</v>
      </c>
      <c r="C48" s="90">
        <v>28772</v>
      </c>
      <c r="D48" s="132">
        <v>1317677</v>
      </c>
      <c r="E48" s="120">
        <f t="shared" si="0"/>
        <v>1346449</v>
      </c>
      <c r="F48" t="s">
        <v>165</v>
      </c>
    </row>
    <row r="49" spans="1:6" hidden="1" outlineLevel="1">
      <c r="A49" s="1110" t="s">
        <v>166</v>
      </c>
      <c r="B49" s="121">
        <v>0</v>
      </c>
      <c r="C49" s="90">
        <v>988946</v>
      </c>
      <c r="D49" s="132">
        <v>10223221</v>
      </c>
      <c r="E49" s="120">
        <f t="shared" si="0"/>
        <v>11212167</v>
      </c>
      <c r="F49" t="s">
        <v>167</v>
      </c>
    </row>
    <row r="50" spans="1:6" hidden="1" outlineLevel="1">
      <c r="A50" s="1110" t="s">
        <v>168</v>
      </c>
      <c r="B50" s="121">
        <v>0</v>
      </c>
      <c r="C50" s="90">
        <v>1061476</v>
      </c>
      <c r="D50" s="132">
        <v>2740026</v>
      </c>
      <c r="E50" s="120">
        <f t="shared" si="0"/>
        <v>3801502</v>
      </c>
      <c r="F50" t="s">
        <v>169</v>
      </c>
    </row>
    <row r="51" spans="1:6" hidden="1" outlineLevel="1">
      <c r="A51" s="1110" t="s">
        <v>170</v>
      </c>
      <c r="B51" s="121">
        <v>0</v>
      </c>
      <c r="C51" s="90">
        <v>40154</v>
      </c>
      <c r="D51" s="132">
        <v>1120447</v>
      </c>
      <c r="E51" s="120">
        <f t="shared" si="0"/>
        <v>1160601</v>
      </c>
      <c r="F51" t="s">
        <v>171</v>
      </c>
    </row>
    <row r="52" spans="1:6" hidden="1" outlineLevel="1">
      <c r="A52" s="1110" t="s">
        <v>172</v>
      </c>
      <c r="B52" s="121">
        <v>0</v>
      </c>
      <c r="C52" s="90">
        <v>0</v>
      </c>
      <c r="D52" s="132">
        <v>0</v>
      </c>
      <c r="E52" s="120">
        <f t="shared" si="0"/>
        <v>0</v>
      </c>
      <c r="F52" t="s">
        <v>173</v>
      </c>
    </row>
    <row r="53" spans="1:6" hidden="1" outlineLevel="1">
      <c r="A53" s="1110" t="s">
        <v>174</v>
      </c>
      <c r="B53" s="121">
        <v>0</v>
      </c>
      <c r="C53" s="90">
        <v>0</v>
      </c>
      <c r="D53" s="132">
        <v>0</v>
      </c>
      <c r="E53" s="120">
        <f t="shared" si="0"/>
        <v>0</v>
      </c>
      <c r="F53" t="s">
        <v>175</v>
      </c>
    </row>
    <row r="54" spans="1:6" hidden="1" outlineLevel="1">
      <c r="A54" s="1110" t="s">
        <v>176</v>
      </c>
      <c r="B54" s="121">
        <v>0</v>
      </c>
      <c r="C54" s="90">
        <v>241513</v>
      </c>
      <c r="D54" s="132">
        <v>169537560</v>
      </c>
      <c r="E54" s="120">
        <f t="shared" si="0"/>
        <v>169779073</v>
      </c>
      <c r="F54" t="s">
        <v>177</v>
      </c>
    </row>
    <row r="55" spans="1:6" hidden="1" outlineLevel="1">
      <c r="A55" s="1110" t="s">
        <v>178</v>
      </c>
      <c r="B55" s="121">
        <v>0</v>
      </c>
      <c r="C55" s="90">
        <v>90048</v>
      </c>
      <c r="D55" s="132">
        <v>17791630</v>
      </c>
      <c r="E55" s="120">
        <f t="shared" si="0"/>
        <v>17881678</v>
      </c>
      <c r="F55" t="s">
        <v>179</v>
      </c>
    </row>
    <row r="56" spans="1:6" hidden="1" outlineLevel="1">
      <c r="A56" s="1110" t="s">
        <v>180</v>
      </c>
      <c r="B56" s="121">
        <v>0</v>
      </c>
      <c r="C56" s="90">
        <v>0</v>
      </c>
      <c r="D56" s="132">
        <v>20379124</v>
      </c>
      <c r="E56" s="120">
        <f t="shared" si="0"/>
        <v>20379124</v>
      </c>
      <c r="F56" t="s">
        <v>181</v>
      </c>
    </row>
    <row r="57" spans="1:6" hidden="1" outlineLevel="1">
      <c r="A57" s="1110" t="s">
        <v>182</v>
      </c>
      <c r="B57" s="121">
        <v>0</v>
      </c>
      <c r="C57" s="90">
        <v>220973</v>
      </c>
      <c r="D57" s="132">
        <v>25010788</v>
      </c>
      <c r="E57" s="120">
        <f t="shared" si="0"/>
        <v>25231761</v>
      </c>
      <c r="F57" t="s">
        <v>183</v>
      </c>
    </row>
    <row r="58" spans="1:6" hidden="1" outlineLevel="1">
      <c r="A58" s="1110" t="s">
        <v>184</v>
      </c>
      <c r="B58" s="121">
        <v>0</v>
      </c>
      <c r="C58" s="90">
        <v>37849</v>
      </c>
      <c r="D58" s="132">
        <v>257054</v>
      </c>
      <c r="E58" s="120">
        <f t="shared" si="0"/>
        <v>294903</v>
      </c>
      <c r="F58" t="s">
        <v>185</v>
      </c>
    </row>
    <row r="59" spans="1:6" hidden="1" outlineLevel="1">
      <c r="A59" s="1110" t="s">
        <v>186</v>
      </c>
      <c r="B59" s="121">
        <v>0</v>
      </c>
      <c r="C59" s="90">
        <v>523311</v>
      </c>
      <c r="D59" s="132">
        <v>3198392</v>
      </c>
      <c r="E59" s="120">
        <f t="shared" si="0"/>
        <v>3721703</v>
      </c>
      <c r="F59" t="s">
        <v>187</v>
      </c>
    </row>
    <row r="60" spans="1:6" hidden="1" outlineLevel="1">
      <c r="A60" s="1110" t="s">
        <v>188</v>
      </c>
      <c r="B60" s="121">
        <v>0</v>
      </c>
      <c r="C60" s="90">
        <v>368039</v>
      </c>
      <c r="D60" s="132">
        <v>374327</v>
      </c>
      <c r="E60" s="120">
        <f t="shared" si="0"/>
        <v>742366</v>
      </c>
      <c r="F60" t="s">
        <v>189</v>
      </c>
    </row>
    <row r="61" spans="1:6" hidden="1" outlineLevel="1">
      <c r="A61" s="1110" t="s">
        <v>190</v>
      </c>
      <c r="B61" s="121">
        <v>0</v>
      </c>
      <c r="C61" s="90">
        <v>681251</v>
      </c>
      <c r="D61" s="132">
        <v>3485506</v>
      </c>
      <c r="E61" s="120">
        <f t="shared" si="0"/>
        <v>4166757</v>
      </c>
      <c r="F61" t="s">
        <v>191</v>
      </c>
    </row>
    <row r="62" spans="1:6" hidden="1" outlineLevel="1">
      <c r="A62" s="1110" t="s">
        <v>192</v>
      </c>
      <c r="B62" s="121">
        <v>0</v>
      </c>
      <c r="C62" s="90">
        <v>0</v>
      </c>
      <c r="D62" s="132">
        <v>0</v>
      </c>
      <c r="E62" s="120">
        <f t="shared" si="0"/>
        <v>0</v>
      </c>
      <c r="F62" t="s">
        <v>193</v>
      </c>
    </row>
    <row r="63" spans="1:6" hidden="1" outlineLevel="1">
      <c r="A63" s="1110" t="s">
        <v>194</v>
      </c>
      <c r="B63" s="121">
        <v>0</v>
      </c>
      <c r="C63" s="90">
        <v>0</v>
      </c>
      <c r="D63" s="132">
        <v>0</v>
      </c>
      <c r="E63" s="120">
        <f t="shared" si="0"/>
        <v>0</v>
      </c>
      <c r="F63" t="s">
        <v>195</v>
      </c>
    </row>
    <row r="64" spans="1:6" hidden="1" outlineLevel="1">
      <c r="A64" s="1110" t="s">
        <v>196</v>
      </c>
      <c r="B64" s="121">
        <v>0</v>
      </c>
      <c r="C64" s="90">
        <v>0</v>
      </c>
      <c r="D64" s="132">
        <v>0</v>
      </c>
      <c r="E64" s="120">
        <f t="shared" si="0"/>
        <v>0</v>
      </c>
      <c r="F64" t="s">
        <v>197</v>
      </c>
    </row>
    <row r="65" spans="1:6" hidden="1" outlineLevel="1">
      <c r="A65" s="1110" t="s">
        <v>198</v>
      </c>
      <c r="B65" s="121">
        <v>0</v>
      </c>
      <c r="C65" s="90">
        <v>190728</v>
      </c>
      <c r="D65" s="132">
        <v>976350</v>
      </c>
      <c r="E65" s="120">
        <f t="shared" si="0"/>
        <v>1167078</v>
      </c>
      <c r="F65" t="s">
        <v>199</v>
      </c>
    </row>
    <row r="66" spans="1:6" hidden="1" outlineLevel="1">
      <c r="A66" s="1110" t="s">
        <v>200</v>
      </c>
      <c r="B66" s="121">
        <v>0</v>
      </c>
      <c r="C66" s="90">
        <v>14228</v>
      </c>
      <c r="D66" s="132">
        <v>12855897</v>
      </c>
      <c r="E66" s="120">
        <f t="shared" si="0"/>
        <v>12870125</v>
      </c>
      <c r="F66" t="s">
        <v>201</v>
      </c>
    </row>
    <row r="67" spans="1:6" hidden="1" outlineLevel="1">
      <c r="A67" s="1110" t="s">
        <v>202</v>
      </c>
      <c r="B67" s="121">
        <v>0</v>
      </c>
      <c r="C67" s="90">
        <v>670846</v>
      </c>
      <c r="D67" s="132">
        <v>973086</v>
      </c>
      <c r="E67" s="120">
        <f t="shared" si="0"/>
        <v>1643932</v>
      </c>
      <c r="F67" t="s">
        <v>203</v>
      </c>
    </row>
    <row r="68" spans="1:6" hidden="1" outlineLevel="1">
      <c r="A68" s="1110" t="s">
        <v>204</v>
      </c>
      <c r="B68" s="121">
        <v>0</v>
      </c>
      <c r="C68" s="90">
        <v>849344</v>
      </c>
      <c r="D68" s="132">
        <v>994565</v>
      </c>
      <c r="E68" s="120">
        <f t="shared" si="0"/>
        <v>1843909</v>
      </c>
      <c r="F68" t="s">
        <v>205</v>
      </c>
    </row>
    <row r="69" spans="1:6" hidden="1" outlineLevel="1">
      <c r="A69" s="1110" t="s">
        <v>206</v>
      </c>
      <c r="B69" s="121">
        <v>0</v>
      </c>
      <c r="C69" s="90">
        <v>0</v>
      </c>
      <c r="D69" s="132">
        <v>0</v>
      </c>
      <c r="E69" s="120">
        <f t="shared" si="0"/>
        <v>0</v>
      </c>
      <c r="F69" t="s">
        <v>207</v>
      </c>
    </row>
    <row r="70" spans="1:6" hidden="1" outlineLevel="1">
      <c r="A70" s="1110" t="s">
        <v>208</v>
      </c>
      <c r="B70" s="121">
        <v>0</v>
      </c>
      <c r="C70" s="90">
        <v>94835</v>
      </c>
      <c r="D70" s="132">
        <v>2302264</v>
      </c>
      <c r="E70" s="120">
        <f t="shared" si="0"/>
        <v>2397099</v>
      </c>
      <c r="F70" t="s">
        <v>209</v>
      </c>
    </row>
    <row r="71" spans="1:6" hidden="1" outlineLevel="1">
      <c r="A71" s="1110" t="s">
        <v>210</v>
      </c>
      <c r="B71" s="121">
        <v>0</v>
      </c>
      <c r="C71" s="90">
        <v>5</v>
      </c>
      <c r="D71" s="132">
        <v>170841</v>
      </c>
      <c r="E71" s="120">
        <f t="shared" si="0"/>
        <v>170846</v>
      </c>
      <c r="F71" t="s">
        <v>211</v>
      </c>
    </row>
    <row r="72" spans="1:6" hidden="1" outlineLevel="1">
      <c r="A72" s="1110" t="s">
        <v>212</v>
      </c>
      <c r="B72" s="121">
        <v>0</v>
      </c>
      <c r="C72" s="90">
        <v>68960</v>
      </c>
      <c r="D72" s="132">
        <v>5516088</v>
      </c>
      <c r="E72" s="120">
        <f t="shared" si="0"/>
        <v>5585048</v>
      </c>
      <c r="F72" t="s">
        <v>213</v>
      </c>
    </row>
    <row r="73" spans="1:6" hidden="1" outlineLevel="1">
      <c r="A73" s="1110" t="s">
        <v>214</v>
      </c>
      <c r="B73" s="121">
        <v>0</v>
      </c>
      <c r="C73" s="90">
        <v>51001</v>
      </c>
      <c r="D73" s="132">
        <v>35527537</v>
      </c>
      <c r="E73" s="120">
        <f t="shared" ref="E73:E136" si="1">SUM(B73:D73)</f>
        <v>35578538</v>
      </c>
      <c r="F73" t="s">
        <v>215</v>
      </c>
    </row>
    <row r="74" spans="1:6" hidden="1" outlineLevel="1">
      <c r="A74" s="1110" t="s">
        <v>216</v>
      </c>
      <c r="B74" s="121">
        <v>0</v>
      </c>
      <c r="C74" s="90">
        <v>4507</v>
      </c>
      <c r="D74" s="132">
        <v>7188368</v>
      </c>
      <c r="E74" s="120">
        <f t="shared" si="1"/>
        <v>7192875</v>
      </c>
      <c r="F74" t="s">
        <v>217</v>
      </c>
    </row>
    <row r="75" spans="1:6" hidden="1" outlineLevel="1">
      <c r="A75" s="1110" t="s">
        <v>218</v>
      </c>
      <c r="B75" s="121">
        <v>0</v>
      </c>
      <c r="C75" s="90">
        <v>54271</v>
      </c>
      <c r="D75" s="132">
        <v>281722</v>
      </c>
      <c r="E75" s="120">
        <f t="shared" si="1"/>
        <v>335993</v>
      </c>
      <c r="F75" t="s">
        <v>219</v>
      </c>
    </row>
    <row r="76" spans="1:6" hidden="1" outlineLevel="1">
      <c r="A76" s="1110" t="s">
        <v>220</v>
      </c>
      <c r="B76" s="121">
        <v>0</v>
      </c>
      <c r="C76" s="90">
        <v>335591</v>
      </c>
      <c r="D76" s="132">
        <v>288596</v>
      </c>
      <c r="E76" s="120">
        <f t="shared" si="1"/>
        <v>624187</v>
      </c>
      <c r="F76" t="s">
        <v>221</v>
      </c>
    </row>
    <row r="77" spans="1:6" hidden="1" outlineLevel="1">
      <c r="A77" s="1110" t="s">
        <v>222</v>
      </c>
      <c r="B77" s="121">
        <v>0</v>
      </c>
      <c r="C77" s="90">
        <v>9827</v>
      </c>
      <c r="D77" s="132">
        <v>4696981</v>
      </c>
      <c r="E77" s="120">
        <f t="shared" si="1"/>
        <v>4706808</v>
      </c>
      <c r="F77" t="s">
        <v>223</v>
      </c>
    </row>
    <row r="78" spans="1:6" hidden="1" outlineLevel="1">
      <c r="A78" s="1110" t="s">
        <v>224</v>
      </c>
      <c r="B78" s="121">
        <v>0</v>
      </c>
      <c r="C78" s="90">
        <v>143828</v>
      </c>
      <c r="D78" s="132">
        <v>2754600</v>
      </c>
      <c r="E78" s="120">
        <f t="shared" si="1"/>
        <v>2898428</v>
      </c>
      <c r="F78" t="s">
        <v>225</v>
      </c>
    </row>
    <row r="79" spans="1:6" hidden="1" outlineLevel="1">
      <c r="A79" s="1110" t="s">
        <v>226</v>
      </c>
      <c r="B79" s="121">
        <v>0</v>
      </c>
      <c r="C79" s="90">
        <v>383512</v>
      </c>
      <c r="D79" s="132">
        <v>744932</v>
      </c>
      <c r="E79" s="120">
        <f t="shared" si="1"/>
        <v>1128444</v>
      </c>
      <c r="F79" t="s">
        <v>227</v>
      </c>
    </row>
    <row r="80" spans="1:6" hidden="1" outlineLevel="1">
      <c r="A80" s="1110" t="s">
        <v>228</v>
      </c>
      <c r="B80" s="121">
        <v>0</v>
      </c>
      <c r="C80" s="90">
        <v>24439213</v>
      </c>
      <c r="D80" s="132">
        <v>68841819</v>
      </c>
      <c r="E80" s="120">
        <f t="shared" si="1"/>
        <v>93281032</v>
      </c>
      <c r="F80" t="s">
        <v>229</v>
      </c>
    </row>
    <row r="81" spans="1:6" hidden="1" outlineLevel="1">
      <c r="A81" s="1110" t="s">
        <v>230</v>
      </c>
      <c r="B81" s="121">
        <v>0</v>
      </c>
      <c r="C81" s="90">
        <v>1060270</v>
      </c>
      <c r="D81" s="132">
        <v>1909560</v>
      </c>
      <c r="E81" s="120">
        <f t="shared" si="1"/>
        <v>2969830</v>
      </c>
      <c r="F81" t="s">
        <v>231</v>
      </c>
    </row>
    <row r="82" spans="1:6" hidden="1" outlineLevel="1">
      <c r="A82" s="1110" t="s">
        <v>232</v>
      </c>
      <c r="B82" s="121">
        <v>0</v>
      </c>
      <c r="C82" s="90">
        <v>0</v>
      </c>
      <c r="D82" s="132">
        <v>79432</v>
      </c>
      <c r="E82" s="120">
        <f t="shared" si="1"/>
        <v>79432</v>
      </c>
      <c r="F82" t="s">
        <v>233</v>
      </c>
    </row>
    <row r="83" spans="1:6" hidden="1" outlineLevel="1">
      <c r="A83" s="1110" t="s">
        <v>234</v>
      </c>
      <c r="B83" s="121">
        <v>0</v>
      </c>
      <c r="C83" s="90">
        <v>14033</v>
      </c>
      <c r="D83" s="132">
        <v>1102022</v>
      </c>
      <c r="E83" s="120">
        <f t="shared" si="1"/>
        <v>1116055</v>
      </c>
      <c r="F83" t="s">
        <v>235</v>
      </c>
    </row>
    <row r="84" spans="1:6" hidden="1" outlineLevel="1">
      <c r="A84" s="1110" t="s">
        <v>236</v>
      </c>
      <c r="B84" s="121">
        <v>0</v>
      </c>
      <c r="C84" s="90">
        <v>0</v>
      </c>
      <c r="D84" s="132">
        <v>372499</v>
      </c>
      <c r="E84" s="120">
        <f t="shared" si="1"/>
        <v>372499</v>
      </c>
      <c r="F84" t="s">
        <v>237</v>
      </c>
    </row>
    <row r="85" spans="1:6" hidden="1" outlineLevel="1">
      <c r="A85" s="1110" t="s">
        <v>238</v>
      </c>
      <c r="B85" s="121">
        <v>0</v>
      </c>
      <c r="C85" s="90">
        <v>727628</v>
      </c>
      <c r="D85" s="132">
        <v>10960186</v>
      </c>
      <c r="E85" s="120">
        <f t="shared" si="1"/>
        <v>11687814</v>
      </c>
      <c r="F85" t="s">
        <v>239</v>
      </c>
    </row>
    <row r="86" spans="1:6" hidden="1" outlineLevel="1">
      <c r="A86" s="1110" t="s">
        <v>240</v>
      </c>
      <c r="B86" s="121">
        <v>0</v>
      </c>
      <c r="C86" s="90">
        <v>282751</v>
      </c>
      <c r="D86" s="132">
        <v>4952238</v>
      </c>
      <c r="E86" s="120">
        <f t="shared" si="1"/>
        <v>5234989</v>
      </c>
      <c r="F86" t="s">
        <v>241</v>
      </c>
    </row>
    <row r="87" spans="1:6" hidden="1" outlineLevel="1">
      <c r="A87" s="1110" t="s">
        <v>242</v>
      </c>
      <c r="B87" s="121">
        <v>0</v>
      </c>
      <c r="C87" s="90">
        <v>110634</v>
      </c>
      <c r="D87" s="132">
        <v>4702807</v>
      </c>
      <c r="E87" s="120">
        <f t="shared" si="1"/>
        <v>4813441</v>
      </c>
      <c r="F87" t="s">
        <v>243</v>
      </c>
    </row>
    <row r="88" spans="1:6" hidden="1" outlineLevel="1">
      <c r="A88" s="1110" t="s">
        <v>244</v>
      </c>
      <c r="B88" s="121">
        <v>0</v>
      </c>
      <c r="C88" s="90">
        <v>29078</v>
      </c>
      <c r="D88" s="132">
        <v>685345</v>
      </c>
      <c r="E88" s="120">
        <f t="shared" si="1"/>
        <v>714423</v>
      </c>
      <c r="F88" t="s">
        <v>245</v>
      </c>
    </row>
    <row r="89" spans="1:6" hidden="1" outlineLevel="1">
      <c r="A89" s="1110" t="s">
        <v>246</v>
      </c>
      <c r="B89" s="121">
        <v>0</v>
      </c>
      <c r="C89" s="90">
        <v>0</v>
      </c>
      <c r="D89" s="132">
        <v>80000</v>
      </c>
      <c r="E89" s="120">
        <f t="shared" si="1"/>
        <v>80000</v>
      </c>
      <c r="F89" t="s">
        <v>247</v>
      </c>
    </row>
    <row r="90" spans="1:6" hidden="1" outlineLevel="1">
      <c r="A90" s="1110" t="s">
        <v>248</v>
      </c>
      <c r="B90" s="121">
        <v>0</v>
      </c>
      <c r="C90" s="90">
        <v>39713</v>
      </c>
      <c r="D90" s="132">
        <v>186620542</v>
      </c>
      <c r="E90" s="120">
        <f t="shared" si="1"/>
        <v>186660255</v>
      </c>
      <c r="F90" t="s">
        <v>249</v>
      </c>
    </row>
    <row r="91" spans="1:6" hidden="1" outlineLevel="1">
      <c r="A91" s="1110" t="s">
        <v>250</v>
      </c>
      <c r="B91" s="121">
        <v>0</v>
      </c>
      <c r="C91" s="90">
        <v>9380113</v>
      </c>
      <c r="D91" s="132">
        <v>67033912</v>
      </c>
      <c r="E91" s="120">
        <f t="shared" si="1"/>
        <v>76414025</v>
      </c>
      <c r="F91" t="s">
        <v>251</v>
      </c>
    </row>
    <row r="92" spans="1:6" hidden="1" outlineLevel="1">
      <c r="A92" s="1110" t="s">
        <v>252</v>
      </c>
      <c r="B92" s="121">
        <v>0</v>
      </c>
      <c r="C92" s="90">
        <v>822804</v>
      </c>
      <c r="D92" s="132">
        <v>431888988</v>
      </c>
      <c r="E92" s="120">
        <f t="shared" si="1"/>
        <v>432711792</v>
      </c>
      <c r="F92" t="s">
        <v>253</v>
      </c>
    </row>
    <row r="93" spans="1:6" hidden="1" outlineLevel="1">
      <c r="A93" s="1110" t="s">
        <v>254</v>
      </c>
      <c r="B93" s="121">
        <v>0</v>
      </c>
      <c r="C93" s="90">
        <v>0</v>
      </c>
      <c r="D93" s="132">
        <v>16491076</v>
      </c>
      <c r="E93" s="120">
        <f t="shared" si="1"/>
        <v>16491076</v>
      </c>
      <c r="F93" t="s">
        <v>255</v>
      </c>
    </row>
    <row r="94" spans="1:6" hidden="1" outlineLevel="1">
      <c r="A94" s="1110" t="s">
        <v>256</v>
      </c>
      <c r="B94" s="121">
        <v>0</v>
      </c>
      <c r="C94" s="90">
        <v>64697</v>
      </c>
      <c r="D94" s="132">
        <v>17008760</v>
      </c>
      <c r="E94" s="120">
        <f t="shared" si="1"/>
        <v>17073457</v>
      </c>
      <c r="F94" t="s">
        <v>257</v>
      </c>
    </row>
    <row r="95" spans="1:6" hidden="1" outlineLevel="1">
      <c r="A95" s="1110" t="s">
        <v>258</v>
      </c>
      <c r="B95" s="121">
        <v>0</v>
      </c>
      <c r="C95" s="90">
        <v>21408</v>
      </c>
      <c r="D95" s="132">
        <v>560636</v>
      </c>
      <c r="E95" s="120">
        <f t="shared" si="1"/>
        <v>582044</v>
      </c>
      <c r="F95" t="s">
        <v>259</v>
      </c>
    </row>
    <row r="96" spans="1:6" hidden="1" outlineLevel="1">
      <c r="A96" s="1110" t="s">
        <v>260</v>
      </c>
      <c r="B96" s="121">
        <v>0</v>
      </c>
      <c r="C96" s="90">
        <v>229433</v>
      </c>
      <c r="D96" s="132">
        <v>105465</v>
      </c>
      <c r="E96" s="120">
        <f t="shared" si="1"/>
        <v>334898</v>
      </c>
      <c r="F96" t="s">
        <v>261</v>
      </c>
    </row>
    <row r="97" spans="1:6" hidden="1" outlineLevel="1">
      <c r="A97" s="1110" t="s">
        <v>262</v>
      </c>
      <c r="B97" s="121">
        <v>0</v>
      </c>
      <c r="C97" s="90">
        <v>208598</v>
      </c>
      <c r="D97" s="132">
        <v>14052200</v>
      </c>
      <c r="E97" s="120">
        <f t="shared" si="1"/>
        <v>14260798</v>
      </c>
      <c r="F97" t="s">
        <v>263</v>
      </c>
    </row>
    <row r="98" spans="1:6" hidden="1" outlineLevel="1">
      <c r="A98" s="1110" t="s">
        <v>264</v>
      </c>
      <c r="B98" s="121">
        <v>0</v>
      </c>
      <c r="C98" s="90">
        <v>113674</v>
      </c>
      <c r="D98" s="132">
        <v>458318</v>
      </c>
      <c r="E98" s="120">
        <f t="shared" si="1"/>
        <v>571992</v>
      </c>
      <c r="F98" t="s">
        <v>265</v>
      </c>
    </row>
    <row r="99" spans="1:6" hidden="1" outlineLevel="1">
      <c r="A99" s="1110" t="s">
        <v>266</v>
      </c>
      <c r="B99" s="121">
        <v>0</v>
      </c>
      <c r="C99" s="90">
        <v>278076</v>
      </c>
      <c r="D99" s="132">
        <v>182432977</v>
      </c>
      <c r="E99" s="120">
        <f t="shared" si="1"/>
        <v>182711053</v>
      </c>
      <c r="F99" t="s">
        <v>267</v>
      </c>
    </row>
    <row r="100" spans="1:6" hidden="1" outlineLevel="1">
      <c r="A100" s="1110" t="s">
        <v>268</v>
      </c>
      <c r="B100" s="121">
        <v>0</v>
      </c>
      <c r="C100" s="90">
        <v>70429</v>
      </c>
      <c r="D100" s="132">
        <v>45827521</v>
      </c>
      <c r="E100" s="120">
        <f t="shared" si="1"/>
        <v>45897950</v>
      </c>
      <c r="F100" t="s">
        <v>269</v>
      </c>
    </row>
    <row r="101" spans="1:6" hidden="1" outlineLevel="1">
      <c r="A101" s="1110" t="s">
        <v>270</v>
      </c>
      <c r="B101" s="121">
        <v>0</v>
      </c>
      <c r="C101" s="90">
        <v>13847</v>
      </c>
      <c r="D101" s="132">
        <v>320857</v>
      </c>
      <c r="E101" s="120">
        <f t="shared" si="1"/>
        <v>334704</v>
      </c>
      <c r="F101" t="s">
        <v>271</v>
      </c>
    </row>
    <row r="102" spans="1:6" hidden="1" outlineLevel="1">
      <c r="A102" s="1110" t="s">
        <v>272</v>
      </c>
      <c r="B102" s="121">
        <v>0</v>
      </c>
      <c r="C102" s="90">
        <v>20131</v>
      </c>
      <c r="D102" s="132">
        <v>496356</v>
      </c>
      <c r="E102" s="120">
        <f t="shared" si="1"/>
        <v>516487</v>
      </c>
      <c r="F102" t="s">
        <v>273</v>
      </c>
    </row>
    <row r="103" spans="1:6" hidden="1" outlineLevel="1">
      <c r="A103" s="1110" t="s">
        <v>274</v>
      </c>
      <c r="B103" s="121">
        <v>0</v>
      </c>
      <c r="C103" s="90">
        <v>156093</v>
      </c>
      <c r="D103" s="132">
        <v>6849140</v>
      </c>
      <c r="E103" s="120">
        <f t="shared" si="1"/>
        <v>7005233</v>
      </c>
      <c r="F103" t="s">
        <v>275</v>
      </c>
    </row>
    <row r="104" spans="1:6" hidden="1" outlineLevel="1">
      <c r="A104" s="1110" t="s">
        <v>276</v>
      </c>
      <c r="B104" s="121">
        <v>0</v>
      </c>
      <c r="C104" s="90">
        <v>855952</v>
      </c>
      <c r="D104" s="132">
        <v>2914822</v>
      </c>
      <c r="E104" s="120">
        <f t="shared" si="1"/>
        <v>3770774</v>
      </c>
      <c r="F104" t="s">
        <v>277</v>
      </c>
    </row>
    <row r="105" spans="1:6" hidden="1" outlineLevel="1">
      <c r="A105" s="1110" t="s">
        <v>278</v>
      </c>
      <c r="B105" s="121">
        <v>0</v>
      </c>
      <c r="C105" s="90">
        <v>2208486</v>
      </c>
      <c r="D105" s="132">
        <v>1574233</v>
      </c>
      <c r="E105" s="120">
        <f t="shared" si="1"/>
        <v>3782719</v>
      </c>
      <c r="F105" t="s">
        <v>279</v>
      </c>
    </row>
    <row r="106" spans="1:6" hidden="1" outlineLevel="1">
      <c r="A106" s="1110" t="s">
        <v>280</v>
      </c>
      <c r="B106" s="121">
        <v>0</v>
      </c>
      <c r="C106" s="90">
        <v>1331574</v>
      </c>
      <c r="D106" s="132">
        <v>1207040</v>
      </c>
      <c r="E106" s="120">
        <f t="shared" si="1"/>
        <v>2538614</v>
      </c>
      <c r="F106" t="s">
        <v>281</v>
      </c>
    </row>
    <row r="107" spans="1:6" hidden="1" outlineLevel="1">
      <c r="A107" s="1110" t="s">
        <v>282</v>
      </c>
      <c r="B107" s="121">
        <v>0</v>
      </c>
      <c r="C107" s="90">
        <v>2952</v>
      </c>
      <c r="D107" s="132">
        <v>793340</v>
      </c>
      <c r="E107" s="120">
        <f t="shared" si="1"/>
        <v>796292</v>
      </c>
      <c r="F107" t="s">
        <v>283</v>
      </c>
    </row>
    <row r="108" spans="1:6" hidden="1" outlineLevel="1">
      <c r="A108" s="1110" t="s">
        <v>284</v>
      </c>
      <c r="B108" s="121">
        <v>0</v>
      </c>
      <c r="C108" s="90">
        <v>1526042</v>
      </c>
      <c r="D108" s="132">
        <v>7032191</v>
      </c>
      <c r="E108" s="120">
        <f t="shared" si="1"/>
        <v>8558233</v>
      </c>
      <c r="F108" t="s">
        <v>285</v>
      </c>
    </row>
    <row r="109" spans="1:6" hidden="1" outlineLevel="1">
      <c r="A109" s="1110" t="s">
        <v>286</v>
      </c>
      <c r="B109" s="121">
        <v>0</v>
      </c>
      <c r="C109" s="90">
        <v>0</v>
      </c>
      <c r="D109" s="132">
        <v>0</v>
      </c>
      <c r="E109" s="120">
        <f t="shared" si="1"/>
        <v>0</v>
      </c>
      <c r="F109" t="s">
        <v>287</v>
      </c>
    </row>
    <row r="110" spans="1:6" hidden="1" outlineLevel="1">
      <c r="A110" s="1110" t="s">
        <v>288</v>
      </c>
      <c r="B110" s="121">
        <v>0</v>
      </c>
      <c r="C110" s="90">
        <v>948596</v>
      </c>
      <c r="D110" s="132">
        <v>13423526</v>
      </c>
      <c r="E110" s="120">
        <f t="shared" si="1"/>
        <v>14372122</v>
      </c>
      <c r="F110" t="s">
        <v>289</v>
      </c>
    </row>
    <row r="111" spans="1:6" hidden="1" outlineLevel="1">
      <c r="A111" s="1110" t="s">
        <v>290</v>
      </c>
      <c r="B111" s="121">
        <v>0</v>
      </c>
      <c r="C111" s="90">
        <v>0</v>
      </c>
      <c r="D111" s="132">
        <v>171267</v>
      </c>
      <c r="E111" s="120">
        <f t="shared" si="1"/>
        <v>171267</v>
      </c>
      <c r="F111" t="s">
        <v>291</v>
      </c>
    </row>
    <row r="112" spans="1:6" hidden="1" outlineLevel="1">
      <c r="A112" s="1110" t="s">
        <v>292</v>
      </c>
      <c r="B112" s="121">
        <v>0</v>
      </c>
      <c r="C112" s="90">
        <v>60267</v>
      </c>
      <c r="D112" s="132">
        <v>82850</v>
      </c>
      <c r="E112" s="120">
        <f t="shared" si="1"/>
        <v>143117</v>
      </c>
      <c r="F112" t="s">
        <v>293</v>
      </c>
    </row>
    <row r="113" spans="1:6" hidden="1" outlineLevel="1">
      <c r="A113" s="1110" t="s">
        <v>294</v>
      </c>
      <c r="B113" s="121">
        <v>0</v>
      </c>
      <c r="C113" s="90">
        <v>27324</v>
      </c>
      <c r="D113" s="132">
        <v>182983</v>
      </c>
      <c r="E113" s="120">
        <f t="shared" si="1"/>
        <v>210307</v>
      </c>
      <c r="F113" t="s">
        <v>295</v>
      </c>
    </row>
    <row r="114" spans="1:6" hidden="1" outlineLevel="1">
      <c r="A114" s="1110" t="s">
        <v>296</v>
      </c>
      <c r="B114" s="121">
        <v>0</v>
      </c>
      <c r="C114" s="90">
        <v>63867</v>
      </c>
      <c r="D114" s="132">
        <v>7508100</v>
      </c>
      <c r="E114" s="120">
        <f t="shared" si="1"/>
        <v>7571967</v>
      </c>
      <c r="F114" t="s">
        <v>297</v>
      </c>
    </row>
    <row r="115" spans="1:6" hidden="1" outlineLevel="1">
      <c r="A115" s="1110" t="s">
        <v>298</v>
      </c>
      <c r="B115" s="121">
        <v>0</v>
      </c>
      <c r="C115" s="90">
        <v>9364</v>
      </c>
      <c r="D115" s="132">
        <v>260133</v>
      </c>
      <c r="E115" s="120">
        <f t="shared" si="1"/>
        <v>269497</v>
      </c>
      <c r="F115" t="s">
        <v>299</v>
      </c>
    </row>
    <row r="116" spans="1:6" hidden="1" outlineLevel="1">
      <c r="A116" s="1110" t="s">
        <v>300</v>
      </c>
      <c r="B116" s="121">
        <v>0</v>
      </c>
      <c r="C116" s="90">
        <v>569759</v>
      </c>
      <c r="D116" s="132">
        <v>7028601</v>
      </c>
      <c r="E116" s="120">
        <f t="shared" si="1"/>
        <v>7598360</v>
      </c>
      <c r="F116" t="s">
        <v>301</v>
      </c>
    </row>
    <row r="117" spans="1:6" hidden="1" outlineLevel="1">
      <c r="A117" s="1110" t="s">
        <v>302</v>
      </c>
      <c r="B117" s="121">
        <v>0</v>
      </c>
      <c r="C117" s="90">
        <v>0</v>
      </c>
      <c r="D117" s="132">
        <v>1820333</v>
      </c>
      <c r="E117" s="120">
        <f t="shared" si="1"/>
        <v>1820333</v>
      </c>
      <c r="F117" t="s">
        <v>303</v>
      </c>
    </row>
    <row r="118" spans="1:6" hidden="1" outlineLevel="1">
      <c r="A118" s="1110" t="s">
        <v>304</v>
      </c>
      <c r="B118" s="121">
        <v>0</v>
      </c>
      <c r="C118" s="90">
        <v>146178</v>
      </c>
      <c r="D118" s="132">
        <v>11883788</v>
      </c>
      <c r="E118" s="120">
        <f t="shared" si="1"/>
        <v>12029966</v>
      </c>
      <c r="F118" t="s">
        <v>305</v>
      </c>
    </row>
    <row r="119" spans="1:6" hidden="1" outlineLevel="1">
      <c r="A119" s="1110" t="s">
        <v>306</v>
      </c>
      <c r="B119" s="121">
        <v>0</v>
      </c>
      <c r="C119" s="90">
        <v>0</v>
      </c>
      <c r="D119" s="132">
        <v>0</v>
      </c>
      <c r="E119" s="120">
        <f t="shared" si="1"/>
        <v>0</v>
      </c>
      <c r="F119" t="s">
        <v>307</v>
      </c>
    </row>
    <row r="120" spans="1:6" hidden="1" outlineLevel="1">
      <c r="A120" s="1110" t="s">
        <v>308</v>
      </c>
      <c r="B120" s="121">
        <v>0</v>
      </c>
      <c r="C120" s="90">
        <v>129708</v>
      </c>
      <c r="D120" s="132">
        <v>58878</v>
      </c>
      <c r="E120" s="120">
        <f t="shared" si="1"/>
        <v>188586</v>
      </c>
      <c r="F120" t="s">
        <v>309</v>
      </c>
    </row>
    <row r="121" spans="1:6" hidden="1" outlineLevel="1">
      <c r="A121" s="1110" t="s">
        <v>310</v>
      </c>
      <c r="B121" s="121">
        <v>80774400</v>
      </c>
      <c r="C121" s="90">
        <v>8606326</v>
      </c>
      <c r="D121" s="132">
        <v>34620909</v>
      </c>
      <c r="E121" s="120">
        <f t="shared" si="1"/>
        <v>124001635</v>
      </c>
      <c r="F121" t="s">
        <v>311</v>
      </c>
    </row>
    <row r="122" spans="1:6" hidden="1" outlineLevel="1">
      <c r="A122" s="1110" t="s">
        <v>312</v>
      </c>
      <c r="B122" s="121">
        <v>0</v>
      </c>
      <c r="C122" s="90">
        <v>2340147</v>
      </c>
      <c r="D122" s="132">
        <v>37643364</v>
      </c>
      <c r="E122" s="120">
        <f t="shared" si="1"/>
        <v>39983511</v>
      </c>
      <c r="F122" t="s">
        <v>313</v>
      </c>
    </row>
    <row r="123" spans="1:6" hidden="1" outlineLevel="1">
      <c r="A123" s="1110" t="s">
        <v>314</v>
      </c>
      <c r="B123" s="121">
        <v>0</v>
      </c>
      <c r="C123" s="90">
        <v>142179</v>
      </c>
      <c r="D123" s="132">
        <v>802324</v>
      </c>
      <c r="E123" s="120">
        <f t="shared" si="1"/>
        <v>944503</v>
      </c>
      <c r="F123" t="s">
        <v>315</v>
      </c>
    </row>
    <row r="124" spans="1:6" hidden="1" outlineLevel="1">
      <c r="A124" s="1110" t="s">
        <v>316</v>
      </c>
      <c r="B124" s="121">
        <v>0</v>
      </c>
      <c r="C124" s="90">
        <v>4535494</v>
      </c>
      <c r="D124" s="132">
        <v>45953965</v>
      </c>
      <c r="E124" s="120">
        <f t="shared" si="1"/>
        <v>50489459</v>
      </c>
      <c r="F124" t="s">
        <v>317</v>
      </c>
    </row>
    <row r="125" spans="1:6" hidden="1" outlineLevel="1">
      <c r="A125" s="1110" t="s">
        <v>318</v>
      </c>
      <c r="B125" s="121">
        <v>0</v>
      </c>
      <c r="C125" s="90">
        <v>98900</v>
      </c>
      <c r="D125" s="132">
        <v>1493124</v>
      </c>
      <c r="E125" s="120">
        <f t="shared" si="1"/>
        <v>1592024</v>
      </c>
      <c r="F125" t="s">
        <v>319</v>
      </c>
    </row>
    <row r="126" spans="1:6" hidden="1" outlineLevel="1">
      <c r="A126" s="1110" t="s">
        <v>320</v>
      </c>
      <c r="B126" s="121">
        <v>0</v>
      </c>
      <c r="C126" s="90">
        <v>46248</v>
      </c>
      <c r="D126" s="132">
        <v>8882110</v>
      </c>
      <c r="E126" s="120">
        <f t="shared" si="1"/>
        <v>8928358</v>
      </c>
      <c r="F126" t="s">
        <v>321</v>
      </c>
    </row>
    <row r="127" spans="1:6" hidden="1" outlineLevel="1">
      <c r="A127" s="1110" t="s">
        <v>322</v>
      </c>
      <c r="B127" s="121">
        <v>0</v>
      </c>
      <c r="C127" s="90">
        <v>12328</v>
      </c>
      <c r="D127" s="132">
        <v>111563</v>
      </c>
      <c r="E127" s="120">
        <f t="shared" si="1"/>
        <v>123891</v>
      </c>
      <c r="F127" t="s">
        <v>323</v>
      </c>
    </row>
    <row r="128" spans="1:6" hidden="1" outlineLevel="1">
      <c r="A128" s="1110" t="s">
        <v>324</v>
      </c>
      <c r="B128" s="121">
        <v>0</v>
      </c>
      <c r="C128" s="90">
        <v>0</v>
      </c>
      <c r="D128" s="132">
        <v>0</v>
      </c>
      <c r="E128" s="120">
        <f t="shared" si="1"/>
        <v>0</v>
      </c>
      <c r="F128" t="s">
        <v>325</v>
      </c>
    </row>
    <row r="129" spans="1:6" hidden="1" outlineLevel="1">
      <c r="A129" s="1110" t="s">
        <v>326</v>
      </c>
      <c r="B129" s="121">
        <v>0</v>
      </c>
      <c r="C129" s="90">
        <v>548744</v>
      </c>
      <c r="D129" s="132">
        <v>241853</v>
      </c>
      <c r="E129" s="120">
        <f t="shared" si="1"/>
        <v>790597</v>
      </c>
      <c r="F129" t="s">
        <v>327</v>
      </c>
    </row>
    <row r="130" spans="1:6" hidden="1" outlineLevel="1">
      <c r="A130" s="1110" t="s">
        <v>328</v>
      </c>
      <c r="B130" s="121">
        <v>0</v>
      </c>
      <c r="C130" s="90">
        <v>67403</v>
      </c>
      <c r="D130" s="132">
        <v>653759</v>
      </c>
      <c r="E130" s="120">
        <f t="shared" si="1"/>
        <v>721162</v>
      </c>
      <c r="F130" t="s">
        <v>329</v>
      </c>
    </row>
    <row r="131" spans="1:6" hidden="1" outlineLevel="1">
      <c r="A131" s="1110" t="s">
        <v>330</v>
      </c>
      <c r="B131" s="121">
        <v>0</v>
      </c>
      <c r="C131" s="90">
        <v>22945</v>
      </c>
      <c r="D131" s="132">
        <v>757599</v>
      </c>
      <c r="E131" s="120">
        <f t="shared" si="1"/>
        <v>780544</v>
      </c>
      <c r="F131" t="s">
        <v>331</v>
      </c>
    </row>
    <row r="132" spans="1:6" hidden="1" outlineLevel="1">
      <c r="A132" s="1110" t="s">
        <v>332</v>
      </c>
      <c r="B132" s="121">
        <v>0</v>
      </c>
      <c r="C132" s="90">
        <v>0</v>
      </c>
      <c r="D132" s="132">
        <v>636074</v>
      </c>
      <c r="E132" s="120">
        <f t="shared" si="1"/>
        <v>636074</v>
      </c>
      <c r="F132" t="s">
        <v>333</v>
      </c>
    </row>
    <row r="133" spans="1:6" hidden="1" outlineLevel="1">
      <c r="A133" s="1110" t="s">
        <v>334</v>
      </c>
      <c r="B133" s="121">
        <v>0</v>
      </c>
      <c r="C133" s="90">
        <v>0</v>
      </c>
      <c r="D133" s="132">
        <v>0</v>
      </c>
      <c r="E133" s="120">
        <f t="shared" si="1"/>
        <v>0</v>
      </c>
      <c r="F133" t="s">
        <v>335</v>
      </c>
    </row>
    <row r="134" spans="1:6" hidden="1" outlineLevel="1">
      <c r="A134" s="1110" t="s">
        <v>336</v>
      </c>
      <c r="B134" s="121">
        <v>0</v>
      </c>
      <c r="C134" s="90">
        <v>372</v>
      </c>
      <c r="D134" s="132">
        <v>27301129</v>
      </c>
      <c r="E134" s="120">
        <f t="shared" si="1"/>
        <v>27301501</v>
      </c>
      <c r="F134" t="s">
        <v>337</v>
      </c>
    </row>
    <row r="135" spans="1:6" hidden="1" outlineLevel="1">
      <c r="A135" s="1110" t="s">
        <v>338</v>
      </c>
      <c r="B135" s="121">
        <v>0</v>
      </c>
      <c r="C135" s="90">
        <v>0</v>
      </c>
      <c r="D135" s="132">
        <v>80000</v>
      </c>
      <c r="E135" s="120">
        <f t="shared" si="1"/>
        <v>80000</v>
      </c>
      <c r="F135" t="s">
        <v>339</v>
      </c>
    </row>
    <row r="136" spans="1:6" hidden="1" outlineLevel="1">
      <c r="A136" s="1110" t="s">
        <v>340</v>
      </c>
      <c r="B136" s="121">
        <v>0</v>
      </c>
      <c r="C136" s="90">
        <v>112745</v>
      </c>
      <c r="D136" s="132">
        <v>547267</v>
      </c>
      <c r="E136" s="120">
        <f t="shared" si="1"/>
        <v>660012</v>
      </c>
      <c r="F136" t="s">
        <v>341</v>
      </c>
    </row>
    <row r="137" spans="1:6" hidden="1" outlineLevel="1">
      <c r="A137" s="1110" t="s">
        <v>342</v>
      </c>
      <c r="B137" s="121">
        <v>0</v>
      </c>
      <c r="C137" s="90">
        <v>184150</v>
      </c>
      <c r="D137" s="132">
        <v>216634</v>
      </c>
      <c r="E137" s="120">
        <f t="shared" ref="E137:E738" si="2">SUM(B137:D137)</f>
        <v>400784</v>
      </c>
      <c r="F137" t="s">
        <v>343</v>
      </c>
    </row>
    <row r="138" spans="1:6" hidden="1" outlineLevel="1">
      <c r="A138" s="1110" t="s">
        <v>344</v>
      </c>
      <c r="B138" s="121">
        <v>0</v>
      </c>
      <c r="C138" s="90">
        <v>2485</v>
      </c>
      <c r="D138" s="132">
        <v>9989611</v>
      </c>
      <c r="E138" s="120">
        <f t="shared" si="2"/>
        <v>9992096</v>
      </c>
      <c r="F138" t="s">
        <v>345</v>
      </c>
    </row>
    <row r="139" spans="1:6" hidden="1" outlineLevel="1">
      <c r="A139" s="1110" t="s">
        <v>346</v>
      </c>
      <c r="B139" s="121">
        <v>0</v>
      </c>
      <c r="C139" s="90">
        <v>1230907</v>
      </c>
      <c r="D139" s="132">
        <v>140099</v>
      </c>
      <c r="E139" s="120">
        <f t="shared" si="2"/>
        <v>1371006</v>
      </c>
      <c r="F139" t="s">
        <v>347</v>
      </c>
    </row>
    <row r="140" spans="1:6" hidden="1" outlineLevel="1">
      <c r="A140" s="1110" t="s">
        <v>348</v>
      </c>
      <c r="B140" s="121">
        <v>0</v>
      </c>
      <c r="C140" s="90">
        <v>0</v>
      </c>
      <c r="D140" s="132">
        <v>6082799</v>
      </c>
      <c r="E140" s="120">
        <f t="shared" si="2"/>
        <v>6082799</v>
      </c>
      <c r="F140" t="s">
        <v>349</v>
      </c>
    </row>
    <row r="141" spans="1:6" hidden="1" outlineLevel="1">
      <c r="A141" s="1110" t="s">
        <v>350</v>
      </c>
      <c r="B141" s="121">
        <v>0</v>
      </c>
      <c r="C141" s="90">
        <v>24961</v>
      </c>
      <c r="D141" s="132">
        <v>391587</v>
      </c>
      <c r="E141" s="120">
        <f t="shared" si="2"/>
        <v>416548</v>
      </c>
      <c r="F141" t="s">
        <v>351</v>
      </c>
    </row>
    <row r="142" spans="1:6" hidden="1" outlineLevel="1">
      <c r="A142" s="1110" t="s">
        <v>352</v>
      </c>
      <c r="B142" s="121">
        <v>611298</v>
      </c>
      <c r="C142" s="90">
        <v>36158135</v>
      </c>
      <c r="D142" s="132">
        <v>1701192556</v>
      </c>
      <c r="E142" s="120">
        <f t="shared" si="2"/>
        <v>1737961989</v>
      </c>
      <c r="F142" t="s">
        <v>353</v>
      </c>
    </row>
    <row r="143" spans="1:6" hidden="1" outlineLevel="1">
      <c r="A143" s="1110" t="s">
        <v>354</v>
      </c>
      <c r="B143" s="121">
        <v>0</v>
      </c>
      <c r="C143" s="90">
        <v>9292</v>
      </c>
      <c r="D143" s="132">
        <v>2593245</v>
      </c>
      <c r="E143" s="120">
        <f t="shared" si="2"/>
        <v>2602537</v>
      </c>
      <c r="F143" t="s">
        <v>355</v>
      </c>
    </row>
    <row r="144" spans="1:6" hidden="1" outlineLevel="1">
      <c r="A144" s="1110" t="s">
        <v>356</v>
      </c>
      <c r="B144" s="121">
        <v>0</v>
      </c>
      <c r="C144" s="90">
        <v>0</v>
      </c>
      <c r="D144" s="132">
        <v>0</v>
      </c>
      <c r="E144" s="120">
        <f t="shared" si="2"/>
        <v>0</v>
      </c>
      <c r="F144" t="s">
        <v>357</v>
      </c>
    </row>
    <row r="145" spans="1:6" hidden="1" outlineLevel="1">
      <c r="A145" s="1110" t="s">
        <v>358</v>
      </c>
      <c r="B145" s="121">
        <v>0</v>
      </c>
      <c r="C145" s="90">
        <v>4261755</v>
      </c>
      <c r="D145" s="132">
        <v>377504728</v>
      </c>
      <c r="E145" s="120">
        <f t="shared" si="2"/>
        <v>381766483</v>
      </c>
      <c r="F145" t="s">
        <v>359</v>
      </c>
    </row>
    <row r="146" spans="1:6" hidden="1" outlineLevel="1">
      <c r="A146" s="1110" t="s">
        <v>360</v>
      </c>
      <c r="B146" s="121">
        <v>0</v>
      </c>
      <c r="C146" s="90">
        <v>0</v>
      </c>
      <c r="D146" s="132">
        <v>525561</v>
      </c>
      <c r="E146" s="120">
        <f t="shared" si="2"/>
        <v>525561</v>
      </c>
      <c r="F146" t="s">
        <v>361</v>
      </c>
    </row>
    <row r="147" spans="1:6" hidden="1" outlineLevel="1">
      <c r="A147" s="1110" t="s">
        <v>362</v>
      </c>
      <c r="B147" s="121">
        <v>0</v>
      </c>
      <c r="C147" s="90">
        <v>98871</v>
      </c>
      <c r="D147" s="132">
        <v>378934</v>
      </c>
      <c r="E147" s="120">
        <f t="shared" si="2"/>
        <v>477805</v>
      </c>
      <c r="F147" t="s">
        <v>363</v>
      </c>
    </row>
    <row r="148" spans="1:6" hidden="1" outlineLevel="1">
      <c r="A148" s="1110" t="s">
        <v>364</v>
      </c>
      <c r="B148" s="121">
        <v>0</v>
      </c>
      <c r="C148" s="90">
        <v>0</v>
      </c>
      <c r="D148" s="132">
        <v>0</v>
      </c>
      <c r="E148" s="120">
        <f t="shared" si="2"/>
        <v>0</v>
      </c>
      <c r="F148" t="s">
        <v>365</v>
      </c>
    </row>
    <row r="149" spans="1:6" hidden="1" outlineLevel="1">
      <c r="A149" s="1110" t="s">
        <v>366</v>
      </c>
      <c r="B149" s="121">
        <v>0</v>
      </c>
      <c r="C149" s="90">
        <v>410023</v>
      </c>
      <c r="D149" s="132">
        <v>8881521</v>
      </c>
      <c r="E149" s="120">
        <f t="shared" si="2"/>
        <v>9291544</v>
      </c>
      <c r="F149" t="s">
        <v>367</v>
      </c>
    </row>
    <row r="150" spans="1:6" hidden="1" outlineLevel="1">
      <c r="A150" s="1110" t="s">
        <v>368</v>
      </c>
      <c r="B150" s="121">
        <v>0</v>
      </c>
      <c r="C150" s="90">
        <v>0</v>
      </c>
      <c r="D150" s="132">
        <v>132119870</v>
      </c>
      <c r="E150" s="120">
        <f t="shared" si="2"/>
        <v>132119870</v>
      </c>
      <c r="F150" t="s">
        <v>369</v>
      </c>
    </row>
    <row r="151" spans="1:6" hidden="1" outlineLevel="1">
      <c r="A151" s="1110" t="s">
        <v>370</v>
      </c>
      <c r="B151" s="121">
        <v>0</v>
      </c>
      <c r="C151" s="90">
        <v>1598612</v>
      </c>
      <c r="D151" s="132">
        <v>368891892</v>
      </c>
      <c r="E151" s="120">
        <f t="shared" si="2"/>
        <v>370490504</v>
      </c>
      <c r="F151" t="s">
        <v>371</v>
      </c>
    </row>
    <row r="152" spans="1:6" hidden="1" outlineLevel="1">
      <c r="A152" s="1110" t="s">
        <v>372</v>
      </c>
      <c r="B152" s="121">
        <v>0</v>
      </c>
      <c r="C152" s="90">
        <v>38426</v>
      </c>
      <c r="D152" s="132">
        <v>24890</v>
      </c>
      <c r="E152" s="120">
        <f t="shared" si="2"/>
        <v>63316</v>
      </c>
      <c r="F152" t="s">
        <v>373</v>
      </c>
    </row>
    <row r="153" spans="1:6" hidden="1" outlineLevel="1">
      <c r="A153" s="1110" t="s">
        <v>374</v>
      </c>
      <c r="B153" s="121">
        <v>0</v>
      </c>
      <c r="C153" s="90">
        <v>0</v>
      </c>
      <c r="D153" s="132">
        <v>1600482</v>
      </c>
      <c r="E153" s="120">
        <f t="shared" si="2"/>
        <v>1600482</v>
      </c>
      <c r="F153" t="s">
        <v>375</v>
      </c>
    </row>
    <row r="154" spans="1:6" hidden="1" outlineLevel="1">
      <c r="A154" s="1110" t="s">
        <v>376</v>
      </c>
      <c r="B154" s="121">
        <v>0</v>
      </c>
      <c r="C154" s="90">
        <v>741527</v>
      </c>
      <c r="D154" s="132">
        <v>177897</v>
      </c>
      <c r="E154" s="120">
        <f t="shared" si="2"/>
        <v>919424</v>
      </c>
      <c r="F154" t="s">
        <v>377</v>
      </c>
    </row>
    <row r="155" spans="1:6" hidden="1" outlineLevel="1">
      <c r="A155" s="1110" t="s">
        <v>378</v>
      </c>
      <c r="B155" s="121">
        <v>0</v>
      </c>
      <c r="C155" s="90">
        <v>15943</v>
      </c>
      <c r="D155" s="132">
        <v>7206697</v>
      </c>
      <c r="E155" s="120">
        <f t="shared" si="2"/>
        <v>7222640</v>
      </c>
      <c r="F155" t="s">
        <v>379</v>
      </c>
    </row>
    <row r="156" spans="1:6" hidden="1" outlineLevel="1">
      <c r="A156" s="1110" t="s">
        <v>380</v>
      </c>
      <c r="B156" s="121">
        <v>0</v>
      </c>
      <c r="C156" s="90">
        <v>0</v>
      </c>
      <c r="D156" s="132">
        <v>121697</v>
      </c>
      <c r="E156" s="120">
        <f t="shared" si="2"/>
        <v>121697</v>
      </c>
      <c r="F156" t="s">
        <v>381</v>
      </c>
    </row>
    <row r="157" spans="1:6" hidden="1" outlineLevel="1">
      <c r="A157" s="1110" t="s">
        <v>382</v>
      </c>
      <c r="B157" s="121">
        <v>0</v>
      </c>
      <c r="C157" s="90">
        <v>31794</v>
      </c>
      <c r="D157" s="132">
        <v>4941149</v>
      </c>
      <c r="E157" s="120">
        <f t="shared" si="2"/>
        <v>4972943</v>
      </c>
      <c r="F157" t="s">
        <v>383</v>
      </c>
    </row>
    <row r="158" spans="1:6" hidden="1" outlineLevel="1">
      <c r="A158" s="1110" t="s">
        <v>384</v>
      </c>
      <c r="B158" s="121">
        <v>0</v>
      </c>
      <c r="C158" s="90">
        <v>45378</v>
      </c>
      <c r="D158" s="132">
        <v>148520</v>
      </c>
      <c r="E158" s="120">
        <f t="shared" si="2"/>
        <v>193898</v>
      </c>
      <c r="F158" t="s">
        <v>385</v>
      </c>
    </row>
    <row r="159" spans="1:6" hidden="1" outlineLevel="1">
      <c r="A159" s="1110" t="s">
        <v>386</v>
      </c>
      <c r="B159" s="121">
        <v>0</v>
      </c>
      <c r="C159" s="90">
        <v>875891</v>
      </c>
      <c r="D159" s="132">
        <v>278869</v>
      </c>
      <c r="E159" s="120">
        <f t="shared" ref="E159:E162" si="3">SUM(B159:D159)</f>
        <v>1154760</v>
      </c>
      <c r="F159" t="s">
        <v>387</v>
      </c>
    </row>
    <row r="160" spans="1:6" hidden="1" outlineLevel="1">
      <c r="A160" s="1110" t="s">
        <v>388</v>
      </c>
      <c r="B160" s="121">
        <v>0</v>
      </c>
      <c r="C160" s="90">
        <v>2886175</v>
      </c>
      <c r="D160" s="132">
        <v>19515386</v>
      </c>
      <c r="E160" s="120">
        <f t="shared" si="3"/>
        <v>22401561</v>
      </c>
      <c r="F160" t="s">
        <v>389</v>
      </c>
    </row>
    <row r="161" spans="1:6" hidden="1" outlineLevel="1">
      <c r="A161" s="1110" t="s">
        <v>390</v>
      </c>
      <c r="B161" s="121">
        <v>0</v>
      </c>
      <c r="C161" s="90">
        <v>839223</v>
      </c>
      <c r="D161" s="132">
        <v>968474</v>
      </c>
      <c r="E161" s="120">
        <f t="shared" si="3"/>
        <v>1807697</v>
      </c>
      <c r="F161" t="s">
        <v>391</v>
      </c>
    </row>
    <row r="162" spans="1:6" hidden="1" outlineLevel="1">
      <c r="A162" s="1110" t="s">
        <v>392</v>
      </c>
      <c r="B162" s="121">
        <v>0</v>
      </c>
      <c r="C162" s="90">
        <v>0</v>
      </c>
      <c r="D162" s="132">
        <v>325769</v>
      </c>
      <c r="E162" s="120">
        <f t="shared" si="3"/>
        <v>325769</v>
      </c>
      <c r="F162" t="s">
        <v>393</v>
      </c>
    </row>
    <row r="163" spans="1:6" hidden="1" outlineLevel="1">
      <c r="A163" s="1110" t="s">
        <v>394</v>
      </c>
      <c r="B163" s="121">
        <v>0</v>
      </c>
      <c r="C163" s="90">
        <v>517464</v>
      </c>
      <c r="D163" s="132">
        <v>312987</v>
      </c>
      <c r="E163" s="120">
        <f t="shared" si="2"/>
        <v>830451</v>
      </c>
      <c r="F163" t="s">
        <v>395</v>
      </c>
    </row>
    <row r="164" spans="1:6" hidden="1" outlineLevel="1">
      <c r="A164" s="1110" t="s">
        <v>396</v>
      </c>
      <c r="B164" s="121">
        <v>0</v>
      </c>
      <c r="C164" s="90">
        <v>0</v>
      </c>
      <c r="D164" s="132">
        <v>360078</v>
      </c>
      <c r="E164" s="120">
        <f t="shared" si="2"/>
        <v>360078</v>
      </c>
      <c r="F164" t="s">
        <v>397</v>
      </c>
    </row>
    <row r="165" spans="1:6" hidden="1" outlineLevel="1">
      <c r="A165" s="1110" t="s">
        <v>398</v>
      </c>
      <c r="B165" s="121">
        <v>0</v>
      </c>
      <c r="C165" s="90">
        <v>0</v>
      </c>
      <c r="D165" s="132">
        <v>408121</v>
      </c>
      <c r="E165" s="120">
        <f t="shared" si="2"/>
        <v>408121</v>
      </c>
      <c r="F165" t="s">
        <v>399</v>
      </c>
    </row>
    <row r="166" spans="1:6" hidden="1" outlineLevel="1">
      <c r="A166" s="1110" t="s">
        <v>400</v>
      </c>
      <c r="B166" s="121">
        <v>0</v>
      </c>
      <c r="C166" s="90">
        <v>194068</v>
      </c>
      <c r="D166" s="132">
        <v>731262</v>
      </c>
      <c r="E166" s="120">
        <f t="shared" si="2"/>
        <v>925330</v>
      </c>
      <c r="F166" t="s">
        <v>401</v>
      </c>
    </row>
    <row r="167" spans="1:6" hidden="1" outlineLevel="1">
      <c r="A167" s="1110" t="s">
        <v>402</v>
      </c>
      <c r="B167" s="121">
        <v>0</v>
      </c>
      <c r="C167" s="90">
        <v>0</v>
      </c>
      <c r="D167" s="132">
        <v>0</v>
      </c>
      <c r="E167" s="120">
        <f t="shared" si="2"/>
        <v>0</v>
      </c>
      <c r="F167" t="s">
        <v>403</v>
      </c>
    </row>
    <row r="168" spans="1:6" collapsed="1">
      <c r="A168" s="1111" t="s">
        <v>404</v>
      </c>
      <c r="B168" s="119">
        <f>SUM(B169:B404)</f>
        <v>62846466</v>
      </c>
      <c r="C168" s="67">
        <f>SUM(C169:C404)</f>
        <v>560022315</v>
      </c>
      <c r="D168" s="131">
        <f>SUM(D169:D404)</f>
        <v>6224468449</v>
      </c>
      <c r="E168" s="120">
        <f t="shared" ref="E168:E231" si="4">SUM(B168:D168)</f>
        <v>6847337230</v>
      </c>
    </row>
    <row r="169" spans="1:6" hidden="1" outlineLevel="1">
      <c r="A169" s="1111" t="s">
        <v>405</v>
      </c>
      <c r="B169" s="122">
        <v>0</v>
      </c>
      <c r="C169" s="70">
        <v>4776</v>
      </c>
      <c r="D169" s="133">
        <v>520064</v>
      </c>
      <c r="E169" s="120">
        <f t="shared" si="4"/>
        <v>524840</v>
      </c>
      <c r="F169" s="111" t="s">
        <v>406</v>
      </c>
    </row>
    <row r="170" spans="1:6" hidden="1" outlineLevel="1">
      <c r="A170" s="1111" t="s">
        <v>86</v>
      </c>
      <c r="B170" s="122">
        <v>0</v>
      </c>
      <c r="C170" s="70">
        <v>0</v>
      </c>
      <c r="D170" s="133">
        <v>1159670</v>
      </c>
      <c r="E170" s="120">
        <f t="shared" si="4"/>
        <v>1159670</v>
      </c>
      <c r="F170" s="111" t="s">
        <v>87</v>
      </c>
    </row>
    <row r="171" spans="1:6" hidden="1" outlineLevel="1">
      <c r="A171" s="1111" t="s">
        <v>407</v>
      </c>
      <c r="B171" s="122">
        <v>0</v>
      </c>
      <c r="C171" s="70">
        <v>1444650</v>
      </c>
      <c r="D171" s="133">
        <v>997193</v>
      </c>
      <c r="E171" s="120">
        <f t="shared" si="4"/>
        <v>2441843</v>
      </c>
      <c r="F171" s="111" t="s">
        <v>408</v>
      </c>
    </row>
    <row r="172" spans="1:6" hidden="1" outlineLevel="1">
      <c r="A172" s="1111" t="s">
        <v>409</v>
      </c>
      <c r="B172" s="122">
        <v>0</v>
      </c>
      <c r="C172" s="70">
        <v>864329</v>
      </c>
      <c r="D172" s="133">
        <v>2052319</v>
      </c>
      <c r="E172" s="120">
        <f t="shared" si="4"/>
        <v>2916648</v>
      </c>
      <c r="F172" s="111" t="s">
        <v>410</v>
      </c>
    </row>
    <row r="173" spans="1:6" hidden="1" outlineLevel="1">
      <c r="A173" s="1111" t="s">
        <v>411</v>
      </c>
      <c r="B173" s="122">
        <v>0</v>
      </c>
      <c r="C173" s="70">
        <v>13724424</v>
      </c>
      <c r="D173" s="133">
        <v>4830098</v>
      </c>
      <c r="E173" s="120">
        <f t="shared" si="4"/>
        <v>18554522</v>
      </c>
      <c r="F173" s="111" t="s">
        <v>412</v>
      </c>
    </row>
    <row r="174" spans="1:6" hidden="1" outlineLevel="1">
      <c r="A174" s="1111" t="s">
        <v>413</v>
      </c>
      <c r="B174" s="122">
        <v>0</v>
      </c>
      <c r="C174" s="70">
        <v>1144211</v>
      </c>
      <c r="D174" s="133">
        <v>9178271</v>
      </c>
      <c r="E174" s="120">
        <f t="shared" si="4"/>
        <v>10322482</v>
      </c>
      <c r="F174" s="111" t="s">
        <v>414</v>
      </c>
    </row>
    <row r="175" spans="1:6" hidden="1" outlineLevel="1">
      <c r="A175" s="1111" t="s">
        <v>415</v>
      </c>
      <c r="B175" s="122">
        <v>0</v>
      </c>
      <c r="C175" s="70">
        <v>325949</v>
      </c>
      <c r="D175" s="133">
        <v>2112309</v>
      </c>
      <c r="E175" s="120">
        <f t="shared" si="4"/>
        <v>2438258</v>
      </c>
      <c r="F175" s="111" t="s">
        <v>416</v>
      </c>
    </row>
    <row r="176" spans="1:6" hidden="1" outlineLevel="1">
      <c r="A176" s="1111" t="s">
        <v>417</v>
      </c>
      <c r="B176" s="122">
        <v>0</v>
      </c>
      <c r="C176" s="70">
        <v>2368015</v>
      </c>
      <c r="D176" s="133">
        <v>91496178</v>
      </c>
      <c r="E176" s="120">
        <f t="shared" si="4"/>
        <v>93864193</v>
      </c>
      <c r="F176" s="111" t="s">
        <v>418</v>
      </c>
    </row>
    <row r="177" spans="1:6" hidden="1" outlineLevel="1">
      <c r="A177" s="1111" t="s">
        <v>419</v>
      </c>
      <c r="B177" s="122">
        <v>507757</v>
      </c>
      <c r="C177" s="70">
        <v>9959859</v>
      </c>
      <c r="D177" s="133">
        <v>86654619</v>
      </c>
      <c r="E177" s="120">
        <f t="shared" si="4"/>
        <v>97122235</v>
      </c>
      <c r="F177" s="111" t="s">
        <v>420</v>
      </c>
    </row>
    <row r="178" spans="1:6" hidden="1" outlineLevel="1">
      <c r="A178" s="1111" t="s">
        <v>421</v>
      </c>
      <c r="B178" s="122">
        <v>0</v>
      </c>
      <c r="C178" s="70">
        <v>490080</v>
      </c>
      <c r="D178" s="133">
        <v>384377</v>
      </c>
      <c r="E178" s="120">
        <f t="shared" si="4"/>
        <v>874457</v>
      </c>
      <c r="F178" s="111" t="s">
        <v>422</v>
      </c>
    </row>
    <row r="179" spans="1:6" hidden="1" outlineLevel="1">
      <c r="A179" s="1111" t="s">
        <v>423</v>
      </c>
      <c r="B179" s="122">
        <v>0</v>
      </c>
      <c r="C179" s="70">
        <v>117206</v>
      </c>
      <c r="D179" s="133">
        <v>3603347</v>
      </c>
      <c r="E179" s="120">
        <f t="shared" si="4"/>
        <v>3720553</v>
      </c>
      <c r="F179" s="111" t="s">
        <v>424</v>
      </c>
    </row>
    <row r="180" spans="1:6" hidden="1" outlineLevel="1">
      <c r="A180" s="1111" t="s">
        <v>425</v>
      </c>
      <c r="B180" s="122">
        <v>0</v>
      </c>
      <c r="C180" s="70">
        <v>7408530</v>
      </c>
      <c r="D180" s="133">
        <v>3261316</v>
      </c>
      <c r="E180" s="120">
        <f t="shared" si="4"/>
        <v>10669846</v>
      </c>
      <c r="F180" s="111" t="s">
        <v>426</v>
      </c>
    </row>
    <row r="181" spans="1:6" hidden="1" outlineLevel="1">
      <c r="A181" s="1111" t="s">
        <v>427</v>
      </c>
      <c r="B181" s="122">
        <v>0</v>
      </c>
      <c r="C181" s="70">
        <v>294054</v>
      </c>
      <c r="D181" s="133">
        <v>1224692</v>
      </c>
      <c r="E181" s="120">
        <f t="shared" si="4"/>
        <v>1518746</v>
      </c>
      <c r="F181" s="111" t="s">
        <v>428</v>
      </c>
    </row>
    <row r="182" spans="1:6" hidden="1" outlineLevel="1">
      <c r="A182" s="1111" t="s">
        <v>429</v>
      </c>
      <c r="B182" s="122">
        <v>0</v>
      </c>
      <c r="C182" s="70">
        <v>0</v>
      </c>
      <c r="D182" s="133">
        <v>461341</v>
      </c>
      <c r="E182" s="120">
        <f t="shared" si="4"/>
        <v>461341</v>
      </c>
      <c r="F182" s="111" t="s">
        <v>430</v>
      </c>
    </row>
    <row r="183" spans="1:6" hidden="1" outlineLevel="1">
      <c r="A183" s="1111" t="s">
        <v>431</v>
      </c>
      <c r="B183" s="122">
        <v>171</v>
      </c>
      <c r="C183" s="70">
        <v>2136</v>
      </c>
      <c r="D183" s="133">
        <v>31650</v>
      </c>
      <c r="E183" s="120">
        <f t="shared" si="4"/>
        <v>33957</v>
      </c>
      <c r="F183" s="111" t="s">
        <v>432</v>
      </c>
    </row>
    <row r="184" spans="1:6" hidden="1" outlineLevel="1">
      <c r="A184" s="1111" t="s">
        <v>433</v>
      </c>
      <c r="B184" s="122">
        <v>0</v>
      </c>
      <c r="C184" s="70">
        <v>268378</v>
      </c>
      <c r="D184" s="133">
        <v>22373067</v>
      </c>
      <c r="E184" s="120">
        <f t="shared" si="4"/>
        <v>22641445</v>
      </c>
      <c r="F184" s="111" t="s">
        <v>434</v>
      </c>
    </row>
    <row r="185" spans="1:6" hidden="1" outlineLevel="1">
      <c r="A185" s="1111" t="s">
        <v>435</v>
      </c>
      <c r="B185" s="122">
        <v>0</v>
      </c>
      <c r="C185" s="70">
        <v>138507</v>
      </c>
      <c r="D185" s="133">
        <v>1080398</v>
      </c>
      <c r="E185" s="120">
        <f t="shared" si="4"/>
        <v>1218905</v>
      </c>
      <c r="F185" s="111" t="s">
        <v>436</v>
      </c>
    </row>
    <row r="186" spans="1:6" hidden="1" outlineLevel="1">
      <c r="A186" s="1111" t="s">
        <v>437</v>
      </c>
      <c r="B186" s="122">
        <v>0</v>
      </c>
      <c r="C186" s="70">
        <v>923095</v>
      </c>
      <c r="D186" s="133">
        <v>2847416</v>
      </c>
      <c r="E186" s="120">
        <f t="shared" si="4"/>
        <v>3770511</v>
      </c>
      <c r="F186" s="111" t="s">
        <v>438</v>
      </c>
    </row>
    <row r="187" spans="1:6" hidden="1" outlineLevel="1">
      <c r="A187" s="1111" t="s">
        <v>439</v>
      </c>
      <c r="B187" s="122">
        <v>0</v>
      </c>
      <c r="C187" s="70">
        <v>0</v>
      </c>
      <c r="D187" s="133">
        <v>0</v>
      </c>
      <c r="E187" s="120">
        <f t="shared" si="4"/>
        <v>0</v>
      </c>
      <c r="F187" s="111" t="s">
        <v>440</v>
      </c>
    </row>
    <row r="188" spans="1:6" hidden="1" outlineLevel="1">
      <c r="A188" s="1111" t="s">
        <v>441</v>
      </c>
      <c r="B188" s="122">
        <v>103086</v>
      </c>
      <c r="C188" s="70">
        <v>3515936</v>
      </c>
      <c r="D188" s="133">
        <v>124104093</v>
      </c>
      <c r="E188" s="120">
        <f t="shared" si="4"/>
        <v>127723115</v>
      </c>
      <c r="F188" s="111" t="s">
        <v>442</v>
      </c>
    </row>
    <row r="189" spans="1:6" hidden="1" outlineLevel="1">
      <c r="A189" s="1111" t="s">
        <v>443</v>
      </c>
      <c r="B189" s="122">
        <v>0</v>
      </c>
      <c r="C189" s="70">
        <v>322548</v>
      </c>
      <c r="D189" s="133">
        <v>50106</v>
      </c>
      <c r="E189" s="120">
        <f t="shared" si="4"/>
        <v>372654</v>
      </c>
      <c r="F189" s="111" t="s">
        <v>444</v>
      </c>
    </row>
    <row r="190" spans="1:6" hidden="1" outlineLevel="1">
      <c r="A190" s="1111" t="s">
        <v>445</v>
      </c>
      <c r="B190" s="122">
        <v>0</v>
      </c>
      <c r="C190" s="70">
        <v>1018712</v>
      </c>
      <c r="D190" s="133">
        <v>1000295</v>
      </c>
      <c r="E190" s="120">
        <f t="shared" si="4"/>
        <v>2019007</v>
      </c>
      <c r="F190" s="111" t="s">
        <v>446</v>
      </c>
    </row>
    <row r="191" spans="1:6" hidden="1" outlineLevel="1">
      <c r="A191" s="1111" t="s">
        <v>447</v>
      </c>
      <c r="B191" s="122">
        <v>0</v>
      </c>
      <c r="C191" s="70">
        <v>88497</v>
      </c>
      <c r="D191" s="133">
        <v>329618</v>
      </c>
      <c r="E191" s="120">
        <f t="shared" si="4"/>
        <v>418115</v>
      </c>
      <c r="F191" s="111" t="s">
        <v>448</v>
      </c>
    </row>
    <row r="192" spans="1:6" hidden="1" outlineLevel="1">
      <c r="A192" s="1111" t="s">
        <v>449</v>
      </c>
      <c r="B192" s="122">
        <v>0</v>
      </c>
      <c r="C192" s="70">
        <v>11562941</v>
      </c>
      <c r="D192" s="133">
        <v>919285804</v>
      </c>
      <c r="E192" s="120">
        <f t="shared" si="4"/>
        <v>930848745</v>
      </c>
      <c r="F192" s="111" t="s">
        <v>450</v>
      </c>
    </row>
    <row r="193" spans="1:6" hidden="1" outlineLevel="1">
      <c r="A193" s="1111" t="s">
        <v>451</v>
      </c>
      <c r="B193" s="122">
        <v>0</v>
      </c>
      <c r="C193" s="70">
        <v>28225</v>
      </c>
      <c r="D193" s="133">
        <v>667320</v>
      </c>
      <c r="E193" s="120">
        <f t="shared" si="4"/>
        <v>695545</v>
      </c>
      <c r="F193" s="111" t="s">
        <v>452</v>
      </c>
    </row>
    <row r="194" spans="1:6" hidden="1" outlineLevel="1">
      <c r="A194" s="1111" t="s">
        <v>453</v>
      </c>
      <c r="B194" s="122">
        <v>0</v>
      </c>
      <c r="C194" s="70">
        <v>1361029</v>
      </c>
      <c r="D194" s="133">
        <v>1342772</v>
      </c>
      <c r="E194" s="120">
        <f t="shared" si="4"/>
        <v>2703801</v>
      </c>
      <c r="F194" s="111" t="s">
        <v>454</v>
      </c>
    </row>
    <row r="195" spans="1:6" hidden="1" outlineLevel="1">
      <c r="A195" s="1111" t="s">
        <v>455</v>
      </c>
      <c r="B195" s="122">
        <v>0</v>
      </c>
      <c r="C195" s="70">
        <v>4232</v>
      </c>
      <c r="D195" s="133">
        <v>2491404</v>
      </c>
      <c r="E195" s="120">
        <f t="shared" si="4"/>
        <v>2495636</v>
      </c>
      <c r="F195" s="111" t="s">
        <v>456</v>
      </c>
    </row>
    <row r="196" spans="1:6" hidden="1" outlineLevel="1">
      <c r="A196" s="1111" t="s">
        <v>457</v>
      </c>
      <c r="B196" s="122">
        <v>0</v>
      </c>
      <c r="C196" s="70">
        <v>0</v>
      </c>
      <c r="D196" s="133">
        <v>0</v>
      </c>
      <c r="E196" s="120">
        <f t="shared" si="4"/>
        <v>0</v>
      </c>
      <c r="F196" s="111" t="s">
        <v>458</v>
      </c>
    </row>
    <row r="197" spans="1:6" hidden="1" outlineLevel="1">
      <c r="A197" s="1111" t="s">
        <v>459</v>
      </c>
      <c r="B197" s="122">
        <v>0</v>
      </c>
      <c r="C197" s="70">
        <v>339754</v>
      </c>
      <c r="D197" s="133">
        <v>1973002</v>
      </c>
      <c r="E197" s="120">
        <f t="shared" si="4"/>
        <v>2312756</v>
      </c>
      <c r="F197" s="111" t="s">
        <v>460</v>
      </c>
    </row>
    <row r="198" spans="1:6" hidden="1" outlineLevel="1">
      <c r="A198" s="1111" t="s">
        <v>461</v>
      </c>
      <c r="B198" s="122">
        <v>0</v>
      </c>
      <c r="C198" s="70">
        <v>381445</v>
      </c>
      <c r="D198" s="133">
        <v>195022</v>
      </c>
      <c r="E198" s="120">
        <f t="shared" si="4"/>
        <v>576467</v>
      </c>
      <c r="F198" s="111" t="s">
        <v>462</v>
      </c>
    </row>
    <row r="199" spans="1:6" hidden="1" outlineLevel="1">
      <c r="A199" s="1111" t="s">
        <v>463</v>
      </c>
      <c r="B199" s="122">
        <v>0</v>
      </c>
      <c r="C199" s="70">
        <v>1494688</v>
      </c>
      <c r="D199" s="133">
        <v>5844721</v>
      </c>
      <c r="E199" s="120">
        <f t="shared" si="4"/>
        <v>7339409</v>
      </c>
      <c r="F199" s="111" t="s">
        <v>464</v>
      </c>
    </row>
    <row r="200" spans="1:6" hidden="1" outlineLevel="1">
      <c r="A200" s="1111" t="s">
        <v>465</v>
      </c>
      <c r="B200" s="122">
        <v>0</v>
      </c>
      <c r="C200" s="70">
        <v>0</v>
      </c>
      <c r="D200" s="133">
        <v>5699</v>
      </c>
      <c r="E200" s="120">
        <f t="shared" si="4"/>
        <v>5699</v>
      </c>
      <c r="F200" s="111" t="s">
        <v>466</v>
      </c>
    </row>
    <row r="201" spans="1:6" hidden="1" outlineLevel="1">
      <c r="A201" s="1111" t="s">
        <v>467</v>
      </c>
      <c r="B201" s="122">
        <v>0</v>
      </c>
      <c r="C201" s="70">
        <v>953127</v>
      </c>
      <c r="D201" s="133">
        <v>139097</v>
      </c>
      <c r="E201" s="120">
        <f t="shared" si="4"/>
        <v>1092224</v>
      </c>
      <c r="F201" s="111" t="s">
        <v>468</v>
      </c>
    </row>
    <row r="202" spans="1:6" hidden="1" outlineLevel="1">
      <c r="A202" s="1111" t="s">
        <v>469</v>
      </c>
      <c r="B202" s="122">
        <v>1288816</v>
      </c>
      <c r="C202" s="70">
        <v>45074536</v>
      </c>
      <c r="D202" s="133">
        <v>130677372</v>
      </c>
      <c r="E202" s="120">
        <f t="shared" si="4"/>
        <v>177040724</v>
      </c>
      <c r="F202" s="111" t="s">
        <v>470</v>
      </c>
    </row>
    <row r="203" spans="1:6" hidden="1" outlineLevel="1">
      <c r="A203" s="1111" t="s">
        <v>471</v>
      </c>
      <c r="B203" s="122">
        <v>0</v>
      </c>
      <c r="C203" s="70">
        <v>101047</v>
      </c>
      <c r="D203" s="133">
        <v>1312351</v>
      </c>
      <c r="E203" s="120">
        <f t="shared" si="4"/>
        <v>1413398</v>
      </c>
      <c r="F203" s="111" t="s">
        <v>472</v>
      </c>
    </row>
    <row r="204" spans="1:6" hidden="1" outlineLevel="1">
      <c r="A204" s="1111" t="s">
        <v>473</v>
      </c>
      <c r="B204" s="122">
        <v>0</v>
      </c>
      <c r="C204" s="70">
        <v>0</v>
      </c>
      <c r="D204" s="133">
        <v>776330</v>
      </c>
      <c r="E204" s="120">
        <f t="shared" si="4"/>
        <v>776330</v>
      </c>
      <c r="F204" s="111" t="s">
        <v>474</v>
      </c>
    </row>
    <row r="205" spans="1:6" hidden="1" outlineLevel="1">
      <c r="A205" s="1111" t="s">
        <v>475</v>
      </c>
      <c r="B205" s="122">
        <v>0</v>
      </c>
      <c r="C205" s="70">
        <v>91596</v>
      </c>
      <c r="D205" s="133">
        <v>276314</v>
      </c>
      <c r="E205" s="120">
        <f t="shared" si="4"/>
        <v>367910</v>
      </c>
      <c r="F205" s="111" t="s">
        <v>476</v>
      </c>
    </row>
    <row r="206" spans="1:6" hidden="1" outlineLevel="1">
      <c r="A206" s="1111" t="s">
        <v>477</v>
      </c>
      <c r="B206" s="122">
        <v>0</v>
      </c>
      <c r="C206" s="70">
        <v>96657555</v>
      </c>
      <c r="D206" s="133">
        <v>34301787</v>
      </c>
      <c r="E206" s="120">
        <f t="shared" si="4"/>
        <v>130959342</v>
      </c>
      <c r="F206" s="111" t="s">
        <v>478</v>
      </c>
    </row>
    <row r="207" spans="1:6" hidden="1" outlineLevel="1">
      <c r="A207" s="1111" t="s">
        <v>479</v>
      </c>
      <c r="B207" s="122">
        <v>0</v>
      </c>
      <c r="C207" s="70">
        <v>87142</v>
      </c>
      <c r="D207" s="133">
        <v>1175864</v>
      </c>
      <c r="E207" s="120">
        <f t="shared" si="4"/>
        <v>1263006</v>
      </c>
      <c r="F207" s="111" t="s">
        <v>480</v>
      </c>
    </row>
    <row r="208" spans="1:6" hidden="1" outlineLevel="1">
      <c r="A208" s="1111" t="s">
        <v>481</v>
      </c>
      <c r="B208" s="122">
        <v>0</v>
      </c>
      <c r="C208" s="70">
        <v>1052144</v>
      </c>
      <c r="D208" s="133">
        <v>5630747</v>
      </c>
      <c r="E208" s="120">
        <f t="shared" si="4"/>
        <v>6682891</v>
      </c>
      <c r="F208" s="111" t="s">
        <v>482</v>
      </c>
    </row>
    <row r="209" spans="1:6" hidden="1" outlineLevel="1">
      <c r="A209" s="1111" t="s">
        <v>483</v>
      </c>
      <c r="B209" s="122">
        <v>0</v>
      </c>
      <c r="C209" s="70">
        <v>4946731</v>
      </c>
      <c r="D209" s="133">
        <v>1169979214</v>
      </c>
      <c r="E209" s="120">
        <f t="shared" si="4"/>
        <v>1174925945</v>
      </c>
      <c r="F209" s="111" t="s">
        <v>484</v>
      </c>
    </row>
    <row r="210" spans="1:6" hidden="1" outlineLevel="1">
      <c r="A210" s="1111" t="s">
        <v>485</v>
      </c>
      <c r="B210" s="122">
        <v>0</v>
      </c>
      <c r="C210" s="70">
        <v>646456</v>
      </c>
      <c r="D210" s="133">
        <v>1035241</v>
      </c>
      <c r="E210" s="120">
        <f t="shared" si="4"/>
        <v>1681697</v>
      </c>
      <c r="F210" s="111" t="s">
        <v>486</v>
      </c>
    </row>
    <row r="211" spans="1:6" hidden="1" outlineLevel="1">
      <c r="A211" s="1111" t="s">
        <v>487</v>
      </c>
      <c r="B211" s="122">
        <v>0</v>
      </c>
      <c r="C211" s="70">
        <v>0</v>
      </c>
      <c r="D211" s="133">
        <v>33728</v>
      </c>
      <c r="E211" s="120">
        <f t="shared" si="4"/>
        <v>33728</v>
      </c>
      <c r="F211" s="111" t="s">
        <v>488</v>
      </c>
    </row>
    <row r="212" spans="1:6" hidden="1" outlineLevel="1">
      <c r="A212" s="1111" t="s">
        <v>489</v>
      </c>
      <c r="B212" s="122">
        <v>0</v>
      </c>
      <c r="C212" s="70">
        <v>4405347</v>
      </c>
      <c r="D212" s="133">
        <v>5162445</v>
      </c>
      <c r="E212" s="120">
        <f t="shared" si="4"/>
        <v>9567792</v>
      </c>
      <c r="F212" s="111" t="s">
        <v>490</v>
      </c>
    </row>
    <row r="213" spans="1:6" hidden="1" outlineLevel="1">
      <c r="A213" s="1111" t="s">
        <v>491</v>
      </c>
      <c r="B213" s="122">
        <v>0</v>
      </c>
      <c r="C213" s="70">
        <v>26508</v>
      </c>
      <c r="D213" s="133">
        <v>784029</v>
      </c>
      <c r="E213" s="120">
        <f t="shared" si="4"/>
        <v>810537</v>
      </c>
      <c r="F213" s="111" t="s">
        <v>492</v>
      </c>
    </row>
    <row r="214" spans="1:6" hidden="1" outlineLevel="1">
      <c r="A214" s="1111" t="s">
        <v>493</v>
      </c>
      <c r="B214" s="122">
        <v>0</v>
      </c>
      <c r="C214" s="70">
        <v>288292</v>
      </c>
      <c r="D214" s="133">
        <v>7583337</v>
      </c>
      <c r="E214" s="120">
        <f t="shared" si="4"/>
        <v>7871629</v>
      </c>
      <c r="F214" s="111" t="s">
        <v>494</v>
      </c>
    </row>
    <row r="215" spans="1:6" hidden="1" outlineLevel="1">
      <c r="A215" s="1111" t="s">
        <v>495</v>
      </c>
      <c r="B215" s="122">
        <v>0</v>
      </c>
      <c r="C215" s="70">
        <v>18537885</v>
      </c>
      <c r="D215" s="133">
        <v>3859012</v>
      </c>
      <c r="E215" s="120">
        <f t="shared" si="4"/>
        <v>22396897</v>
      </c>
      <c r="F215" s="111" t="s">
        <v>496</v>
      </c>
    </row>
    <row r="216" spans="1:6" hidden="1" outlineLevel="1">
      <c r="A216" s="1111" t="s">
        <v>497</v>
      </c>
      <c r="B216" s="122">
        <v>0</v>
      </c>
      <c r="C216" s="70">
        <v>101549</v>
      </c>
      <c r="D216" s="133">
        <v>67651</v>
      </c>
      <c r="E216" s="120">
        <f t="shared" si="4"/>
        <v>169200</v>
      </c>
      <c r="F216" s="111" t="s">
        <v>498</v>
      </c>
    </row>
    <row r="217" spans="1:6" hidden="1" outlineLevel="1">
      <c r="A217" s="1111" t="s">
        <v>499</v>
      </c>
      <c r="B217" s="122">
        <v>0</v>
      </c>
      <c r="C217" s="70">
        <v>0</v>
      </c>
      <c r="D217" s="133">
        <v>0</v>
      </c>
      <c r="E217" s="120">
        <f t="shared" si="4"/>
        <v>0</v>
      </c>
      <c r="F217" s="111" t="s">
        <v>500</v>
      </c>
    </row>
    <row r="218" spans="1:6" hidden="1" outlineLevel="1">
      <c r="A218" s="1111" t="s">
        <v>501</v>
      </c>
      <c r="B218" s="122">
        <v>0</v>
      </c>
      <c r="C218" s="70">
        <v>197333</v>
      </c>
      <c r="D218" s="133">
        <v>954101</v>
      </c>
      <c r="E218" s="120">
        <f t="shared" si="4"/>
        <v>1151434</v>
      </c>
      <c r="F218" s="111" t="s">
        <v>502</v>
      </c>
    </row>
    <row r="219" spans="1:6" hidden="1" outlineLevel="1">
      <c r="A219" s="1111" t="s">
        <v>503</v>
      </c>
      <c r="B219" s="122">
        <v>0</v>
      </c>
      <c r="C219" s="70">
        <v>929808</v>
      </c>
      <c r="D219" s="133">
        <v>1363023</v>
      </c>
      <c r="E219" s="120">
        <f t="shared" si="4"/>
        <v>2292831</v>
      </c>
      <c r="F219" s="111" t="s">
        <v>504</v>
      </c>
    </row>
    <row r="220" spans="1:6" hidden="1" outlineLevel="1">
      <c r="A220" s="1111" t="s">
        <v>505</v>
      </c>
      <c r="B220" s="122">
        <v>0</v>
      </c>
      <c r="C220" s="70">
        <v>243595</v>
      </c>
      <c r="D220" s="133">
        <v>799751</v>
      </c>
      <c r="E220" s="120">
        <f t="shared" si="4"/>
        <v>1043346</v>
      </c>
      <c r="F220" s="111" t="s">
        <v>506</v>
      </c>
    </row>
    <row r="221" spans="1:6" hidden="1" outlineLevel="1">
      <c r="A221" s="1111" t="s">
        <v>507</v>
      </c>
      <c r="B221" s="122">
        <v>0</v>
      </c>
      <c r="C221" s="70">
        <v>209859</v>
      </c>
      <c r="D221" s="133">
        <v>990179</v>
      </c>
      <c r="E221" s="120">
        <f t="shared" si="4"/>
        <v>1200038</v>
      </c>
      <c r="F221" s="111" t="s">
        <v>508</v>
      </c>
    </row>
    <row r="222" spans="1:6" hidden="1" outlineLevel="1">
      <c r="A222" s="1111" t="s">
        <v>509</v>
      </c>
      <c r="B222" s="122">
        <v>0</v>
      </c>
      <c r="C222" s="70">
        <v>609133</v>
      </c>
      <c r="D222" s="133">
        <v>525768</v>
      </c>
      <c r="E222" s="120">
        <f t="shared" si="4"/>
        <v>1134901</v>
      </c>
      <c r="F222" s="111" t="s">
        <v>510</v>
      </c>
    </row>
    <row r="223" spans="1:6" hidden="1" outlineLevel="1">
      <c r="A223" s="1111" t="s">
        <v>511</v>
      </c>
      <c r="B223" s="122">
        <v>0</v>
      </c>
      <c r="C223" s="70">
        <v>0</v>
      </c>
      <c r="D223" s="133">
        <v>0</v>
      </c>
      <c r="E223" s="120">
        <f t="shared" si="4"/>
        <v>0</v>
      </c>
      <c r="F223" s="111" t="s">
        <v>512</v>
      </c>
    </row>
    <row r="224" spans="1:6" hidden="1" outlineLevel="1">
      <c r="A224" s="1111" t="s">
        <v>172</v>
      </c>
      <c r="B224" s="122">
        <v>0</v>
      </c>
      <c r="C224" s="70">
        <v>0</v>
      </c>
      <c r="D224" s="133">
        <v>0</v>
      </c>
      <c r="E224" s="120">
        <f t="shared" si="4"/>
        <v>0</v>
      </c>
      <c r="F224" s="111" t="s">
        <v>173</v>
      </c>
    </row>
    <row r="225" spans="1:6" hidden="1" outlineLevel="1">
      <c r="A225" s="1111" t="s">
        <v>513</v>
      </c>
      <c r="B225" s="122">
        <v>0</v>
      </c>
      <c r="C225" s="70">
        <v>92607</v>
      </c>
      <c r="D225" s="133">
        <v>405544</v>
      </c>
      <c r="E225" s="120">
        <f t="shared" si="4"/>
        <v>498151</v>
      </c>
      <c r="F225" s="111" t="s">
        <v>514</v>
      </c>
    </row>
    <row r="226" spans="1:6" hidden="1" outlineLevel="1">
      <c r="A226" s="1111" t="s">
        <v>515</v>
      </c>
      <c r="B226" s="122">
        <v>0</v>
      </c>
      <c r="C226" s="70">
        <v>0</v>
      </c>
      <c r="D226" s="133">
        <v>27395</v>
      </c>
      <c r="E226" s="120">
        <f t="shared" si="4"/>
        <v>27395</v>
      </c>
      <c r="F226" s="111" t="s">
        <v>516</v>
      </c>
    </row>
    <row r="227" spans="1:6" hidden="1" outlineLevel="1">
      <c r="A227" s="1111" t="s">
        <v>517</v>
      </c>
      <c r="B227" s="122">
        <v>0</v>
      </c>
      <c r="C227" s="70">
        <v>173185</v>
      </c>
      <c r="D227" s="133">
        <v>441657</v>
      </c>
      <c r="E227" s="120">
        <f t="shared" si="4"/>
        <v>614842</v>
      </c>
      <c r="F227" s="111" t="s">
        <v>518</v>
      </c>
    </row>
    <row r="228" spans="1:6" hidden="1" outlineLevel="1">
      <c r="A228" s="1111" t="s">
        <v>519</v>
      </c>
      <c r="B228" s="122">
        <v>0</v>
      </c>
      <c r="C228" s="70">
        <v>499954</v>
      </c>
      <c r="D228" s="133">
        <v>671195</v>
      </c>
      <c r="E228" s="120">
        <f t="shared" si="4"/>
        <v>1171149</v>
      </c>
      <c r="F228" s="111" t="s">
        <v>520</v>
      </c>
    </row>
    <row r="229" spans="1:6" hidden="1" outlineLevel="1">
      <c r="A229" s="1111" t="s">
        <v>521</v>
      </c>
      <c r="B229" s="122">
        <v>0</v>
      </c>
      <c r="C229" s="70">
        <v>400725</v>
      </c>
      <c r="D229" s="133">
        <v>1011425</v>
      </c>
      <c r="E229" s="120">
        <f t="shared" si="4"/>
        <v>1412150</v>
      </c>
      <c r="F229" s="111" t="s">
        <v>522</v>
      </c>
    </row>
    <row r="230" spans="1:6" hidden="1" outlineLevel="1">
      <c r="A230" s="1111" t="s">
        <v>523</v>
      </c>
      <c r="B230" s="122">
        <v>0</v>
      </c>
      <c r="C230" s="70">
        <v>267180</v>
      </c>
      <c r="D230" s="133">
        <v>285342</v>
      </c>
      <c r="E230" s="120">
        <f t="shared" si="4"/>
        <v>552522</v>
      </c>
      <c r="F230" s="111" t="s">
        <v>524</v>
      </c>
    </row>
    <row r="231" spans="1:6" hidden="1" outlineLevel="1">
      <c r="A231" s="1111" t="s">
        <v>525</v>
      </c>
      <c r="B231" s="122">
        <v>0</v>
      </c>
      <c r="C231" s="70">
        <v>66453</v>
      </c>
      <c r="D231" s="133">
        <v>0</v>
      </c>
      <c r="E231" s="120">
        <f t="shared" si="4"/>
        <v>66453</v>
      </c>
      <c r="F231" s="111" t="s">
        <v>526</v>
      </c>
    </row>
    <row r="232" spans="1:6" hidden="1" outlineLevel="1">
      <c r="A232" s="1111" t="s">
        <v>527</v>
      </c>
      <c r="B232" s="122">
        <v>0</v>
      </c>
      <c r="C232" s="70">
        <v>113607</v>
      </c>
      <c r="D232" s="133">
        <v>1686985</v>
      </c>
      <c r="E232" s="120">
        <f t="shared" ref="E232:E295" si="5">SUM(B232:D232)</f>
        <v>1800592</v>
      </c>
      <c r="F232" s="111" t="s">
        <v>528</v>
      </c>
    </row>
    <row r="233" spans="1:6" hidden="1" outlineLevel="1">
      <c r="A233" s="1111" t="s">
        <v>529</v>
      </c>
      <c r="B233" s="122">
        <v>0</v>
      </c>
      <c r="C233" s="70">
        <v>0</v>
      </c>
      <c r="D233" s="133">
        <v>0</v>
      </c>
      <c r="E233" s="120">
        <f t="shared" si="5"/>
        <v>0</v>
      </c>
      <c r="F233" s="111" t="s">
        <v>530</v>
      </c>
    </row>
    <row r="234" spans="1:6" hidden="1" outlineLevel="1">
      <c r="A234" s="1111" t="s">
        <v>531</v>
      </c>
      <c r="B234" s="122">
        <v>0</v>
      </c>
      <c r="C234" s="70">
        <v>663785</v>
      </c>
      <c r="D234" s="133">
        <v>1284055</v>
      </c>
      <c r="E234" s="120">
        <f t="shared" si="5"/>
        <v>1947840</v>
      </c>
      <c r="F234" s="111" t="s">
        <v>532</v>
      </c>
    </row>
    <row r="235" spans="1:6" hidden="1" outlineLevel="1">
      <c r="A235" s="1111" t="s">
        <v>533</v>
      </c>
      <c r="B235" s="122">
        <v>0</v>
      </c>
      <c r="C235" s="70">
        <v>58171</v>
      </c>
      <c r="D235" s="133">
        <v>2683067</v>
      </c>
      <c r="E235" s="120">
        <f t="shared" si="5"/>
        <v>2741238</v>
      </c>
      <c r="F235" s="111" t="s">
        <v>534</v>
      </c>
    </row>
    <row r="236" spans="1:6" hidden="1" outlineLevel="1">
      <c r="A236" s="1111" t="s">
        <v>535</v>
      </c>
      <c r="B236" s="122">
        <v>0</v>
      </c>
      <c r="C236" s="70">
        <v>833927</v>
      </c>
      <c r="D236" s="133">
        <v>815937</v>
      </c>
      <c r="E236" s="120">
        <f t="shared" si="5"/>
        <v>1649864</v>
      </c>
      <c r="F236" s="111" t="s">
        <v>536</v>
      </c>
    </row>
    <row r="237" spans="1:6" hidden="1" outlineLevel="1">
      <c r="A237" s="1111" t="s">
        <v>537</v>
      </c>
      <c r="B237" s="122">
        <v>0</v>
      </c>
      <c r="C237" s="70">
        <v>0</v>
      </c>
      <c r="D237" s="133">
        <v>0</v>
      </c>
      <c r="E237" s="120">
        <f t="shared" si="5"/>
        <v>0</v>
      </c>
      <c r="F237" s="111" t="s">
        <v>538</v>
      </c>
    </row>
    <row r="238" spans="1:6" hidden="1" outlineLevel="1">
      <c r="A238" s="1111" t="s">
        <v>539</v>
      </c>
      <c r="B238" s="122">
        <v>0</v>
      </c>
      <c r="C238" s="70">
        <v>293479</v>
      </c>
      <c r="D238" s="133">
        <v>1661424</v>
      </c>
      <c r="E238" s="120">
        <f t="shared" si="5"/>
        <v>1954903</v>
      </c>
      <c r="F238" s="111" t="s">
        <v>540</v>
      </c>
    </row>
    <row r="239" spans="1:6" hidden="1" outlineLevel="1">
      <c r="A239" s="1111" t="s">
        <v>541</v>
      </c>
      <c r="B239" s="122">
        <v>0</v>
      </c>
      <c r="C239" s="70">
        <v>16399788</v>
      </c>
      <c r="D239" s="133">
        <v>776780996</v>
      </c>
      <c r="E239" s="120">
        <f t="shared" si="5"/>
        <v>793180784</v>
      </c>
      <c r="F239" s="111" t="s">
        <v>542</v>
      </c>
    </row>
    <row r="240" spans="1:6" hidden="1" outlineLevel="1">
      <c r="A240" s="1111" t="s">
        <v>543</v>
      </c>
      <c r="B240" s="122">
        <v>0</v>
      </c>
      <c r="C240" s="70">
        <v>220820</v>
      </c>
      <c r="D240" s="133">
        <v>39084205</v>
      </c>
      <c r="E240" s="120">
        <f t="shared" si="5"/>
        <v>39305025</v>
      </c>
      <c r="F240" s="111" t="s">
        <v>544</v>
      </c>
    </row>
    <row r="241" spans="1:6" hidden="1" outlineLevel="1">
      <c r="A241" s="1111" t="s">
        <v>545</v>
      </c>
      <c r="B241" s="122">
        <v>0</v>
      </c>
      <c r="C241" s="70">
        <v>55471</v>
      </c>
      <c r="D241" s="133">
        <v>114136</v>
      </c>
      <c r="E241" s="120">
        <f t="shared" si="5"/>
        <v>169607</v>
      </c>
      <c r="F241" s="111" t="s">
        <v>546</v>
      </c>
    </row>
    <row r="242" spans="1:6" hidden="1" outlineLevel="1">
      <c r="A242" s="1111" t="s">
        <v>547</v>
      </c>
      <c r="B242" s="122">
        <v>0</v>
      </c>
      <c r="C242" s="70">
        <v>177177</v>
      </c>
      <c r="D242" s="133">
        <v>2032730</v>
      </c>
      <c r="E242" s="120">
        <f t="shared" si="5"/>
        <v>2209907</v>
      </c>
      <c r="F242" s="111" t="s">
        <v>548</v>
      </c>
    </row>
    <row r="243" spans="1:6" hidden="1" outlineLevel="1">
      <c r="A243" s="1111" t="s">
        <v>549</v>
      </c>
      <c r="B243" s="122">
        <v>0</v>
      </c>
      <c r="C243" s="70">
        <v>610970</v>
      </c>
      <c r="D243" s="133">
        <v>913285</v>
      </c>
      <c r="E243" s="120">
        <f t="shared" si="5"/>
        <v>1524255</v>
      </c>
      <c r="F243" s="111" t="s">
        <v>550</v>
      </c>
    </row>
    <row r="244" spans="1:6" hidden="1" outlineLevel="1">
      <c r="A244" s="1111" t="s">
        <v>551</v>
      </c>
      <c r="B244" s="122">
        <v>0</v>
      </c>
      <c r="C244" s="70">
        <v>2176031</v>
      </c>
      <c r="D244" s="133">
        <v>778310</v>
      </c>
      <c r="E244" s="120">
        <f t="shared" si="5"/>
        <v>2954341</v>
      </c>
      <c r="F244" s="111" t="s">
        <v>552</v>
      </c>
    </row>
    <row r="245" spans="1:6" hidden="1" outlineLevel="1">
      <c r="A245" s="1111" t="s">
        <v>553</v>
      </c>
      <c r="B245" s="122">
        <v>0</v>
      </c>
      <c r="C245" s="70">
        <v>407033</v>
      </c>
      <c r="D245" s="133">
        <v>708270</v>
      </c>
      <c r="E245" s="120">
        <f t="shared" si="5"/>
        <v>1115303</v>
      </c>
      <c r="F245" s="111" t="s">
        <v>554</v>
      </c>
    </row>
    <row r="246" spans="1:6" hidden="1" outlineLevel="1">
      <c r="A246" s="1111" t="s">
        <v>555</v>
      </c>
      <c r="B246" s="122">
        <v>0</v>
      </c>
      <c r="C246" s="70">
        <v>245101</v>
      </c>
      <c r="D246" s="133">
        <v>1544426</v>
      </c>
      <c r="E246" s="120">
        <f t="shared" si="5"/>
        <v>1789527</v>
      </c>
      <c r="F246" s="111" t="s">
        <v>556</v>
      </c>
    </row>
    <row r="247" spans="1:6" hidden="1" outlineLevel="1">
      <c r="A247" s="1111" t="s">
        <v>557</v>
      </c>
      <c r="B247" s="122">
        <v>0</v>
      </c>
      <c r="C247" s="70">
        <v>0</v>
      </c>
      <c r="D247" s="133">
        <v>0</v>
      </c>
      <c r="E247" s="120">
        <f t="shared" si="5"/>
        <v>0</v>
      </c>
      <c r="F247" s="111" t="s">
        <v>558</v>
      </c>
    </row>
    <row r="248" spans="1:6" hidden="1" outlineLevel="1">
      <c r="A248" s="1111" t="s">
        <v>559</v>
      </c>
      <c r="B248" s="122">
        <v>0</v>
      </c>
      <c r="C248" s="70">
        <v>0</v>
      </c>
      <c r="D248" s="133">
        <v>0</v>
      </c>
      <c r="E248" s="120">
        <f t="shared" si="5"/>
        <v>0</v>
      </c>
      <c r="F248" s="111" t="s">
        <v>560</v>
      </c>
    </row>
    <row r="249" spans="1:6" hidden="1" outlineLevel="1">
      <c r="A249" s="1111" t="s">
        <v>561</v>
      </c>
      <c r="B249" s="122">
        <v>0</v>
      </c>
      <c r="C249" s="70">
        <v>0</v>
      </c>
      <c r="D249" s="133">
        <v>0</v>
      </c>
      <c r="E249" s="120">
        <f t="shared" si="5"/>
        <v>0</v>
      </c>
      <c r="F249" s="111" t="s">
        <v>562</v>
      </c>
    </row>
    <row r="250" spans="1:6" hidden="1" outlineLevel="1">
      <c r="A250" s="1111" t="s">
        <v>563</v>
      </c>
      <c r="B250" s="122">
        <v>0</v>
      </c>
      <c r="C250" s="70">
        <v>5623</v>
      </c>
      <c r="D250" s="133">
        <v>225942</v>
      </c>
      <c r="E250" s="120">
        <f t="shared" si="5"/>
        <v>231565</v>
      </c>
      <c r="F250" s="111" t="s">
        <v>564</v>
      </c>
    </row>
    <row r="251" spans="1:6" hidden="1" outlineLevel="1">
      <c r="A251" s="1111" t="s">
        <v>565</v>
      </c>
      <c r="B251" s="122">
        <v>0</v>
      </c>
      <c r="C251" s="70">
        <v>0</v>
      </c>
      <c r="D251" s="133">
        <v>77327886</v>
      </c>
      <c r="E251" s="120">
        <f t="shared" si="5"/>
        <v>77327886</v>
      </c>
      <c r="F251" s="111" t="s">
        <v>566</v>
      </c>
    </row>
    <row r="252" spans="1:6" hidden="1" outlineLevel="1">
      <c r="A252" s="1111" t="s">
        <v>567</v>
      </c>
      <c r="B252" s="122">
        <v>0</v>
      </c>
      <c r="C252" s="70">
        <v>3140233</v>
      </c>
      <c r="D252" s="133">
        <v>5977660</v>
      </c>
      <c r="E252" s="120">
        <f t="shared" si="5"/>
        <v>9117893</v>
      </c>
      <c r="F252" s="111" t="s">
        <v>568</v>
      </c>
    </row>
    <row r="253" spans="1:6" hidden="1" outlineLevel="1">
      <c r="A253" s="1111" t="s">
        <v>569</v>
      </c>
      <c r="B253" s="122">
        <v>0</v>
      </c>
      <c r="C253" s="70">
        <v>558415</v>
      </c>
      <c r="D253" s="133">
        <v>451682</v>
      </c>
      <c r="E253" s="120">
        <f t="shared" si="5"/>
        <v>1010097</v>
      </c>
      <c r="F253" s="111" t="s">
        <v>570</v>
      </c>
    </row>
    <row r="254" spans="1:6" hidden="1" outlineLevel="1">
      <c r="A254" s="1111" t="s">
        <v>571</v>
      </c>
      <c r="B254" s="122">
        <v>0</v>
      </c>
      <c r="C254" s="70">
        <v>0</v>
      </c>
      <c r="D254" s="133">
        <v>0</v>
      </c>
      <c r="E254" s="120">
        <f t="shared" si="5"/>
        <v>0</v>
      </c>
      <c r="F254" s="111" t="s">
        <v>572</v>
      </c>
    </row>
    <row r="255" spans="1:6" hidden="1" outlineLevel="1">
      <c r="A255" s="1111" t="s">
        <v>573</v>
      </c>
      <c r="B255" s="122">
        <v>0</v>
      </c>
      <c r="C255" s="70">
        <v>442324</v>
      </c>
      <c r="D255" s="133">
        <v>667129</v>
      </c>
      <c r="E255" s="120">
        <f t="shared" si="5"/>
        <v>1109453</v>
      </c>
      <c r="F255" s="111" t="s">
        <v>574</v>
      </c>
    </row>
    <row r="256" spans="1:6" hidden="1" outlineLevel="1">
      <c r="A256" s="1111" t="s">
        <v>575</v>
      </c>
      <c r="B256" s="122">
        <v>0</v>
      </c>
      <c r="C256" s="70">
        <v>500641</v>
      </c>
      <c r="D256" s="133">
        <v>1194821</v>
      </c>
      <c r="E256" s="120">
        <f t="shared" si="5"/>
        <v>1695462</v>
      </c>
      <c r="F256" s="111" t="s">
        <v>576</v>
      </c>
    </row>
    <row r="257" spans="1:6" hidden="1" outlineLevel="1">
      <c r="A257" s="1111" t="s">
        <v>577</v>
      </c>
      <c r="B257" s="122">
        <v>0</v>
      </c>
      <c r="C257" s="70">
        <v>0</v>
      </c>
      <c r="D257" s="133">
        <v>0</v>
      </c>
      <c r="E257" s="120">
        <f t="shared" si="5"/>
        <v>0</v>
      </c>
      <c r="F257" s="111" t="s">
        <v>578</v>
      </c>
    </row>
    <row r="258" spans="1:6" hidden="1" outlineLevel="1">
      <c r="A258" s="1111" t="s">
        <v>579</v>
      </c>
      <c r="B258" s="122">
        <v>0</v>
      </c>
      <c r="C258" s="70">
        <v>168355</v>
      </c>
      <c r="D258" s="133">
        <v>13216994</v>
      </c>
      <c r="E258" s="120">
        <f t="shared" si="5"/>
        <v>13385349</v>
      </c>
      <c r="F258" s="111" t="s">
        <v>580</v>
      </c>
    </row>
    <row r="259" spans="1:6" hidden="1" outlineLevel="1">
      <c r="A259" s="1111" t="s">
        <v>581</v>
      </c>
      <c r="B259" s="122">
        <v>0</v>
      </c>
      <c r="C259" s="70">
        <v>0</v>
      </c>
      <c r="D259" s="133">
        <v>179791</v>
      </c>
      <c r="E259" s="120">
        <f t="shared" si="5"/>
        <v>179791</v>
      </c>
      <c r="F259" s="111" t="s">
        <v>582</v>
      </c>
    </row>
    <row r="260" spans="1:6" hidden="1" outlineLevel="1">
      <c r="A260" s="1111" t="s">
        <v>583</v>
      </c>
      <c r="B260" s="122">
        <v>0</v>
      </c>
      <c r="C260" s="70">
        <v>210174</v>
      </c>
      <c r="D260" s="133">
        <v>24836106</v>
      </c>
      <c r="E260" s="120">
        <f t="shared" si="5"/>
        <v>25046280</v>
      </c>
      <c r="F260" s="111" t="s">
        <v>584</v>
      </c>
    </row>
    <row r="261" spans="1:6" hidden="1" outlineLevel="1">
      <c r="A261" s="1111" t="s">
        <v>585</v>
      </c>
      <c r="B261" s="122">
        <v>0</v>
      </c>
      <c r="C261" s="70">
        <v>0</v>
      </c>
      <c r="D261" s="133">
        <v>0</v>
      </c>
      <c r="E261" s="120">
        <f t="shared" si="5"/>
        <v>0</v>
      </c>
      <c r="F261" s="111" t="s">
        <v>586</v>
      </c>
    </row>
    <row r="262" spans="1:6" hidden="1" outlineLevel="1">
      <c r="A262" s="1111" t="s">
        <v>585</v>
      </c>
      <c r="B262" s="122">
        <v>0</v>
      </c>
      <c r="C262" s="70">
        <v>0</v>
      </c>
      <c r="D262" s="133">
        <v>0</v>
      </c>
      <c r="E262" s="120">
        <f t="shared" si="5"/>
        <v>0</v>
      </c>
      <c r="F262" s="111" t="s">
        <v>586</v>
      </c>
    </row>
    <row r="263" spans="1:6" hidden="1" outlineLevel="1">
      <c r="A263" s="1111" t="s">
        <v>587</v>
      </c>
      <c r="B263" s="122">
        <v>0</v>
      </c>
      <c r="C263" s="70">
        <v>0</v>
      </c>
      <c r="D263" s="133">
        <v>2865947</v>
      </c>
      <c r="E263" s="120">
        <f t="shared" si="5"/>
        <v>2865947</v>
      </c>
      <c r="F263" s="111" t="s">
        <v>588</v>
      </c>
    </row>
    <row r="264" spans="1:6" hidden="1" outlineLevel="1">
      <c r="A264" s="1111" t="s">
        <v>589</v>
      </c>
      <c r="B264" s="122">
        <v>0</v>
      </c>
      <c r="C264" s="70">
        <v>206318</v>
      </c>
      <c r="D264" s="133">
        <v>732692</v>
      </c>
      <c r="E264" s="120">
        <f t="shared" si="5"/>
        <v>939010</v>
      </c>
      <c r="F264" s="111" t="s">
        <v>590</v>
      </c>
    </row>
    <row r="265" spans="1:6" hidden="1" outlineLevel="1">
      <c r="A265" s="1111" t="s">
        <v>591</v>
      </c>
      <c r="B265" s="122">
        <v>0</v>
      </c>
      <c r="C265" s="70">
        <v>12274399</v>
      </c>
      <c r="D265" s="133">
        <v>7740390</v>
      </c>
      <c r="E265" s="120">
        <f t="shared" si="5"/>
        <v>20014789</v>
      </c>
      <c r="F265" s="111" t="s">
        <v>592</v>
      </c>
    </row>
    <row r="266" spans="1:6" hidden="1" outlineLevel="1">
      <c r="A266" s="1111" t="s">
        <v>593</v>
      </c>
      <c r="B266" s="122">
        <v>0</v>
      </c>
      <c r="C266" s="70">
        <v>283705</v>
      </c>
      <c r="D266" s="133">
        <v>228851</v>
      </c>
      <c r="E266" s="120">
        <f t="shared" si="5"/>
        <v>512556</v>
      </c>
      <c r="F266" s="111" t="s">
        <v>594</v>
      </c>
    </row>
    <row r="267" spans="1:6" hidden="1" outlineLevel="1">
      <c r="A267" s="1111" t="s">
        <v>595</v>
      </c>
      <c r="B267" s="122">
        <v>0</v>
      </c>
      <c r="C267" s="70">
        <v>477975</v>
      </c>
      <c r="D267" s="133">
        <v>212495</v>
      </c>
      <c r="E267" s="120">
        <f t="shared" si="5"/>
        <v>690470</v>
      </c>
      <c r="F267" s="111" t="s">
        <v>596</v>
      </c>
    </row>
    <row r="268" spans="1:6" hidden="1" outlineLevel="1">
      <c r="A268" s="1111" t="s">
        <v>597</v>
      </c>
      <c r="B268" s="122">
        <v>0</v>
      </c>
      <c r="C268" s="70">
        <v>43029</v>
      </c>
      <c r="D268" s="133">
        <v>730379</v>
      </c>
      <c r="E268" s="120">
        <f t="shared" si="5"/>
        <v>773408</v>
      </c>
      <c r="F268" s="111" t="s">
        <v>598</v>
      </c>
    </row>
    <row r="269" spans="1:6" hidden="1" outlineLevel="1">
      <c r="A269" s="1111" t="s">
        <v>599</v>
      </c>
      <c r="B269" s="122">
        <v>0</v>
      </c>
      <c r="C269" s="70">
        <v>956257</v>
      </c>
      <c r="D269" s="133">
        <v>391203</v>
      </c>
      <c r="E269" s="120">
        <f t="shared" si="5"/>
        <v>1347460</v>
      </c>
      <c r="F269" s="111" t="s">
        <v>600</v>
      </c>
    </row>
    <row r="270" spans="1:6" hidden="1" outlineLevel="1">
      <c r="A270" s="1111" t="s">
        <v>601</v>
      </c>
      <c r="B270" s="122">
        <v>0</v>
      </c>
      <c r="C270" s="70">
        <v>304775</v>
      </c>
      <c r="D270" s="133">
        <v>985669</v>
      </c>
      <c r="E270" s="120">
        <f t="shared" si="5"/>
        <v>1290444</v>
      </c>
      <c r="F270" s="111" t="s">
        <v>602</v>
      </c>
    </row>
    <row r="271" spans="1:6" hidden="1" outlineLevel="1">
      <c r="A271" s="1111" t="s">
        <v>603</v>
      </c>
      <c r="B271" s="122">
        <v>0</v>
      </c>
      <c r="C271" s="70">
        <v>0</v>
      </c>
      <c r="D271" s="133">
        <v>340667</v>
      </c>
      <c r="E271" s="120">
        <f t="shared" si="5"/>
        <v>340667</v>
      </c>
      <c r="F271" s="111" t="s">
        <v>604</v>
      </c>
    </row>
    <row r="272" spans="1:6" hidden="1" outlineLevel="1">
      <c r="A272" s="1111" t="s">
        <v>605</v>
      </c>
      <c r="B272" s="122">
        <v>0</v>
      </c>
      <c r="C272" s="70">
        <v>449754</v>
      </c>
      <c r="D272" s="133">
        <v>2476813</v>
      </c>
      <c r="E272" s="120">
        <f t="shared" si="5"/>
        <v>2926567</v>
      </c>
      <c r="F272" s="111" t="s">
        <v>606</v>
      </c>
    </row>
    <row r="273" spans="1:6" hidden="1" outlineLevel="1">
      <c r="A273" s="1111" t="s">
        <v>607</v>
      </c>
      <c r="B273" s="122">
        <v>0</v>
      </c>
      <c r="C273" s="70">
        <v>0</v>
      </c>
      <c r="D273" s="133">
        <v>3000</v>
      </c>
      <c r="E273" s="120">
        <f t="shared" si="5"/>
        <v>3000</v>
      </c>
      <c r="F273" s="111" t="s">
        <v>608</v>
      </c>
    </row>
    <row r="274" spans="1:6" hidden="1" outlineLevel="1">
      <c r="A274" s="1111" t="s">
        <v>609</v>
      </c>
      <c r="B274" s="122">
        <v>0</v>
      </c>
      <c r="C274" s="70">
        <v>969698</v>
      </c>
      <c r="D274" s="133">
        <v>1706465</v>
      </c>
      <c r="E274" s="120">
        <f t="shared" si="5"/>
        <v>2676163</v>
      </c>
      <c r="F274" s="111" t="s">
        <v>610</v>
      </c>
    </row>
    <row r="275" spans="1:6" hidden="1" outlineLevel="1">
      <c r="A275" s="1111" t="s">
        <v>611</v>
      </c>
      <c r="B275" s="122">
        <v>0</v>
      </c>
      <c r="C275" s="70">
        <v>374231</v>
      </c>
      <c r="D275" s="133">
        <v>1589515</v>
      </c>
      <c r="E275" s="120">
        <f t="shared" si="5"/>
        <v>1963746</v>
      </c>
      <c r="F275" s="111" t="s">
        <v>612</v>
      </c>
    </row>
    <row r="276" spans="1:6" hidden="1" outlineLevel="1">
      <c r="A276" s="1111" t="s">
        <v>613</v>
      </c>
      <c r="B276" s="122">
        <v>0</v>
      </c>
      <c r="C276" s="70">
        <v>0</v>
      </c>
      <c r="D276" s="133">
        <v>0</v>
      </c>
      <c r="E276" s="120">
        <f t="shared" si="5"/>
        <v>0</v>
      </c>
      <c r="F276" s="111" t="s">
        <v>614</v>
      </c>
    </row>
    <row r="277" spans="1:6" hidden="1" outlineLevel="1">
      <c r="A277" s="1111" t="s">
        <v>615</v>
      </c>
      <c r="B277" s="122">
        <v>0</v>
      </c>
      <c r="C277" s="70">
        <v>0</v>
      </c>
      <c r="D277" s="133">
        <v>0</v>
      </c>
      <c r="E277" s="120">
        <f t="shared" si="5"/>
        <v>0</v>
      </c>
      <c r="F277" s="111" t="s">
        <v>616</v>
      </c>
    </row>
    <row r="278" spans="1:6" hidden="1" outlineLevel="1">
      <c r="A278" s="1111" t="s">
        <v>617</v>
      </c>
      <c r="B278" s="122">
        <v>0</v>
      </c>
      <c r="C278" s="70">
        <v>228239</v>
      </c>
      <c r="D278" s="133">
        <v>699994</v>
      </c>
      <c r="E278" s="120">
        <f t="shared" si="5"/>
        <v>928233</v>
      </c>
      <c r="F278" s="111" t="s">
        <v>618</v>
      </c>
    </row>
    <row r="279" spans="1:6" hidden="1" outlineLevel="1">
      <c r="A279" s="1111" t="s">
        <v>619</v>
      </c>
      <c r="B279" s="122">
        <v>166115</v>
      </c>
      <c r="C279" s="70">
        <v>1137236</v>
      </c>
      <c r="D279" s="133">
        <v>2373197</v>
      </c>
      <c r="E279" s="120">
        <f t="shared" si="5"/>
        <v>3676548</v>
      </c>
      <c r="F279" s="111" t="s">
        <v>620</v>
      </c>
    </row>
    <row r="280" spans="1:6" hidden="1" outlineLevel="1">
      <c r="A280" s="1111" t="s">
        <v>621</v>
      </c>
      <c r="B280" s="122">
        <v>0</v>
      </c>
      <c r="C280" s="70">
        <v>1645870</v>
      </c>
      <c r="D280" s="133">
        <v>4221928</v>
      </c>
      <c r="E280" s="120">
        <f t="shared" si="5"/>
        <v>5867798</v>
      </c>
      <c r="F280" s="111" t="s">
        <v>622</v>
      </c>
    </row>
    <row r="281" spans="1:6" hidden="1" outlineLevel="1">
      <c r="A281" s="1111" t="s">
        <v>623</v>
      </c>
      <c r="B281" s="122">
        <v>0</v>
      </c>
      <c r="C281" s="70">
        <v>47156</v>
      </c>
      <c r="D281" s="133">
        <v>32224</v>
      </c>
      <c r="E281" s="120">
        <f t="shared" si="5"/>
        <v>79380</v>
      </c>
      <c r="F281" s="111" t="s">
        <v>624</v>
      </c>
    </row>
    <row r="282" spans="1:6" hidden="1" outlineLevel="1">
      <c r="A282" s="1111" t="s">
        <v>625</v>
      </c>
      <c r="B282" s="122">
        <v>0</v>
      </c>
      <c r="C282" s="70">
        <v>0</v>
      </c>
      <c r="D282" s="133">
        <v>346204</v>
      </c>
      <c r="E282" s="120">
        <f t="shared" si="5"/>
        <v>346204</v>
      </c>
      <c r="F282" s="111" t="s">
        <v>626</v>
      </c>
    </row>
    <row r="283" spans="1:6" hidden="1" outlineLevel="1">
      <c r="A283" s="1111" t="s">
        <v>627</v>
      </c>
      <c r="B283" s="122">
        <v>0</v>
      </c>
      <c r="C283" s="70">
        <v>23799</v>
      </c>
      <c r="D283" s="133">
        <v>13459232</v>
      </c>
      <c r="E283" s="120">
        <f t="shared" si="5"/>
        <v>13483031</v>
      </c>
      <c r="F283" s="111" t="s">
        <v>628</v>
      </c>
    </row>
    <row r="284" spans="1:6" hidden="1" outlineLevel="1">
      <c r="A284" s="1111" t="s">
        <v>629</v>
      </c>
      <c r="B284" s="122">
        <v>0</v>
      </c>
      <c r="C284" s="70">
        <v>13258</v>
      </c>
      <c r="D284" s="133">
        <v>59013</v>
      </c>
      <c r="E284" s="120">
        <f t="shared" si="5"/>
        <v>72271</v>
      </c>
      <c r="F284" s="111" t="s">
        <v>630</v>
      </c>
    </row>
    <row r="285" spans="1:6" hidden="1" outlineLevel="1">
      <c r="A285" s="1111" t="s">
        <v>631</v>
      </c>
      <c r="B285" s="122">
        <v>0</v>
      </c>
      <c r="C285" s="70">
        <v>0</v>
      </c>
      <c r="D285" s="133">
        <v>1793756</v>
      </c>
      <c r="E285" s="120">
        <f t="shared" si="5"/>
        <v>1793756</v>
      </c>
      <c r="F285" s="111" t="s">
        <v>632</v>
      </c>
    </row>
    <row r="286" spans="1:6" hidden="1" outlineLevel="1">
      <c r="A286" s="1111" t="s">
        <v>633</v>
      </c>
      <c r="B286" s="122">
        <v>0</v>
      </c>
      <c r="C286" s="70">
        <v>38809</v>
      </c>
      <c r="D286" s="133">
        <v>527962</v>
      </c>
      <c r="E286" s="120">
        <f t="shared" si="5"/>
        <v>566771</v>
      </c>
      <c r="F286" s="111" t="s">
        <v>634</v>
      </c>
    </row>
    <row r="287" spans="1:6" hidden="1" outlineLevel="1">
      <c r="A287" s="1111" t="s">
        <v>635</v>
      </c>
      <c r="B287" s="122">
        <v>0</v>
      </c>
      <c r="C287" s="70">
        <v>228467</v>
      </c>
      <c r="D287" s="133">
        <v>212196</v>
      </c>
      <c r="E287" s="120">
        <f t="shared" si="5"/>
        <v>440663</v>
      </c>
      <c r="F287" s="111" t="s">
        <v>636</v>
      </c>
    </row>
    <row r="288" spans="1:6" hidden="1" outlineLevel="1">
      <c r="A288" s="1111" t="s">
        <v>637</v>
      </c>
      <c r="B288" s="122">
        <v>0</v>
      </c>
      <c r="C288" s="70">
        <v>0</v>
      </c>
      <c r="D288" s="133">
        <v>831832171</v>
      </c>
      <c r="E288" s="120">
        <f t="shared" si="5"/>
        <v>831832171</v>
      </c>
      <c r="F288" s="111" t="s">
        <v>638</v>
      </c>
    </row>
    <row r="289" spans="1:6" hidden="1" outlineLevel="1">
      <c r="A289" s="1111" t="s">
        <v>639</v>
      </c>
      <c r="B289" s="122">
        <v>0</v>
      </c>
      <c r="C289" s="70">
        <v>1910314</v>
      </c>
      <c r="D289" s="133">
        <v>21310374</v>
      </c>
      <c r="E289" s="120">
        <f t="shared" si="5"/>
        <v>23220688</v>
      </c>
      <c r="F289" s="111" t="s">
        <v>640</v>
      </c>
    </row>
    <row r="290" spans="1:6" hidden="1" outlineLevel="1">
      <c r="A290" s="1111" t="s">
        <v>641</v>
      </c>
      <c r="B290" s="122">
        <v>0</v>
      </c>
      <c r="C290" s="70">
        <v>0</v>
      </c>
      <c r="D290" s="133">
        <v>113749</v>
      </c>
      <c r="E290" s="120">
        <f t="shared" si="5"/>
        <v>113749</v>
      </c>
      <c r="F290" s="111" t="s">
        <v>642</v>
      </c>
    </row>
    <row r="291" spans="1:6" hidden="1" outlineLevel="1">
      <c r="A291" s="1111" t="s">
        <v>643</v>
      </c>
      <c r="B291" s="122">
        <v>0</v>
      </c>
      <c r="C291" s="70">
        <v>103900</v>
      </c>
      <c r="D291" s="133">
        <v>192974</v>
      </c>
      <c r="E291" s="120">
        <f t="shared" si="5"/>
        <v>296874</v>
      </c>
      <c r="F291" s="111" t="s">
        <v>644</v>
      </c>
    </row>
    <row r="292" spans="1:6" hidden="1" outlineLevel="1">
      <c r="A292" s="1111" t="s">
        <v>645</v>
      </c>
      <c r="B292" s="122">
        <v>0</v>
      </c>
      <c r="C292" s="70">
        <v>1708615</v>
      </c>
      <c r="D292" s="133">
        <v>2230925</v>
      </c>
      <c r="E292" s="120">
        <f t="shared" si="5"/>
        <v>3939540</v>
      </c>
      <c r="F292" s="111" t="s">
        <v>646</v>
      </c>
    </row>
    <row r="293" spans="1:6" hidden="1" outlineLevel="1">
      <c r="A293" s="1111" t="s">
        <v>647</v>
      </c>
      <c r="B293" s="122">
        <v>0</v>
      </c>
      <c r="C293" s="70">
        <v>0</v>
      </c>
      <c r="D293" s="133">
        <v>0</v>
      </c>
      <c r="E293" s="120">
        <f t="shared" si="5"/>
        <v>0</v>
      </c>
      <c r="F293" s="111" t="s">
        <v>648</v>
      </c>
    </row>
    <row r="294" spans="1:6" hidden="1" outlineLevel="1">
      <c r="A294" s="1111" t="s">
        <v>649</v>
      </c>
      <c r="B294" s="122">
        <v>0</v>
      </c>
      <c r="C294" s="70">
        <v>981673</v>
      </c>
      <c r="D294" s="133">
        <v>667670</v>
      </c>
      <c r="E294" s="120">
        <f t="shared" si="5"/>
        <v>1649343</v>
      </c>
      <c r="F294" s="111" t="s">
        <v>650</v>
      </c>
    </row>
    <row r="295" spans="1:6" hidden="1" outlineLevel="1">
      <c r="A295" s="1111" t="s">
        <v>651</v>
      </c>
      <c r="B295" s="122">
        <v>0</v>
      </c>
      <c r="C295" s="70">
        <v>4844919</v>
      </c>
      <c r="D295" s="133">
        <v>99379238</v>
      </c>
      <c r="E295" s="120">
        <f t="shared" si="5"/>
        <v>104224157</v>
      </c>
      <c r="F295" s="111" t="s">
        <v>652</v>
      </c>
    </row>
    <row r="296" spans="1:6" hidden="1" outlineLevel="1">
      <c r="A296" s="1111" t="s">
        <v>653</v>
      </c>
      <c r="B296" s="122">
        <v>0</v>
      </c>
      <c r="C296" s="70">
        <v>0</v>
      </c>
      <c r="D296" s="133">
        <v>12466</v>
      </c>
      <c r="E296" s="120">
        <f t="shared" ref="E296:E359" si="6">SUM(B296:D296)</f>
        <v>12466</v>
      </c>
      <c r="F296" s="111" t="s">
        <v>654</v>
      </c>
    </row>
    <row r="297" spans="1:6" hidden="1" outlineLevel="1">
      <c r="A297" s="1111" t="s">
        <v>655</v>
      </c>
      <c r="B297" s="122">
        <v>0</v>
      </c>
      <c r="C297" s="70">
        <v>0</v>
      </c>
      <c r="D297" s="133">
        <v>0</v>
      </c>
      <c r="E297" s="120">
        <f t="shared" si="6"/>
        <v>0</v>
      </c>
      <c r="F297" s="111" t="s">
        <v>578</v>
      </c>
    </row>
    <row r="298" spans="1:6" hidden="1" outlineLevel="1">
      <c r="A298" s="1111" t="s">
        <v>656</v>
      </c>
      <c r="B298" s="122">
        <v>0</v>
      </c>
      <c r="C298" s="70">
        <v>0</v>
      </c>
      <c r="D298" s="133">
        <v>1554897</v>
      </c>
      <c r="E298" s="120">
        <f t="shared" si="6"/>
        <v>1554897</v>
      </c>
      <c r="F298" s="111" t="s">
        <v>657</v>
      </c>
    </row>
    <row r="299" spans="1:6" hidden="1" outlineLevel="1">
      <c r="A299" s="1111" t="s">
        <v>658</v>
      </c>
      <c r="B299" s="122">
        <v>0</v>
      </c>
      <c r="C299" s="70">
        <v>0</v>
      </c>
      <c r="D299" s="133">
        <v>204067949</v>
      </c>
      <c r="E299" s="120">
        <f t="shared" si="6"/>
        <v>204067949</v>
      </c>
      <c r="F299" s="111" t="s">
        <v>659</v>
      </c>
    </row>
    <row r="300" spans="1:6" hidden="1" outlineLevel="1">
      <c r="A300" s="1111" t="s">
        <v>660</v>
      </c>
      <c r="B300" s="122">
        <v>0</v>
      </c>
      <c r="C300" s="70">
        <v>95152</v>
      </c>
      <c r="D300" s="133">
        <v>1057549</v>
      </c>
      <c r="E300" s="120">
        <f t="shared" si="6"/>
        <v>1152701</v>
      </c>
      <c r="F300" s="111" t="s">
        <v>661</v>
      </c>
    </row>
    <row r="301" spans="1:6" hidden="1" outlineLevel="1">
      <c r="A301" s="1111" t="s">
        <v>662</v>
      </c>
      <c r="B301" s="122">
        <v>0</v>
      </c>
      <c r="C301" s="70">
        <v>7895376</v>
      </c>
      <c r="D301" s="133">
        <v>289159817</v>
      </c>
      <c r="E301" s="120">
        <f t="shared" si="6"/>
        <v>297055193</v>
      </c>
      <c r="F301" s="111" t="s">
        <v>663</v>
      </c>
    </row>
    <row r="302" spans="1:6" hidden="1" outlineLevel="1">
      <c r="A302" s="1111" t="s">
        <v>664</v>
      </c>
      <c r="B302" s="122">
        <v>0</v>
      </c>
      <c r="C302" s="70">
        <v>167557</v>
      </c>
      <c r="D302" s="133">
        <v>888957</v>
      </c>
      <c r="E302" s="120">
        <f t="shared" si="6"/>
        <v>1056514</v>
      </c>
      <c r="F302" s="111" t="s">
        <v>665</v>
      </c>
    </row>
    <row r="303" spans="1:6" hidden="1" outlineLevel="1">
      <c r="A303" s="1111" t="s">
        <v>666</v>
      </c>
      <c r="B303" s="122">
        <v>0</v>
      </c>
      <c r="C303" s="70">
        <v>429366</v>
      </c>
      <c r="D303" s="133">
        <v>214806</v>
      </c>
      <c r="E303" s="120">
        <f t="shared" si="6"/>
        <v>644172</v>
      </c>
      <c r="F303" s="111" t="s">
        <v>667</v>
      </c>
    </row>
    <row r="304" spans="1:6" hidden="1" outlineLevel="1">
      <c r="A304" s="1111" t="s">
        <v>668</v>
      </c>
      <c r="B304" s="122">
        <v>0</v>
      </c>
      <c r="C304" s="70">
        <v>0</v>
      </c>
      <c r="D304" s="133">
        <v>0</v>
      </c>
      <c r="E304" s="120">
        <f t="shared" si="6"/>
        <v>0</v>
      </c>
      <c r="F304" s="111" t="s">
        <v>669</v>
      </c>
    </row>
    <row r="305" spans="1:6" hidden="1" outlineLevel="1">
      <c r="A305" s="1111" t="s">
        <v>670</v>
      </c>
      <c r="B305" s="122">
        <v>0</v>
      </c>
      <c r="C305" s="70">
        <v>178092</v>
      </c>
      <c r="D305" s="133">
        <v>775267</v>
      </c>
      <c r="E305" s="120">
        <f t="shared" si="6"/>
        <v>953359</v>
      </c>
      <c r="F305" s="111" t="s">
        <v>671</v>
      </c>
    </row>
    <row r="306" spans="1:6" hidden="1" outlineLevel="1">
      <c r="A306" s="1111" t="s">
        <v>672</v>
      </c>
      <c r="B306" s="122">
        <v>0</v>
      </c>
      <c r="C306" s="70">
        <v>30082</v>
      </c>
      <c r="D306" s="133">
        <v>18614</v>
      </c>
      <c r="E306" s="120">
        <f t="shared" si="6"/>
        <v>48696</v>
      </c>
      <c r="F306" s="111" t="s">
        <v>673</v>
      </c>
    </row>
    <row r="307" spans="1:6" hidden="1" outlineLevel="1">
      <c r="A307" s="1111" t="s">
        <v>674</v>
      </c>
      <c r="B307" s="122">
        <v>0</v>
      </c>
      <c r="C307" s="70">
        <v>2159860</v>
      </c>
      <c r="D307" s="133">
        <v>533743</v>
      </c>
      <c r="E307" s="120">
        <f t="shared" si="6"/>
        <v>2693603</v>
      </c>
      <c r="F307" s="111" t="s">
        <v>675</v>
      </c>
    </row>
    <row r="308" spans="1:6" hidden="1" outlineLevel="1">
      <c r="A308" s="1111" t="s">
        <v>676</v>
      </c>
      <c r="B308" s="122">
        <v>0</v>
      </c>
      <c r="C308" s="70">
        <v>625881</v>
      </c>
      <c r="D308" s="133">
        <v>2629158</v>
      </c>
      <c r="E308" s="120">
        <f t="shared" si="6"/>
        <v>3255039</v>
      </c>
      <c r="F308" s="111" t="s">
        <v>677</v>
      </c>
    </row>
    <row r="309" spans="1:6" hidden="1" outlineLevel="1">
      <c r="A309" s="1111" t="s">
        <v>678</v>
      </c>
      <c r="B309" s="122">
        <v>0</v>
      </c>
      <c r="C309" s="70">
        <v>958477</v>
      </c>
      <c r="D309" s="133">
        <v>1757238</v>
      </c>
      <c r="E309" s="120">
        <f t="shared" si="6"/>
        <v>2715715</v>
      </c>
      <c r="F309" s="111" t="s">
        <v>679</v>
      </c>
    </row>
    <row r="310" spans="1:6" hidden="1" outlineLevel="1">
      <c r="A310" s="1111" t="s">
        <v>680</v>
      </c>
      <c r="B310" s="122">
        <v>0</v>
      </c>
      <c r="C310" s="70">
        <v>0</v>
      </c>
      <c r="D310" s="133">
        <v>0</v>
      </c>
      <c r="E310" s="120">
        <f t="shared" si="6"/>
        <v>0</v>
      </c>
      <c r="F310" s="111" t="s">
        <v>681</v>
      </c>
    </row>
    <row r="311" spans="1:6" hidden="1" outlineLevel="1">
      <c r="A311" s="1111" t="s">
        <v>682</v>
      </c>
      <c r="B311" s="122">
        <v>0</v>
      </c>
      <c r="C311" s="70">
        <v>46633</v>
      </c>
      <c r="D311" s="133">
        <v>3291417</v>
      </c>
      <c r="E311" s="120">
        <f t="shared" si="6"/>
        <v>3338050</v>
      </c>
      <c r="F311" s="111" t="s">
        <v>683</v>
      </c>
    </row>
    <row r="312" spans="1:6" hidden="1" outlineLevel="1">
      <c r="A312" s="1111" t="s">
        <v>684</v>
      </c>
      <c r="B312" s="122">
        <v>0</v>
      </c>
      <c r="C312" s="70">
        <v>11362651</v>
      </c>
      <c r="D312" s="133">
        <v>5666454</v>
      </c>
      <c r="E312" s="120">
        <f t="shared" si="6"/>
        <v>17029105</v>
      </c>
      <c r="F312" s="111" t="s">
        <v>685</v>
      </c>
    </row>
    <row r="313" spans="1:6" hidden="1" outlineLevel="1">
      <c r="A313" s="1111" t="s">
        <v>686</v>
      </c>
      <c r="B313" s="122">
        <v>0</v>
      </c>
      <c r="C313" s="70">
        <v>0</v>
      </c>
      <c r="D313" s="133">
        <v>0</v>
      </c>
      <c r="E313" s="120">
        <f t="shared" si="6"/>
        <v>0</v>
      </c>
      <c r="F313" s="111" t="s">
        <v>687</v>
      </c>
    </row>
    <row r="314" spans="1:6" hidden="1" outlineLevel="1">
      <c r="A314" s="1111" t="s">
        <v>688</v>
      </c>
      <c r="B314" s="122">
        <v>0</v>
      </c>
      <c r="C314" s="70">
        <v>230284</v>
      </c>
      <c r="D314" s="133">
        <v>5225761</v>
      </c>
      <c r="E314" s="120">
        <f t="shared" si="6"/>
        <v>5456045</v>
      </c>
      <c r="F314" s="111" t="s">
        <v>689</v>
      </c>
    </row>
    <row r="315" spans="1:6" hidden="1" outlineLevel="1">
      <c r="A315" s="1111" t="s">
        <v>690</v>
      </c>
      <c r="B315" s="122">
        <v>0</v>
      </c>
      <c r="C315" s="70">
        <v>213646</v>
      </c>
      <c r="D315" s="133">
        <v>1420421</v>
      </c>
      <c r="E315" s="120">
        <f t="shared" si="6"/>
        <v>1634067</v>
      </c>
      <c r="F315" s="111" t="s">
        <v>691</v>
      </c>
    </row>
    <row r="316" spans="1:6" hidden="1" outlineLevel="1">
      <c r="A316" s="1111" t="s">
        <v>692</v>
      </c>
      <c r="B316" s="122">
        <v>0</v>
      </c>
      <c r="C316" s="70">
        <v>1245700</v>
      </c>
      <c r="D316" s="133">
        <v>1509928</v>
      </c>
      <c r="E316" s="120">
        <f t="shared" si="6"/>
        <v>2755628</v>
      </c>
      <c r="F316" s="111" t="s">
        <v>693</v>
      </c>
    </row>
    <row r="317" spans="1:6" hidden="1" outlineLevel="1">
      <c r="A317" s="1111" t="s">
        <v>694</v>
      </c>
      <c r="B317" s="122">
        <v>0</v>
      </c>
      <c r="C317" s="70">
        <v>0</v>
      </c>
      <c r="D317" s="133">
        <v>0</v>
      </c>
      <c r="E317" s="120">
        <f t="shared" si="6"/>
        <v>0</v>
      </c>
      <c r="F317" s="111" t="s">
        <v>695</v>
      </c>
    </row>
    <row r="318" spans="1:6" hidden="1" outlineLevel="1">
      <c r="A318" s="1111" t="s">
        <v>696</v>
      </c>
      <c r="B318" s="122">
        <v>0</v>
      </c>
      <c r="C318" s="70">
        <v>267395</v>
      </c>
      <c r="D318" s="133">
        <v>3840786</v>
      </c>
      <c r="E318" s="120">
        <f t="shared" si="6"/>
        <v>4108181</v>
      </c>
      <c r="F318" s="111" t="s">
        <v>697</v>
      </c>
    </row>
    <row r="319" spans="1:6" hidden="1" outlineLevel="1">
      <c r="A319" s="1111" t="s">
        <v>698</v>
      </c>
      <c r="B319" s="122">
        <v>0</v>
      </c>
      <c r="C319" s="70">
        <v>433403</v>
      </c>
      <c r="D319" s="133">
        <v>3497417</v>
      </c>
      <c r="E319" s="120">
        <f t="shared" si="6"/>
        <v>3930820</v>
      </c>
      <c r="F319" s="111" t="s">
        <v>699</v>
      </c>
    </row>
    <row r="320" spans="1:6" hidden="1" outlineLevel="1">
      <c r="A320" s="1111" t="s">
        <v>700</v>
      </c>
      <c r="B320" s="122">
        <v>0</v>
      </c>
      <c r="C320" s="70">
        <v>0</v>
      </c>
      <c r="D320" s="133">
        <v>59830</v>
      </c>
      <c r="E320" s="120">
        <f t="shared" si="6"/>
        <v>59830</v>
      </c>
      <c r="F320" s="111" t="s">
        <v>701</v>
      </c>
    </row>
    <row r="321" spans="1:6" hidden="1" outlineLevel="1">
      <c r="A321" s="1111" t="s">
        <v>702</v>
      </c>
      <c r="B321" s="122">
        <v>0</v>
      </c>
      <c r="C321" s="70">
        <v>574721</v>
      </c>
      <c r="D321" s="133">
        <v>2609067</v>
      </c>
      <c r="E321" s="120">
        <f t="shared" si="6"/>
        <v>3183788</v>
      </c>
      <c r="F321" s="111" t="s">
        <v>703</v>
      </c>
    </row>
    <row r="322" spans="1:6" hidden="1" outlineLevel="1">
      <c r="A322" s="1111" t="s">
        <v>704</v>
      </c>
      <c r="B322" s="122">
        <v>0</v>
      </c>
      <c r="C322" s="70">
        <v>71489</v>
      </c>
      <c r="D322" s="133">
        <v>614695</v>
      </c>
      <c r="E322" s="120">
        <f t="shared" si="6"/>
        <v>686184</v>
      </c>
      <c r="F322" s="111" t="s">
        <v>705</v>
      </c>
    </row>
    <row r="323" spans="1:6" hidden="1" outlineLevel="1">
      <c r="A323" s="1111" t="s">
        <v>706</v>
      </c>
      <c r="B323" s="122">
        <v>0</v>
      </c>
      <c r="C323" s="70">
        <v>1977774</v>
      </c>
      <c r="D323" s="133">
        <v>10090647</v>
      </c>
      <c r="E323" s="120">
        <f t="shared" si="6"/>
        <v>12068421</v>
      </c>
      <c r="F323" s="111" t="s">
        <v>707</v>
      </c>
    </row>
    <row r="324" spans="1:6" hidden="1" outlineLevel="1">
      <c r="A324" s="1111" t="s">
        <v>708</v>
      </c>
      <c r="B324" s="122">
        <v>0</v>
      </c>
      <c r="C324" s="70">
        <v>1101570</v>
      </c>
      <c r="D324" s="133">
        <v>7145542</v>
      </c>
      <c r="E324" s="120">
        <f t="shared" si="6"/>
        <v>8247112</v>
      </c>
      <c r="F324" s="111" t="s">
        <v>709</v>
      </c>
    </row>
    <row r="325" spans="1:6" hidden="1" outlineLevel="1">
      <c r="A325" s="1111" t="s">
        <v>710</v>
      </c>
      <c r="B325" s="122">
        <v>0</v>
      </c>
      <c r="C325" s="70">
        <v>515409</v>
      </c>
      <c r="D325" s="133">
        <v>922830</v>
      </c>
      <c r="E325" s="120">
        <f t="shared" si="6"/>
        <v>1438239</v>
      </c>
      <c r="F325" s="111" t="s">
        <v>711</v>
      </c>
    </row>
    <row r="326" spans="1:6" hidden="1" outlineLevel="1">
      <c r="A326" s="1111" t="s">
        <v>712</v>
      </c>
      <c r="B326" s="122">
        <v>0</v>
      </c>
      <c r="C326" s="70">
        <v>1811016</v>
      </c>
      <c r="D326" s="133">
        <v>1889419</v>
      </c>
      <c r="E326" s="120">
        <f t="shared" si="6"/>
        <v>3700435</v>
      </c>
      <c r="F326" s="111" t="s">
        <v>713</v>
      </c>
    </row>
    <row r="327" spans="1:6" hidden="1" outlineLevel="1">
      <c r="A327" s="1111" t="s">
        <v>714</v>
      </c>
      <c r="B327" s="122">
        <v>0</v>
      </c>
      <c r="C327" s="70">
        <v>0</v>
      </c>
      <c r="D327" s="133">
        <v>243021</v>
      </c>
      <c r="E327" s="120">
        <f t="shared" si="6"/>
        <v>243021</v>
      </c>
      <c r="F327" s="111" t="s">
        <v>715</v>
      </c>
    </row>
    <row r="328" spans="1:6" hidden="1" outlineLevel="1">
      <c r="A328" s="1111" t="s">
        <v>716</v>
      </c>
      <c r="B328" s="122">
        <v>0</v>
      </c>
      <c r="C328" s="70">
        <v>115338</v>
      </c>
      <c r="D328" s="133">
        <v>1386999</v>
      </c>
      <c r="E328" s="120">
        <f t="shared" si="6"/>
        <v>1502337</v>
      </c>
      <c r="F328" s="111" t="s">
        <v>717</v>
      </c>
    </row>
    <row r="329" spans="1:6" hidden="1" outlineLevel="1">
      <c r="A329" s="1111" t="s">
        <v>718</v>
      </c>
      <c r="B329" s="122">
        <v>0</v>
      </c>
      <c r="C329" s="70">
        <v>14449</v>
      </c>
      <c r="D329" s="133">
        <v>625917</v>
      </c>
      <c r="E329" s="120">
        <f t="shared" si="6"/>
        <v>640366</v>
      </c>
      <c r="F329" s="111" t="s">
        <v>719</v>
      </c>
    </row>
    <row r="330" spans="1:6" hidden="1" outlineLevel="1">
      <c r="A330" s="1111" t="s">
        <v>720</v>
      </c>
      <c r="B330" s="122">
        <v>0</v>
      </c>
      <c r="C330" s="70">
        <v>0</v>
      </c>
      <c r="D330" s="133">
        <v>20485189</v>
      </c>
      <c r="E330" s="120">
        <f t="shared" si="6"/>
        <v>20485189</v>
      </c>
      <c r="F330" s="111" t="s">
        <v>721</v>
      </c>
    </row>
    <row r="331" spans="1:6" hidden="1" outlineLevel="1">
      <c r="A331" s="1111" t="s">
        <v>722</v>
      </c>
      <c r="B331" s="122">
        <v>0</v>
      </c>
      <c r="C331" s="70">
        <v>310002</v>
      </c>
      <c r="D331" s="133">
        <v>935299</v>
      </c>
      <c r="E331" s="120">
        <f t="shared" si="6"/>
        <v>1245301</v>
      </c>
      <c r="F331" s="111" t="s">
        <v>723</v>
      </c>
    </row>
    <row r="332" spans="1:6" hidden="1" outlineLevel="1">
      <c r="A332" s="1111" t="s">
        <v>724</v>
      </c>
      <c r="B332" s="122">
        <v>0</v>
      </c>
      <c r="C332" s="70">
        <v>312251</v>
      </c>
      <c r="D332" s="133">
        <v>1187168</v>
      </c>
      <c r="E332" s="120">
        <f t="shared" si="6"/>
        <v>1499419</v>
      </c>
      <c r="F332" s="111" t="s">
        <v>725</v>
      </c>
    </row>
    <row r="333" spans="1:6" hidden="1" outlineLevel="1">
      <c r="A333" s="1111" t="s">
        <v>726</v>
      </c>
      <c r="B333" s="122">
        <v>0</v>
      </c>
      <c r="C333" s="70">
        <v>3060767</v>
      </c>
      <c r="D333" s="133">
        <v>969035</v>
      </c>
      <c r="E333" s="120">
        <f t="shared" si="6"/>
        <v>4029802</v>
      </c>
      <c r="F333" s="111" t="s">
        <v>727</v>
      </c>
    </row>
    <row r="334" spans="1:6" hidden="1" outlineLevel="1">
      <c r="A334" s="1111" t="s">
        <v>728</v>
      </c>
      <c r="B334" s="122">
        <v>0</v>
      </c>
      <c r="C334" s="70">
        <v>263624</v>
      </c>
      <c r="D334" s="133">
        <v>1539</v>
      </c>
      <c r="E334" s="120">
        <f t="shared" si="6"/>
        <v>265163</v>
      </c>
      <c r="F334" s="111" t="s">
        <v>729</v>
      </c>
    </row>
    <row r="335" spans="1:6" hidden="1" outlineLevel="1">
      <c r="A335" s="1111" t="s">
        <v>730</v>
      </c>
      <c r="B335" s="122">
        <v>0</v>
      </c>
      <c r="C335" s="70">
        <v>8340</v>
      </c>
      <c r="D335" s="133">
        <v>420509</v>
      </c>
      <c r="E335" s="120">
        <f t="shared" si="6"/>
        <v>428849</v>
      </c>
      <c r="F335" s="111" t="s">
        <v>731</v>
      </c>
    </row>
    <row r="336" spans="1:6" hidden="1" outlineLevel="1">
      <c r="A336" s="1111" t="s">
        <v>732</v>
      </c>
      <c r="B336" s="122">
        <v>0</v>
      </c>
      <c r="C336" s="70">
        <v>0</v>
      </c>
      <c r="D336" s="133">
        <v>0</v>
      </c>
      <c r="E336" s="120">
        <f t="shared" si="6"/>
        <v>0</v>
      </c>
      <c r="F336" s="111" t="s">
        <v>733</v>
      </c>
    </row>
    <row r="337" spans="1:6" hidden="1" outlineLevel="1">
      <c r="A337" s="1111" t="s">
        <v>734</v>
      </c>
      <c r="B337" s="122">
        <v>0</v>
      </c>
      <c r="C337" s="70">
        <v>4671202</v>
      </c>
      <c r="D337" s="133">
        <v>3214533</v>
      </c>
      <c r="E337" s="120">
        <f t="shared" si="6"/>
        <v>7885735</v>
      </c>
      <c r="F337" s="111" t="s">
        <v>735</v>
      </c>
    </row>
    <row r="338" spans="1:6" hidden="1" outlineLevel="1">
      <c r="A338" s="1111" t="s">
        <v>736</v>
      </c>
      <c r="B338" s="122">
        <v>0</v>
      </c>
      <c r="C338" s="70">
        <v>312559</v>
      </c>
      <c r="D338" s="133">
        <v>1339882</v>
      </c>
      <c r="E338" s="120">
        <f t="shared" si="6"/>
        <v>1652441</v>
      </c>
      <c r="F338" s="111" t="s">
        <v>737</v>
      </c>
    </row>
    <row r="339" spans="1:6" hidden="1" outlineLevel="1">
      <c r="A339" s="1111" t="s">
        <v>738</v>
      </c>
      <c r="B339" s="122">
        <v>0</v>
      </c>
      <c r="C339" s="70">
        <v>24610</v>
      </c>
      <c r="D339" s="133">
        <v>199493</v>
      </c>
      <c r="E339" s="120">
        <f t="shared" si="6"/>
        <v>224103</v>
      </c>
      <c r="F339" s="111" t="s">
        <v>739</v>
      </c>
    </row>
    <row r="340" spans="1:6" hidden="1" outlineLevel="1">
      <c r="A340" s="1111" t="s">
        <v>740</v>
      </c>
      <c r="B340" s="122">
        <v>0</v>
      </c>
      <c r="C340" s="70">
        <v>0</v>
      </c>
      <c r="D340" s="133">
        <v>0</v>
      </c>
      <c r="E340" s="120">
        <f t="shared" si="6"/>
        <v>0</v>
      </c>
      <c r="F340" s="111" t="s">
        <v>741</v>
      </c>
    </row>
    <row r="341" spans="1:6" hidden="1" outlineLevel="1">
      <c r="A341" s="1111" t="s">
        <v>742</v>
      </c>
      <c r="B341" s="122">
        <v>0</v>
      </c>
      <c r="C341" s="70">
        <v>73308</v>
      </c>
      <c r="D341" s="133">
        <v>908220</v>
      </c>
      <c r="E341" s="120">
        <f t="shared" si="6"/>
        <v>981528</v>
      </c>
      <c r="F341" s="111" t="s">
        <v>743</v>
      </c>
    </row>
    <row r="342" spans="1:6" hidden="1" outlineLevel="1">
      <c r="A342" s="1111" t="s">
        <v>744</v>
      </c>
      <c r="B342" s="122">
        <v>0</v>
      </c>
      <c r="C342" s="70">
        <v>125186</v>
      </c>
      <c r="D342" s="133">
        <v>970679</v>
      </c>
      <c r="E342" s="120">
        <f t="shared" si="6"/>
        <v>1095865</v>
      </c>
      <c r="F342" s="111" t="s">
        <v>745</v>
      </c>
    </row>
    <row r="343" spans="1:6" hidden="1" outlineLevel="1">
      <c r="A343" s="1111" t="s">
        <v>746</v>
      </c>
      <c r="B343" s="122">
        <v>0</v>
      </c>
      <c r="C343" s="70">
        <v>0</v>
      </c>
      <c r="D343" s="133">
        <v>0</v>
      </c>
      <c r="E343" s="120">
        <f t="shared" si="6"/>
        <v>0</v>
      </c>
      <c r="F343" s="111" t="s">
        <v>747</v>
      </c>
    </row>
    <row r="344" spans="1:6" hidden="1" outlineLevel="1">
      <c r="A344" s="1111" t="s">
        <v>748</v>
      </c>
      <c r="B344" s="122">
        <v>0</v>
      </c>
      <c r="C344" s="70">
        <v>54519</v>
      </c>
      <c r="D344" s="133">
        <v>585955</v>
      </c>
      <c r="E344" s="120">
        <f t="shared" si="6"/>
        <v>640474</v>
      </c>
      <c r="F344" s="111" t="s">
        <v>749</v>
      </c>
    </row>
    <row r="345" spans="1:6" hidden="1" outlineLevel="1">
      <c r="A345" s="1111" t="s">
        <v>750</v>
      </c>
      <c r="B345" s="122">
        <v>0</v>
      </c>
      <c r="C345" s="70">
        <v>0</v>
      </c>
      <c r="D345" s="133">
        <v>400632</v>
      </c>
      <c r="E345" s="120">
        <f t="shared" si="6"/>
        <v>400632</v>
      </c>
      <c r="F345" s="111" t="s">
        <v>751</v>
      </c>
    </row>
    <row r="346" spans="1:6" hidden="1" outlineLevel="1">
      <c r="A346" s="1111" t="s">
        <v>752</v>
      </c>
      <c r="B346" s="122">
        <v>0</v>
      </c>
      <c r="C346" s="70">
        <v>1594139</v>
      </c>
      <c r="D346" s="133">
        <v>3828412</v>
      </c>
      <c r="E346" s="120">
        <f t="shared" si="6"/>
        <v>5422551</v>
      </c>
      <c r="F346" s="111" t="s">
        <v>753</v>
      </c>
    </row>
    <row r="347" spans="1:6" hidden="1" outlineLevel="1">
      <c r="A347" s="1111" t="s">
        <v>754</v>
      </c>
      <c r="B347" s="122">
        <v>60780521</v>
      </c>
      <c r="C347" s="70">
        <v>190926875</v>
      </c>
      <c r="D347" s="133">
        <v>471026000</v>
      </c>
      <c r="E347" s="120">
        <f t="shared" si="6"/>
        <v>722733396</v>
      </c>
      <c r="F347" s="111" t="s">
        <v>755</v>
      </c>
    </row>
    <row r="348" spans="1:6" hidden="1" outlineLevel="1">
      <c r="A348" s="1111" t="s">
        <v>756</v>
      </c>
      <c r="B348" s="122">
        <v>0</v>
      </c>
      <c r="C348" s="70">
        <v>142646</v>
      </c>
      <c r="D348" s="133">
        <v>4818720</v>
      </c>
      <c r="E348" s="120">
        <f t="shared" si="6"/>
        <v>4961366</v>
      </c>
      <c r="F348" s="111" t="s">
        <v>610</v>
      </c>
    </row>
    <row r="349" spans="1:6" hidden="1" outlineLevel="1">
      <c r="A349" s="1111" t="s">
        <v>757</v>
      </c>
      <c r="B349" s="122">
        <v>0</v>
      </c>
      <c r="C349" s="70">
        <v>0</v>
      </c>
      <c r="D349" s="133">
        <v>0</v>
      </c>
      <c r="E349" s="120">
        <f t="shared" si="6"/>
        <v>0</v>
      </c>
      <c r="F349" s="111" t="s">
        <v>758</v>
      </c>
    </row>
    <row r="350" spans="1:6" hidden="1" outlineLevel="1">
      <c r="A350" s="1111" t="s">
        <v>759</v>
      </c>
      <c r="B350" s="122">
        <v>0</v>
      </c>
      <c r="C350" s="70">
        <v>405997</v>
      </c>
      <c r="D350" s="133">
        <v>1008295</v>
      </c>
      <c r="E350" s="120">
        <f t="shared" si="6"/>
        <v>1414292</v>
      </c>
      <c r="F350" s="111" t="s">
        <v>760</v>
      </c>
    </row>
    <row r="351" spans="1:6" hidden="1" outlineLevel="1">
      <c r="A351" s="1111" t="s">
        <v>761</v>
      </c>
      <c r="B351" s="122">
        <v>0</v>
      </c>
      <c r="C351" s="70">
        <v>0</v>
      </c>
      <c r="D351" s="133">
        <v>18614353</v>
      </c>
      <c r="E351" s="120">
        <f t="shared" si="6"/>
        <v>18614353</v>
      </c>
      <c r="F351" s="111" t="s">
        <v>762</v>
      </c>
    </row>
    <row r="352" spans="1:6" hidden="1" outlineLevel="1">
      <c r="A352" s="1111" t="s">
        <v>763</v>
      </c>
      <c r="B352" s="122">
        <v>0</v>
      </c>
      <c r="C352" s="70">
        <v>814204</v>
      </c>
      <c r="D352" s="133">
        <v>1017056</v>
      </c>
      <c r="E352" s="120">
        <f t="shared" si="6"/>
        <v>1831260</v>
      </c>
      <c r="F352" s="111" t="s">
        <v>764</v>
      </c>
    </row>
    <row r="353" spans="1:6" hidden="1" outlineLevel="1">
      <c r="A353" s="1111" t="s">
        <v>765</v>
      </c>
      <c r="B353" s="122">
        <v>0</v>
      </c>
      <c r="C353" s="70">
        <v>283064</v>
      </c>
      <c r="D353" s="133">
        <v>115855</v>
      </c>
      <c r="E353" s="120">
        <f t="shared" si="6"/>
        <v>398919</v>
      </c>
      <c r="F353" s="111" t="s">
        <v>766</v>
      </c>
    </row>
    <row r="354" spans="1:6" hidden="1" outlineLevel="1">
      <c r="A354" s="1111" t="s">
        <v>767</v>
      </c>
      <c r="B354" s="122">
        <v>0</v>
      </c>
      <c r="C354" s="70">
        <v>0</v>
      </c>
      <c r="D354" s="133">
        <v>676908</v>
      </c>
      <c r="E354" s="120">
        <f t="shared" si="6"/>
        <v>676908</v>
      </c>
      <c r="F354" s="111" t="s">
        <v>768</v>
      </c>
    </row>
    <row r="355" spans="1:6" hidden="1" outlineLevel="1">
      <c r="A355" s="1111" t="s">
        <v>769</v>
      </c>
      <c r="B355" s="122">
        <v>0</v>
      </c>
      <c r="C355" s="70">
        <v>3015</v>
      </c>
      <c r="D355" s="133">
        <v>893282</v>
      </c>
      <c r="E355" s="120">
        <f t="shared" si="6"/>
        <v>896297</v>
      </c>
      <c r="F355" s="111" t="s">
        <v>770</v>
      </c>
    </row>
    <row r="356" spans="1:6" hidden="1" outlineLevel="1">
      <c r="A356" s="1111" t="s">
        <v>771</v>
      </c>
      <c r="B356" s="122">
        <v>0</v>
      </c>
      <c r="C356" s="70">
        <v>350279</v>
      </c>
      <c r="D356" s="133">
        <v>558719</v>
      </c>
      <c r="E356" s="120">
        <f t="shared" si="6"/>
        <v>908998</v>
      </c>
      <c r="F356" s="111" t="s">
        <v>772</v>
      </c>
    </row>
    <row r="357" spans="1:6" hidden="1" outlineLevel="1">
      <c r="A357" s="1111" t="s">
        <v>773</v>
      </c>
      <c r="B357" s="122">
        <v>0</v>
      </c>
      <c r="C357" s="70">
        <v>6917392</v>
      </c>
      <c r="D357" s="133">
        <v>5059039</v>
      </c>
      <c r="E357" s="120">
        <f t="shared" si="6"/>
        <v>11976431</v>
      </c>
      <c r="F357" s="111" t="s">
        <v>774</v>
      </c>
    </row>
    <row r="358" spans="1:6" hidden="1" outlineLevel="1">
      <c r="A358" s="1111" t="s">
        <v>356</v>
      </c>
      <c r="B358" s="122">
        <v>0</v>
      </c>
      <c r="C358" s="70">
        <v>0</v>
      </c>
      <c r="D358" s="133">
        <v>0</v>
      </c>
      <c r="E358" s="120">
        <f t="shared" si="6"/>
        <v>0</v>
      </c>
      <c r="F358" s="111" t="s">
        <v>357</v>
      </c>
    </row>
    <row r="359" spans="1:6" hidden="1" outlineLevel="1">
      <c r="A359" s="1111" t="s">
        <v>775</v>
      </c>
      <c r="B359" s="122">
        <v>0</v>
      </c>
      <c r="C359" s="70">
        <v>11360049</v>
      </c>
      <c r="D359" s="133">
        <v>7771128</v>
      </c>
      <c r="E359" s="120">
        <f t="shared" si="6"/>
        <v>19131177</v>
      </c>
      <c r="F359" s="111" t="s">
        <v>776</v>
      </c>
    </row>
    <row r="360" spans="1:6" hidden="1" outlineLevel="1">
      <c r="A360" s="1111" t="s">
        <v>777</v>
      </c>
      <c r="B360" s="122">
        <v>0</v>
      </c>
      <c r="C360" s="70">
        <v>949071</v>
      </c>
      <c r="D360" s="133">
        <v>4698864</v>
      </c>
      <c r="E360" s="120">
        <f t="shared" ref="E360:E404" si="7">SUM(B360:D360)</f>
        <v>5647935</v>
      </c>
      <c r="F360" s="111" t="s">
        <v>778</v>
      </c>
    </row>
    <row r="361" spans="1:6" hidden="1" outlineLevel="1">
      <c r="A361" s="1111" t="s">
        <v>360</v>
      </c>
      <c r="B361" s="122">
        <v>0</v>
      </c>
      <c r="C361" s="70">
        <v>0</v>
      </c>
      <c r="D361" s="133">
        <v>0</v>
      </c>
      <c r="E361" s="120">
        <f t="shared" si="7"/>
        <v>0</v>
      </c>
      <c r="F361" s="111" t="s">
        <v>361</v>
      </c>
    </row>
    <row r="362" spans="1:6" hidden="1" outlineLevel="1">
      <c r="A362" s="1111" t="s">
        <v>779</v>
      </c>
      <c r="B362" s="122">
        <v>0</v>
      </c>
      <c r="C362" s="70">
        <v>40402</v>
      </c>
      <c r="D362" s="133">
        <v>674950</v>
      </c>
      <c r="E362" s="120">
        <f t="shared" si="7"/>
        <v>715352</v>
      </c>
      <c r="F362" s="111" t="s">
        <v>780</v>
      </c>
    </row>
    <row r="363" spans="1:6" hidden="1" outlineLevel="1">
      <c r="A363" s="1111" t="s">
        <v>781</v>
      </c>
      <c r="B363" s="122">
        <v>0</v>
      </c>
      <c r="C363" s="70">
        <v>767926</v>
      </c>
      <c r="D363" s="133">
        <v>2378052</v>
      </c>
      <c r="E363" s="120">
        <f t="shared" si="7"/>
        <v>3145978</v>
      </c>
      <c r="F363" s="111" t="s">
        <v>782</v>
      </c>
    </row>
    <row r="364" spans="1:6" hidden="1" outlineLevel="1">
      <c r="A364" s="1111" t="s">
        <v>783</v>
      </c>
      <c r="B364" s="122">
        <v>0</v>
      </c>
      <c r="C364" s="70">
        <v>15200</v>
      </c>
      <c r="D364" s="133">
        <v>315495</v>
      </c>
      <c r="E364" s="120">
        <f t="shared" si="7"/>
        <v>330695</v>
      </c>
      <c r="F364" s="111" t="s">
        <v>784</v>
      </c>
    </row>
    <row r="365" spans="1:6" hidden="1" outlineLevel="1">
      <c r="A365" s="1111" t="s">
        <v>785</v>
      </c>
      <c r="B365" s="122">
        <v>0</v>
      </c>
      <c r="C365" s="70">
        <v>147198</v>
      </c>
      <c r="D365" s="133">
        <v>132373854</v>
      </c>
      <c r="E365" s="120">
        <f t="shared" si="7"/>
        <v>132521052</v>
      </c>
      <c r="F365" s="111" t="s">
        <v>786</v>
      </c>
    </row>
    <row r="366" spans="1:6" hidden="1" outlineLevel="1">
      <c r="A366" s="1111" t="s">
        <v>787</v>
      </c>
      <c r="B366" s="122">
        <v>0</v>
      </c>
      <c r="C366" s="70">
        <v>104436</v>
      </c>
      <c r="D366" s="133">
        <v>6289650</v>
      </c>
      <c r="E366" s="120">
        <f t="shared" si="7"/>
        <v>6394086</v>
      </c>
      <c r="F366" s="111" t="s">
        <v>788</v>
      </c>
    </row>
    <row r="367" spans="1:6" hidden="1" outlineLevel="1">
      <c r="A367" s="1111" t="s">
        <v>789</v>
      </c>
      <c r="B367" s="122">
        <v>0</v>
      </c>
      <c r="C367" s="70">
        <v>0</v>
      </c>
      <c r="D367" s="133">
        <v>0</v>
      </c>
      <c r="E367" s="120">
        <f t="shared" si="7"/>
        <v>0</v>
      </c>
      <c r="F367" s="111" t="s">
        <v>790</v>
      </c>
    </row>
    <row r="368" spans="1:6" hidden="1" outlineLevel="1">
      <c r="A368" s="1111" t="s">
        <v>791</v>
      </c>
      <c r="B368" s="122">
        <v>0</v>
      </c>
      <c r="C368" s="70">
        <v>35941</v>
      </c>
      <c r="D368" s="133">
        <v>24324406</v>
      </c>
      <c r="E368" s="120">
        <f t="shared" si="7"/>
        <v>24360347</v>
      </c>
      <c r="F368" s="111" t="s">
        <v>792</v>
      </c>
    </row>
    <row r="369" spans="1:6" hidden="1" outlineLevel="1">
      <c r="A369" s="1111" t="s">
        <v>793</v>
      </c>
      <c r="B369" s="122">
        <v>0</v>
      </c>
      <c r="C369" s="70">
        <v>0</v>
      </c>
      <c r="D369" s="133">
        <v>843101</v>
      </c>
      <c r="E369" s="120">
        <f t="shared" si="7"/>
        <v>843101</v>
      </c>
      <c r="F369" s="111" t="s">
        <v>794</v>
      </c>
    </row>
    <row r="370" spans="1:6" hidden="1" outlineLevel="1">
      <c r="A370" s="1111" t="s">
        <v>795</v>
      </c>
      <c r="B370" s="122">
        <v>0</v>
      </c>
      <c r="C370" s="70">
        <v>833999</v>
      </c>
      <c r="D370" s="133">
        <v>1030157</v>
      </c>
      <c r="E370" s="120">
        <f t="shared" si="7"/>
        <v>1864156</v>
      </c>
      <c r="F370" s="111" t="s">
        <v>796</v>
      </c>
    </row>
    <row r="371" spans="1:6" hidden="1" outlineLevel="1">
      <c r="A371" s="1111" t="s">
        <v>797</v>
      </c>
      <c r="B371" s="122">
        <v>0</v>
      </c>
      <c r="C371" s="70">
        <v>15241</v>
      </c>
      <c r="D371" s="133">
        <v>150156</v>
      </c>
      <c r="E371" s="120">
        <f t="shared" si="7"/>
        <v>165397</v>
      </c>
      <c r="F371" s="111" t="s">
        <v>798</v>
      </c>
    </row>
    <row r="372" spans="1:6" hidden="1" outlineLevel="1">
      <c r="A372" s="1111" t="s">
        <v>799</v>
      </c>
      <c r="B372" s="122">
        <v>0</v>
      </c>
      <c r="C372" s="70">
        <v>0</v>
      </c>
      <c r="D372" s="133">
        <v>4561</v>
      </c>
      <c r="E372" s="120">
        <f t="shared" si="7"/>
        <v>4561</v>
      </c>
      <c r="F372" s="111" t="s">
        <v>800</v>
      </c>
    </row>
    <row r="373" spans="1:6" hidden="1" outlineLevel="1">
      <c r="A373" s="1111" t="s">
        <v>801</v>
      </c>
      <c r="B373" s="122">
        <v>0</v>
      </c>
      <c r="C373" s="70">
        <v>0</v>
      </c>
      <c r="D373" s="133">
        <v>0</v>
      </c>
      <c r="E373" s="120">
        <f t="shared" si="7"/>
        <v>0</v>
      </c>
      <c r="F373" s="111" t="s">
        <v>802</v>
      </c>
    </row>
    <row r="374" spans="1:6" hidden="1" outlineLevel="1">
      <c r="A374" s="1111" t="s">
        <v>803</v>
      </c>
      <c r="B374" s="122">
        <v>0</v>
      </c>
      <c r="C374" s="70">
        <v>0</v>
      </c>
      <c r="D374" s="133">
        <v>0</v>
      </c>
      <c r="E374" s="120">
        <f t="shared" si="7"/>
        <v>0</v>
      </c>
      <c r="F374" s="111" t="s">
        <v>804</v>
      </c>
    </row>
    <row r="375" spans="1:6" hidden="1" outlineLevel="1">
      <c r="A375" s="1111" t="s">
        <v>805</v>
      </c>
      <c r="B375" s="122">
        <v>0</v>
      </c>
      <c r="C375" s="70">
        <v>269906</v>
      </c>
      <c r="D375" s="133">
        <v>2027685</v>
      </c>
      <c r="E375" s="120">
        <f t="shared" si="7"/>
        <v>2297591</v>
      </c>
      <c r="F375" s="111" t="s">
        <v>806</v>
      </c>
    </row>
    <row r="376" spans="1:6" hidden="1" outlineLevel="1">
      <c r="A376" s="1111" t="s">
        <v>807</v>
      </c>
      <c r="B376" s="122">
        <v>0</v>
      </c>
      <c r="C376" s="70">
        <v>685765</v>
      </c>
      <c r="D376" s="133">
        <v>541871</v>
      </c>
      <c r="E376" s="120">
        <f t="shared" si="7"/>
        <v>1227636</v>
      </c>
      <c r="F376" s="111" t="s">
        <v>808</v>
      </c>
    </row>
    <row r="377" spans="1:6" hidden="1" outlineLevel="1">
      <c r="A377" s="1111" t="s">
        <v>809</v>
      </c>
      <c r="B377" s="122">
        <v>0</v>
      </c>
      <c r="C377" s="70">
        <v>2622976</v>
      </c>
      <c r="D377" s="133">
        <v>178044413</v>
      </c>
      <c r="E377" s="120">
        <f t="shared" si="7"/>
        <v>180667389</v>
      </c>
      <c r="F377" s="111" t="s">
        <v>810</v>
      </c>
    </row>
    <row r="378" spans="1:6" hidden="1" outlineLevel="1">
      <c r="A378" s="1111" t="s">
        <v>811</v>
      </c>
      <c r="B378" s="122">
        <v>0</v>
      </c>
      <c r="C378" s="70">
        <v>1016848</v>
      </c>
      <c r="D378" s="133">
        <v>3549973</v>
      </c>
      <c r="E378" s="120">
        <f t="shared" si="7"/>
        <v>4566821</v>
      </c>
      <c r="F378" s="111" t="s">
        <v>812</v>
      </c>
    </row>
    <row r="379" spans="1:6" hidden="1" outlineLevel="1">
      <c r="A379" s="1111" t="s">
        <v>813</v>
      </c>
      <c r="B379" s="122">
        <v>0</v>
      </c>
      <c r="C379" s="70">
        <v>50924</v>
      </c>
      <c r="D379" s="133">
        <v>682413</v>
      </c>
      <c r="E379" s="120">
        <f t="shared" si="7"/>
        <v>733337</v>
      </c>
      <c r="F379" s="111" t="s">
        <v>814</v>
      </c>
    </row>
    <row r="380" spans="1:6" hidden="1" outlineLevel="1">
      <c r="A380" s="1111" t="s">
        <v>815</v>
      </c>
      <c r="B380" s="122">
        <v>0</v>
      </c>
      <c r="C380" s="70">
        <v>499449</v>
      </c>
      <c r="D380" s="133">
        <v>1230493</v>
      </c>
      <c r="E380" s="120">
        <f t="shared" si="7"/>
        <v>1729942</v>
      </c>
      <c r="F380" s="111" t="s">
        <v>816</v>
      </c>
    </row>
    <row r="381" spans="1:6" hidden="1" outlineLevel="1">
      <c r="A381" s="1111" t="s">
        <v>817</v>
      </c>
      <c r="B381" s="122">
        <v>0</v>
      </c>
      <c r="C381" s="70">
        <v>547184</v>
      </c>
      <c r="D381" s="133">
        <v>2035046</v>
      </c>
      <c r="E381" s="120">
        <f t="shared" si="7"/>
        <v>2582230</v>
      </c>
      <c r="F381" s="111" t="s">
        <v>818</v>
      </c>
    </row>
    <row r="382" spans="1:6" hidden="1" outlineLevel="1">
      <c r="A382" s="1111" t="s">
        <v>819</v>
      </c>
      <c r="B382" s="122">
        <v>0</v>
      </c>
      <c r="C382" s="70">
        <v>0</v>
      </c>
      <c r="D382" s="133">
        <v>251581</v>
      </c>
      <c r="E382" s="120">
        <f t="shared" si="7"/>
        <v>251581</v>
      </c>
      <c r="F382" s="111" t="s">
        <v>820</v>
      </c>
    </row>
    <row r="383" spans="1:6" hidden="1" outlineLevel="1">
      <c r="A383" s="1111" t="s">
        <v>821</v>
      </c>
      <c r="B383" s="122">
        <v>0</v>
      </c>
      <c r="C383" s="70">
        <v>0</v>
      </c>
      <c r="D383" s="133">
        <v>0</v>
      </c>
      <c r="E383" s="120">
        <f t="shared" si="7"/>
        <v>0</v>
      </c>
      <c r="F383" s="111" t="s">
        <v>822</v>
      </c>
    </row>
    <row r="384" spans="1:6" hidden="1" outlineLevel="1">
      <c r="A384" s="1111" t="s">
        <v>821</v>
      </c>
      <c r="B384" s="122">
        <v>0</v>
      </c>
      <c r="C384" s="70">
        <v>0</v>
      </c>
      <c r="D384" s="133">
        <v>0</v>
      </c>
      <c r="E384" s="120">
        <f t="shared" si="7"/>
        <v>0</v>
      </c>
      <c r="F384" s="111" t="s">
        <v>822</v>
      </c>
    </row>
    <row r="385" spans="1:6" hidden="1" outlineLevel="1">
      <c r="A385" s="1111" t="s">
        <v>821</v>
      </c>
      <c r="B385" s="122">
        <v>0</v>
      </c>
      <c r="C385" s="70">
        <v>0</v>
      </c>
      <c r="D385" s="133">
        <v>0</v>
      </c>
      <c r="E385" s="120">
        <f t="shared" si="7"/>
        <v>0</v>
      </c>
      <c r="F385" s="111" t="s">
        <v>822</v>
      </c>
    </row>
    <row r="386" spans="1:6" hidden="1" outlineLevel="1">
      <c r="A386" s="1111" t="s">
        <v>823</v>
      </c>
      <c r="B386" s="122">
        <v>0</v>
      </c>
      <c r="C386" s="70">
        <v>329385</v>
      </c>
      <c r="D386" s="133">
        <v>282867</v>
      </c>
      <c r="E386" s="120">
        <f t="shared" si="7"/>
        <v>612252</v>
      </c>
      <c r="F386" s="111" t="s">
        <v>824</v>
      </c>
    </row>
    <row r="387" spans="1:6" hidden="1" outlineLevel="1">
      <c r="A387" s="1111" t="s">
        <v>825</v>
      </c>
      <c r="B387" s="122">
        <v>0</v>
      </c>
      <c r="C387" s="70">
        <v>31598</v>
      </c>
      <c r="D387" s="133">
        <v>692355</v>
      </c>
      <c r="E387" s="120">
        <f t="shared" si="7"/>
        <v>723953</v>
      </c>
      <c r="F387" s="111" t="s">
        <v>826</v>
      </c>
    </row>
    <row r="388" spans="1:6" hidden="1" outlineLevel="1">
      <c r="A388" s="1111" t="s">
        <v>827</v>
      </c>
      <c r="B388" s="122">
        <v>0</v>
      </c>
      <c r="C388" s="70">
        <v>156850</v>
      </c>
      <c r="D388" s="133">
        <v>250660</v>
      </c>
      <c r="E388" s="120">
        <f t="shared" si="7"/>
        <v>407510</v>
      </c>
      <c r="F388" s="111" t="s">
        <v>828</v>
      </c>
    </row>
    <row r="389" spans="1:6" hidden="1" outlineLevel="1">
      <c r="A389" s="1111" t="s">
        <v>829</v>
      </c>
      <c r="B389" s="122">
        <v>0</v>
      </c>
      <c r="C389" s="70">
        <v>398986</v>
      </c>
      <c r="D389" s="133">
        <v>67053</v>
      </c>
      <c r="E389" s="120">
        <f t="shared" si="7"/>
        <v>466039</v>
      </c>
      <c r="F389" s="111" t="s">
        <v>830</v>
      </c>
    </row>
    <row r="390" spans="1:6" hidden="1" outlineLevel="1">
      <c r="A390" s="1111" t="s">
        <v>831</v>
      </c>
      <c r="B390" s="122">
        <v>0</v>
      </c>
      <c r="C390" s="70">
        <v>0</v>
      </c>
      <c r="D390" s="133">
        <v>0</v>
      </c>
      <c r="E390" s="120">
        <f t="shared" si="7"/>
        <v>0</v>
      </c>
      <c r="F390" s="111" t="s">
        <v>832</v>
      </c>
    </row>
    <row r="391" spans="1:6" hidden="1" outlineLevel="1">
      <c r="A391" s="1111" t="s">
        <v>833</v>
      </c>
      <c r="B391" s="122">
        <v>0</v>
      </c>
      <c r="C391" s="70">
        <v>865089</v>
      </c>
      <c r="D391" s="133">
        <v>198862</v>
      </c>
      <c r="E391" s="120">
        <f t="shared" si="7"/>
        <v>1063951</v>
      </c>
      <c r="F391" s="111" t="s">
        <v>834</v>
      </c>
    </row>
    <row r="392" spans="1:6" hidden="1" outlineLevel="1">
      <c r="A392" s="1111" t="s">
        <v>835</v>
      </c>
      <c r="B392" s="122">
        <v>0</v>
      </c>
      <c r="C392" s="70">
        <v>1457946</v>
      </c>
      <c r="D392" s="133">
        <v>1408477</v>
      </c>
      <c r="E392" s="120">
        <f t="shared" si="7"/>
        <v>2866423</v>
      </c>
      <c r="F392" s="111" t="s">
        <v>836</v>
      </c>
    </row>
    <row r="393" spans="1:6" hidden="1" outlineLevel="1">
      <c r="A393" s="1111" t="s">
        <v>837</v>
      </c>
      <c r="B393" s="122">
        <v>0</v>
      </c>
      <c r="C393" s="70">
        <v>316038</v>
      </c>
      <c r="D393" s="133">
        <v>39874</v>
      </c>
      <c r="E393" s="120">
        <f t="shared" si="7"/>
        <v>355912</v>
      </c>
      <c r="F393" s="111" t="s">
        <v>838</v>
      </c>
    </row>
    <row r="394" spans="1:6" hidden="1" outlineLevel="1">
      <c r="A394" s="1111" t="s">
        <v>837</v>
      </c>
      <c r="B394" s="122">
        <v>0</v>
      </c>
      <c r="C394" s="70">
        <v>0</v>
      </c>
      <c r="D394" s="133">
        <v>0</v>
      </c>
      <c r="E394" s="120">
        <f t="shared" si="7"/>
        <v>0</v>
      </c>
      <c r="F394" s="111" t="s">
        <v>838</v>
      </c>
    </row>
    <row r="395" spans="1:6" hidden="1" outlineLevel="1">
      <c r="A395" s="1111" t="s">
        <v>837</v>
      </c>
      <c r="B395" s="122">
        <v>0</v>
      </c>
      <c r="C395" s="70">
        <v>0</v>
      </c>
      <c r="D395" s="133">
        <v>0</v>
      </c>
      <c r="E395" s="120">
        <f t="shared" si="7"/>
        <v>0</v>
      </c>
      <c r="F395" s="111" t="s">
        <v>838</v>
      </c>
    </row>
    <row r="396" spans="1:6" hidden="1" outlineLevel="1">
      <c r="A396" s="1111" t="s">
        <v>839</v>
      </c>
      <c r="B396" s="122">
        <v>0</v>
      </c>
      <c r="C396" s="70">
        <v>0</v>
      </c>
      <c r="D396" s="133">
        <v>192000</v>
      </c>
      <c r="E396" s="120">
        <f t="shared" si="7"/>
        <v>192000</v>
      </c>
      <c r="F396" s="111" t="s">
        <v>840</v>
      </c>
    </row>
    <row r="397" spans="1:6" hidden="1" outlineLevel="1">
      <c r="A397" s="1111" t="s">
        <v>841</v>
      </c>
      <c r="B397" s="122">
        <v>0</v>
      </c>
      <c r="C397" s="70">
        <v>21478</v>
      </c>
      <c r="D397" s="133">
        <v>949456</v>
      </c>
      <c r="E397" s="120">
        <f t="shared" si="7"/>
        <v>970934</v>
      </c>
      <c r="F397" s="111" t="s">
        <v>842</v>
      </c>
    </row>
    <row r="398" spans="1:6" hidden="1" outlineLevel="1">
      <c r="A398" s="1111" t="s">
        <v>843</v>
      </c>
      <c r="B398" s="122">
        <v>0</v>
      </c>
      <c r="C398" s="70">
        <v>210926</v>
      </c>
      <c r="D398" s="133">
        <v>133329</v>
      </c>
      <c r="E398" s="120">
        <f t="shared" si="7"/>
        <v>344255</v>
      </c>
      <c r="F398" s="111" t="s">
        <v>844</v>
      </c>
    </row>
    <row r="399" spans="1:6" hidden="1" outlineLevel="1">
      <c r="A399" s="1111" t="s">
        <v>845</v>
      </c>
      <c r="B399" s="122">
        <v>0</v>
      </c>
      <c r="C399" s="70">
        <v>175024</v>
      </c>
      <c r="D399" s="133">
        <v>60214735</v>
      </c>
      <c r="E399" s="120">
        <f t="shared" si="7"/>
        <v>60389759</v>
      </c>
      <c r="F399" s="111" t="s">
        <v>846</v>
      </c>
    </row>
    <row r="400" spans="1:6" hidden="1" outlineLevel="1">
      <c r="A400" s="1111" t="s">
        <v>847</v>
      </c>
      <c r="B400" s="122">
        <v>0</v>
      </c>
      <c r="C400" s="70">
        <v>126252</v>
      </c>
      <c r="D400" s="133">
        <v>1090546</v>
      </c>
      <c r="E400" s="120">
        <f t="shared" si="7"/>
        <v>1216798</v>
      </c>
      <c r="F400" s="111" t="s">
        <v>848</v>
      </c>
    </row>
    <row r="401" spans="1:6" hidden="1" outlineLevel="1">
      <c r="A401" s="1111" t="s">
        <v>849</v>
      </c>
      <c r="B401" s="122">
        <v>0</v>
      </c>
      <c r="C401" s="70">
        <v>0</v>
      </c>
      <c r="D401" s="133">
        <v>81576192</v>
      </c>
      <c r="E401" s="120">
        <f t="shared" si="7"/>
        <v>81576192</v>
      </c>
      <c r="F401" s="111" t="s">
        <v>850</v>
      </c>
    </row>
    <row r="402" spans="1:6" hidden="1" outlineLevel="1">
      <c r="A402" s="1111" t="s">
        <v>398</v>
      </c>
      <c r="B402" s="122">
        <v>0</v>
      </c>
      <c r="C402" s="70">
        <v>0</v>
      </c>
      <c r="D402" s="133">
        <v>536000</v>
      </c>
      <c r="E402" s="120">
        <f t="shared" si="7"/>
        <v>536000</v>
      </c>
      <c r="F402" s="111" t="s">
        <v>399</v>
      </c>
    </row>
    <row r="403" spans="1:6" hidden="1" outlineLevel="1">
      <c r="A403" s="1111" t="s">
        <v>851</v>
      </c>
      <c r="B403" s="122">
        <v>0</v>
      </c>
      <c r="C403" s="70">
        <v>0</v>
      </c>
      <c r="D403" s="133">
        <v>0</v>
      </c>
      <c r="E403" s="120">
        <f t="shared" si="7"/>
        <v>0</v>
      </c>
      <c r="F403" s="111" t="s">
        <v>852</v>
      </c>
    </row>
    <row r="404" spans="1:6" hidden="1" outlineLevel="1">
      <c r="A404" s="1111" t="s">
        <v>853</v>
      </c>
      <c r="B404" s="122">
        <v>0</v>
      </c>
      <c r="C404" s="70">
        <v>5454</v>
      </c>
      <c r="D404" s="133">
        <v>222000</v>
      </c>
      <c r="E404" s="120">
        <f t="shared" si="7"/>
        <v>227454</v>
      </c>
      <c r="F404" s="111" t="s">
        <v>854</v>
      </c>
    </row>
    <row r="405" spans="1:6" collapsed="1">
      <c r="A405" s="1110" t="s">
        <v>855</v>
      </c>
      <c r="B405" s="123">
        <f>SUM(B406:B734)</f>
        <v>62133180</v>
      </c>
      <c r="C405" s="68">
        <f>SUM(C406:C734)</f>
        <v>613588696.72699988</v>
      </c>
      <c r="D405" s="134">
        <f>SUM(D406:D734)</f>
        <v>6336775498.4259987</v>
      </c>
      <c r="E405" s="120">
        <f t="shared" si="2"/>
        <v>7012497375.1529989</v>
      </c>
      <c r="F405" s="26"/>
    </row>
    <row r="406" spans="1:6" hidden="1" outlineLevel="1">
      <c r="A406" s="870" t="s">
        <v>856</v>
      </c>
      <c r="B406" s="124">
        <v>0</v>
      </c>
      <c r="C406" s="102">
        <v>0</v>
      </c>
      <c r="D406" s="135">
        <v>155225</v>
      </c>
      <c r="E406" s="120">
        <f t="shared" ref="E406:E469" si="8">SUM(B406:D406)</f>
        <v>155225</v>
      </c>
      <c r="F406" s="112" t="s">
        <v>857</v>
      </c>
    </row>
    <row r="407" spans="1:6" hidden="1" outlineLevel="1">
      <c r="A407" s="870" t="s">
        <v>858</v>
      </c>
      <c r="B407" s="124">
        <v>0</v>
      </c>
      <c r="C407" s="102">
        <v>0</v>
      </c>
      <c r="D407" s="135">
        <v>24000</v>
      </c>
      <c r="E407" s="120">
        <f t="shared" si="8"/>
        <v>24000</v>
      </c>
      <c r="F407" s="112" t="s">
        <v>859</v>
      </c>
    </row>
    <row r="408" spans="1:6" hidden="1" outlineLevel="1">
      <c r="A408" s="870" t="s">
        <v>860</v>
      </c>
      <c r="B408" s="124">
        <v>0</v>
      </c>
      <c r="C408" s="102">
        <v>550450</v>
      </c>
      <c r="D408" s="135">
        <v>0</v>
      </c>
      <c r="E408" s="120">
        <f t="shared" si="8"/>
        <v>550450</v>
      </c>
      <c r="F408" s="112" t="s">
        <v>861</v>
      </c>
    </row>
    <row r="409" spans="1:6" hidden="1" outlineLevel="1">
      <c r="A409" s="870" t="s">
        <v>862</v>
      </c>
      <c r="B409" s="124">
        <v>0</v>
      </c>
      <c r="C409" s="102">
        <v>1716</v>
      </c>
      <c r="D409" s="135">
        <v>22000</v>
      </c>
      <c r="E409" s="120">
        <f t="shared" si="8"/>
        <v>23716</v>
      </c>
      <c r="F409" s="112" t="s">
        <v>863</v>
      </c>
    </row>
    <row r="410" spans="1:6" hidden="1" outlineLevel="1">
      <c r="A410" s="870" t="s">
        <v>864</v>
      </c>
      <c r="B410" s="124">
        <v>0</v>
      </c>
      <c r="C410" s="102">
        <v>0</v>
      </c>
      <c r="D410" s="135">
        <v>590782.96200000006</v>
      </c>
      <c r="E410" s="120">
        <f t="shared" si="8"/>
        <v>590782.96200000006</v>
      </c>
      <c r="F410" s="112" t="s">
        <v>865</v>
      </c>
    </row>
    <row r="411" spans="1:6" hidden="1" outlineLevel="1">
      <c r="A411" s="870" t="s">
        <v>866</v>
      </c>
      <c r="B411" s="124">
        <v>0</v>
      </c>
      <c r="C411" s="102">
        <v>0</v>
      </c>
      <c r="D411" s="135">
        <v>16783</v>
      </c>
      <c r="E411" s="120">
        <f t="shared" si="8"/>
        <v>16783</v>
      </c>
      <c r="F411" s="112" t="s">
        <v>867</v>
      </c>
    </row>
    <row r="412" spans="1:6" hidden="1" outlineLevel="1">
      <c r="A412" s="870" t="s">
        <v>868</v>
      </c>
      <c r="B412" s="124">
        <v>0</v>
      </c>
      <c r="C412" s="102">
        <v>121212</v>
      </c>
      <c r="D412" s="135">
        <v>583799</v>
      </c>
      <c r="E412" s="120">
        <f t="shared" si="8"/>
        <v>705011</v>
      </c>
      <c r="F412" s="112" t="s">
        <v>869</v>
      </c>
    </row>
    <row r="413" spans="1:6" hidden="1" outlineLevel="1">
      <c r="A413" s="870" t="s">
        <v>870</v>
      </c>
      <c r="B413" s="124">
        <v>0</v>
      </c>
      <c r="C413" s="102">
        <v>233587</v>
      </c>
      <c r="D413" s="135">
        <v>1852005.28</v>
      </c>
      <c r="E413" s="120">
        <f t="shared" si="8"/>
        <v>2085592.28</v>
      </c>
      <c r="F413" s="112" t="s">
        <v>871</v>
      </c>
    </row>
    <row r="414" spans="1:6" hidden="1" outlineLevel="1">
      <c r="A414" s="870" t="s">
        <v>872</v>
      </c>
      <c r="B414" s="124">
        <v>0</v>
      </c>
      <c r="C414" s="102">
        <v>147393</v>
      </c>
      <c r="D414" s="135">
        <v>181182</v>
      </c>
      <c r="E414" s="120">
        <f t="shared" si="8"/>
        <v>328575</v>
      </c>
      <c r="F414" s="112" t="s">
        <v>873</v>
      </c>
    </row>
    <row r="415" spans="1:6" hidden="1" outlineLevel="1">
      <c r="A415" s="870" t="s">
        <v>874</v>
      </c>
      <c r="B415" s="124">
        <v>0</v>
      </c>
      <c r="C415" s="102">
        <v>1402920.1</v>
      </c>
      <c r="D415" s="135">
        <v>2193443</v>
      </c>
      <c r="E415" s="120">
        <f t="shared" si="8"/>
        <v>3596363.1</v>
      </c>
      <c r="F415" s="112" t="s">
        <v>875</v>
      </c>
    </row>
    <row r="416" spans="1:6" hidden="1" outlineLevel="1">
      <c r="A416" s="870" t="s">
        <v>876</v>
      </c>
      <c r="B416" s="124">
        <v>0</v>
      </c>
      <c r="C416" s="102">
        <v>0</v>
      </c>
      <c r="D416" s="135">
        <v>8013438</v>
      </c>
      <c r="E416" s="120">
        <f t="shared" si="8"/>
        <v>8013438</v>
      </c>
      <c r="F416" s="112" t="s">
        <v>877</v>
      </c>
    </row>
    <row r="417" spans="1:6" hidden="1" outlineLevel="1">
      <c r="A417" s="870" t="s">
        <v>878</v>
      </c>
      <c r="B417" s="124">
        <v>0</v>
      </c>
      <c r="C417" s="102">
        <v>254856.2</v>
      </c>
      <c r="D417" s="135">
        <v>17205</v>
      </c>
      <c r="E417" s="120">
        <f t="shared" si="8"/>
        <v>272061.2</v>
      </c>
      <c r="F417" s="112" t="s">
        <v>879</v>
      </c>
    </row>
    <row r="418" spans="1:6" hidden="1" outlineLevel="1">
      <c r="A418" s="870" t="s">
        <v>322</v>
      </c>
      <c r="B418" s="124">
        <v>0</v>
      </c>
      <c r="C418" s="102">
        <v>220278</v>
      </c>
      <c r="D418" s="135">
        <v>320609</v>
      </c>
      <c r="E418" s="120">
        <f t="shared" si="8"/>
        <v>540887</v>
      </c>
      <c r="F418" s="112" t="s">
        <v>323</v>
      </c>
    </row>
    <row r="419" spans="1:6" hidden="1" outlineLevel="1">
      <c r="A419" s="870" t="s">
        <v>880</v>
      </c>
      <c r="B419" s="124">
        <v>0</v>
      </c>
      <c r="C419" s="102">
        <v>21100</v>
      </c>
      <c r="D419" s="135">
        <v>783243</v>
      </c>
      <c r="E419" s="120">
        <f t="shared" si="8"/>
        <v>804343</v>
      </c>
      <c r="F419" s="112" t="s">
        <v>881</v>
      </c>
    </row>
    <row r="420" spans="1:6" hidden="1" outlineLevel="1">
      <c r="A420" s="870" t="s">
        <v>882</v>
      </c>
      <c r="B420" s="124">
        <v>0</v>
      </c>
      <c r="C420" s="102">
        <v>508097</v>
      </c>
      <c r="D420" s="135">
        <v>2558503</v>
      </c>
      <c r="E420" s="120">
        <f t="shared" si="8"/>
        <v>3066600</v>
      </c>
      <c r="F420" s="112" t="s">
        <v>883</v>
      </c>
    </row>
    <row r="421" spans="1:6" hidden="1" outlineLevel="1">
      <c r="A421" s="870" t="s">
        <v>884</v>
      </c>
      <c r="B421" s="124">
        <v>0</v>
      </c>
      <c r="C421" s="102">
        <v>358497</v>
      </c>
      <c r="D421" s="135">
        <v>1394956.08</v>
      </c>
      <c r="E421" s="120">
        <f t="shared" si="8"/>
        <v>1753453.08</v>
      </c>
      <c r="F421" s="112" t="s">
        <v>885</v>
      </c>
    </row>
    <row r="422" spans="1:6" hidden="1" outlineLevel="1">
      <c r="A422" s="870" t="s">
        <v>886</v>
      </c>
      <c r="B422" s="124">
        <v>0</v>
      </c>
      <c r="C422" s="102">
        <v>30093</v>
      </c>
      <c r="D422" s="135">
        <v>649393</v>
      </c>
      <c r="E422" s="120">
        <f t="shared" si="8"/>
        <v>679486</v>
      </c>
      <c r="F422" s="112" t="s">
        <v>887</v>
      </c>
    </row>
    <row r="423" spans="1:6" hidden="1" outlineLevel="1">
      <c r="A423" s="870" t="s">
        <v>888</v>
      </c>
      <c r="B423" s="124">
        <v>0</v>
      </c>
      <c r="C423" s="102">
        <v>1354656</v>
      </c>
      <c r="D423" s="135">
        <v>700303</v>
      </c>
      <c r="E423" s="120">
        <f t="shared" si="8"/>
        <v>2054959</v>
      </c>
      <c r="F423" s="112" t="s">
        <v>889</v>
      </c>
    </row>
    <row r="424" spans="1:6" hidden="1" outlineLevel="1">
      <c r="A424" s="870" t="s">
        <v>890</v>
      </c>
      <c r="B424" s="124">
        <v>0</v>
      </c>
      <c r="C424" s="102">
        <v>3668951</v>
      </c>
      <c r="D424" s="135">
        <v>1578615.0379999999</v>
      </c>
      <c r="E424" s="120">
        <f t="shared" si="8"/>
        <v>5247566.0379999997</v>
      </c>
      <c r="F424" s="112" t="s">
        <v>891</v>
      </c>
    </row>
    <row r="425" spans="1:6" hidden="1" outlineLevel="1">
      <c r="A425" s="870" t="s">
        <v>892</v>
      </c>
      <c r="B425" s="124">
        <v>0</v>
      </c>
      <c r="C425" s="102">
        <v>169056</v>
      </c>
      <c r="D425" s="135">
        <v>0</v>
      </c>
      <c r="E425" s="120">
        <f t="shared" si="8"/>
        <v>169056</v>
      </c>
      <c r="F425" s="112" t="s">
        <v>893</v>
      </c>
    </row>
    <row r="426" spans="1:6" hidden="1" outlineLevel="1">
      <c r="A426" s="870" t="s">
        <v>894</v>
      </c>
      <c r="B426" s="124">
        <v>0</v>
      </c>
      <c r="C426" s="102">
        <v>0</v>
      </c>
      <c r="D426" s="135">
        <v>567210.42000000004</v>
      </c>
      <c r="E426" s="120">
        <f t="shared" si="8"/>
        <v>567210.42000000004</v>
      </c>
      <c r="F426" s="112" t="s">
        <v>895</v>
      </c>
    </row>
    <row r="427" spans="1:6" hidden="1" outlineLevel="1">
      <c r="A427" s="870" t="s">
        <v>896</v>
      </c>
      <c r="B427" s="124">
        <v>0</v>
      </c>
      <c r="C427" s="102">
        <v>98466.665000000008</v>
      </c>
      <c r="D427" s="135">
        <v>454434</v>
      </c>
      <c r="E427" s="120">
        <f t="shared" si="8"/>
        <v>552900.66500000004</v>
      </c>
      <c r="F427" s="112" t="s">
        <v>897</v>
      </c>
    </row>
    <row r="428" spans="1:6" hidden="1" outlineLevel="1">
      <c r="A428" s="870" t="s">
        <v>898</v>
      </c>
      <c r="B428" s="124">
        <v>0</v>
      </c>
      <c r="C428" s="102">
        <v>162890</v>
      </c>
      <c r="D428" s="135">
        <v>140079</v>
      </c>
      <c r="E428" s="120">
        <f t="shared" si="8"/>
        <v>302969</v>
      </c>
      <c r="F428" s="112" t="s">
        <v>899</v>
      </c>
    </row>
    <row r="429" spans="1:6" hidden="1" outlineLevel="1">
      <c r="A429" s="870" t="s">
        <v>900</v>
      </c>
      <c r="B429" s="124">
        <v>0</v>
      </c>
      <c r="C429" s="102">
        <v>19583</v>
      </c>
      <c r="D429" s="135">
        <v>0</v>
      </c>
      <c r="E429" s="120">
        <f t="shared" si="8"/>
        <v>19583</v>
      </c>
      <c r="F429" s="112" t="s">
        <v>901</v>
      </c>
    </row>
    <row r="430" spans="1:6" hidden="1" outlineLevel="1">
      <c r="A430" s="870" t="s">
        <v>902</v>
      </c>
      <c r="B430" s="124">
        <v>0</v>
      </c>
      <c r="C430" s="102">
        <v>406266.978</v>
      </c>
      <c r="D430" s="135">
        <v>5475790.2549999999</v>
      </c>
      <c r="E430" s="120">
        <f t="shared" si="8"/>
        <v>5882057.233</v>
      </c>
      <c r="F430" s="112" t="s">
        <v>903</v>
      </c>
    </row>
    <row r="431" spans="1:6" hidden="1" outlineLevel="1">
      <c r="A431" s="870" t="s">
        <v>904</v>
      </c>
      <c r="B431" s="124">
        <v>0</v>
      </c>
      <c r="C431" s="102">
        <v>646541</v>
      </c>
      <c r="D431" s="135">
        <v>632448.92299999995</v>
      </c>
      <c r="E431" s="120">
        <f t="shared" si="8"/>
        <v>1278989.923</v>
      </c>
      <c r="F431" s="112" t="s">
        <v>905</v>
      </c>
    </row>
    <row r="432" spans="1:6" hidden="1" outlineLevel="1">
      <c r="A432" s="870" t="s">
        <v>906</v>
      </c>
      <c r="B432" s="124">
        <v>0</v>
      </c>
      <c r="C432" s="102">
        <v>459662</v>
      </c>
      <c r="D432" s="135">
        <v>143848</v>
      </c>
      <c r="E432" s="120">
        <f t="shared" si="8"/>
        <v>603510</v>
      </c>
      <c r="F432" s="112" t="s">
        <v>907</v>
      </c>
    </row>
    <row r="433" spans="1:6" hidden="1" outlineLevel="1">
      <c r="A433" s="870" t="s">
        <v>908</v>
      </c>
      <c r="B433" s="124">
        <v>0</v>
      </c>
      <c r="C433" s="102">
        <v>236265</v>
      </c>
      <c r="D433" s="135">
        <v>1779837.469</v>
      </c>
      <c r="E433" s="120">
        <f t="shared" si="8"/>
        <v>2016102.469</v>
      </c>
      <c r="F433" s="112" t="s">
        <v>909</v>
      </c>
    </row>
    <row r="434" spans="1:6" hidden="1" outlineLevel="1">
      <c r="A434" s="870" t="s">
        <v>910</v>
      </c>
      <c r="B434" s="124">
        <v>0</v>
      </c>
      <c r="C434" s="102">
        <v>666917</v>
      </c>
      <c r="D434" s="135">
        <v>4638038</v>
      </c>
      <c r="E434" s="120">
        <f t="shared" si="8"/>
        <v>5304955</v>
      </c>
      <c r="F434" s="112" t="s">
        <v>911</v>
      </c>
    </row>
    <row r="435" spans="1:6" hidden="1" outlineLevel="1">
      <c r="A435" s="870" t="s">
        <v>912</v>
      </c>
      <c r="B435" s="124">
        <v>0</v>
      </c>
      <c r="C435" s="102">
        <v>0</v>
      </c>
      <c r="D435" s="135">
        <v>108097</v>
      </c>
      <c r="E435" s="120">
        <f t="shared" si="8"/>
        <v>108097</v>
      </c>
      <c r="F435" s="112" t="s">
        <v>913</v>
      </c>
    </row>
    <row r="436" spans="1:6" hidden="1" outlineLevel="1">
      <c r="A436" s="870" t="s">
        <v>914</v>
      </c>
      <c r="B436" s="124">
        <v>0</v>
      </c>
      <c r="C436" s="102">
        <v>40830</v>
      </c>
      <c r="D436" s="135">
        <v>9317091</v>
      </c>
      <c r="E436" s="120">
        <f t="shared" si="8"/>
        <v>9357921</v>
      </c>
      <c r="F436" s="112" t="s">
        <v>915</v>
      </c>
    </row>
    <row r="437" spans="1:6" hidden="1" outlineLevel="1">
      <c r="A437" s="870" t="s">
        <v>916</v>
      </c>
      <c r="B437" s="124">
        <v>0</v>
      </c>
      <c r="C437" s="102">
        <v>0</v>
      </c>
      <c r="D437" s="135">
        <v>93410</v>
      </c>
      <c r="E437" s="120">
        <f t="shared" si="8"/>
        <v>93410</v>
      </c>
      <c r="F437" s="112" t="s">
        <v>917</v>
      </c>
    </row>
    <row r="438" spans="1:6" hidden="1" outlineLevel="1">
      <c r="A438" s="870" t="s">
        <v>918</v>
      </c>
      <c r="B438" s="124">
        <v>0</v>
      </c>
      <c r="C438" s="102">
        <v>99613</v>
      </c>
      <c r="D438" s="135">
        <v>845945</v>
      </c>
      <c r="E438" s="120">
        <f t="shared" si="8"/>
        <v>945558</v>
      </c>
      <c r="F438" s="112" t="s">
        <v>919</v>
      </c>
    </row>
    <row r="439" spans="1:6" hidden="1" outlineLevel="1">
      <c r="A439" s="870" t="s">
        <v>920</v>
      </c>
      <c r="B439" s="124">
        <v>0</v>
      </c>
      <c r="C439" s="102">
        <v>893583</v>
      </c>
      <c r="D439" s="135">
        <v>2973488.5730000003</v>
      </c>
      <c r="E439" s="120">
        <f t="shared" si="8"/>
        <v>3867071.5730000003</v>
      </c>
      <c r="F439" s="112" t="s">
        <v>921</v>
      </c>
    </row>
    <row r="440" spans="1:6" hidden="1" outlineLevel="1">
      <c r="A440" s="870" t="s">
        <v>922</v>
      </c>
      <c r="B440" s="124">
        <v>0</v>
      </c>
      <c r="C440" s="102">
        <v>0</v>
      </c>
      <c r="D440" s="135">
        <v>45041</v>
      </c>
      <c r="E440" s="120">
        <f t="shared" si="8"/>
        <v>45041</v>
      </c>
      <c r="F440" s="112" t="s">
        <v>923</v>
      </c>
    </row>
    <row r="441" spans="1:6" hidden="1" outlineLevel="1">
      <c r="A441" s="870" t="s">
        <v>924</v>
      </c>
      <c r="B441" s="124">
        <v>0</v>
      </c>
      <c r="C441" s="102">
        <v>0</v>
      </c>
      <c r="D441" s="135">
        <v>22000</v>
      </c>
      <c r="E441" s="120">
        <f t="shared" si="8"/>
        <v>22000</v>
      </c>
      <c r="F441" s="112" t="s">
        <v>925</v>
      </c>
    </row>
    <row r="442" spans="1:6" hidden="1" outlineLevel="1">
      <c r="A442" s="870" t="s">
        <v>926</v>
      </c>
      <c r="B442" s="124">
        <v>1582964</v>
      </c>
      <c r="C442" s="102">
        <v>2308706</v>
      </c>
      <c r="D442" s="135">
        <v>9380236</v>
      </c>
      <c r="E442" s="120">
        <f t="shared" si="8"/>
        <v>13271906</v>
      </c>
      <c r="F442" s="112" t="s">
        <v>927</v>
      </c>
    </row>
    <row r="443" spans="1:6" hidden="1" outlineLevel="1">
      <c r="A443" s="870" t="s">
        <v>928</v>
      </c>
      <c r="B443" s="124">
        <v>0</v>
      </c>
      <c r="C443" s="102">
        <v>136202</v>
      </c>
      <c r="D443" s="135">
        <v>258104</v>
      </c>
      <c r="E443" s="120">
        <f t="shared" si="8"/>
        <v>394306</v>
      </c>
      <c r="F443" s="112" t="s">
        <v>929</v>
      </c>
    </row>
    <row r="444" spans="1:6" hidden="1" outlineLevel="1">
      <c r="A444" s="870" t="s">
        <v>930</v>
      </c>
      <c r="B444" s="124">
        <v>0</v>
      </c>
      <c r="C444" s="102">
        <v>292291</v>
      </c>
      <c r="D444" s="135">
        <v>1482931</v>
      </c>
      <c r="E444" s="120">
        <f t="shared" si="8"/>
        <v>1775222</v>
      </c>
      <c r="F444" s="112" t="s">
        <v>931</v>
      </c>
    </row>
    <row r="445" spans="1:6" hidden="1" outlineLevel="1">
      <c r="A445" s="870" t="s">
        <v>932</v>
      </c>
      <c r="B445" s="124">
        <v>0</v>
      </c>
      <c r="C445" s="102">
        <v>0</v>
      </c>
      <c r="D445" s="135">
        <v>68716.600000000006</v>
      </c>
      <c r="E445" s="120">
        <f t="shared" si="8"/>
        <v>68716.600000000006</v>
      </c>
      <c r="F445" s="112" t="s">
        <v>933</v>
      </c>
    </row>
    <row r="446" spans="1:6" hidden="1" outlineLevel="1">
      <c r="A446" s="870" t="s">
        <v>934</v>
      </c>
      <c r="B446" s="124">
        <v>51412101</v>
      </c>
      <c r="C446" s="102">
        <v>0</v>
      </c>
      <c r="D446" s="135">
        <v>0</v>
      </c>
      <c r="E446" s="120">
        <f t="shared" si="8"/>
        <v>51412101</v>
      </c>
      <c r="F446" s="112" t="s">
        <v>935</v>
      </c>
    </row>
    <row r="447" spans="1:6" hidden="1" outlineLevel="1">
      <c r="A447" s="870" t="s">
        <v>936</v>
      </c>
      <c r="B447" s="124">
        <v>0</v>
      </c>
      <c r="C447" s="102">
        <v>2487136.9139999999</v>
      </c>
      <c r="D447" s="135">
        <v>24718568</v>
      </c>
      <c r="E447" s="120">
        <f t="shared" si="8"/>
        <v>27205704.914000001</v>
      </c>
      <c r="F447" s="112" t="s">
        <v>937</v>
      </c>
    </row>
    <row r="448" spans="1:6" hidden="1" outlineLevel="1">
      <c r="A448" s="870" t="s">
        <v>938</v>
      </c>
      <c r="B448" s="124">
        <v>0</v>
      </c>
      <c r="C448" s="102">
        <v>162741.29999999999</v>
      </c>
      <c r="D448" s="135">
        <v>3310</v>
      </c>
      <c r="E448" s="120">
        <f t="shared" si="8"/>
        <v>166051.29999999999</v>
      </c>
      <c r="F448" s="112" t="s">
        <v>939</v>
      </c>
    </row>
    <row r="449" spans="1:6" hidden="1" outlineLevel="1">
      <c r="A449" s="870" t="s">
        <v>940</v>
      </c>
      <c r="B449" s="124">
        <v>0</v>
      </c>
      <c r="C449" s="102">
        <v>87344</v>
      </c>
      <c r="D449" s="135">
        <v>1055779</v>
      </c>
      <c r="E449" s="120">
        <f t="shared" si="8"/>
        <v>1143123</v>
      </c>
      <c r="F449" s="112" t="s">
        <v>941</v>
      </c>
    </row>
    <row r="450" spans="1:6" hidden="1" outlineLevel="1">
      <c r="A450" s="870" t="s">
        <v>942</v>
      </c>
      <c r="B450" s="124">
        <v>0</v>
      </c>
      <c r="C450" s="102">
        <v>10964</v>
      </c>
      <c r="D450" s="135">
        <v>80000</v>
      </c>
      <c r="E450" s="120">
        <f t="shared" si="8"/>
        <v>90964</v>
      </c>
      <c r="F450" s="112" t="s">
        <v>943</v>
      </c>
    </row>
    <row r="451" spans="1:6" hidden="1" outlineLevel="1">
      <c r="A451" s="870" t="s">
        <v>210</v>
      </c>
      <c r="B451" s="124">
        <v>0</v>
      </c>
      <c r="C451" s="102">
        <v>1048555.7830000001</v>
      </c>
      <c r="D451" s="135">
        <v>1412448</v>
      </c>
      <c r="E451" s="120">
        <f t="shared" si="8"/>
        <v>2461003.7829999998</v>
      </c>
      <c r="F451" s="112" t="s">
        <v>211</v>
      </c>
    </row>
    <row r="452" spans="1:6" hidden="1" outlineLevel="1">
      <c r="A452" s="870" t="s">
        <v>944</v>
      </c>
      <c r="B452" s="124">
        <v>0</v>
      </c>
      <c r="C452" s="102">
        <v>64</v>
      </c>
      <c r="D452" s="135">
        <v>2506425</v>
      </c>
      <c r="E452" s="120">
        <f t="shared" si="8"/>
        <v>2506489</v>
      </c>
      <c r="F452" s="112" t="s">
        <v>945</v>
      </c>
    </row>
    <row r="453" spans="1:6" hidden="1" outlineLevel="1">
      <c r="A453" s="870" t="s">
        <v>946</v>
      </c>
      <c r="B453" s="124">
        <v>0</v>
      </c>
      <c r="C453" s="102">
        <v>26853</v>
      </c>
      <c r="D453" s="135">
        <v>242442.02</v>
      </c>
      <c r="E453" s="120">
        <f t="shared" si="8"/>
        <v>269295.02</v>
      </c>
      <c r="F453" s="112" t="s">
        <v>947</v>
      </c>
    </row>
    <row r="454" spans="1:6" hidden="1" outlineLevel="1">
      <c r="A454" s="870" t="s">
        <v>948</v>
      </c>
      <c r="B454" s="124">
        <v>0</v>
      </c>
      <c r="C454" s="102">
        <v>51292</v>
      </c>
      <c r="D454" s="135">
        <v>0</v>
      </c>
      <c r="E454" s="120">
        <f t="shared" si="8"/>
        <v>51292</v>
      </c>
      <c r="F454" s="112" t="s">
        <v>949</v>
      </c>
    </row>
    <row r="455" spans="1:6" hidden="1" outlineLevel="1">
      <c r="A455" s="870" t="s">
        <v>950</v>
      </c>
      <c r="B455" s="124">
        <v>0</v>
      </c>
      <c r="C455" s="102">
        <v>63737</v>
      </c>
      <c r="D455" s="135">
        <v>201778.68</v>
      </c>
      <c r="E455" s="120">
        <f t="shared" si="8"/>
        <v>265515.68</v>
      </c>
      <c r="F455" s="112" t="s">
        <v>951</v>
      </c>
    </row>
    <row r="456" spans="1:6" hidden="1" outlineLevel="1">
      <c r="A456" s="870" t="s">
        <v>952</v>
      </c>
      <c r="B456" s="124">
        <v>0</v>
      </c>
      <c r="C456" s="102">
        <v>307697</v>
      </c>
      <c r="D456" s="135">
        <v>619422</v>
      </c>
      <c r="E456" s="120">
        <f t="shared" si="8"/>
        <v>927119</v>
      </c>
      <c r="F456" s="112" t="s">
        <v>953</v>
      </c>
    </row>
    <row r="457" spans="1:6" hidden="1" outlineLevel="1">
      <c r="A457" s="870" t="s">
        <v>954</v>
      </c>
      <c r="B457" s="124">
        <v>0</v>
      </c>
      <c r="C457" s="102">
        <v>189360.49</v>
      </c>
      <c r="D457" s="135">
        <v>1417836</v>
      </c>
      <c r="E457" s="120">
        <f t="shared" si="8"/>
        <v>1607196.49</v>
      </c>
      <c r="F457" s="112" t="s">
        <v>955</v>
      </c>
    </row>
    <row r="458" spans="1:6" hidden="1" outlineLevel="1">
      <c r="A458" s="870" t="s">
        <v>956</v>
      </c>
      <c r="B458" s="124">
        <v>0</v>
      </c>
      <c r="C458" s="102">
        <v>551294</v>
      </c>
      <c r="D458" s="135">
        <v>113686</v>
      </c>
      <c r="E458" s="120">
        <f t="shared" si="8"/>
        <v>664980</v>
      </c>
      <c r="F458" s="112" t="s">
        <v>957</v>
      </c>
    </row>
    <row r="459" spans="1:6" hidden="1" outlineLevel="1">
      <c r="A459" s="870" t="s">
        <v>958</v>
      </c>
      <c r="B459" s="124">
        <v>0</v>
      </c>
      <c r="C459" s="102">
        <v>20538</v>
      </c>
      <c r="D459" s="135">
        <v>594058.36899999995</v>
      </c>
      <c r="E459" s="120">
        <f t="shared" si="8"/>
        <v>614596.36899999995</v>
      </c>
      <c r="F459" s="112" t="s">
        <v>959</v>
      </c>
    </row>
    <row r="460" spans="1:6" hidden="1" outlineLevel="1">
      <c r="A460" s="870" t="s">
        <v>960</v>
      </c>
      <c r="B460" s="124">
        <v>0</v>
      </c>
      <c r="C460" s="102">
        <v>170</v>
      </c>
      <c r="D460" s="135">
        <v>1191503.581</v>
      </c>
      <c r="E460" s="120">
        <f t="shared" si="8"/>
        <v>1191673.581</v>
      </c>
      <c r="F460" s="112" t="s">
        <v>961</v>
      </c>
    </row>
    <row r="461" spans="1:6" hidden="1" outlineLevel="1">
      <c r="A461" s="870" t="s">
        <v>962</v>
      </c>
      <c r="B461" s="124">
        <v>0</v>
      </c>
      <c r="C461" s="102">
        <v>167997</v>
      </c>
      <c r="D461" s="135">
        <v>26767725</v>
      </c>
      <c r="E461" s="120">
        <f t="shared" si="8"/>
        <v>26935722</v>
      </c>
      <c r="F461" s="112" t="s">
        <v>963</v>
      </c>
    </row>
    <row r="462" spans="1:6" hidden="1" outlineLevel="1">
      <c r="A462" s="870" t="s">
        <v>964</v>
      </c>
      <c r="B462" s="124">
        <v>0</v>
      </c>
      <c r="C462" s="102">
        <v>163989</v>
      </c>
      <c r="D462" s="135">
        <v>1704044</v>
      </c>
      <c r="E462" s="120">
        <f t="shared" si="8"/>
        <v>1868033</v>
      </c>
      <c r="F462" s="112" t="s">
        <v>965</v>
      </c>
    </row>
    <row r="463" spans="1:6" hidden="1" outlineLevel="1">
      <c r="A463" s="870" t="s">
        <v>966</v>
      </c>
      <c r="B463" s="124">
        <v>0</v>
      </c>
      <c r="C463" s="102">
        <v>0</v>
      </c>
      <c r="D463" s="135">
        <v>2166</v>
      </c>
      <c r="E463" s="120">
        <f t="shared" si="8"/>
        <v>2166</v>
      </c>
      <c r="F463" s="112" t="s">
        <v>967</v>
      </c>
    </row>
    <row r="464" spans="1:6" hidden="1" outlineLevel="1">
      <c r="A464" s="870" t="s">
        <v>968</v>
      </c>
      <c r="B464" s="124">
        <v>0</v>
      </c>
      <c r="C464" s="102">
        <v>115720</v>
      </c>
      <c r="D464" s="135">
        <v>2322740</v>
      </c>
      <c r="E464" s="120">
        <f t="shared" si="8"/>
        <v>2438460</v>
      </c>
      <c r="F464" s="112" t="s">
        <v>969</v>
      </c>
    </row>
    <row r="465" spans="1:6" hidden="1" outlineLevel="1">
      <c r="A465" s="870" t="s">
        <v>970</v>
      </c>
      <c r="B465" s="124">
        <v>0</v>
      </c>
      <c r="C465" s="102">
        <v>54844</v>
      </c>
      <c r="D465" s="135">
        <v>169334</v>
      </c>
      <c r="E465" s="120">
        <f t="shared" si="8"/>
        <v>224178</v>
      </c>
      <c r="F465" s="112" t="s">
        <v>971</v>
      </c>
    </row>
    <row r="466" spans="1:6" hidden="1" outlineLevel="1">
      <c r="A466" s="870" t="s">
        <v>972</v>
      </c>
      <c r="B466" s="124">
        <v>0</v>
      </c>
      <c r="C466" s="102">
        <v>534446</v>
      </c>
      <c r="D466" s="135">
        <v>3040033</v>
      </c>
      <c r="E466" s="120">
        <f t="shared" si="8"/>
        <v>3574479</v>
      </c>
      <c r="F466" s="112" t="s">
        <v>973</v>
      </c>
    </row>
    <row r="467" spans="1:6" hidden="1" outlineLevel="1">
      <c r="A467" s="870" t="s">
        <v>974</v>
      </c>
      <c r="B467" s="124">
        <v>0</v>
      </c>
      <c r="C467" s="102">
        <v>2911607.0589999999</v>
      </c>
      <c r="D467" s="135">
        <v>7441145.2630000003</v>
      </c>
      <c r="E467" s="120">
        <f t="shared" si="8"/>
        <v>10352752.322000001</v>
      </c>
      <c r="F467" s="112" t="s">
        <v>975</v>
      </c>
    </row>
    <row r="468" spans="1:6" hidden="1" outlineLevel="1">
      <c r="A468" s="870" t="s">
        <v>976</v>
      </c>
      <c r="B468" s="124">
        <v>0</v>
      </c>
      <c r="C468" s="102">
        <v>506889</v>
      </c>
      <c r="D468" s="135">
        <v>72086</v>
      </c>
      <c r="E468" s="120">
        <f t="shared" si="8"/>
        <v>578975</v>
      </c>
      <c r="F468" s="112" t="s">
        <v>977</v>
      </c>
    </row>
    <row r="469" spans="1:6" hidden="1" outlineLevel="1">
      <c r="A469" s="870" t="s">
        <v>978</v>
      </c>
      <c r="B469" s="124">
        <v>0</v>
      </c>
      <c r="C469" s="102">
        <v>189759</v>
      </c>
      <c r="D469" s="135">
        <v>5606586.3150000004</v>
      </c>
      <c r="E469" s="120">
        <f t="shared" si="8"/>
        <v>5796345.3150000004</v>
      </c>
      <c r="F469" s="112" t="s">
        <v>979</v>
      </c>
    </row>
    <row r="470" spans="1:6" hidden="1" outlineLevel="1">
      <c r="A470" s="870" t="s">
        <v>980</v>
      </c>
      <c r="B470" s="124">
        <v>0</v>
      </c>
      <c r="C470" s="102">
        <v>1932313</v>
      </c>
      <c r="D470" s="135">
        <v>6825009.5770000005</v>
      </c>
      <c r="E470" s="120">
        <f t="shared" ref="E470:E533" si="9">SUM(B470:D470)</f>
        <v>8757322.5769999996</v>
      </c>
      <c r="F470" s="112" t="s">
        <v>981</v>
      </c>
    </row>
    <row r="471" spans="1:6" hidden="1" outlineLevel="1">
      <c r="A471" s="870" t="s">
        <v>982</v>
      </c>
      <c r="B471" s="124">
        <v>0</v>
      </c>
      <c r="C471" s="102">
        <v>262535</v>
      </c>
      <c r="D471" s="135">
        <v>243200.00099999999</v>
      </c>
      <c r="E471" s="120">
        <f t="shared" si="9"/>
        <v>505735.00099999999</v>
      </c>
      <c r="F471" s="112" t="s">
        <v>983</v>
      </c>
    </row>
    <row r="472" spans="1:6" hidden="1" outlineLevel="1">
      <c r="A472" s="870" t="s">
        <v>984</v>
      </c>
      <c r="B472" s="124">
        <v>0</v>
      </c>
      <c r="C472" s="102">
        <v>1509482</v>
      </c>
      <c r="D472" s="135">
        <v>2596451</v>
      </c>
      <c r="E472" s="120">
        <f t="shared" si="9"/>
        <v>4105933</v>
      </c>
      <c r="F472" s="112" t="s">
        <v>985</v>
      </c>
    </row>
    <row r="473" spans="1:6" hidden="1" outlineLevel="1">
      <c r="A473" s="870" t="s">
        <v>986</v>
      </c>
      <c r="B473" s="124">
        <v>0</v>
      </c>
      <c r="C473" s="102">
        <v>0</v>
      </c>
      <c r="D473" s="135">
        <v>129361</v>
      </c>
      <c r="E473" s="120">
        <f t="shared" si="9"/>
        <v>129361</v>
      </c>
      <c r="F473" s="112" t="s">
        <v>987</v>
      </c>
    </row>
    <row r="474" spans="1:6" hidden="1" outlineLevel="1">
      <c r="A474" s="870" t="s">
        <v>988</v>
      </c>
      <c r="B474" s="124">
        <v>0</v>
      </c>
      <c r="C474" s="102">
        <v>363562</v>
      </c>
      <c r="D474" s="135">
        <v>6562627.7869999995</v>
      </c>
      <c r="E474" s="120">
        <f t="shared" si="9"/>
        <v>6926189.7869999995</v>
      </c>
      <c r="F474" s="112" t="s">
        <v>989</v>
      </c>
    </row>
    <row r="475" spans="1:6" hidden="1" outlineLevel="1">
      <c r="A475" s="870" t="s">
        <v>990</v>
      </c>
      <c r="B475" s="124">
        <v>0</v>
      </c>
      <c r="C475" s="102">
        <v>76429</v>
      </c>
      <c r="D475" s="135">
        <v>554965</v>
      </c>
      <c r="E475" s="120">
        <f t="shared" si="9"/>
        <v>631394</v>
      </c>
      <c r="F475" s="112" t="s">
        <v>991</v>
      </c>
    </row>
    <row r="476" spans="1:6" hidden="1" outlineLevel="1">
      <c r="A476" s="870" t="s">
        <v>992</v>
      </c>
      <c r="B476" s="124">
        <v>0</v>
      </c>
      <c r="C476" s="102">
        <v>47712</v>
      </c>
      <c r="D476" s="135">
        <v>773581.00199999998</v>
      </c>
      <c r="E476" s="120">
        <f t="shared" si="9"/>
        <v>821293.00199999998</v>
      </c>
      <c r="F476" s="112" t="s">
        <v>993</v>
      </c>
    </row>
    <row r="477" spans="1:6" hidden="1" outlineLevel="1">
      <c r="A477" s="870" t="s">
        <v>994</v>
      </c>
      <c r="B477" s="124">
        <v>0</v>
      </c>
      <c r="C477" s="102">
        <v>25611</v>
      </c>
      <c r="D477" s="135">
        <v>20818</v>
      </c>
      <c r="E477" s="120">
        <f t="shared" si="9"/>
        <v>46429</v>
      </c>
      <c r="F477" s="112" t="s">
        <v>995</v>
      </c>
    </row>
    <row r="478" spans="1:6" hidden="1" outlineLevel="1">
      <c r="A478" s="870" t="s">
        <v>996</v>
      </c>
      <c r="B478" s="124">
        <v>0</v>
      </c>
      <c r="C478" s="102">
        <v>10467</v>
      </c>
      <c r="D478" s="135">
        <v>8624</v>
      </c>
      <c r="E478" s="120">
        <f t="shared" si="9"/>
        <v>19091</v>
      </c>
      <c r="F478" s="112" t="s">
        <v>997</v>
      </c>
    </row>
    <row r="479" spans="1:6" hidden="1" outlineLevel="1">
      <c r="A479" s="870" t="s">
        <v>998</v>
      </c>
      <c r="B479" s="124">
        <v>0</v>
      </c>
      <c r="C479" s="102">
        <v>0</v>
      </c>
      <c r="D479" s="135">
        <v>494133</v>
      </c>
      <c r="E479" s="120">
        <f t="shared" si="9"/>
        <v>494133</v>
      </c>
      <c r="F479" s="112" t="s">
        <v>999</v>
      </c>
    </row>
    <row r="480" spans="1:6" hidden="1" outlineLevel="1">
      <c r="A480" s="870" t="s">
        <v>1000</v>
      </c>
      <c r="B480" s="124">
        <v>0</v>
      </c>
      <c r="C480" s="102">
        <v>0</v>
      </c>
      <c r="D480" s="135">
        <v>238710</v>
      </c>
      <c r="E480" s="120">
        <f t="shared" si="9"/>
        <v>238710</v>
      </c>
      <c r="F480" s="112" t="s">
        <v>1001</v>
      </c>
    </row>
    <row r="481" spans="1:6" hidden="1" outlineLevel="1">
      <c r="A481" s="870" t="s">
        <v>1002</v>
      </c>
      <c r="B481" s="124">
        <v>0</v>
      </c>
      <c r="C481" s="102">
        <v>200292</v>
      </c>
      <c r="D481" s="135">
        <v>10918135</v>
      </c>
      <c r="E481" s="120">
        <f t="shared" si="9"/>
        <v>11118427</v>
      </c>
      <c r="F481" s="112" t="s">
        <v>1003</v>
      </c>
    </row>
    <row r="482" spans="1:6" hidden="1" outlineLevel="1">
      <c r="A482" s="870" t="s">
        <v>1004</v>
      </c>
      <c r="B482" s="124">
        <v>0</v>
      </c>
      <c r="C482" s="102">
        <v>164174</v>
      </c>
      <c r="D482" s="135">
        <v>50020</v>
      </c>
      <c r="E482" s="120">
        <f t="shared" si="9"/>
        <v>214194</v>
      </c>
      <c r="F482" s="112" t="s">
        <v>1005</v>
      </c>
    </row>
    <row r="483" spans="1:6" hidden="1" outlineLevel="1">
      <c r="A483" s="870" t="s">
        <v>1006</v>
      </c>
      <c r="B483" s="124">
        <v>0</v>
      </c>
      <c r="C483" s="102">
        <v>43988</v>
      </c>
      <c r="D483" s="135">
        <v>554631</v>
      </c>
      <c r="E483" s="120">
        <f t="shared" si="9"/>
        <v>598619</v>
      </c>
      <c r="F483" s="112" t="s">
        <v>1007</v>
      </c>
    </row>
    <row r="484" spans="1:6" hidden="1" outlineLevel="1">
      <c r="A484" s="870" t="s">
        <v>1008</v>
      </c>
      <c r="B484" s="124">
        <v>0</v>
      </c>
      <c r="C484" s="102">
        <v>0</v>
      </c>
      <c r="D484" s="135">
        <v>159991</v>
      </c>
      <c r="E484" s="120">
        <f t="shared" si="9"/>
        <v>159991</v>
      </c>
      <c r="F484" s="112" t="s">
        <v>1009</v>
      </c>
    </row>
    <row r="485" spans="1:6" hidden="1" outlineLevel="1">
      <c r="A485" s="870" t="s">
        <v>1010</v>
      </c>
      <c r="B485" s="124">
        <v>0</v>
      </c>
      <c r="C485" s="102">
        <v>0</v>
      </c>
      <c r="D485" s="135">
        <v>535644</v>
      </c>
      <c r="E485" s="120">
        <f t="shared" si="9"/>
        <v>535644</v>
      </c>
      <c r="F485" s="112" t="s">
        <v>1011</v>
      </c>
    </row>
    <row r="486" spans="1:6" hidden="1" outlineLevel="1">
      <c r="A486" s="870" t="s">
        <v>1012</v>
      </c>
      <c r="B486" s="124">
        <v>0</v>
      </c>
      <c r="C486" s="102">
        <v>0</v>
      </c>
      <c r="D486" s="135">
        <v>149122</v>
      </c>
      <c r="E486" s="120">
        <f t="shared" si="9"/>
        <v>149122</v>
      </c>
      <c r="F486" s="112" t="s">
        <v>1013</v>
      </c>
    </row>
    <row r="487" spans="1:6" hidden="1" outlineLevel="1">
      <c r="A487" s="870" t="s">
        <v>1014</v>
      </c>
      <c r="B487" s="124">
        <v>0</v>
      </c>
      <c r="C487" s="102">
        <v>7386</v>
      </c>
      <c r="D487" s="135">
        <v>153966</v>
      </c>
      <c r="E487" s="120">
        <f t="shared" si="9"/>
        <v>161352</v>
      </c>
      <c r="F487" s="112" t="s">
        <v>1015</v>
      </c>
    </row>
    <row r="488" spans="1:6" hidden="1" outlineLevel="1">
      <c r="A488" s="870" t="s">
        <v>1016</v>
      </c>
      <c r="B488" s="124">
        <v>0</v>
      </c>
      <c r="C488" s="102">
        <v>136172</v>
      </c>
      <c r="D488" s="135">
        <v>69372</v>
      </c>
      <c r="E488" s="120">
        <f t="shared" si="9"/>
        <v>205544</v>
      </c>
      <c r="F488" s="112" t="s">
        <v>1017</v>
      </c>
    </row>
    <row r="489" spans="1:6" hidden="1" outlineLevel="1">
      <c r="A489" s="870" t="s">
        <v>1018</v>
      </c>
      <c r="B489" s="124">
        <v>0</v>
      </c>
      <c r="C489" s="102">
        <v>782851</v>
      </c>
      <c r="D489" s="135">
        <v>908804</v>
      </c>
      <c r="E489" s="120">
        <f t="shared" si="9"/>
        <v>1691655</v>
      </c>
      <c r="F489" s="112" t="s">
        <v>1019</v>
      </c>
    </row>
    <row r="490" spans="1:6" hidden="1" outlineLevel="1">
      <c r="A490" s="870" t="s">
        <v>1020</v>
      </c>
      <c r="B490" s="124">
        <v>0</v>
      </c>
      <c r="C490" s="102">
        <v>298756</v>
      </c>
      <c r="D490" s="135">
        <v>714426</v>
      </c>
      <c r="E490" s="120">
        <f t="shared" si="9"/>
        <v>1013182</v>
      </c>
      <c r="F490" s="112" t="s">
        <v>1021</v>
      </c>
    </row>
    <row r="491" spans="1:6" hidden="1" outlineLevel="1">
      <c r="A491" s="870" t="s">
        <v>1022</v>
      </c>
      <c r="B491" s="124">
        <v>0</v>
      </c>
      <c r="C491" s="102">
        <v>200890</v>
      </c>
      <c r="D491" s="135">
        <v>8032054.8990000002</v>
      </c>
      <c r="E491" s="120">
        <f t="shared" si="9"/>
        <v>8232944.8990000002</v>
      </c>
      <c r="F491" s="112" t="s">
        <v>1023</v>
      </c>
    </row>
    <row r="492" spans="1:6" hidden="1" outlineLevel="1">
      <c r="A492" s="870" t="s">
        <v>1024</v>
      </c>
      <c r="B492" s="124">
        <v>0</v>
      </c>
      <c r="C492" s="102">
        <v>1176448</v>
      </c>
      <c r="D492" s="135">
        <v>64662162</v>
      </c>
      <c r="E492" s="120">
        <f t="shared" si="9"/>
        <v>65838610</v>
      </c>
      <c r="F492" s="112" t="s">
        <v>1025</v>
      </c>
    </row>
    <row r="493" spans="1:6" hidden="1" outlineLevel="1">
      <c r="A493" s="870" t="s">
        <v>1026</v>
      </c>
      <c r="B493" s="124">
        <v>0</v>
      </c>
      <c r="C493" s="102">
        <v>630644.16</v>
      </c>
      <c r="D493" s="135">
        <v>951689.83100000001</v>
      </c>
      <c r="E493" s="120">
        <f t="shared" si="9"/>
        <v>1582333.9909999999</v>
      </c>
      <c r="F493" s="112" t="s">
        <v>1027</v>
      </c>
    </row>
    <row r="494" spans="1:6" hidden="1" outlineLevel="1">
      <c r="A494" s="870" t="s">
        <v>1028</v>
      </c>
      <c r="B494" s="124">
        <v>0</v>
      </c>
      <c r="C494" s="102">
        <v>134517</v>
      </c>
      <c r="D494" s="135">
        <v>104295</v>
      </c>
      <c r="E494" s="120">
        <f t="shared" si="9"/>
        <v>238812</v>
      </c>
      <c r="F494" s="112" t="s">
        <v>1029</v>
      </c>
    </row>
    <row r="495" spans="1:6" hidden="1" outlineLevel="1">
      <c r="A495" s="870" t="s">
        <v>1030</v>
      </c>
      <c r="B495" s="124">
        <v>0</v>
      </c>
      <c r="C495" s="102">
        <v>1675507.5419999999</v>
      </c>
      <c r="D495" s="135">
        <v>51094974.349999994</v>
      </c>
      <c r="E495" s="120">
        <f t="shared" si="9"/>
        <v>52770481.891999997</v>
      </c>
      <c r="F495" s="112" t="s">
        <v>1031</v>
      </c>
    </row>
    <row r="496" spans="1:6" hidden="1" outlineLevel="1">
      <c r="A496" s="870" t="s">
        <v>1032</v>
      </c>
      <c r="B496" s="124">
        <v>0</v>
      </c>
      <c r="C496" s="102">
        <v>0</v>
      </c>
      <c r="D496" s="135">
        <v>527089</v>
      </c>
      <c r="E496" s="120">
        <f t="shared" si="9"/>
        <v>527089</v>
      </c>
      <c r="F496" s="112" t="s">
        <v>1033</v>
      </c>
    </row>
    <row r="497" spans="1:6" hidden="1" outlineLevel="1">
      <c r="A497" s="870" t="s">
        <v>1034</v>
      </c>
      <c r="B497" s="124">
        <v>0</v>
      </c>
      <c r="C497" s="102">
        <v>36656</v>
      </c>
      <c r="D497" s="135">
        <v>417734</v>
      </c>
      <c r="E497" s="120">
        <f t="shared" si="9"/>
        <v>454390</v>
      </c>
      <c r="F497" s="112" t="s">
        <v>1035</v>
      </c>
    </row>
    <row r="498" spans="1:6" hidden="1" outlineLevel="1">
      <c r="A498" s="870" t="s">
        <v>1036</v>
      </c>
      <c r="B498" s="124">
        <v>0</v>
      </c>
      <c r="C498" s="102">
        <v>6625</v>
      </c>
      <c r="D498" s="135">
        <v>500906</v>
      </c>
      <c r="E498" s="120">
        <f t="shared" si="9"/>
        <v>507531</v>
      </c>
      <c r="F498" s="112" t="s">
        <v>1037</v>
      </c>
    </row>
    <row r="499" spans="1:6" hidden="1" outlineLevel="1">
      <c r="A499" s="870" t="s">
        <v>1038</v>
      </c>
      <c r="B499" s="124">
        <v>0</v>
      </c>
      <c r="C499" s="102">
        <v>0</v>
      </c>
      <c r="D499" s="135">
        <v>540247</v>
      </c>
      <c r="E499" s="120">
        <f t="shared" si="9"/>
        <v>540247</v>
      </c>
      <c r="F499" s="112" t="s">
        <v>1039</v>
      </c>
    </row>
    <row r="500" spans="1:6" hidden="1" outlineLevel="1">
      <c r="A500" s="870" t="s">
        <v>1040</v>
      </c>
      <c r="B500" s="124">
        <v>0</v>
      </c>
      <c r="C500" s="102">
        <v>168496</v>
      </c>
      <c r="D500" s="135">
        <v>475260</v>
      </c>
      <c r="E500" s="120">
        <f t="shared" si="9"/>
        <v>643756</v>
      </c>
      <c r="F500" s="112" t="s">
        <v>1041</v>
      </c>
    </row>
    <row r="501" spans="1:6" hidden="1" outlineLevel="1">
      <c r="A501" s="870" t="s">
        <v>1042</v>
      </c>
      <c r="B501" s="124">
        <v>0</v>
      </c>
      <c r="C501" s="102">
        <v>454237</v>
      </c>
      <c r="D501" s="135">
        <v>63855</v>
      </c>
      <c r="E501" s="120">
        <f t="shared" si="9"/>
        <v>518092</v>
      </c>
      <c r="F501" s="112" t="s">
        <v>1043</v>
      </c>
    </row>
    <row r="502" spans="1:6" hidden="1" outlineLevel="1">
      <c r="A502" s="870" t="s">
        <v>1044</v>
      </c>
      <c r="B502" s="124">
        <v>0</v>
      </c>
      <c r="C502" s="102">
        <v>709483</v>
      </c>
      <c r="D502" s="135">
        <v>207756</v>
      </c>
      <c r="E502" s="120">
        <f t="shared" si="9"/>
        <v>917239</v>
      </c>
      <c r="F502" s="112" t="s">
        <v>1045</v>
      </c>
    </row>
    <row r="503" spans="1:6" hidden="1" outlineLevel="1">
      <c r="A503" s="870" t="s">
        <v>1046</v>
      </c>
      <c r="B503" s="124">
        <v>0</v>
      </c>
      <c r="C503" s="102">
        <v>0</v>
      </c>
      <c r="D503" s="135">
        <v>323470</v>
      </c>
      <c r="E503" s="120">
        <f t="shared" si="9"/>
        <v>323470</v>
      </c>
      <c r="F503" s="112" t="s">
        <v>1047</v>
      </c>
    </row>
    <row r="504" spans="1:6" hidden="1" outlineLevel="1">
      <c r="A504" s="870" t="s">
        <v>1048</v>
      </c>
      <c r="B504" s="124">
        <v>0</v>
      </c>
      <c r="C504" s="102">
        <v>0</v>
      </c>
      <c r="D504" s="135">
        <v>21983</v>
      </c>
      <c r="E504" s="120">
        <f t="shared" si="9"/>
        <v>21983</v>
      </c>
      <c r="F504" s="112" t="s">
        <v>1049</v>
      </c>
    </row>
    <row r="505" spans="1:6" hidden="1" outlineLevel="1">
      <c r="A505" s="870" t="s">
        <v>1050</v>
      </c>
      <c r="B505" s="124">
        <v>0</v>
      </c>
      <c r="C505" s="102">
        <v>278877</v>
      </c>
      <c r="D505" s="135">
        <v>1207047</v>
      </c>
      <c r="E505" s="120">
        <f t="shared" si="9"/>
        <v>1485924</v>
      </c>
      <c r="F505" s="112" t="s">
        <v>1051</v>
      </c>
    </row>
    <row r="506" spans="1:6" hidden="1" outlineLevel="1">
      <c r="A506" s="870" t="s">
        <v>1052</v>
      </c>
      <c r="B506" s="124">
        <v>0</v>
      </c>
      <c r="C506" s="102">
        <v>367488</v>
      </c>
      <c r="D506" s="135">
        <v>888000</v>
      </c>
      <c r="E506" s="120">
        <f t="shared" si="9"/>
        <v>1255488</v>
      </c>
      <c r="F506" s="112" t="s">
        <v>1053</v>
      </c>
    </row>
    <row r="507" spans="1:6" hidden="1" outlineLevel="1">
      <c r="A507" s="870" t="s">
        <v>1054</v>
      </c>
      <c r="B507" s="124">
        <v>0</v>
      </c>
      <c r="C507" s="102">
        <v>16911</v>
      </c>
      <c r="D507" s="135">
        <v>4364431.9589999998</v>
      </c>
      <c r="E507" s="120">
        <f t="shared" si="9"/>
        <v>4381342.9589999998</v>
      </c>
      <c r="F507" s="112" t="s">
        <v>1055</v>
      </c>
    </row>
    <row r="508" spans="1:6" hidden="1" outlineLevel="1">
      <c r="A508" s="870" t="s">
        <v>1056</v>
      </c>
      <c r="B508" s="124">
        <v>0</v>
      </c>
      <c r="C508" s="102">
        <v>57331</v>
      </c>
      <c r="D508" s="135">
        <v>191922.74</v>
      </c>
      <c r="E508" s="120">
        <f t="shared" si="9"/>
        <v>249253.74</v>
      </c>
      <c r="F508" s="112" t="s">
        <v>1057</v>
      </c>
    </row>
    <row r="509" spans="1:6" hidden="1" outlineLevel="1">
      <c r="A509" s="870" t="s">
        <v>1058</v>
      </c>
      <c r="B509" s="124">
        <v>0</v>
      </c>
      <c r="C509" s="102">
        <v>2268469</v>
      </c>
      <c r="D509" s="135">
        <v>1635892</v>
      </c>
      <c r="E509" s="120">
        <f t="shared" si="9"/>
        <v>3904361</v>
      </c>
      <c r="F509" s="112" t="s">
        <v>1059</v>
      </c>
    </row>
    <row r="510" spans="1:6" hidden="1" outlineLevel="1">
      <c r="A510" s="870" t="s">
        <v>1060</v>
      </c>
      <c r="B510" s="124">
        <v>0</v>
      </c>
      <c r="C510" s="102">
        <v>777</v>
      </c>
      <c r="D510" s="135">
        <v>660920.12100000004</v>
      </c>
      <c r="E510" s="120">
        <f t="shared" si="9"/>
        <v>661697.12100000004</v>
      </c>
      <c r="F510" s="112" t="s">
        <v>1061</v>
      </c>
    </row>
    <row r="511" spans="1:6" hidden="1" outlineLevel="1">
      <c r="A511" s="870" t="s">
        <v>1062</v>
      </c>
      <c r="B511" s="124">
        <v>0</v>
      </c>
      <c r="C511" s="102">
        <v>20414</v>
      </c>
      <c r="D511" s="135">
        <v>20172</v>
      </c>
      <c r="E511" s="120">
        <f t="shared" si="9"/>
        <v>40586</v>
      </c>
      <c r="F511" s="112" t="s">
        <v>1063</v>
      </c>
    </row>
    <row r="512" spans="1:6" hidden="1" outlineLevel="1">
      <c r="A512" s="870" t="s">
        <v>1064</v>
      </c>
      <c r="B512" s="124">
        <v>0</v>
      </c>
      <c r="C512" s="102">
        <v>307046</v>
      </c>
      <c r="D512" s="135">
        <v>1834225.9580000003</v>
      </c>
      <c r="E512" s="120">
        <f t="shared" si="9"/>
        <v>2141271.9580000006</v>
      </c>
      <c r="F512" s="112" t="s">
        <v>1065</v>
      </c>
    </row>
    <row r="513" spans="1:6" hidden="1" outlineLevel="1">
      <c r="A513" s="870" t="s">
        <v>1066</v>
      </c>
      <c r="B513" s="124">
        <v>0</v>
      </c>
      <c r="C513" s="102">
        <v>24040</v>
      </c>
      <c r="D513" s="135">
        <v>0</v>
      </c>
      <c r="E513" s="120">
        <f t="shared" si="9"/>
        <v>24040</v>
      </c>
      <c r="F513" s="112" t="s">
        <v>1067</v>
      </c>
    </row>
    <row r="514" spans="1:6" hidden="1" outlineLevel="1">
      <c r="A514" s="870" t="s">
        <v>1068</v>
      </c>
      <c r="B514" s="124">
        <v>0</v>
      </c>
      <c r="C514" s="102">
        <v>70872</v>
      </c>
      <c r="D514" s="135">
        <v>964424.2</v>
      </c>
      <c r="E514" s="120">
        <f t="shared" si="9"/>
        <v>1035296.2</v>
      </c>
      <c r="F514" s="112" t="s">
        <v>1069</v>
      </c>
    </row>
    <row r="515" spans="1:6" hidden="1" outlineLevel="1">
      <c r="A515" s="870" t="s">
        <v>1070</v>
      </c>
      <c r="B515" s="124">
        <v>0</v>
      </c>
      <c r="C515" s="102">
        <v>123783</v>
      </c>
      <c r="D515" s="135">
        <v>333710</v>
      </c>
      <c r="E515" s="120">
        <f t="shared" si="9"/>
        <v>457493</v>
      </c>
      <c r="F515" s="112" t="s">
        <v>1071</v>
      </c>
    </row>
    <row r="516" spans="1:6" hidden="1" outlineLevel="1">
      <c r="A516" s="870" t="s">
        <v>1072</v>
      </c>
      <c r="B516" s="124">
        <v>0</v>
      </c>
      <c r="C516" s="102">
        <v>11893</v>
      </c>
      <c r="D516" s="135">
        <v>382143</v>
      </c>
      <c r="E516" s="120">
        <f t="shared" si="9"/>
        <v>394036</v>
      </c>
      <c r="F516" s="112" t="s">
        <v>1073</v>
      </c>
    </row>
    <row r="517" spans="1:6" hidden="1" outlineLevel="1">
      <c r="A517" s="870" t="s">
        <v>1074</v>
      </c>
      <c r="B517" s="124">
        <v>0</v>
      </c>
      <c r="C517" s="102">
        <v>330892</v>
      </c>
      <c r="D517" s="135">
        <v>794853.37199999997</v>
      </c>
      <c r="E517" s="120">
        <f t="shared" si="9"/>
        <v>1125745.372</v>
      </c>
      <c r="F517" s="112" t="s">
        <v>1075</v>
      </c>
    </row>
    <row r="518" spans="1:6" hidden="1" outlineLevel="1">
      <c r="A518" s="870" t="s">
        <v>1076</v>
      </c>
      <c r="B518" s="124">
        <v>0</v>
      </c>
      <c r="C518" s="102">
        <v>471974</v>
      </c>
      <c r="D518" s="135">
        <v>1372467</v>
      </c>
      <c r="E518" s="120">
        <f t="shared" si="9"/>
        <v>1844441</v>
      </c>
      <c r="F518" s="112" t="s">
        <v>1077</v>
      </c>
    </row>
    <row r="519" spans="1:6" hidden="1" outlineLevel="1">
      <c r="A519" s="870" t="s">
        <v>1078</v>
      </c>
      <c r="B519" s="124">
        <v>0</v>
      </c>
      <c r="C519" s="102">
        <v>111373</v>
      </c>
      <c r="D519" s="135">
        <v>1700063</v>
      </c>
      <c r="E519" s="120">
        <f t="shared" si="9"/>
        <v>1811436</v>
      </c>
      <c r="F519" s="112" t="s">
        <v>1079</v>
      </c>
    </row>
    <row r="520" spans="1:6" hidden="1" outlineLevel="1">
      <c r="A520" s="870" t="s">
        <v>1080</v>
      </c>
      <c r="B520" s="124">
        <v>0</v>
      </c>
      <c r="C520" s="102">
        <v>26757</v>
      </c>
      <c r="D520" s="135">
        <v>1125297.1430000002</v>
      </c>
      <c r="E520" s="120">
        <f t="shared" si="9"/>
        <v>1152054.1430000002</v>
      </c>
      <c r="F520" s="112" t="s">
        <v>1081</v>
      </c>
    </row>
    <row r="521" spans="1:6" hidden="1" outlineLevel="1">
      <c r="A521" s="870" t="s">
        <v>1082</v>
      </c>
      <c r="B521" s="124">
        <v>0</v>
      </c>
      <c r="C521" s="102">
        <v>11960</v>
      </c>
      <c r="D521" s="135">
        <v>82000</v>
      </c>
      <c r="E521" s="120">
        <f t="shared" si="9"/>
        <v>93960</v>
      </c>
      <c r="F521" s="112" t="s">
        <v>1083</v>
      </c>
    </row>
    <row r="522" spans="1:6" hidden="1" outlineLevel="1">
      <c r="A522" s="870" t="s">
        <v>1084</v>
      </c>
      <c r="B522" s="124">
        <v>0</v>
      </c>
      <c r="C522" s="102">
        <v>489173</v>
      </c>
      <c r="D522" s="135">
        <v>2402140.3029999998</v>
      </c>
      <c r="E522" s="120">
        <f t="shared" si="9"/>
        <v>2891313.3029999998</v>
      </c>
      <c r="F522" s="112" t="s">
        <v>1085</v>
      </c>
    </row>
    <row r="523" spans="1:6" hidden="1" outlineLevel="1">
      <c r="A523" s="870" t="s">
        <v>1086</v>
      </c>
      <c r="B523" s="124">
        <v>0</v>
      </c>
      <c r="C523" s="102">
        <v>280649</v>
      </c>
      <c r="D523" s="135">
        <v>2665934.2560000001</v>
      </c>
      <c r="E523" s="120">
        <f t="shared" si="9"/>
        <v>2946583.2560000001</v>
      </c>
      <c r="F523" s="112" t="s">
        <v>1087</v>
      </c>
    </row>
    <row r="524" spans="1:6" hidden="1" outlineLevel="1">
      <c r="A524" s="870" t="s">
        <v>1088</v>
      </c>
      <c r="B524" s="124">
        <v>0</v>
      </c>
      <c r="C524" s="102">
        <v>24320</v>
      </c>
      <c r="D524" s="135">
        <v>3431817.4239999996</v>
      </c>
      <c r="E524" s="120">
        <f t="shared" si="9"/>
        <v>3456137.4239999996</v>
      </c>
      <c r="F524" s="112" t="s">
        <v>1089</v>
      </c>
    </row>
    <row r="525" spans="1:6" hidden="1" outlineLevel="1">
      <c r="A525" s="870" t="s">
        <v>1090</v>
      </c>
      <c r="B525" s="124">
        <v>0</v>
      </c>
      <c r="C525" s="102">
        <v>1071891.75</v>
      </c>
      <c r="D525" s="135">
        <v>732406.43</v>
      </c>
      <c r="E525" s="120">
        <f t="shared" si="9"/>
        <v>1804298.1800000002</v>
      </c>
      <c r="F525" s="112" t="s">
        <v>1091</v>
      </c>
    </row>
    <row r="526" spans="1:6" hidden="1" outlineLevel="1">
      <c r="A526" s="870" t="s">
        <v>1092</v>
      </c>
      <c r="B526" s="124">
        <v>0</v>
      </c>
      <c r="C526" s="102">
        <v>259634</v>
      </c>
      <c r="D526" s="135">
        <v>2670176.3509999998</v>
      </c>
      <c r="E526" s="120">
        <f t="shared" si="9"/>
        <v>2929810.3509999998</v>
      </c>
      <c r="F526" s="112" t="s">
        <v>1093</v>
      </c>
    </row>
    <row r="527" spans="1:6" hidden="1" outlineLevel="1">
      <c r="A527" s="870" t="s">
        <v>1094</v>
      </c>
      <c r="B527" s="124">
        <v>0</v>
      </c>
      <c r="C527" s="102">
        <v>419499</v>
      </c>
      <c r="D527" s="135">
        <v>561810</v>
      </c>
      <c r="E527" s="120">
        <f t="shared" si="9"/>
        <v>981309</v>
      </c>
      <c r="F527" s="112" t="s">
        <v>1095</v>
      </c>
    </row>
    <row r="528" spans="1:6" hidden="1" outlineLevel="1">
      <c r="A528" s="870" t="s">
        <v>1096</v>
      </c>
      <c r="B528" s="124">
        <v>0</v>
      </c>
      <c r="C528" s="102">
        <v>36588</v>
      </c>
      <c r="D528" s="135">
        <v>526181</v>
      </c>
      <c r="E528" s="120">
        <f t="shared" si="9"/>
        <v>562769</v>
      </c>
      <c r="F528" s="112" t="s">
        <v>1097</v>
      </c>
    </row>
    <row r="529" spans="1:6" hidden="1" outlineLevel="1">
      <c r="A529" s="870" t="s">
        <v>1098</v>
      </c>
      <c r="B529" s="124">
        <v>0</v>
      </c>
      <c r="C529" s="102">
        <v>107459</v>
      </c>
      <c r="D529" s="135">
        <v>241874.27900000001</v>
      </c>
      <c r="E529" s="120">
        <f t="shared" si="9"/>
        <v>349333.27899999998</v>
      </c>
      <c r="F529" s="112" t="s">
        <v>1099</v>
      </c>
    </row>
    <row r="530" spans="1:6" hidden="1" outlineLevel="1">
      <c r="A530" s="870" t="s">
        <v>1100</v>
      </c>
      <c r="B530" s="124">
        <v>0</v>
      </c>
      <c r="C530" s="102">
        <v>2139549</v>
      </c>
      <c r="D530" s="135">
        <v>23810454</v>
      </c>
      <c r="E530" s="120">
        <f t="shared" si="9"/>
        <v>25950003</v>
      </c>
      <c r="F530" s="112" t="s">
        <v>1101</v>
      </c>
    </row>
    <row r="531" spans="1:6" hidden="1" outlineLevel="1">
      <c r="A531" s="870" t="s">
        <v>521</v>
      </c>
      <c r="B531" s="124">
        <v>0</v>
      </c>
      <c r="C531" s="102">
        <v>16073</v>
      </c>
      <c r="D531" s="135">
        <v>139981.13399999999</v>
      </c>
      <c r="E531" s="120">
        <f t="shared" si="9"/>
        <v>156054.13399999999</v>
      </c>
      <c r="F531" s="112" t="s">
        <v>522</v>
      </c>
    </row>
    <row r="532" spans="1:6" hidden="1" outlineLevel="1">
      <c r="A532" s="870" t="s">
        <v>1102</v>
      </c>
      <c r="B532" s="124">
        <v>0</v>
      </c>
      <c r="C532" s="102">
        <v>360233</v>
      </c>
      <c r="D532" s="135">
        <v>869529.40099999995</v>
      </c>
      <c r="E532" s="120">
        <f t="shared" si="9"/>
        <v>1229762.4010000001</v>
      </c>
      <c r="F532" s="112" t="s">
        <v>1103</v>
      </c>
    </row>
    <row r="533" spans="1:6" hidden="1" outlineLevel="1">
      <c r="A533" s="870" t="s">
        <v>1104</v>
      </c>
      <c r="B533" s="124">
        <v>0</v>
      </c>
      <c r="C533" s="102">
        <v>131752.63699999999</v>
      </c>
      <c r="D533" s="135">
        <v>517056</v>
      </c>
      <c r="E533" s="120">
        <f t="shared" si="9"/>
        <v>648808.63699999999</v>
      </c>
      <c r="F533" s="112" t="s">
        <v>1105</v>
      </c>
    </row>
    <row r="534" spans="1:6" hidden="1" outlineLevel="1">
      <c r="A534" s="870" t="s">
        <v>1106</v>
      </c>
      <c r="B534" s="124">
        <v>0</v>
      </c>
      <c r="C534" s="102">
        <v>11207.842000000001</v>
      </c>
      <c r="D534" s="135">
        <v>16530236.479</v>
      </c>
      <c r="E534" s="120">
        <f t="shared" ref="E534:E597" si="10">SUM(B534:D534)</f>
        <v>16541444.321</v>
      </c>
      <c r="F534" s="112" t="s">
        <v>1107</v>
      </c>
    </row>
    <row r="535" spans="1:6" hidden="1" outlineLevel="1">
      <c r="A535" s="870" t="s">
        <v>1108</v>
      </c>
      <c r="B535" s="124">
        <v>505464</v>
      </c>
      <c r="C535" s="102">
        <v>1039073.001</v>
      </c>
      <c r="D535" s="135">
        <v>223891</v>
      </c>
      <c r="E535" s="120">
        <f t="shared" si="10"/>
        <v>1768428.0010000002</v>
      </c>
      <c r="F535" s="112" t="s">
        <v>1109</v>
      </c>
    </row>
    <row r="536" spans="1:6" hidden="1" outlineLevel="1">
      <c r="A536" s="870" t="s">
        <v>1110</v>
      </c>
      <c r="B536" s="124">
        <v>0</v>
      </c>
      <c r="C536" s="102">
        <v>254809.06</v>
      </c>
      <c r="D536" s="135">
        <v>327118</v>
      </c>
      <c r="E536" s="120">
        <f t="shared" si="10"/>
        <v>581927.06000000006</v>
      </c>
      <c r="F536" s="112" t="s">
        <v>1111</v>
      </c>
    </row>
    <row r="537" spans="1:6" hidden="1" outlineLevel="1">
      <c r="A537" s="870" t="s">
        <v>1112</v>
      </c>
      <c r="B537" s="124">
        <v>0</v>
      </c>
      <c r="C537" s="102">
        <v>358530</v>
      </c>
      <c r="D537" s="135">
        <v>1205344.71</v>
      </c>
      <c r="E537" s="120">
        <f t="shared" si="10"/>
        <v>1563874.71</v>
      </c>
      <c r="F537" s="112" t="s">
        <v>1113</v>
      </c>
    </row>
    <row r="538" spans="1:6" hidden="1" outlineLevel="1">
      <c r="A538" s="870" t="s">
        <v>1114</v>
      </c>
      <c r="B538" s="124">
        <v>0</v>
      </c>
      <c r="C538" s="102">
        <v>988392</v>
      </c>
      <c r="D538" s="135">
        <v>11658628</v>
      </c>
      <c r="E538" s="120">
        <f t="shared" si="10"/>
        <v>12647020</v>
      </c>
      <c r="F538" s="112" t="s">
        <v>1115</v>
      </c>
    </row>
    <row r="539" spans="1:6" hidden="1" outlineLevel="1">
      <c r="A539" s="870" t="s">
        <v>1116</v>
      </c>
      <c r="B539" s="124">
        <v>0</v>
      </c>
      <c r="C539" s="102">
        <v>135213</v>
      </c>
      <c r="D539" s="135">
        <v>1413470.121</v>
      </c>
      <c r="E539" s="120">
        <f t="shared" si="10"/>
        <v>1548683.121</v>
      </c>
      <c r="F539" s="112" t="s">
        <v>1117</v>
      </c>
    </row>
    <row r="540" spans="1:6" hidden="1" outlineLevel="1">
      <c r="A540" s="870" t="s">
        <v>1118</v>
      </c>
      <c r="B540" s="124">
        <v>0</v>
      </c>
      <c r="C540" s="102">
        <v>0</v>
      </c>
      <c r="D540" s="135">
        <v>185859</v>
      </c>
      <c r="E540" s="120">
        <f t="shared" si="10"/>
        <v>185859</v>
      </c>
      <c r="F540" s="112" t="s">
        <v>1119</v>
      </c>
    </row>
    <row r="541" spans="1:6" hidden="1" outlineLevel="1">
      <c r="A541" s="870" t="s">
        <v>1120</v>
      </c>
      <c r="B541" s="124">
        <v>0</v>
      </c>
      <c r="C541" s="102">
        <v>266552318</v>
      </c>
      <c r="D541" s="135">
        <v>29050025.780000001</v>
      </c>
      <c r="E541" s="120">
        <f t="shared" si="10"/>
        <v>295602343.77999997</v>
      </c>
      <c r="F541" s="112" t="s">
        <v>1121</v>
      </c>
    </row>
    <row r="542" spans="1:6" hidden="1" outlineLevel="1">
      <c r="A542" s="870" t="s">
        <v>1122</v>
      </c>
      <c r="B542" s="124">
        <v>0</v>
      </c>
      <c r="C542" s="102">
        <v>1998791</v>
      </c>
      <c r="D542" s="135">
        <v>2067445.4949999999</v>
      </c>
      <c r="E542" s="120">
        <f t="shared" si="10"/>
        <v>4066236.4950000001</v>
      </c>
      <c r="F542" s="112" t="s">
        <v>1123</v>
      </c>
    </row>
    <row r="543" spans="1:6" hidden="1" outlineLevel="1">
      <c r="A543" s="870" t="s">
        <v>1124</v>
      </c>
      <c r="B543" s="124">
        <v>0</v>
      </c>
      <c r="C543" s="102">
        <v>35912</v>
      </c>
      <c r="D543" s="135">
        <v>243101</v>
      </c>
      <c r="E543" s="120">
        <f t="shared" si="10"/>
        <v>279013</v>
      </c>
      <c r="F543" s="112" t="s">
        <v>1125</v>
      </c>
    </row>
    <row r="544" spans="1:6" hidden="1" outlineLevel="1">
      <c r="A544" s="870" t="s">
        <v>1126</v>
      </c>
      <c r="B544" s="124">
        <v>0</v>
      </c>
      <c r="C544" s="102">
        <v>319047</v>
      </c>
      <c r="D544" s="135">
        <v>298813.353</v>
      </c>
      <c r="E544" s="120">
        <f t="shared" si="10"/>
        <v>617860.353</v>
      </c>
      <c r="F544" s="112" t="s">
        <v>1127</v>
      </c>
    </row>
    <row r="545" spans="1:6" hidden="1" outlineLevel="1">
      <c r="A545" s="870" t="s">
        <v>1128</v>
      </c>
      <c r="B545" s="124">
        <v>0</v>
      </c>
      <c r="C545" s="102">
        <v>5714</v>
      </c>
      <c r="D545" s="135">
        <v>584556</v>
      </c>
      <c r="E545" s="120">
        <f t="shared" si="10"/>
        <v>590270</v>
      </c>
      <c r="F545" s="112" t="s">
        <v>1129</v>
      </c>
    </row>
    <row r="546" spans="1:6" hidden="1" outlineLevel="1">
      <c r="A546" s="870" t="s">
        <v>1130</v>
      </c>
      <c r="B546" s="124">
        <v>0</v>
      </c>
      <c r="C546" s="102">
        <v>336737.6</v>
      </c>
      <c r="D546" s="135">
        <v>877586.16</v>
      </c>
      <c r="E546" s="120">
        <f t="shared" si="10"/>
        <v>1214323.76</v>
      </c>
      <c r="F546" s="112" t="s">
        <v>1131</v>
      </c>
    </row>
    <row r="547" spans="1:6" hidden="1" outlineLevel="1">
      <c r="A547" s="870" t="s">
        <v>1132</v>
      </c>
      <c r="B547" s="124">
        <v>0</v>
      </c>
      <c r="C547" s="102">
        <v>0</v>
      </c>
      <c r="D547" s="135">
        <v>5862</v>
      </c>
      <c r="E547" s="120">
        <f t="shared" si="10"/>
        <v>5862</v>
      </c>
      <c r="F547" s="112" t="s">
        <v>1133</v>
      </c>
    </row>
    <row r="548" spans="1:6" hidden="1" outlineLevel="1">
      <c r="A548" s="870" t="s">
        <v>1134</v>
      </c>
      <c r="B548" s="124">
        <v>0</v>
      </c>
      <c r="C548" s="102">
        <v>433605.11</v>
      </c>
      <c r="D548" s="135">
        <v>628988.32299999997</v>
      </c>
      <c r="E548" s="120">
        <f t="shared" si="10"/>
        <v>1062593.433</v>
      </c>
      <c r="F548" s="112" t="s">
        <v>1135</v>
      </c>
    </row>
    <row r="549" spans="1:6" hidden="1" outlineLevel="1">
      <c r="A549" s="870" t="s">
        <v>1136</v>
      </c>
      <c r="B549" s="124">
        <v>0</v>
      </c>
      <c r="C549" s="102">
        <v>14601</v>
      </c>
      <c r="D549" s="135">
        <v>129980</v>
      </c>
      <c r="E549" s="120">
        <f t="shared" si="10"/>
        <v>144581</v>
      </c>
      <c r="F549" s="112" t="s">
        <v>1137</v>
      </c>
    </row>
    <row r="550" spans="1:6" hidden="1" outlineLevel="1">
      <c r="A550" s="870" t="s">
        <v>1138</v>
      </c>
      <c r="B550" s="124">
        <v>0</v>
      </c>
      <c r="C550" s="102">
        <v>0</v>
      </c>
      <c r="D550" s="135">
        <v>80257</v>
      </c>
      <c r="E550" s="120">
        <f t="shared" si="10"/>
        <v>80257</v>
      </c>
      <c r="F550" s="112" t="s">
        <v>1139</v>
      </c>
    </row>
    <row r="551" spans="1:6" hidden="1" outlineLevel="1">
      <c r="A551" s="870" t="s">
        <v>1140</v>
      </c>
      <c r="B551" s="124">
        <v>0</v>
      </c>
      <c r="C551" s="102">
        <v>591346.93000000005</v>
      </c>
      <c r="D551" s="135">
        <v>919362.3</v>
      </c>
      <c r="E551" s="120">
        <f t="shared" si="10"/>
        <v>1510709.23</v>
      </c>
      <c r="F551" s="112" t="s">
        <v>1141</v>
      </c>
    </row>
    <row r="552" spans="1:6" hidden="1" outlineLevel="1">
      <c r="A552" s="870" t="s">
        <v>1142</v>
      </c>
      <c r="B552" s="124">
        <v>0</v>
      </c>
      <c r="C552" s="102">
        <v>77651</v>
      </c>
      <c r="D552" s="135">
        <v>72318</v>
      </c>
      <c r="E552" s="120">
        <f t="shared" si="10"/>
        <v>149969</v>
      </c>
      <c r="F552" s="112" t="s">
        <v>1143</v>
      </c>
    </row>
    <row r="553" spans="1:6" hidden="1" outlineLevel="1">
      <c r="A553" s="870" t="s">
        <v>1144</v>
      </c>
      <c r="B553" s="124">
        <v>0</v>
      </c>
      <c r="C553" s="102">
        <v>3720</v>
      </c>
      <c r="D553" s="135">
        <v>95110</v>
      </c>
      <c r="E553" s="120">
        <f t="shared" si="10"/>
        <v>98830</v>
      </c>
      <c r="F553" s="112" t="s">
        <v>1145</v>
      </c>
    </row>
    <row r="554" spans="1:6" hidden="1" outlineLevel="1">
      <c r="A554" s="870" t="s">
        <v>1146</v>
      </c>
      <c r="B554" s="124">
        <v>0</v>
      </c>
      <c r="C554" s="102">
        <v>2962075</v>
      </c>
      <c r="D554" s="135">
        <v>477050.46799999999</v>
      </c>
      <c r="E554" s="120">
        <f t="shared" si="10"/>
        <v>3439125.4679999999</v>
      </c>
      <c r="F554" s="112" t="s">
        <v>1147</v>
      </c>
    </row>
    <row r="555" spans="1:6" hidden="1" outlineLevel="1">
      <c r="A555" s="870" t="s">
        <v>1148</v>
      </c>
      <c r="B555" s="124">
        <v>0</v>
      </c>
      <c r="C555" s="102">
        <v>0</v>
      </c>
      <c r="D555" s="135">
        <v>41183</v>
      </c>
      <c r="E555" s="120">
        <f t="shared" si="10"/>
        <v>41183</v>
      </c>
      <c r="F555" s="112" t="s">
        <v>1149</v>
      </c>
    </row>
    <row r="556" spans="1:6" hidden="1" outlineLevel="1">
      <c r="A556" s="870" t="s">
        <v>1150</v>
      </c>
      <c r="B556" s="124">
        <v>0</v>
      </c>
      <c r="C556" s="102">
        <v>45655</v>
      </c>
      <c r="D556" s="135">
        <v>333323.467</v>
      </c>
      <c r="E556" s="120">
        <f t="shared" si="10"/>
        <v>378978.467</v>
      </c>
      <c r="F556" s="112" t="s">
        <v>1151</v>
      </c>
    </row>
    <row r="557" spans="1:6" hidden="1" outlineLevel="1">
      <c r="A557" s="870" t="s">
        <v>1152</v>
      </c>
      <c r="B557" s="124">
        <v>56621</v>
      </c>
      <c r="C557" s="102">
        <v>666189</v>
      </c>
      <c r="D557" s="135">
        <v>1167365</v>
      </c>
      <c r="E557" s="120">
        <f t="shared" si="10"/>
        <v>1890175</v>
      </c>
      <c r="F557" s="112" t="s">
        <v>1153</v>
      </c>
    </row>
    <row r="558" spans="1:6" hidden="1" outlineLevel="1">
      <c r="A558" s="870" t="s">
        <v>1154</v>
      </c>
      <c r="B558" s="124">
        <v>0</v>
      </c>
      <c r="C558" s="102">
        <v>0</v>
      </c>
      <c r="D558" s="135">
        <v>311812.375</v>
      </c>
      <c r="E558" s="120">
        <f t="shared" si="10"/>
        <v>311812.375</v>
      </c>
      <c r="F558" s="112" t="s">
        <v>1155</v>
      </c>
    </row>
    <row r="559" spans="1:6" hidden="1" outlineLevel="1">
      <c r="A559" s="870" t="s">
        <v>1156</v>
      </c>
      <c r="B559" s="124">
        <v>0</v>
      </c>
      <c r="C559" s="102">
        <v>103636</v>
      </c>
      <c r="D559" s="135">
        <v>222026</v>
      </c>
      <c r="E559" s="120">
        <f t="shared" si="10"/>
        <v>325662</v>
      </c>
      <c r="F559" s="112" t="s">
        <v>1157</v>
      </c>
    </row>
    <row r="560" spans="1:6" hidden="1" outlineLevel="1">
      <c r="A560" s="870" t="s">
        <v>1158</v>
      </c>
      <c r="B560" s="124">
        <v>0</v>
      </c>
      <c r="C560" s="102">
        <v>0</v>
      </c>
      <c r="D560" s="135">
        <v>303012</v>
      </c>
      <c r="E560" s="120">
        <f t="shared" si="10"/>
        <v>303012</v>
      </c>
      <c r="F560" s="112" t="s">
        <v>1159</v>
      </c>
    </row>
    <row r="561" spans="1:6" hidden="1" outlineLevel="1">
      <c r="A561" s="870" t="s">
        <v>1160</v>
      </c>
      <c r="B561" s="124">
        <v>0</v>
      </c>
      <c r="C561" s="102">
        <v>44551.4</v>
      </c>
      <c r="D561" s="135">
        <v>434461949.76600003</v>
      </c>
      <c r="E561" s="120">
        <f t="shared" si="10"/>
        <v>434506501.16600001</v>
      </c>
      <c r="F561" s="112" t="s">
        <v>1161</v>
      </c>
    </row>
    <row r="562" spans="1:6" hidden="1" outlineLevel="1">
      <c r="A562" s="870" t="s">
        <v>1162</v>
      </c>
      <c r="B562" s="124">
        <v>0</v>
      </c>
      <c r="C562" s="102">
        <v>647972.68000000005</v>
      </c>
      <c r="D562" s="135">
        <v>382843.58</v>
      </c>
      <c r="E562" s="120">
        <f t="shared" si="10"/>
        <v>1030816.26</v>
      </c>
      <c r="F562" s="112" t="s">
        <v>1163</v>
      </c>
    </row>
    <row r="563" spans="1:6" hidden="1" outlineLevel="1">
      <c r="A563" s="870" t="s">
        <v>1164</v>
      </c>
      <c r="B563" s="124">
        <v>1818</v>
      </c>
      <c r="C563" s="102">
        <v>480894</v>
      </c>
      <c r="D563" s="135">
        <v>457325.26800000004</v>
      </c>
      <c r="E563" s="120">
        <f t="shared" si="10"/>
        <v>940037.26800000004</v>
      </c>
      <c r="F563" s="112" t="s">
        <v>1165</v>
      </c>
    </row>
    <row r="564" spans="1:6" hidden="1" outlineLevel="1">
      <c r="A564" s="870" t="s">
        <v>1166</v>
      </c>
      <c r="B564" s="124">
        <v>0</v>
      </c>
      <c r="C564" s="102">
        <v>0</v>
      </c>
      <c r="D564" s="135">
        <v>0</v>
      </c>
      <c r="E564" s="120">
        <f t="shared" si="10"/>
        <v>0</v>
      </c>
      <c r="F564" s="112" t="s">
        <v>1167</v>
      </c>
    </row>
    <row r="565" spans="1:6" hidden="1" outlineLevel="1">
      <c r="A565" s="870" t="s">
        <v>1168</v>
      </c>
      <c r="B565" s="124">
        <v>0</v>
      </c>
      <c r="C565" s="102">
        <v>19698</v>
      </c>
      <c r="D565" s="135">
        <v>436703</v>
      </c>
      <c r="E565" s="120">
        <f t="shared" si="10"/>
        <v>456401</v>
      </c>
      <c r="F565" s="112" t="s">
        <v>1169</v>
      </c>
    </row>
    <row r="566" spans="1:6" hidden="1" outlineLevel="1">
      <c r="A566" s="870" t="s">
        <v>1170</v>
      </c>
      <c r="B566" s="124">
        <v>0</v>
      </c>
      <c r="C566" s="102">
        <v>0</v>
      </c>
      <c r="D566" s="135">
        <v>505499</v>
      </c>
      <c r="E566" s="120">
        <f t="shared" si="10"/>
        <v>505499</v>
      </c>
      <c r="F566" s="112" t="s">
        <v>1171</v>
      </c>
    </row>
    <row r="567" spans="1:6" hidden="1" outlineLevel="1">
      <c r="A567" s="870" t="s">
        <v>1172</v>
      </c>
      <c r="B567" s="124">
        <v>0</v>
      </c>
      <c r="C567" s="102">
        <v>0</v>
      </c>
      <c r="D567" s="135">
        <v>142973</v>
      </c>
      <c r="E567" s="120">
        <f t="shared" si="10"/>
        <v>142973</v>
      </c>
      <c r="F567" s="112" t="s">
        <v>1173</v>
      </c>
    </row>
    <row r="568" spans="1:6" hidden="1" outlineLevel="1">
      <c r="A568" s="870" t="s">
        <v>1174</v>
      </c>
      <c r="B568" s="124">
        <v>0</v>
      </c>
      <c r="C568" s="102">
        <v>87616</v>
      </c>
      <c r="D568" s="135">
        <v>29805964</v>
      </c>
      <c r="E568" s="120">
        <f t="shared" si="10"/>
        <v>29893580</v>
      </c>
      <c r="F568" s="112" t="s">
        <v>1175</v>
      </c>
    </row>
    <row r="569" spans="1:6" hidden="1" outlineLevel="1">
      <c r="A569" s="870" t="s">
        <v>1176</v>
      </c>
      <c r="B569" s="124">
        <v>0</v>
      </c>
      <c r="C569" s="102">
        <v>611050</v>
      </c>
      <c r="D569" s="135">
        <v>11601822</v>
      </c>
      <c r="E569" s="120">
        <f t="shared" si="10"/>
        <v>12212872</v>
      </c>
      <c r="F569" s="112" t="s">
        <v>1177</v>
      </c>
    </row>
    <row r="570" spans="1:6" hidden="1" outlineLevel="1">
      <c r="A570" s="870" t="s">
        <v>1178</v>
      </c>
      <c r="B570" s="124">
        <v>0</v>
      </c>
      <c r="C570" s="102">
        <v>18947</v>
      </c>
      <c r="D570" s="135">
        <v>80000</v>
      </c>
      <c r="E570" s="120">
        <f t="shared" si="10"/>
        <v>98947</v>
      </c>
      <c r="F570" s="112" t="s">
        <v>1179</v>
      </c>
    </row>
    <row r="571" spans="1:6" hidden="1" outlineLevel="1">
      <c r="A571" s="870" t="s">
        <v>1180</v>
      </c>
      <c r="B571" s="124">
        <v>0</v>
      </c>
      <c r="C571" s="102">
        <v>43748</v>
      </c>
      <c r="D571" s="135">
        <v>379257</v>
      </c>
      <c r="E571" s="120">
        <f t="shared" si="10"/>
        <v>423005</v>
      </c>
      <c r="F571" s="112" t="s">
        <v>1181</v>
      </c>
    </row>
    <row r="572" spans="1:6" hidden="1" outlineLevel="1">
      <c r="A572" s="870" t="s">
        <v>1182</v>
      </c>
      <c r="B572" s="124">
        <v>0</v>
      </c>
      <c r="C572" s="102">
        <v>517855</v>
      </c>
      <c r="D572" s="135">
        <v>135422</v>
      </c>
      <c r="E572" s="120">
        <f t="shared" si="10"/>
        <v>653277</v>
      </c>
      <c r="F572" s="112" t="s">
        <v>1183</v>
      </c>
    </row>
    <row r="573" spans="1:6" hidden="1" outlineLevel="1">
      <c r="A573" s="870" t="s">
        <v>1184</v>
      </c>
      <c r="B573" s="124">
        <v>0</v>
      </c>
      <c r="C573" s="102">
        <v>416727</v>
      </c>
      <c r="D573" s="135">
        <v>923568.49600000004</v>
      </c>
      <c r="E573" s="120">
        <f t="shared" si="10"/>
        <v>1340295.496</v>
      </c>
      <c r="F573" s="112" t="s">
        <v>1185</v>
      </c>
    </row>
    <row r="574" spans="1:6" hidden="1" outlineLevel="1">
      <c r="A574" s="870" t="s">
        <v>1186</v>
      </c>
      <c r="B574" s="124">
        <v>0</v>
      </c>
      <c r="C574" s="102">
        <v>10391.83</v>
      </c>
      <c r="D574" s="135">
        <v>1272388</v>
      </c>
      <c r="E574" s="120">
        <f t="shared" si="10"/>
        <v>1282779.83</v>
      </c>
      <c r="F574" s="112" t="s">
        <v>1187</v>
      </c>
    </row>
    <row r="575" spans="1:6" hidden="1" outlineLevel="1">
      <c r="A575" s="870" t="s">
        <v>1188</v>
      </c>
      <c r="B575" s="124">
        <v>0</v>
      </c>
      <c r="C575" s="102">
        <v>416445</v>
      </c>
      <c r="D575" s="135">
        <v>1354108</v>
      </c>
      <c r="E575" s="120">
        <f t="shared" si="10"/>
        <v>1770553</v>
      </c>
      <c r="F575" s="112" t="s">
        <v>1189</v>
      </c>
    </row>
    <row r="576" spans="1:6" hidden="1" outlineLevel="1">
      <c r="A576" s="870" t="s">
        <v>1190</v>
      </c>
      <c r="B576" s="124">
        <v>0</v>
      </c>
      <c r="C576" s="102">
        <v>7297</v>
      </c>
      <c r="D576" s="135">
        <v>252632.008</v>
      </c>
      <c r="E576" s="120">
        <f t="shared" si="10"/>
        <v>259929.008</v>
      </c>
      <c r="F576" s="112" t="s">
        <v>1191</v>
      </c>
    </row>
    <row r="577" spans="1:6" hidden="1" outlineLevel="1">
      <c r="A577" s="870" t="s">
        <v>1192</v>
      </c>
      <c r="B577" s="124">
        <v>0</v>
      </c>
      <c r="C577" s="102">
        <v>39157</v>
      </c>
      <c r="D577" s="135">
        <v>65054</v>
      </c>
      <c r="E577" s="120">
        <f t="shared" si="10"/>
        <v>104211</v>
      </c>
      <c r="F577" s="112" t="s">
        <v>1193</v>
      </c>
    </row>
    <row r="578" spans="1:6" hidden="1" outlineLevel="1">
      <c r="A578" s="870" t="s">
        <v>1194</v>
      </c>
      <c r="B578" s="124">
        <v>0</v>
      </c>
      <c r="C578" s="102">
        <v>52996.17</v>
      </c>
      <c r="D578" s="135">
        <v>1132223.138</v>
      </c>
      <c r="E578" s="120">
        <f t="shared" si="10"/>
        <v>1185219.308</v>
      </c>
      <c r="F578" s="112" t="s">
        <v>1195</v>
      </c>
    </row>
    <row r="579" spans="1:6" hidden="1" outlineLevel="1">
      <c r="A579" s="870" t="s">
        <v>1196</v>
      </c>
      <c r="B579" s="124">
        <v>474683</v>
      </c>
      <c r="C579" s="102">
        <v>260077</v>
      </c>
      <c r="D579" s="135">
        <v>2047040.0009999997</v>
      </c>
      <c r="E579" s="120">
        <f t="shared" si="10"/>
        <v>2781800.0009999997</v>
      </c>
      <c r="F579" s="112" t="s">
        <v>1197</v>
      </c>
    </row>
    <row r="580" spans="1:6" hidden="1" outlineLevel="1">
      <c r="A580" s="870" t="s">
        <v>1198</v>
      </c>
      <c r="B580" s="124">
        <v>0</v>
      </c>
      <c r="C580" s="102">
        <v>7094271</v>
      </c>
      <c r="D580" s="135">
        <v>246079304</v>
      </c>
      <c r="E580" s="120">
        <f t="shared" si="10"/>
        <v>253173575</v>
      </c>
      <c r="F580" s="112" t="s">
        <v>1199</v>
      </c>
    </row>
    <row r="581" spans="1:6" hidden="1" outlineLevel="1">
      <c r="A581" s="870" t="s">
        <v>1200</v>
      </c>
      <c r="B581" s="124">
        <v>0</v>
      </c>
      <c r="C581" s="102">
        <v>235090</v>
      </c>
      <c r="D581" s="135">
        <v>2454678</v>
      </c>
      <c r="E581" s="120">
        <f t="shared" si="10"/>
        <v>2689768</v>
      </c>
      <c r="F581" s="112" t="s">
        <v>1201</v>
      </c>
    </row>
    <row r="582" spans="1:6" hidden="1" outlineLevel="1">
      <c r="A582" s="870" t="s">
        <v>1202</v>
      </c>
      <c r="B582" s="124">
        <v>0</v>
      </c>
      <c r="C582" s="102">
        <v>450461</v>
      </c>
      <c r="D582" s="135">
        <v>26600</v>
      </c>
      <c r="E582" s="120">
        <f t="shared" si="10"/>
        <v>477061</v>
      </c>
      <c r="F582" s="112" t="s">
        <v>1203</v>
      </c>
    </row>
    <row r="583" spans="1:6" hidden="1" outlineLevel="1">
      <c r="A583" s="870" t="s">
        <v>1204</v>
      </c>
      <c r="B583" s="124">
        <v>0</v>
      </c>
      <c r="C583" s="102">
        <v>13098253</v>
      </c>
      <c r="D583" s="135">
        <v>1259977143.9990001</v>
      </c>
      <c r="E583" s="120">
        <f t="shared" si="10"/>
        <v>1273075396.9990001</v>
      </c>
      <c r="F583" s="112" t="s">
        <v>1205</v>
      </c>
    </row>
    <row r="584" spans="1:6" hidden="1" outlineLevel="1">
      <c r="A584" s="870" t="s">
        <v>1206</v>
      </c>
      <c r="B584" s="124">
        <v>0</v>
      </c>
      <c r="C584" s="102">
        <v>0</v>
      </c>
      <c r="D584" s="135">
        <v>1410281</v>
      </c>
      <c r="E584" s="120">
        <f t="shared" si="10"/>
        <v>1410281</v>
      </c>
      <c r="F584" s="112" t="s">
        <v>1207</v>
      </c>
    </row>
    <row r="585" spans="1:6" hidden="1" outlineLevel="1">
      <c r="A585" s="870" t="s">
        <v>1208</v>
      </c>
      <c r="B585" s="124">
        <v>4255600</v>
      </c>
      <c r="C585" s="102">
        <v>0</v>
      </c>
      <c r="D585" s="135">
        <v>16998097.338</v>
      </c>
      <c r="E585" s="120">
        <f t="shared" si="10"/>
        <v>21253697.338</v>
      </c>
      <c r="F585" s="112" t="s">
        <v>1209</v>
      </c>
    </row>
    <row r="586" spans="1:6" hidden="1" outlineLevel="1">
      <c r="A586" s="870" t="s">
        <v>1210</v>
      </c>
      <c r="B586" s="124">
        <v>0</v>
      </c>
      <c r="C586" s="102">
        <v>20617363.713</v>
      </c>
      <c r="D586" s="135">
        <v>4876742.8629999999</v>
      </c>
      <c r="E586" s="120">
        <f t="shared" si="10"/>
        <v>25494106.575999998</v>
      </c>
      <c r="F586" s="112" t="s">
        <v>1211</v>
      </c>
    </row>
    <row r="587" spans="1:6" hidden="1" outlineLevel="1">
      <c r="A587" s="870" t="s">
        <v>1212</v>
      </c>
      <c r="B587" s="124">
        <v>0</v>
      </c>
      <c r="C587" s="102">
        <v>278569.14</v>
      </c>
      <c r="D587" s="135">
        <v>1282271.2949999999</v>
      </c>
      <c r="E587" s="120">
        <f t="shared" si="10"/>
        <v>1560840.4350000001</v>
      </c>
      <c r="F587" s="112" t="s">
        <v>1213</v>
      </c>
    </row>
    <row r="588" spans="1:6" hidden="1" outlineLevel="1">
      <c r="A588" s="870" t="s">
        <v>1214</v>
      </c>
      <c r="B588" s="124">
        <v>0</v>
      </c>
      <c r="C588" s="102">
        <v>97785</v>
      </c>
      <c r="D588" s="135">
        <v>707565.64399999997</v>
      </c>
      <c r="E588" s="120">
        <f t="shared" si="10"/>
        <v>805350.64399999997</v>
      </c>
      <c r="F588" s="112" t="s">
        <v>1215</v>
      </c>
    </row>
    <row r="589" spans="1:6" hidden="1" outlineLevel="1">
      <c r="A589" s="870" t="s">
        <v>1216</v>
      </c>
      <c r="B589" s="124">
        <v>0</v>
      </c>
      <c r="C589" s="102">
        <v>207583</v>
      </c>
      <c r="D589" s="135">
        <v>10193</v>
      </c>
      <c r="E589" s="120">
        <f t="shared" si="10"/>
        <v>217776</v>
      </c>
      <c r="F589" s="112" t="s">
        <v>1217</v>
      </c>
    </row>
    <row r="590" spans="1:6" hidden="1" outlineLevel="1">
      <c r="A590" s="870" t="s">
        <v>1218</v>
      </c>
      <c r="B590" s="124">
        <v>0</v>
      </c>
      <c r="C590" s="102">
        <v>21724</v>
      </c>
      <c r="D590" s="135">
        <v>420793</v>
      </c>
      <c r="E590" s="120">
        <f t="shared" si="10"/>
        <v>442517</v>
      </c>
      <c r="F590" s="112" t="s">
        <v>1219</v>
      </c>
    </row>
    <row r="591" spans="1:6" hidden="1" outlineLevel="1">
      <c r="A591" s="870" t="s">
        <v>1220</v>
      </c>
      <c r="B591" s="124">
        <v>0</v>
      </c>
      <c r="C591" s="102">
        <v>199810.18</v>
      </c>
      <c r="D591" s="135">
        <v>554802.06000000006</v>
      </c>
      <c r="E591" s="120">
        <f t="shared" si="10"/>
        <v>754612.24</v>
      </c>
      <c r="F591" s="112" t="s">
        <v>1221</v>
      </c>
    </row>
    <row r="592" spans="1:6" hidden="1" outlineLevel="1">
      <c r="A592" s="870" t="s">
        <v>1222</v>
      </c>
      <c r="B592" s="124">
        <v>0</v>
      </c>
      <c r="C592" s="102">
        <v>41690</v>
      </c>
      <c r="D592" s="135">
        <v>1124327</v>
      </c>
      <c r="E592" s="120">
        <f t="shared" si="10"/>
        <v>1166017</v>
      </c>
      <c r="F592" s="112" t="s">
        <v>1223</v>
      </c>
    </row>
    <row r="593" spans="1:6" hidden="1" outlineLevel="1">
      <c r="A593" s="870" t="s">
        <v>1224</v>
      </c>
      <c r="B593" s="124">
        <v>0</v>
      </c>
      <c r="C593" s="102">
        <v>0</v>
      </c>
      <c r="D593" s="135">
        <v>1043390</v>
      </c>
      <c r="E593" s="120">
        <f t="shared" si="10"/>
        <v>1043390</v>
      </c>
      <c r="F593" s="112" t="s">
        <v>1225</v>
      </c>
    </row>
    <row r="594" spans="1:6" hidden="1" outlineLevel="1">
      <c r="A594" s="870" t="s">
        <v>1226</v>
      </c>
      <c r="B594" s="124">
        <v>0</v>
      </c>
      <c r="C594" s="102">
        <v>356070</v>
      </c>
      <c r="D594" s="135">
        <v>170570</v>
      </c>
      <c r="E594" s="120">
        <f t="shared" si="10"/>
        <v>526640</v>
      </c>
      <c r="F594" s="112" t="s">
        <v>1227</v>
      </c>
    </row>
    <row r="595" spans="1:6" hidden="1" outlineLevel="1">
      <c r="A595" s="870" t="s">
        <v>1228</v>
      </c>
      <c r="B595" s="124">
        <v>0</v>
      </c>
      <c r="C595" s="102">
        <v>2620152</v>
      </c>
      <c r="D595" s="135">
        <v>2327712</v>
      </c>
      <c r="E595" s="120">
        <f t="shared" si="10"/>
        <v>4947864</v>
      </c>
      <c r="F595" s="112" t="s">
        <v>1229</v>
      </c>
    </row>
    <row r="596" spans="1:6" hidden="1" outlineLevel="1">
      <c r="A596" s="870" t="s">
        <v>1230</v>
      </c>
      <c r="B596" s="124">
        <v>0</v>
      </c>
      <c r="C596" s="102">
        <v>0</v>
      </c>
      <c r="D596" s="135">
        <v>494415</v>
      </c>
      <c r="E596" s="120">
        <f t="shared" si="10"/>
        <v>494415</v>
      </c>
      <c r="F596" s="112" t="s">
        <v>1231</v>
      </c>
    </row>
    <row r="597" spans="1:6" hidden="1" outlineLevel="1">
      <c r="A597" s="870" t="s">
        <v>1232</v>
      </c>
      <c r="B597" s="124">
        <v>0</v>
      </c>
      <c r="C597" s="102">
        <v>0</v>
      </c>
      <c r="D597" s="135">
        <v>50663</v>
      </c>
      <c r="E597" s="120">
        <f t="shared" si="10"/>
        <v>50663</v>
      </c>
      <c r="F597" s="112" t="s">
        <v>1233</v>
      </c>
    </row>
    <row r="598" spans="1:6" hidden="1" outlineLevel="1">
      <c r="A598" s="870" t="s">
        <v>1234</v>
      </c>
      <c r="B598" s="124">
        <v>0</v>
      </c>
      <c r="C598" s="102">
        <v>0</v>
      </c>
      <c r="D598" s="135">
        <v>41450.300000000003</v>
      </c>
      <c r="E598" s="120">
        <f t="shared" ref="E598:E661" si="11">SUM(B598:D598)</f>
        <v>41450.300000000003</v>
      </c>
      <c r="F598" s="112" t="s">
        <v>1235</v>
      </c>
    </row>
    <row r="599" spans="1:6" hidden="1" outlineLevel="1">
      <c r="A599" s="870" t="s">
        <v>1236</v>
      </c>
      <c r="B599" s="124">
        <v>271834</v>
      </c>
      <c r="C599" s="102">
        <v>1191813.3</v>
      </c>
      <c r="D599" s="135">
        <v>235243</v>
      </c>
      <c r="E599" s="120">
        <f t="shared" si="11"/>
        <v>1698890.3</v>
      </c>
      <c r="F599" s="112" t="s">
        <v>1237</v>
      </c>
    </row>
    <row r="600" spans="1:6" hidden="1" outlineLevel="1">
      <c r="A600" s="870" t="s">
        <v>1238</v>
      </c>
      <c r="B600" s="124">
        <v>0</v>
      </c>
      <c r="C600" s="102">
        <v>22458585.069999997</v>
      </c>
      <c r="D600" s="135">
        <v>643227581.12</v>
      </c>
      <c r="E600" s="120">
        <f t="shared" si="11"/>
        <v>665686166.19000006</v>
      </c>
      <c r="F600" s="112" t="s">
        <v>1239</v>
      </c>
    </row>
    <row r="601" spans="1:6" hidden="1" outlineLevel="1">
      <c r="A601" s="870" t="s">
        <v>1240</v>
      </c>
      <c r="B601" s="124">
        <v>365772</v>
      </c>
      <c r="C601" s="102">
        <v>54267</v>
      </c>
      <c r="D601" s="135">
        <v>98105</v>
      </c>
      <c r="E601" s="120">
        <f t="shared" si="11"/>
        <v>518144</v>
      </c>
      <c r="F601" s="112" t="s">
        <v>1241</v>
      </c>
    </row>
    <row r="602" spans="1:6" hidden="1" outlineLevel="1">
      <c r="A602" s="870" t="s">
        <v>1242</v>
      </c>
      <c r="B602" s="124">
        <v>0</v>
      </c>
      <c r="C602" s="102">
        <v>194981</v>
      </c>
      <c r="D602" s="135">
        <v>701384</v>
      </c>
      <c r="E602" s="120">
        <f t="shared" si="11"/>
        <v>896365</v>
      </c>
      <c r="F602" s="112" t="s">
        <v>1243</v>
      </c>
    </row>
    <row r="603" spans="1:6" hidden="1" outlineLevel="1">
      <c r="A603" s="870" t="s">
        <v>1244</v>
      </c>
      <c r="B603" s="124">
        <v>0</v>
      </c>
      <c r="C603" s="102">
        <v>34610</v>
      </c>
      <c r="D603" s="135">
        <v>22000</v>
      </c>
      <c r="E603" s="120">
        <f t="shared" si="11"/>
        <v>56610</v>
      </c>
      <c r="F603" s="112" t="s">
        <v>1245</v>
      </c>
    </row>
    <row r="604" spans="1:6" hidden="1" outlineLevel="1">
      <c r="A604" s="870" t="s">
        <v>1246</v>
      </c>
      <c r="B604" s="124">
        <v>0</v>
      </c>
      <c r="C604" s="102">
        <v>418236</v>
      </c>
      <c r="D604" s="135">
        <v>11512991.640000001</v>
      </c>
      <c r="E604" s="120">
        <f t="shared" si="11"/>
        <v>11931227.640000001</v>
      </c>
      <c r="F604" s="112" t="s">
        <v>1247</v>
      </c>
    </row>
    <row r="605" spans="1:6" hidden="1" outlineLevel="1">
      <c r="A605" s="870" t="s">
        <v>1248</v>
      </c>
      <c r="B605" s="124">
        <v>0</v>
      </c>
      <c r="C605" s="102">
        <v>2616</v>
      </c>
      <c r="D605" s="135">
        <v>33666</v>
      </c>
      <c r="E605" s="120">
        <f t="shared" si="11"/>
        <v>36282</v>
      </c>
      <c r="F605" s="112" t="s">
        <v>1249</v>
      </c>
    </row>
    <row r="606" spans="1:6" hidden="1" outlineLevel="1">
      <c r="A606" s="870" t="s">
        <v>1250</v>
      </c>
      <c r="B606" s="124">
        <v>0</v>
      </c>
      <c r="C606" s="102">
        <v>2951605</v>
      </c>
      <c r="D606" s="135">
        <v>1770788.9</v>
      </c>
      <c r="E606" s="120">
        <f t="shared" si="11"/>
        <v>4722393.9000000004</v>
      </c>
      <c r="F606" s="112" t="s">
        <v>1251</v>
      </c>
    </row>
    <row r="607" spans="1:6" hidden="1" outlineLevel="1">
      <c r="A607" s="870" t="s">
        <v>1252</v>
      </c>
      <c r="B607" s="124">
        <v>0</v>
      </c>
      <c r="C607" s="102">
        <v>156915.70000000001</v>
      </c>
      <c r="D607" s="135">
        <v>381291.82</v>
      </c>
      <c r="E607" s="120">
        <f t="shared" si="11"/>
        <v>538207.52</v>
      </c>
      <c r="F607" s="112" t="s">
        <v>1253</v>
      </c>
    </row>
    <row r="608" spans="1:6" hidden="1" outlineLevel="1">
      <c r="A608" s="870" t="s">
        <v>1254</v>
      </c>
      <c r="B608" s="124">
        <v>0</v>
      </c>
      <c r="C608" s="102">
        <v>24995</v>
      </c>
      <c r="D608" s="135">
        <v>582589</v>
      </c>
      <c r="E608" s="120">
        <f t="shared" si="11"/>
        <v>607584</v>
      </c>
      <c r="F608" s="112" t="s">
        <v>1255</v>
      </c>
    </row>
    <row r="609" spans="1:6" hidden="1" outlineLevel="1">
      <c r="A609" s="870" t="s">
        <v>1256</v>
      </c>
      <c r="B609" s="124">
        <v>0</v>
      </c>
      <c r="C609" s="102">
        <v>327659</v>
      </c>
      <c r="D609" s="135">
        <v>0</v>
      </c>
      <c r="E609" s="120">
        <f t="shared" si="11"/>
        <v>327659</v>
      </c>
      <c r="F609" s="112" t="s">
        <v>1257</v>
      </c>
    </row>
    <row r="610" spans="1:6" hidden="1" outlineLevel="1">
      <c r="A610" s="870" t="s">
        <v>1258</v>
      </c>
      <c r="B610" s="124">
        <v>0</v>
      </c>
      <c r="C610" s="102">
        <v>0</v>
      </c>
      <c r="D610" s="135">
        <v>86660</v>
      </c>
      <c r="E610" s="120">
        <f t="shared" si="11"/>
        <v>86660</v>
      </c>
      <c r="F610" s="112" t="s">
        <v>1259</v>
      </c>
    </row>
    <row r="611" spans="1:6" hidden="1" outlineLevel="1">
      <c r="A611" s="870" t="s">
        <v>1260</v>
      </c>
      <c r="B611" s="124">
        <v>0</v>
      </c>
      <c r="C611" s="102">
        <v>1385010.727</v>
      </c>
      <c r="D611" s="135">
        <v>5461876.4110000003</v>
      </c>
      <c r="E611" s="120">
        <f t="shared" si="11"/>
        <v>6846887.1380000003</v>
      </c>
      <c r="F611" s="112" t="s">
        <v>1261</v>
      </c>
    </row>
    <row r="612" spans="1:6" hidden="1" outlineLevel="1">
      <c r="A612" s="870" t="s">
        <v>1262</v>
      </c>
      <c r="B612" s="124">
        <v>0</v>
      </c>
      <c r="C612" s="102">
        <v>73790</v>
      </c>
      <c r="D612" s="135">
        <v>2004871</v>
      </c>
      <c r="E612" s="120">
        <f t="shared" si="11"/>
        <v>2078661</v>
      </c>
      <c r="F612" s="112" t="s">
        <v>1263</v>
      </c>
    </row>
    <row r="613" spans="1:6" hidden="1" outlineLevel="1">
      <c r="A613" s="870" t="s">
        <v>1264</v>
      </c>
      <c r="B613" s="124">
        <v>7839</v>
      </c>
      <c r="C613" s="102">
        <v>216850</v>
      </c>
      <c r="D613" s="135">
        <v>29000</v>
      </c>
      <c r="E613" s="120">
        <f t="shared" si="11"/>
        <v>253689</v>
      </c>
      <c r="F613" s="112" t="s">
        <v>1265</v>
      </c>
    </row>
    <row r="614" spans="1:6" hidden="1" outlineLevel="1">
      <c r="A614" s="870" t="s">
        <v>1266</v>
      </c>
      <c r="B614" s="124">
        <v>0</v>
      </c>
      <c r="C614" s="102">
        <v>16941</v>
      </c>
      <c r="D614" s="135">
        <v>488293</v>
      </c>
      <c r="E614" s="120">
        <f t="shared" si="11"/>
        <v>505234</v>
      </c>
      <c r="F614" s="112" t="s">
        <v>1267</v>
      </c>
    </row>
    <row r="615" spans="1:6" hidden="1" outlineLevel="1">
      <c r="A615" s="870" t="s">
        <v>1268</v>
      </c>
      <c r="B615" s="124">
        <v>0</v>
      </c>
      <c r="C615" s="102">
        <v>2067271.32</v>
      </c>
      <c r="D615" s="135">
        <v>3390952.5999999996</v>
      </c>
      <c r="E615" s="120">
        <f t="shared" si="11"/>
        <v>5458223.9199999999</v>
      </c>
      <c r="F615" s="112" t="s">
        <v>1269</v>
      </c>
    </row>
    <row r="616" spans="1:6" hidden="1" outlineLevel="1">
      <c r="A616" s="870" t="s">
        <v>1270</v>
      </c>
      <c r="B616" s="124">
        <v>0</v>
      </c>
      <c r="C616" s="102">
        <v>432046</v>
      </c>
      <c r="D616" s="135">
        <v>108801</v>
      </c>
      <c r="E616" s="120">
        <f t="shared" si="11"/>
        <v>540847</v>
      </c>
      <c r="F616" s="112" t="s">
        <v>1271</v>
      </c>
    </row>
    <row r="617" spans="1:6" hidden="1" outlineLevel="1">
      <c r="A617" s="870" t="s">
        <v>1272</v>
      </c>
      <c r="B617" s="124">
        <v>0</v>
      </c>
      <c r="C617" s="102">
        <v>98474</v>
      </c>
      <c r="D617" s="135">
        <v>550627</v>
      </c>
      <c r="E617" s="120">
        <f t="shared" si="11"/>
        <v>649101</v>
      </c>
      <c r="F617" s="112" t="s">
        <v>1273</v>
      </c>
    </row>
    <row r="618" spans="1:6" hidden="1" outlineLevel="1">
      <c r="A618" s="870" t="s">
        <v>1274</v>
      </c>
      <c r="B618" s="124">
        <v>0</v>
      </c>
      <c r="C618" s="102">
        <v>520010</v>
      </c>
      <c r="D618" s="135">
        <v>9525398.9149999991</v>
      </c>
      <c r="E618" s="120">
        <f t="shared" si="11"/>
        <v>10045408.914999999</v>
      </c>
      <c r="F618" s="112" t="s">
        <v>1275</v>
      </c>
    </row>
    <row r="619" spans="1:6" hidden="1" outlineLevel="1">
      <c r="A619" s="870" t="s">
        <v>1276</v>
      </c>
      <c r="B619" s="124">
        <v>0</v>
      </c>
      <c r="C619" s="102">
        <v>62126</v>
      </c>
      <c r="D619" s="135">
        <v>1212281</v>
      </c>
      <c r="E619" s="120">
        <f t="shared" si="11"/>
        <v>1274407</v>
      </c>
      <c r="F619" s="112" t="s">
        <v>1277</v>
      </c>
    </row>
    <row r="620" spans="1:6" hidden="1" outlineLevel="1">
      <c r="A620" s="870" t="s">
        <v>1278</v>
      </c>
      <c r="B620" s="124">
        <v>0</v>
      </c>
      <c r="C620" s="102">
        <v>0</v>
      </c>
      <c r="D620" s="135">
        <v>58285</v>
      </c>
      <c r="E620" s="120">
        <f t="shared" si="11"/>
        <v>58285</v>
      </c>
      <c r="F620" s="112" t="s">
        <v>1279</v>
      </c>
    </row>
    <row r="621" spans="1:6" hidden="1" outlineLevel="1">
      <c r="A621" s="870" t="s">
        <v>1280</v>
      </c>
      <c r="B621" s="124">
        <v>0</v>
      </c>
      <c r="C621" s="102">
        <v>39130</v>
      </c>
      <c r="D621" s="135">
        <v>1524795</v>
      </c>
      <c r="E621" s="120">
        <f t="shared" si="11"/>
        <v>1563925</v>
      </c>
      <c r="F621" s="112" t="s">
        <v>1281</v>
      </c>
    </row>
    <row r="622" spans="1:6" hidden="1" outlineLevel="1">
      <c r="A622" s="870" t="s">
        <v>1282</v>
      </c>
      <c r="B622" s="124">
        <v>0</v>
      </c>
      <c r="C622" s="102">
        <v>1366367.63</v>
      </c>
      <c r="D622" s="135">
        <v>174443279.39700001</v>
      </c>
      <c r="E622" s="120">
        <f t="shared" si="11"/>
        <v>175809647.02700001</v>
      </c>
      <c r="F622" s="112" t="s">
        <v>1283</v>
      </c>
    </row>
    <row r="623" spans="1:6" hidden="1" outlineLevel="1">
      <c r="A623" s="870" t="s">
        <v>1284</v>
      </c>
      <c r="B623" s="124">
        <v>0</v>
      </c>
      <c r="C623" s="102">
        <v>992127</v>
      </c>
      <c r="D623" s="135">
        <v>1007320</v>
      </c>
      <c r="E623" s="120">
        <f t="shared" si="11"/>
        <v>1999447</v>
      </c>
      <c r="F623" s="112" t="s">
        <v>1285</v>
      </c>
    </row>
    <row r="624" spans="1:6" hidden="1" outlineLevel="1">
      <c r="A624" s="870" t="s">
        <v>1286</v>
      </c>
      <c r="B624" s="124">
        <v>0</v>
      </c>
      <c r="C624" s="102">
        <v>860934</v>
      </c>
      <c r="D624" s="135">
        <v>2520972</v>
      </c>
      <c r="E624" s="120">
        <f t="shared" si="11"/>
        <v>3381906</v>
      </c>
      <c r="F624" s="112" t="s">
        <v>1287</v>
      </c>
    </row>
    <row r="625" spans="1:6" hidden="1" outlineLevel="1">
      <c r="A625" s="870" t="s">
        <v>1288</v>
      </c>
      <c r="B625" s="124">
        <v>0</v>
      </c>
      <c r="C625" s="102">
        <v>767826</v>
      </c>
      <c r="D625" s="135">
        <v>3535821</v>
      </c>
      <c r="E625" s="120">
        <f t="shared" si="11"/>
        <v>4303647</v>
      </c>
      <c r="F625" s="112" t="s">
        <v>1289</v>
      </c>
    </row>
    <row r="626" spans="1:6" hidden="1" outlineLevel="1">
      <c r="A626" s="870" t="s">
        <v>1290</v>
      </c>
      <c r="B626" s="124">
        <v>0</v>
      </c>
      <c r="C626" s="102">
        <v>0</v>
      </c>
      <c r="D626" s="135">
        <v>1142053</v>
      </c>
      <c r="E626" s="120">
        <f t="shared" si="11"/>
        <v>1142053</v>
      </c>
      <c r="F626" s="112" t="s">
        <v>1291</v>
      </c>
    </row>
    <row r="627" spans="1:6" hidden="1" outlineLevel="1">
      <c r="A627" s="870" t="s">
        <v>1292</v>
      </c>
      <c r="B627" s="124">
        <v>0</v>
      </c>
      <c r="C627" s="102">
        <v>84806</v>
      </c>
      <c r="D627" s="135">
        <v>77300</v>
      </c>
      <c r="E627" s="120">
        <f t="shared" si="11"/>
        <v>162106</v>
      </c>
      <c r="F627" s="112" t="s">
        <v>1293</v>
      </c>
    </row>
    <row r="628" spans="1:6" hidden="1" outlineLevel="1">
      <c r="A628" s="870" t="s">
        <v>1294</v>
      </c>
      <c r="B628" s="124">
        <v>0</v>
      </c>
      <c r="C628" s="102">
        <v>0</v>
      </c>
      <c r="D628" s="135">
        <v>375644</v>
      </c>
      <c r="E628" s="120">
        <f t="shared" si="11"/>
        <v>375644</v>
      </c>
      <c r="F628" s="112" t="s">
        <v>1295</v>
      </c>
    </row>
    <row r="629" spans="1:6" hidden="1" outlineLevel="1">
      <c r="A629" s="870" t="s">
        <v>1296</v>
      </c>
      <c r="B629" s="124">
        <v>0</v>
      </c>
      <c r="C629" s="102">
        <v>0</v>
      </c>
      <c r="D629" s="135">
        <v>77020</v>
      </c>
      <c r="E629" s="120">
        <f t="shared" si="11"/>
        <v>77020</v>
      </c>
      <c r="F629" s="112" t="s">
        <v>1297</v>
      </c>
    </row>
    <row r="630" spans="1:6" hidden="1" outlineLevel="1">
      <c r="A630" s="870" t="s">
        <v>1298</v>
      </c>
      <c r="B630" s="124">
        <v>0</v>
      </c>
      <c r="C630" s="102">
        <v>0</v>
      </c>
      <c r="D630" s="135">
        <v>36934</v>
      </c>
      <c r="E630" s="120">
        <f t="shared" si="11"/>
        <v>36934</v>
      </c>
      <c r="F630" s="112" t="s">
        <v>1299</v>
      </c>
    </row>
    <row r="631" spans="1:6" hidden="1" outlineLevel="1">
      <c r="A631" s="870" t="s">
        <v>1300</v>
      </c>
      <c r="B631" s="124">
        <v>0</v>
      </c>
      <c r="C631" s="102">
        <v>0</v>
      </c>
      <c r="D631" s="135">
        <v>79030</v>
      </c>
      <c r="E631" s="120">
        <f t="shared" si="11"/>
        <v>79030</v>
      </c>
      <c r="F631" s="112" t="s">
        <v>1301</v>
      </c>
    </row>
    <row r="632" spans="1:6" hidden="1" outlineLevel="1">
      <c r="A632" s="870" t="s">
        <v>1302</v>
      </c>
      <c r="B632" s="124">
        <v>0</v>
      </c>
      <c r="C632" s="102">
        <v>238800</v>
      </c>
      <c r="D632" s="135">
        <v>177704</v>
      </c>
      <c r="E632" s="120">
        <f t="shared" si="11"/>
        <v>416504</v>
      </c>
      <c r="F632" s="112" t="s">
        <v>1303</v>
      </c>
    </row>
    <row r="633" spans="1:6" hidden="1" outlineLevel="1">
      <c r="A633" s="870" t="s">
        <v>1304</v>
      </c>
      <c r="B633" s="124">
        <v>0</v>
      </c>
      <c r="C633" s="102">
        <v>232931</v>
      </c>
      <c r="D633" s="135">
        <v>5685816</v>
      </c>
      <c r="E633" s="120">
        <f t="shared" si="11"/>
        <v>5918747</v>
      </c>
      <c r="F633" s="112" t="s">
        <v>1305</v>
      </c>
    </row>
    <row r="634" spans="1:6" hidden="1" outlineLevel="1">
      <c r="A634" s="870" t="s">
        <v>1306</v>
      </c>
      <c r="B634" s="124">
        <v>0</v>
      </c>
      <c r="C634" s="102">
        <v>109361.07</v>
      </c>
      <c r="D634" s="135">
        <v>612706.29</v>
      </c>
      <c r="E634" s="120">
        <f t="shared" si="11"/>
        <v>722067.3600000001</v>
      </c>
      <c r="F634" s="112" t="s">
        <v>1307</v>
      </c>
    </row>
    <row r="635" spans="1:6" hidden="1" outlineLevel="1">
      <c r="A635" s="870" t="s">
        <v>1308</v>
      </c>
      <c r="B635" s="124">
        <v>0</v>
      </c>
      <c r="C635" s="102">
        <v>0</v>
      </c>
      <c r="D635" s="135">
        <v>365900.79000000004</v>
      </c>
      <c r="E635" s="120">
        <f t="shared" si="11"/>
        <v>365900.79000000004</v>
      </c>
      <c r="F635" s="112" t="s">
        <v>1309</v>
      </c>
    </row>
    <row r="636" spans="1:6" hidden="1" outlineLevel="1">
      <c r="A636" s="870" t="s">
        <v>1310</v>
      </c>
      <c r="B636" s="124">
        <v>924517</v>
      </c>
      <c r="C636" s="102">
        <v>421113</v>
      </c>
      <c r="D636" s="135">
        <v>1664716</v>
      </c>
      <c r="E636" s="120">
        <f t="shared" si="11"/>
        <v>3010346</v>
      </c>
      <c r="F636" s="112" t="s">
        <v>1311</v>
      </c>
    </row>
    <row r="637" spans="1:6" hidden="1" outlineLevel="1">
      <c r="A637" s="870" t="s">
        <v>1312</v>
      </c>
      <c r="B637" s="124">
        <v>0</v>
      </c>
      <c r="C637" s="102">
        <v>74077</v>
      </c>
      <c r="D637" s="135">
        <v>232235</v>
      </c>
      <c r="E637" s="120">
        <f t="shared" si="11"/>
        <v>306312</v>
      </c>
      <c r="F637" s="112" t="s">
        <v>1313</v>
      </c>
    </row>
    <row r="638" spans="1:6" hidden="1" outlineLevel="1">
      <c r="A638" s="870" t="s">
        <v>1314</v>
      </c>
      <c r="B638" s="124">
        <v>0</v>
      </c>
      <c r="C638" s="102">
        <v>216662</v>
      </c>
      <c r="D638" s="135">
        <v>2402559.44</v>
      </c>
      <c r="E638" s="120">
        <f t="shared" si="11"/>
        <v>2619221.44</v>
      </c>
      <c r="F638" s="112" t="s">
        <v>1315</v>
      </c>
    </row>
    <row r="639" spans="1:6" hidden="1" outlineLevel="1">
      <c r="A639" s="870" t="s">
        <v>1316</v>
      </c>
      <c r="B639" s="124">
        <v>0</v>
      </c>
      <c r="C639" s="102">
        <v>2345720</v>
      </c>
      <c r="D639" s="135">
        <v>1791934</v>
      </c>
      <c r="E639" s="120">
        <f t="shared" si="11"/>
        <v>4137654</v>
      </c>
      <c r="F639" s="112" t="s">
        <v>1317</v>
      </c>
    </row>
    <row r="640" spans="1:6" hidden="1" outlineLevel="1">
      <c r="A640" s="870" t="s">
        <v>1318</v>
      </c>
      <c r="B640" s="124">
        <v>0</v>
      </c>
      <c r="C640" s="102">
        <v>189011</v>
      </c>
      <c r="D640" s="135">
        <v>945763</v>
      </c>
      <c r="E640" s="120">
        <f t="shared" si="11"/>
        <v>1134774</v>
      </c>
      <c r="F640" s="112" t="s">
        <v>1319</v>
      </c>
    </row>
    <row r="641" spans="1:6" hidden="1" outlineLevel="1">
      <c r="A641" s="870" t="s">
        <v>1320</v>
      </c>
      <c r="B641" s="124">
        <v>0</v>
      </c>
      <c r="C641" s="102">
        <v>8899872</v>
      </c>
      <c r="D641" s="135">
        <v>628281</v>
      </c>
      <c r="E641" s="120">
        <f t="shared" si="11"/>
        <v>9528153</v>
      </c>
      <c r="F641" s="112" t="s">
        <v>1321</v>
      </c>
    </row>
    <row r="642" spans="1:6" hidden="1" outlineLevel="1">
      <c r="A642" s="870" t="s">
        <v>1322</v>
      </c>
      <c r="B642" s="124">
        <v>0</v>
      </c>
      <c r="C642" s="102">
        <v>65126</v>
      </c>
      <c r="D642" s="135">
        <v>413817</v>
      </c>
      <c r="E642" s="120">
        <f t="shared" si="11"/>
        <v>478943</v>
      </c>
      <c r="F642" s="112" t="s">
        <v>1323</v>
      </c>
    </row>
    <row r="643" spans="1:6" hidden="1" outlineLevel="1">
      <c r="A643" s="870" t="s">
        <v>1324</v>
      </c>
      <c r="B643" s="124">
        <v>0</v>
      </c>
      <c r="C643" s="102">
        <v>156316</v>
      </c>
      <c r="D643" s="135">
        <v>0</v>
      </c>
      <c r="E643" s="120">
        <f t="shared" si="11"/>
        <v>156316</v>
      </c>
      <c r="F643" s="112" t="s">
        <v>1325</v>
      </c>
    </row>
    <row r="644" spans="1:6" hidden="1" outlineLevel="1">
      <c r="A644" s="870" t="s">
        <v>1326</v>
      </c>
      <c r="B644" s="124">
        <v>0</v>
      </c>
      <c r="C644" s="102">
        <v>0</v>
      </c>
      <c r="D644" s="135">
        <v>55454831</v>
      </c>
      <c r="E644" s="120">
        <f t="shared" si="11"/>
        <v>55454831</v>
      </c>
      <c r="F644" s="112" t="s">
        <v>1327</v>
      </c>
    </row>
    <row r="645" spans="1:6" hidden="1" outlineLevel="1">
      <c r="A645" s="870" t="s">
        <v>1328</v>
      </c>
      <c r="B645" s="124">
        <v>0</v>
      </c>
      <c r="C645" s="102">
        <v>979367</v>
      </c>
      <c r="D645" s="135">
        <v>18378250.800000001</v>
      </c>
      <c r="E645" s="120">
        <f t="shared" si="11"/>
        <v>19357617.800000001</v>
      </c>
      <c r="F645" s="112" t="s">
        <v>1329</v>
      </c>
    </row>
    <row r="646" spans="1:6" hidden="1" outlineLevel="1">
      <c r="A646" s="870" t="s">
        <v>1330</v>
      </c>
      <c r="B646" s="124">
        <v>0</v>
      </c>
      <c r="C646" s="102">
        <v>0</v>
      </c>
      <c r="D646" s="135">
        <v>513590902</v>
      </c>
      <c r="E646" s="120">
        <f t="shared" si="11"/>
        <v>513590902</v>
      </c>
      <c r="F646" s="112" t="s">
        <v>1331</v>
      </c>
    </row>
    <row r="647" spans="1:6" hidden="1" outlineLevel="1">
      <c r="A647" s="870" t="s">
        <v>1332</v>
      </c>
      <c r="B647" s="124">
        <v>0</v>
      </c>
      <c r="C647" s="102">
        <v>6415259.2999999998</v>
      </c>
      <c r="D647" s="135">
        <v>59307227.099999994</v>
      </c>
      <c r="E647" s="120">
        <f t="shared" si="11"/>
        <v>65722486.399999991</v>
      </c>
      <c r="F647" s="112" t="s">
        <v>1333</v>
      </c>
    </row>
    <row r="648" spans="1:6" hidden="1" outlineLevel="1">
      <c r="A648" s="870" t="s">
        <v>499</v>
      </c>
      <c r="B648" s="124">
        <v>0</v>
      </c>
      <c r="C648" s="102">
        <v>141725</v>
      </c>
      <c r="D648" s="135">
        <v>506078</v>
      </c>
      <c r="E648" s="120">
        <f t="shared" si="11"/>
        <v>647803</v>
      </c>
      <c r="F648" s="112" t="s">
        <v>500</v>
      </c>
    </row>
    <row r="649" spans="1:6" hidden="1" outlineLevel="1">
      <c r="A649" s="870" t="s">
        <v>1334</v>
      </c>
      <c r="B649" s="124">
        <v>0</v>
      </c>
      <c r="C649" s="102">
        <v>1490317.69</v>
      </c>
      <c r="D649" s="135">
        <v>1741021.12</v>
      </c>
      <c r="E649" s="120">
        <f t="shared" si="11"/>
        <v>3231338.81</v>
      </c>
      <c r="F649" s="112" t="s">
        <v>1335</v>
      </c>
    </row>
    <row r="650" spans="1:6" hidden="1" outlineLevel="1">
      <c r="A650" s="870" t="s">
        <v>1336</v>
      </c>
      <c r="B650" s="124">
        <v>0</v>
      </c>
      <c r="C650" s="102">
        <v>82317</v>
      </c>
      <c r="D650" s="135">
        <v>748365</v>
      </c>
      <c r="E650" s="120">
        <f t="shared" si="11"/>
        <v>830682</v>
      </c>
      <c r="F650" s="112" t="s">
        <v>1337</v>
      </c>
    </row>
    <row r="651" spans="1:6" hidden="1" outlineLevel="1">
      <c r="A651" s="870" t="s">
        <v>748</v>
      </c>
      <c r="B651" s="124">
        <v>0</v>
      </c>
      <c r="C651" s="102">
        <v>1371556.051</v>
      </c>
      <c r="D651" s="135">
        <v>148268</v>
      </c>
      <c r="E651" s="120">
        <f t="shared" si="11"/>
        <v>1519824.051</v>
      </c>
      <c r="F651" s="112" t="s">
        <v>1338</v>
      </c>
    </row>
    <row r="652" spans="1:6" hidden="1" outlineLevel="1">
      <c r="A652" s="870" t="s">
        <v>1339</v>
      </c>
      <c r="B652" s="124">
        <v>0</v>
      </c>
      <c r="C652" s="102">
        <v>26705</v>
      </c>
      <c r="D652" s="135">
        <v>212280</v>
      </c>
      <c r="E652" s="120">
        <f t="shared" si="11"/>
        <v>238985</v>
      </c>
      <c r="F652" s="112" t="s">
        <v>1340</v>
      </c>
    </row>
    <row r="653" spans="1:6" hidden="1" outlineLevel="1">
      <c r="A653" s="870" t="s">
        <v>1341</v>
      </c>
      <c r="B653" s="124">
        <v>0</v>
      </c>
      <c r="C653" s="102">
        <v>326953</v>
      </c>
      <c r="D653" s="135">
        <v>1548716</v>
      </c>
      <c r="E653" s="120">
        <f t="shared" si="11"/>
        <v>1875669</v>
      </c>
      <c r="F653" s="112" t="s">
        <v>1342</v>
      </c>
    </row>
    <row r="654" spans="1:6" hidden="1" outlineLevel="1">
      <c r="A654" s="870" t="s">
        <v>1343</v>
      </c>
      <c r="B654" s="124">
        <v>0</v>
      </c>
      <c r="C654" s="102">
        <v>104320</v>
      </c>
      <c r="D654" s="135">
        <v>204297</v>
      </c>
      <c r="E654" s="120">
        <f t="shared" si="11"/>
        <v>308617</v>
      </c>
      <c r="F654" s="112" t="s">
        <v>1344</v>
      </c>
    </row>
    <row r="655" spans="1:6" hidden="1" outlineLevel="1">
      <c r="A655" s="870" t="s">
        <v>1345</v>
      </c>
      <c r="B655" s="124">
        <v>0</v>
      </c>
      <c r="C655" s="102">
        <v>177970</v>
      </c>
      <c r="D655" s="135">
        <v>162461</v>
      </c>
      <c r="E655" s="120">
        <f t="shared" si="11"/>
        <v>340431</v>
      </c>
      <c r="F655" s="112" t="s">
        <v>1346</v>
      </c>
    </row>
    <row r="656" spans="1:6" hidden="1" outlineLevel="1">
      <c r="A656" s="870" t="s">
        <v>1347</v>
      </c>
      <c r="B656" s="124">
        <v>0</v>
      </c>
      <c r="C656" s="102">
        <v>473451</v>
      </c>
      <c r="D656" s="135">
        <v>335813</v>
      </c>
      <c r="E656" s="120">
        <f t="shared" si="11"/>
        <v>809264</v>
      </c>
      <c r="F656" s="112" t="s">
        <v>1348</v>
      </c>
    </row>
    <row r="657" spans="1:6" hidden="1" outlineLevel="1">
      <c r="A657" s="870" t="s">
        <v>1349</v>
      </c>
      <c r="B657" s="124">
        <v>0</v>
      </c>
      <c r="C657" s="102">
        <v>0</v>
      </c>
      <c r="D657" s="135">
        <v>22000</v>
      </c>
      <c r="E657" s="120">
        <f t="shared" si="11"/>
        <v>22000</v>
      </c>
      <c r="F657" s="112" t="s">
        <v>1350</v>
      </c>
    </row>
    <row r="658" spans="1:6" hidden="1" outlineLevel="1">
      <c r="A658" s="870" t="s">
        <v>1351</v>
      </c>
      <c r="B658" s="124">
        <v>0</v>
      </c>
      <c r="C658" s="102">
        <v>379192</v>
      </c>
      <c r="D658" s="135">
        <v>9305655</v>
      </c>
      <c r="E658" s="120">
        <f t="shared" si="11"/>
        <v>9684847</v>
      </c>
      <c r="F658" s="112" t="s">
        <v>1352</v>
      </c>
    </row>
    <row r="659" spans="1:6" hidden="1" outlineLevel="1">
      <c r="A659" s="870" t="s">
        <v>1353</v>
      </c>
      <c r="B659" s="124">
        <v>0</v>
      </c>
      <c r="C659" s="102">
        <v>45903.22</v>
      </c>
      <c r="D659" s="135">
        <v>275031</v>
      </c>
      <c r="E659" s="120">
        <f t="shared" si="11"/>
        <v>320934.21999999997</v>
      </c>
      <c r="F659" s="112" t="s">
        <v>1354</v>
      </c>
    </row>
    <row r="660" spans="1:6" hidden="1" outlineLevel="1">
      <c r="A660" s="870" t="s">
        <v>1355</v>
      </c>
      <c r="B660" s="124">
        <v>0</v>
      </c>
      <c r="C660" s="102">
        <v>299636</v>
      </c>
      <c r="D660" s="135">
        <v>312119</v>
      </c>
      <c r="E660" s="120">
        <f t="shared" si="11"/>
        <v>611755</v>
      </c>
      <c r="F660" s="112" t="s">
        <v>1356</v>
      </c>
    </row>
    <row r="661" spans="1:6" hidden="1" outlineLevel="1">
      <c r="A661" s="870" t="s">
        <v>1357</v>
      </c>
      <c r="B661" s="124">
        <v>0</v>
      </c>
      <c r="C661" s="102">
        <v>117498.9</v>
      </c>
      <c r="D661" s="135">
        <v>546783.30000000005</v>
      </c>
      <c r="E661" s="120">
        <f t="shared" si="11"/>
        <v>664282.20000000007</v>
      </c>
      <c r="F661" s="112" t="s">
        <v>1358</v>
      </c>
    </row>
    <row r="662" spans="1:6" hidden="1" outlineLevel="1">
      <c r="A662" s="870" t="s">
        <v>1359</v>
      </c>
      <c r="B662" s="124">
        <v>0</v>
      </c>
      <c r="C662" s="102">
        <v>0</v>
      </c>
      <c r="D662" s="135">
        <v>141657</v>
      </c>
      <c r="E662" s="120">
        <f t="shared" ref="E662:E725" si="12">SUM(B662:D662)</f>
        <v>141657</v>
      </c>
      <c r="F662" s="112" t="s">
        <v>1360</v>
      </c>
    </row>
    <row r="663" spans="1:6" hidden="1" outlineLevel="1">
      <c r="A663" s="870" t="s">
        <v>1361</v>
      </c>
      <c r="B663" s="124">
        <v>0</v>
      </c>
      <c r="C663" s="102">
        <v>1058982</v>
      </c>
      <c r="D663" s="135">
        <v>3361776.0090000001</v>
      </c>
      <c r="E663" s="120">
        <f t="shared" si="12"/>
        <v>4420758.0089999996</v>
      </c>
      <c r="F663" s="112" t="s">
        <v>1362</v>
      </c>
    </row>
    <row r="664" spans="1:6" hidden="1" outlineLevel="1">
      <c r="A664" s="870" t="s">
        <v>1363</v>
      </c>
      <c r="B664" s="124">
        <v>0</v>
      </c>
      <c r="C664" s="102">
        <v>43821</v>
      </c>
      <c r="D664" s="135">
        <v>476834</v>
      </c>
      <c r="E664" s="120">
        <f t="shared" si="12"/>
        <v>520655</v>
      </c>
      <c r="F664" s="112" t="s">
        <v>1364</v>
      </c>
    </row>
    <row r="665" spans="1:6" hidden="1" outlineLevel="1">
      <c r="A665" s="870" t="s">
        <v>1365</v>
      </c>
      <c r="B665" s="124">
        <v>234685</v>
      </c>
      <c r="C665" s="102">
        <v>139356</v>
      </c>
      <c r="D665" s="135">
        <v>0</v>
      </c>
      <c r="E665" s="120">
        <f t="shared" si="12"/>
        <v>374041</v>
      </c>
      <c r="F665" s="112" t="s">
        <v>1366</v>
      </c>
    </row>
    <row r="666" spans="1:6" hidden="1" outlineLevel="1">
      <c r="A666" s="870" t="s">
        <v>1367</v>
      </c>
      <c r="B666" s="124">
        <v>0</v>
      </c>
      <c r="C666" s="102">
        <v>20632</v>
      </c>
      <c r="D666" s="135">
        <v>24882</v>
      </c>
      <c r="E666" s="120">
        <f t="shared" si="12"/>
        <v>45514</v>
      </c>
      <c r="F666" s="112" t="s">
        <v>1368</v>
      </c>
    </row>
    <row r="667" spans="1:6" hidden="1" outlineLevel="1">
      <c r="A667" s="870" t="s">
        <v>1369</v>
      </c>
      <c r="B667" s="124">
        <v>20016</v>
      </c>
      <c r="C667" s="102">
        <v>11363</v>
      </c>
      <c r="D667" s="135">
        <v>0</v>
      </c>
      <c r="E667" s="120">
        <f t="shared" si="12"/>
        <v>31379</v>
      </c>
      <c r="F667" s="112" t="s">
        <v>1370</v>
      </c>
    </row>
    <row r="668" spans="1:6" hidden="1" outlineLevel="1">
      <c r="A668" s="870" t="s">
        <v>409</v>
      </c>
      <c r="B668" s="124">
        <v>0</v>
      </c>
      <c r="C668" s="102">
        <v>48637</v>
      </c>
      <c r="D668" s="135">
        <v>122908</v>
      </c>
      <c r="E668" s="120">
        <f t="shared" si="12"/>
        <v>171545</v>
      </c>
      <c r="F668" s="112" t="s">
        <v>410</v>
      </c>
    </row>
    <row r="669" spans="1:6" hidden="1" outlineLevel="1">
      <c r="A669" s="870" t="s">
        <v>1371</v>
      </c>
      <c r="B669" s="124">
        <v>0</v>
      </c>
      <c r="C669" s="102">
        <v>61110</v>
      </c>
      <c r="D669" s="135">
        <v>128117</v>
      </c>
      <c r="E669" s="120">
        <f t="shared" si="12"/>
        <v>189227</v>
      </c>
      <c r="F669" s="112" t="s">
        <v>1372</v>
      </c>
    </row>
    <row r="670" spans="1:6" hidden="1" outlineLevel="1">
      <c r="A670" s="870" t="s">
        <v>1373</v>
      </c>
      <c r="B670" s="124">
        <v>0</v>
      </c>
      <c r="C670" s="102">
        <v>0</v>
      </c>
      <c r="D670" s="135">
        <v>30000</v>
      </c>
      <c r="E670" s="120">
        <f t="shared" si="12"/>
        <v>30000</v>
      </c>
      <c r="F670" s="112" t="s">
        <v>1374</v>
      </c>
    </row>
    <row r="671" spans="1:6" hidden="1" outlineLevel="1">
      <c r="A671" s="870" t="s">
        <v>1375</v>
      </c>
      <c r="B671" s="124">
        <v>0</v>
      </c>
      <c r="C671" s="102">
        <v>691456.9</v>
      </c>
      <c r="D671" s="135">
        <v>1602264.2999999998</v>
      </c>
      <c r="E671" s="120">
        <f t="shared" si="12"/>
        <v>2293721.1999999997</v>
      </c>
      <c r="F671" s="112" t="s">
        <v>1376</v>
      </c>
    </row>
    <row r="672" spans="1:6" hidden="1" outlineLevel="1">
      <c r="A672" s="870" t="s">
        <v>86</v>
      </c>
      <c r="B672" s="124">
        <v>0</v>
      </c>
      <c r="C672" s="102">
        <v>0</v>
      </c>
      <c r="D672" s="135">
        <v>439166.39</v>
      </c>
      <c r="E672" s="120">
        <f t="shared" si="12"/>
        <v>439166.39</v>
      </c>
      <c r="F672" s="112" t="s">
        <v>87</v>
      </c>
    </row>
    <row r="673" spans="1:6" hidden="1" outlineLevel="1">
      <c r="A673" s="870" t="s">
        <v>1377</v>
      </c>
      <c r="B673" s="124">
        <v>0</v>
      </c>
      <c r="C673" s="102">
        <v>213330</v>
      </c>
      <c r="D673" s="135">
        <v>0</v>
      </c>
      <c r="E673" s="120">
        <f t="shared" si="12"/>
        <v>213330</v>
      </c>
      <c r="F673" s="112" t="s">
        <v>1378</v>
      </c>
    </row>
    <row r="674" spans="1:6" hidden="1" outlineLevel="1">
      <c r="A674" s="870" t="s">
        <v>1379</v>
      </c>
      <c r="B674" s="124">
        <v>0</v>
      </c>
      <c r="C674" s="102">
        <v>0</v>
      </c>
      <c r="D674" s="135">
        <v>24776</v>
      </c>
      <c r="E674" s="120">
        <f t="shared" si="12"/>
        <v>24776</v>
      </c>
      <c r="F674" s="112" t="s">
        <v>1380</v>
      </c>
    </row>
    <row r="675" spans="1:6" hidden="1" outlineLevel="1">
      <c r="A675" s="870" t="s">
        <v>1381</v>
      </c>
      <c r="B675" s="124">
        <v>0</v>
      </c>
      <c r="C675" s="102">
        <v>44401</v>
      </c>
      <c r="D675" s="135">
        <v>33888</v>
      </c>
      <c r="E675" s="120">
        <f t="shared" si="12"/>
        <v>78289</v>
      </c>
      <c r="F675" s="112" t="s">
        <v>1382</v>
      </c>
    </row>
    <row r="676" spans="1:6" hidden="1" outlineLevel="1">
      <c r="A676" s="870" t="s">
        <v>1383</v>
      </c>
      <c r="B676" s="124">
        <v>0</v>
      </c>
      <c r="C676" s="102">
        <v>42426.86</v>
      </c>
      <c r="D676" s="135">
        <v>2078122.699</v>
      </c>
      <c r="E676" s="120">
        <f t="shared" si="12"/>
        <v>2120549.5589999999</v>
      </c>
      <c r="F676" s="112" t="s">
        <v>1384</v>
      </c>
    </row>
    <row r="677" spans="1:6" hidden="1" outlineLevel="1">
      <c r="A677" s="870" t="s">
        <v>1385</v>
      </c>
      <c r="B677" s="124">
        <v>0</v>
      </c>
      <c r="C677" s="102">
        <v>97777</v>
      </c>
      <c r="D677" s="135">
        <v>7746722.8760000002</v>
      </c>
      <c r="E677" s="120">
        <f t="shared" si="12"/>
        <v>7844499.8760000002</v>
      </c>
      <c r="F677" s="112" t="s">
        <v>1386</v>
      </c>
    </row>
    <row r="678" spans="1:6" hidden="1" outlineLevel="1">
      <c r="A678" s="870" t="s">
        <v>1387</v>
      </c>
      <c r="B678" s="124">
        <v>0</v>
      </c>
      <c r="C678" s="102">
        <v>73171</v>
      </c>
      <c r="D678" s="135">
        <v>148471</v>
      </c>
      <c r="E678" s="120">
        <f t="shared" si="12"/>
        <v>221642</v>
      </c>
      <c r="F678" s="112" t="s">
        <v>1388</v>
      </c>
    </row>
    <row r="679" spans="1:6" hidden="1" outlineLevel="1">
      <c r="A679" s="870" t="s">
        <v>1389</v>
      </c>
      <c r="B679" s="124">
        <v>0</v>
      </c>
      <c r="C679" s="102">
        <v>610624</v>
      </c>
      <c r="D679" s="135">
        <v>550359.53399999999</v>
      </c>
      <c r="E679" s="120">
        <f t="shared" si="12"/>
        <v>1160983.534</v>
      </c>
      <c r="F679" s="112" t="s">
        <v>1390</v>
      </c>
    </row>
    <row r="680" spans="1:6" hidden="1" outlineLevel="1">
      <c r="A680" s="870" t="s">
        <v>1391</v>
      </c>
      <c r="B680" s="124">
        <v>0</v>
      </c>
      <c r="C680" s="102">
        <v>492533</v>
      </c>
      <c r="D680" s="135">
        <v>251012</v>
      </c>
      <c r="E680" s="120">
        <f t="shared" si="12"/>
        <v>743545</v>
      </c>
      <c r="F680" s="112" t="s">
        <v>1392</v>
      </c>
    </row>
    <row r="681" spans="1:6" hidden="1" outlineLevel="1">
      <c r="A681" s="870" t="s">
        <v>194</v>
      </c>
      <c r="B681" s="124">
        <v>11106</v>
      </c>
      <c r="C681" s="102">
        <v>9043885</v>
      </c>
      <c r="D681" s="135">
        <v>6432436</v>
      </c>
      <c r="E681" s="120">
        <f t="shared" si="12"/>
        <v>15487427</v>
      </c>
      <c r="F681" s="112" t="s">
        <v>195</v>
      </c>
    </row>
    <row r="682" spans="1:6" hidden="1" outlineLevel="1">
      <c r="A682" s="870" t="s">
        <v>1393</v>
      </c>
      <c r="B682" s="124">
        <v>0</v>
      </c>
      <c r="C682" s="102">
        <v>0</v>
      </c>
      <c r="D682" s="135">
        <v>470246.20500000002</v>
      </c>
      <c r="E682" s="120">
        <f t="shared" si="12"/>
        <v>470246.20500000002</v>
      </c>
      <c r="F682" s="112" t="s">
        <v>1394</v>
      </c>
    </row>
    <row r="683" spans="1:6" hidden="1" outlineLevel="1">
      <c r="A683" s="870" t="s">
        <v>1395</v>
      </c>
      <c r="B683" s="124">
        <v>0</v>
      </c>
      <c r="C683" s="102">
        <v>8229262.1000000006</v>
      </c>
      <c r="D683" s="135">
        <v>146550979.398</v>
      </c>
      <c r="E683" s="120">
        <f t="shared" si="12"/>
        <v>154780241.498</v>
      </c>
      <c r="F683" s="112" t="s">
        <v>1396</v>
      </c>
    </row>
    <row r="684" spans="1:6" hidden="1" outlineLevel="1">
      <c r="A684" s="870" t="s">
        <v>1397</v>
      </c>
      <c r="B684" s="124">
        <v>0</v>
      </c>
      <c r="C684" s="102">
        <v>388605</v>
      </c>
      <c r="D684" s="135">
        <v>6253664.2620000001</v>
      </c>
      <c r="E684" s="120">
        <f t="shared" si="12"/>
        <v>6642269.2620000001</v>
      </c>
      <c r="F684" s="112" t="s">
        <v>1398</v>
      </c>
    </row>
    <row r="685" spans="1:6" hidden="1" outlineLevel="1">
      <c r="A685" s="870" t="s">
        <v>1399</v>
      </c>
      <c r="B685" s="124">
        <v>0</v>
      </c>
      <c r="C685" s="102">
        <v>1798806</v>
      </c>
      <c r="D685" s="135">
        <v>6607917</v>
      </c>
      <c r="E685" s="120">
        <f t="shared" si="12"/>
        <v>8406723</v>
      </c>
      <c r="F685" s="112" t="s">
        <v>1400</v>
      </c>
    </row>
    <row r="686" spans="1:6" hidden="1" outlineLevel="1">
      <c r="A686" s="870" t="s">
        <v>1401</v>
      </c>
      <c r="B686" s="124">
        <v>132402</v>
      </c>
      <c r="C686" s="102">
        <v>21252253</v>
      </c>
      <c r="D686" s="135">
        <v>591299508</v>
      </c>
      <c r="E686" s="120">
        <f t="shared" si="12"/>
        <v>612684163</v>
      </c>
      <c r="F686" s="112" t="s">
        <v>1402</v>
      </c>
    </row>
    <row r="687" spans="1:6" hidden="1" outlineLevel="1">
      <c r="A687" s="870" t="s">
        <v>1403</v>
      </c>
      <c r="B687" s="124">
        <v>0</v>
      </c>
      <c r="C687" s="102">
        <v>80482</v>
      </c>
      <c r="D687" s="135">
        <v>103874</v>
      </c>
      <c r="E687" s="120">
        <f t="shared" si="12"/>
        <v>184356</v>
      </c>
      <c r="F687" s="112" t="s">
        <v>1404</v>
      </c>
    </row>
    <row r="688" spans="1:6" hidden="1" outlineLevel="1">
      <c r="A688" s="870" t="s">
        <v>1405</v>
      </c>
      <c r="B688" s="124">
        <v>74054</v>
      </c>
      <c r="C688" s="102">
        <v>30016401</v>
      </c>
      <c r="D688" s="135">
        <v>379573851</v>
      </c>
      <c r="E688" s="120">
        <f t="shared" si="12"/>
        <v>409664306</v>
      </c>
      <c r="F688" s="112" t="s">
        <v>1406</v>
      </c>
    </row>
    <row r="689" spans="1:6" hidden="1" outlineLevel="1">
      <c r="A689" s="870" t="s">
        <v>1407</v>
      </c>
      <c r="B689" s="124">
        <v>0</v>
      </c>
      <c r="C689" s="102">
        <v>43538980</v>
      </c>
      <c r="D689" s="135">
        <v>39397249</v>
      </c>
      <c r="E689" s="120">
        <f t="shared" si="12"/>
        <v>82936229</v>
      </c>
      <c r="F689" s="112" t="s">
        <v>1408</v>
      </c>
    </row>
    <row r="690" spans="1:6" hidden="1" outlineLevel="1">
      <c r="A690" s="870" t="s">
        <v>1409</v>
      </c>
      <c r="B690" s="124">
        <v>0</v>
      </c>
      <c r="C690" s="102">
        <v>725182.69099999999</v>
      </c>
      <c r="D690" s="135">
        <v>4834205.53</v>
      </c>
      <c r="E690" s="120">
        <f t="shared" si="12"/>
        <v>5559388.2209999999</v>
      </c>
      <c r="F690" s="112" t="s">
        <v>1410</v>
      </c>
    </row>
    <row r="691" spans="1:6" hidden="1" outlineLevel="1">
      <c r="A691" s="870" t="s">
        <v>509</v>
      </c>
      <c r="B691" s="124">
        <v>0</v>
      </c>
      <c r="C691" s="102">
        <v>33372202</v>
      </c>
      <c r="D691" s="135">
        <v>27761927</v>
      </c>
      <c r="E691" s="120">
        <f t="shared" si="12"/>
        <v>61134129</v>
      </c>
      <c r="F691" s="112" t="s">
        <v>510</v>
      </c>
    </row>
    <row r="692" spans="1:6" hidden="1" outlineLevel="1">
      <c r="A692" s="870" t="s">
        <v>1411</v>
      </c>
      <c r="B692" s="124">
        <v>0</v>
      </c>
      <c r="C692" s="102">
        <v>104479</v>
      </c>
      <c r="D692" s="135">
        <v>674948</v>
      </c>
      <c r="E692" s="120">
        <f t="shared" si="12"/>
        <v>779427</v>
      </c>
      <c r="F692" s="112" t="s">
        <v>1412</v>
      </c>
    </row>
    <row r="693" spans="1:6" hidden="1" outlineLevel="1">
      <c r="A693" s="870" t="s">
        <v>1413</v>
      </c>
      <c r="B693" s="124">
        <v>0</v>
      </c>
      <c r="C693" s="102">
        <v>3776875</v>
      </c>
      <c r="D693" s="135">
        <v>504398676</v>
      </c>
      <c r="E693" s="120">
        <f t="shared" si="12"/>
        <v>508175551</v>
      </c>
      <c r="F693" s="112" t="s">
        <v>1414</v>
      </c>
    </row>
    <row r="694" spans="1:6" hidden="1" outlineLevel="1">
      <c r="A694" s="870" t="s">
        <v>388</v>
      </c>
      <c r="B694" s="124">
        <v>84761</v>
      </c>
      <c r="C694" s="102">
        <v>11781163</v>
      </c>
      <c r="D694" s="135">
        <v>32552443</v>
      </c>
      <c r="E694" s="120">
        <f t="shared" si="12"/>
        <v>44418367</v>
      </c>
      <c r="F694" s="112" t="s">
        <v>389</v>
      </c>
    </row>
    <row r="695" spans="1:6" hidden="1" outlineLevel="1">
      <c r="A695" s="870" t="s">
        <v>1415</v>
      </c>
      <c r="B695" s="124">
        <v>0</v>
      </c>
      <c r="C695" s="102">
        <v>254520</v>
      </c>
      <c r="D695" s="135">
        <v>1426550</v>
      </c>
      <c r="E695" s="120">
        <f t="shared" si="12"/>
        <v>1681070</v>
      </c>
      <c r="F695" s="112" t="s">
        <v>1416</v>
      </c>
    </row>
    <row r="696" spans="1:6" hidden="1" outlineLevel="1">
      <c r="A696" s="870" t="s">
        <v>1417</v>
      </c>
      <c r="B696" s="124">
        <v>0</v>
      </c>
      <c r="C696" s="102">
        <v>131794.4</v>
      </c>
      <c r="D696" s="135">
        <v>34581</v>
      </c>
      <c r="E696" s="120">
        <f t="shared" si="12"/>
        <v>166375.4</v>
      </c>
      <c r="F696" s="112" t="s">
        <v>1418</v>
      </c>
    </row>
    <row r="697" spans="1:6" hidden="1" outlineLevel="1">
      <c r="A697" s="870" t="s">
        <v>1419</v>
      </c>
      <c r="B697" s="124">
        <v>0</v>
      </c>
      <c r="C697" s="102">
        <v>0</v>
      </c>
      <c r="D697" s="135">
        <v>272772</v>
      </c>
      <c r="E697" s="120">
        <f t="shared" si="12"/>
        <v>272772</v>
      </c>
      <c r="F697" s="112" t="s">
        <v>1420</v>
      </c>
    </row>
    <row r="698" spans="1:6" hidden="1" outlineLevel="1">
      <c r="A698" s="870" t="s">
        <v>1421</v>
      </c>
      <c r="B698" s="124">
        <v>0</v>
      </c>
      <c r="C698" s="102">
        <v>0</v>
      </c>
      <c r="D698" s="135">
        <v>48528.659</v>
      </c>
      <c r="E698" s="120">
        <f t="shared" si="12"/>
        <v>48528.659</v>
      </c>
      <c r="F698" s="112" t="s">
        <v>1422</v>
      </c>
    </row>
    <row r="699" spans="1:6" hidden="1" outlineLevel="1">
      <c r="A699" s="870" t="s">
        <v>1423</v>
      </c>
      <c r="B699" s="124">
        <v>0</v>
      </c>
      <c r="C699" s="102">
        <v>89094</v>
      </c>
      <c r="D699" s="135">
        <v>1048972</v>
      </c>
      <c r="E699" s="120">
        <f t="shared" si="12"/>
        <v>1138066</v>
      </c>
      <c r="F699" s="112" t="s">
        <v>1424</v>
      </c>
    </row>
    <row r="700" spans="1:6" hidden="1" outlineLevel="1">
      <c r="A700" s="870" t="s">
        <v>1425</v>
      </c>
      <c r="B700" s="124">
        <v>0</v>
      </c>
      <c r="C700" s="102">
        <v>806961</v>
      </c>
      <c r="D700" s="135">
        <v>6357530.6399999997</v>
      </c>
      <c r="E700" s="120">
        <f t="shared" si="12"/>
        <v>7164491.6399999997</v>
      </c>
      <c r="F700" s="112" t="s">
        <v>1426</v>
      </c>
    </row>
    <row r="701" spans="1:6" hidden="1" outlineLevel="1">
      <c r="A701" s="870" t="s">
        <v>429</v>
      </c>
      <c r="B701" s="124">
        <v>0</v>
      </c>
      <c r="C701" s="102">
        <v>0</v>
      </c>
      <c r="D701" s="135">
        <v>110978</v>
      </c>
      <c r="E701" s="120">
        <f t="shared" si="12"/>
        <v>110978</v>
      </c>
      <c r="F701" s="112" t="s">
        <v>430</v>
      </c>
    </row>
    <row r="702" spans="1:6" hidden="1" outlineLevel="1">
      <c r="A702" s="870" t="s">
        <v>1427</v>
      </c>
      <c r="B702" s="124">
        <v>0</v>
      </c>
      <c r="C702" s="102">
        <v>0</v>
      </c>
      <c r="D702" s="135">
        <v>231331128.13600001</v>
      </c>
      <c r="E702" s="120">
        <f t="shared" si="12"/>
        <v>231331128.13600001</v>
      </c>
      <c r="F702" s="112" t="s">
        <v>1428</v>
      </c>
    </row>
    <row r="703" spans="1:6" hidden="1" outlineLevel="1">
      <c r="A703" s="870" t="s">
        <v>1429</v>
      </c>
      <c r="B703" s="124">
        <v>0</v>
      </c>
      <c r="C703" s="102">
        <v>12258</v>
      </c>
      <c r="D703" s="135">
        <v>320165</v>
      </c>
      <c r="E703" s="120">
        <f t="shared" si="12"/>
        <v>332423</v>
      </c>
      <c r="F703" s="112" t="s">
        <v>1430</v>
      </c>
    </row>
    <row r="704" spans="1:6" hidden="1" outlineLevel="1">
      <c r="A704" s="870" t="s">
        <v>1431</v>
      </c>
      <c r="B704" s="124">
        <v>0</v>
      </c>
      <c r="C704" s="102">
        <v>12000</v>
      </c>
      <c r="D704" s="135">
        <v>80699</v>
      </c>
      <c r="E704" s="120">
        <f t="shared" si="12"/>
        <v>92699</v>
      </c>
      <c r="F704" s="112" t="s">
        <v>1432</v>
      </c>
    </row>
    <row r="705" spans="1:6" hidden="1" outlineLevel="1">
      <c r="A705" s="870" t="s">
        <v>1433</v>
      </c>
      <c r="B705" s="124">
        <v>139361</v>
      </c>
      <c r="C705" s="102">
        <v>403846</v>
      </c>
      <c r="D705" s="135">
        <v>1772515.625</v>
      </c>
      <c r="E705" s="120">
        <f t="shared" si="12"/>
        <v>2315722.625</v>
      </c>
      <c r="F705" s="112" t="s">
        <v>1434</v>
      </c>
    </row>
    <row r="706" spans="1:6" hidden="1" outlineLevel="1">
      <c r="A706" s="870" t="s">
        <v>1435</v>
      </c>
      <c r="B706" s="124">
        <v>0</v>
      </c>
      <c r="C706" s="102">
        <v>61887</v>
      </c>
      <c r="D706" s="135">
        <v>1114419.0019999999</v>
      </c>
      <c r="E706" s="120">
        <f t="shared" si="12"/>
        <v>1176306.0019999999</v>
      </c>
      <c r="F706" s="112" t="s">
        <v>1436</v>
      </c>
    </row>
    <row r="707" spans="1:6" hidden="1" outlineLevel="1">
      <c r="A707" s="870" t="s">
        <v>664</v>
      </c>
      <c r="B707" s="124">
        <v>0</v>
      </c>
      <c r="C707" s="102">
        <v>15368</v>
      </c>
      <c r="D707" s="135">
        <v>1325</v>
      </c>
      <c r="E707" s="120">
        <f t="shared" si="12"/>
        <v>16693</v>
      </c>
      <c r="F707" s="112" t="s">
        <v>665</v>
      </c>
    </row>
    <row r="708" spans="1:6" hidden="1" outlineLevel="1">
      <c r="A708" s="870" t="s">
        <v>469</v>
      </c>
      <c r="B708" s="124">
        <v>0</v>
      </c>
      <c r="C708" s="102">
        <v>657737</v>
      </c>
      <c r="D708" s="135">
        <v>743820</v>
      </c>
      <c r="E708" s="120">
        <f t="shared" si="12"/>
        <v>1401557</v>
      </c>
      <c r="F708" s="112" t="s">
        <v>1437</v>
      </c>
    </row>
    <row r="709" spans="1:6" hidden="1" outlineLevel="1">
      <c r="A709" s="870" t="s">
        <v>1438</v>
      </c>
      <c r="B709" s="124">
        <v>0</v>
      </c>
      <c r="C709" s="102">
        <v>309868</v>
      </c>
      <c r="D709" s="135">
        <v>1547612.452</v>
      </c>
      <c r="E709" s="120">
        <f t="shared" si="12"/>
        <v>1857480.452</v>
      </c>
      <c r="F709" s="112" t="s">
        <v>1439</v>
      </c>
    </row>
    <row r="710" spans="1:6" hidden="1" outlineLevel="1">
      <c r="A710" s="870" t="s">
        <v>1440</v>
      </c>
      <c r="B710" s="124">
        <v>0</v>
      </c>
      <c r="C710" s="102">
        <v>0</v>
      </c>
      <c r="D710" s="135">
        <v>24212</v>
      </c>
      <c r="E710" s="120">
        <f t="shared" si="12"/>
        <v>24212</v>
      </c>
      <c r="F710" s="112" t="s">
        <v>1441</v>
      </c>
    </row>
    <row r="711" spans="1:6" hidden="1" outlineLevel="1">
      <c r="A711" s="870" t="s">
        <v>1442</v>
      </c>
      <c r="B711" s="124">
        <v>0</v>
      </c>
      <c r="C711" s="102">
        <v>707744</v>
      </c>
      <c r="D711" s="135">
        <v>1230919</v>
      </c>
      <c r="E711" s="120">
        <f t="shared" si="12"/>
        <v>1938663</v>
      </c>
      <c r="F711" s="112" t="s">
        <v>1443</v>
      </c>
    </row>
    <row r="712" spans="1:6" hidden="1" outlineLevel="1">
      <c r="A712" s="870" t="s">
        <v>1444</v>
      </c>
      <c r="B712" s="124">
        <v>0</v>
      </c>
      <c r="C712" s="102">
        <v>166753.08900000001</v>
      </c>
      <c r="D712" s="135">
        <v>8318276.402999999</v>
      </c>
      <c r="E712" s="120">
        <f t="shared" si="12"/>
        <v>8485029.4919999987</v>
      </c>
      <c r="F712" s="112" t="s">
        <v>1445</v>
      </c>
    </row>
    <row r="713" spans="1:6" hidden="1" outlineLevel="1">
      <c r="A713" s="870" t="s">
        <v>1446</v>
      </c>
      <c r="B713" s="124">
        <v>0</v>
      </c>
      <c r="C713" s="102">
        <v>135428.79999999999</v>
      </c>
      <c r="D713" s="135">
        <v>1738376</v>
      </c>
      <c r="E713" s="120">
        <f t="shared" si="12"/>
        <v>1873804.8</v>
      </c>
      <c r="F713" s="112" t="s">
        <v>1447</v>
      </c>
    </row>
    <row r="714" spans="1:6" hidden="1" outlineLevel="1">
      <c r="A714" s="870" t="s">
        <v>1448</v>
      </c>
      <c r="B714" s="124">
        <v>0</v>
      </c>
      <c r="C714" s="102">
        <v>65851</v>
      </c>
      <c r="D714" s="135">
        <v>68449</v>
      </c>
      <c r="E714" s="120">
        <f t="shared" si="12"/>
        <v>134300</v>
      </c>
      <c r="F714" s="112" t="s">
        <v>1449</v>
      </c>
    </row>
    <row r="715" spans="1:6" hidden="1" outlineLevel="1">
      <c r="A715" s="870" t="s">
        <v>1450</v>
      </c>
      <c r="B715" s="124">
        <v>0</v>
      </c>
      <c r="C715" s="102">
        <v>350011</v>
      </c>
      <c r="D715" s="135">
        <v>14573</v>
      </c>
      <c r="E715" s="120">
        <f t="shared" si="12"/>
        <v>364584</v>
      </c>
      <c r="F715" s="112" t="s">
        <v>1451</v>
      </c>
    </row>
    <row r="716" spans="1:6" hidden="1" outlineLevel="1">
      <c r="A716" s="870" t="s">
        <v>1452</v>
      </c>
      <c r="B716" s="124">
        <v>0</v>
      </c>
      <c r="C716" s="102">
        <v>0</v>
      </c>
      <c r="D716" s="135">
        <v>231919309</v>
      </c>
      <c r="E716" s="120">
        <f t="shared" si="12"/>
        <v>231919309</v>
      </c>
      <c r="F716" s="112" t="s">
        <v>1453</v>
      </c>
    </row>
    <row r="717" spans="1:6" hidden="1" outlineLevel="1">
      <c r="A717" s="870" t="s">
        <v>1454</v>
      </c>
      <c r="B717" s="124">
        <v>0</v>
      </c>
      <c r="C717" s="102">
        <v>0</v>
      </c>
      <c r="D717" s="135">
        <v>117305.5</v>
      </c>
      <c r="E717" s="120">
        <f t="shared" si="12"/>
        <v>117305.5</v>
      </c>
      <c r="F717" s="112" t="s">
        <v>1455</v>
      </c>
    </row>
    <row r="718" spans="1:6" hidden="1" outlineLevel="1">
      <c r="A718" s="870" t="s">
        <v>1456</v>
      </c>
      <c r="B718" s="124">
        <v>0</v>
      </c>
      <c r="C718" s="102">
        <v>285956</v>
      </c>
      <c r="D718" s="135">
        <v>674704</v>
      </c>
      <c r="E718" s="120">
        <f t="shared" si="12"/>
        <v>960660</v>
      </c>
      <c r="F718" s="112" t="s">
        <v>1457</v>
      </c>
    </row>
    <row r="719" spans="1:6" hidden="1" outlineLevel="1">
      <c r="A719" s="870" t="s">
        <v>1458</v>
      </c>
      <c r="B719" s="124">
        <v>0</v>
      </c>
      <c r="C719" s="102">
        <v>305901</v>
      </c>
      <c r="D719" s="135">
        <v>325241</v>
      </c>
      <c r="E719" s="120">
        <f t="shared" si="12"/>
        <v>631142</v>
      </c>
      <c r="F719" s="112" t="s">
        <v>1459</v>
      </c>
    </row>
    <row r="720" spans="1:6" hidden="1" outlineLevel="1">
      <c r="A720" s="870" t="s">
        <v>1460</v>
      </c>
      <c r="B720" s="124">
        <v>0</v>
      </c>
      <c r="C720" s="102">
        <v>0</v>
      </c>
      <c r="D720" s="135">
        <v>8704900</v>
      </c>
      <c r="E720" s="120">
        <f t="shared" si="12"/>
        <v>8704900</v>
      </c>
      <c r="F720" s="112" t="s">
        <v>1461</v>
      </c>
    </row>
    <row r="721" spans="1:13" hidden="1" outlineLevel="1">
      <c r="A721" s="870" t="s">
        <v>1462</v>
      </c>
      <c r="B721" s="124">
        <v>0</v>
      </c>
      <c r="C721" s="102">
        <v>469720</v>
      </c>
      <c r="D721" s="135">
        <v>1584908</v>
      </c>
      <c r="E721" s="120">
        <f t="shared" si="12"/>
        <v>2054628</v>
      </c>
      <c r="F721" s="112" t="s">
        <v>1463</v>
      </c>
    </row>
    <row r="722" spans="1:13" hidden="1" outlineLevel="1">
      <c r="A722" s="870" t="s">
        <v>1464</v>
      </c>
      <c r="B722" s="124">
        <v>0</v>
      </c>
      <c r="C722" s="102">
        <v>0</v>
      </c>
      <c r="D722" s="135">
        <v>602741.30000000005</v>
      </c>
      <c r="E722" s="120">
        <f t="shared" si="12"/>
        <v>602741.30000000005</v>
      </c>
      <c r="F722" s="112" t="s">
        <v>1465</v>
      </c>
    </row>
    <row r="723" spans="1:13" hidden="1" outlineLevel="1">
      <c r="A723" s="870" t="s">
        <v>1466</v>
      </c>
      <c r="B723" s="124">
        <v>0</v>
      </c>
      <c r="C723" s="102">
        <v>20396</v>
      </c>
      <c r="D723" s="135">
        <v>713121.99900000007</v>
      </c>
      <c r="E723" s="120">
        <f t="shared" si="12"/>
        <v>733517.99900000007</v>
      </c>
      <c r="F723" s="112" t="s">
        <v>1467</v>
      </c>
    </row>
    <row r="724" spans="1:13" hidden="1" outlineLevel="1">
      <c r="A724" s="870" t="s">
        <v>1468</v>
      </c>
      <c r="B724" s="124">
        <v>0</v>
      </c>
      <c r="C724" s="102">
        <v>18255</v>
      </c>
      <c r="D724" s="135">
        <v>331126.64599999995</v>
      </c>
      <c r="E724" s="120">
        <f t="shared" si="12"/>
        <v>349381.64599999995</v>
      </c>
      <c r="F724" s="112" t="s">
        <v>1469</v>
      </c>
    </row>
    <row r="725" spans="1:13" hidden="1" outlineLevel="1">
      <c r="A725" s="870" t="s">
        <v>1470</v>
      </c>
      <c r="B725" s="124">
        <v>0</v>
      </c>
      <c r="C725" s="102">
        <v>60270.5</v>
      </c>
      <c r="D725" s="135">
        <v>106541</v>
      </c>
      <c r="E725" s="120">
        <f t="shared" si="12"/>
        <v>166811.5</v>
      </c>
      <c r="F725" s="112" t="s">
        <v>1471</v>
      </c>
    </row>
    <row r="726" spans="1:13" hidden="1" outlineLevel="1">
      <c r="A726" s="870" t="s">
        <v>1472</v>
      </c>
      <c r="B726" s="124">
        <v>0</v>
      </c>
      <c r="C726" s="102">
        <v>1130</v>
      </c>
      <c r="D726" s="135">
        <v>35789</v>
      </c>
      <c r="E726" s="120">
        <f t="shared" ref="E726:E734" si="13">SUM(B726:D726)</f>
        <v>36919</v>
      </c>
      <c r="F726" s="112" t="s">
        <v>1473</v>
      </c>
    </row>
    <row r="727" spans="1:13" hidden="1" outlineLevel="1">
      <c r="A727" s="870" t="s">
        <v>724</v>
      </c>
      <c r="B727" s="124">
        <v>1577582</v>
      </c>
      <c r="C727" s="102">
        <v>3841008</v>
      </c>
      <c r="D727" s="135">
        <v>15949536.081999999</v>
      </c>
      <c r="E727" s="120">
        <f t="shared" si="13"/>
        <v>21368126.081999999</v>
      </c>
      <c r="F727" s="112" t="s">
        <v>725</v>
      </c>
    </row>
    <row r="728" spans="1:13" hidden="1" outlineLevel="1">
      <c r="A728" s="870" t="s">
        <v>1474</v>
      </c>
      <c r="B728" s="124">
        <v>0</v>
      </c>
      <c r="C728" s="102">
        <v>214267</v>
      </c>
      <c r="D728" s="135">
        <v>345446</v>
      </c>
      <c r="E728" s="120">
        <f t="shared" si="13"/>
        <v>559713</v>
      </c>
      <c r="F728" s="112" t="s">
        <v>1475</v>
      </c>
    </row>
    <row r="729" spans="1:13" hidden="1" outlineLevel="1">
      <c r="A729" s="870" t="s">
        <v>1476</v>
      </c>
      <c r="B729" s="124">
        <v>0</v>
      </c>
      <c r="C729" s="102">
        <v>524107.17499999999</v>
      </c>
      <c r="D729" s="135">
        <v>51744829.001000002</v>
      </c>
      <c r="E729" s="120">
        <f t="shared" si="13"/>
        <v>52268936.175999999</v>
      </c>
      <c r="F729" s="112" t="s">
        <v>1477</v>
      </c>
    </row>
    <row r="730" spans="1:13" hidden="1" outlineLevel="1">
      <c r="A730" s="870" t="s">
        <v>1478</v>
      </c>
      <c r="B730" s="124">
        <v>0</v>
      </c>
      <c r="C730" s="102">
        <v>336680</v>
      </c>
      <c r="D730" s="135">
        <v>1548331</v>
      </c>
      <c r="E730" s="120">
        <f t="shared" si="13"/>
        <v>1885011</v>
      </c>
      <c r="F730" s="112" t="s">
        <v>1479</v>
      </c>
    </row>
    <row r="731" spans="1:13" hidden="1" outlineLevel="1">
      <c r="A731" s="870" t="s">
        <v>1480</v>
      </c>
      <c r="B731" s="124">
        <v>0</v>
      </c>
      <c r="C731" s="102">
        <v>466196</v>
      </c>
      <c r="D731" s="135">
        <v>873010</v>
      </c>
      <c r="E731" s="120">
        <f t="shared" si="13"/>
        <v>1339206</v>
      </c>
      <c r="F731" s="112" t="s">
        <v>1481</v>
      </c>
    </row>
    <row r="732" spans="1:13" hidden="1" outlineLevel="1">
      <c r="A732" s="870" t="s">
        <v>1482</v>
      </c>
      <c r="B732" s="124">
        <v>0</v>
      </c>
      <c r="C732" s="102">
        <v>488954</v>
      </c>
      <c r="D732" s="135">
        <v>597844</v>
      </c>
      <c r="E732" s="120">
        <f t="shared" si="13"/>
        <v>1086798</v>
      </c>
      <c r="F732" s="112" t="s">
        <v>1483</v>
      </c>
    </row>
    <row r="733" spans="1:13" hidden="1" outlineLevel="1">
      <c r="A733" s="870" t="s">
        <v>1484</v>
      </c>
      <c r="B733" s="124">
        <v>0</v>
      </c>
      <c r="C733" s="102">
        <v>450327</v>
      </c>
      <c r="D733" s="135">
        <v>1898304.0019999999</v>
      </c>
      <c r="E733" s="120">
        <f t="shared" si="13"/>
        <v>2348631.0019999999</v>
      </c>
      <c r="F733" s="112" t="s">
        <v>1485</v>
      </c>
    </row>
    <row r="734" spans="1:13" hidden="1" outlineLevel="1">
      <c r="A734" s="870"/>
      <c r="B734" s="124"/>
      <c r="C734" s="102"/>
      <c r="D734" s="135"/>
      <c r="E734" s="120">
        <f t="shared" si="13"/>
        <v>0</v>
      </c>
      <c r="F734" s="112"/>
    </row>
    <row r="735" spans="1:13" ht="13.5" collapsed="1" thickBot="1">
      <c r="A735" s="1111" t="s">
        <v>1486</v>
      </c>
      <c r="B735" s="128">
        <f>SUM(B736:B859)</f>
        <v>8299698</v>
      </c>
      <c r="C735" s="129">
        <f t="shared" ref="C735:D735" si="14">SUM(C736:C859)</f>
        <v>823606356</v>
      </c>
      <c r="D735" s="129">
        <f t="shared" si="14"/>
        <v>1146997615</v>
      </c>
      <c r="E735" s="120">
        <f t="shared" si="2"/>
        <v>1978903669</v>
      </c>
      <c r="F735" s="25"/>
      <c r="G735" s="5"/>
    </row>
    <row r="736" spans="1:13" hidden="1" outlineLevel="1">
      <c r="A736" s="870" t="s">
        <v>1487</v>
      </c>
      <c r="B736" s="124">
        <v>0</v>
      </c>
      <c r="C736" s="102">
        <v>153022</v>
      </c>
      <c r="D736" s="102">
        <v>4999509</v>
      </c>
      <c r="E736" s="120">
        <f t="shared" si="2"/>
        <v>5152531</v>
      </c>
      <c r="F736" s="111" t="s">
        <v>1488</v>
      </c>
      <c r="G736" s="543"/>
      <c r="H736" s="5"/>
      <c r="I736" s="99"/>
      <c r="M736" s="5"/>
    </row>
    <row r="737" spans="1:13" hidden="1" outlineLevel="1">
      <c r="A737" s="870" t="s">
        <v>1489</v>
      </c>
      <c r="B737" s="124">
        <v>540014</v>
      </c>
      <c r="C737" s="102">
        <v>1044046</v>
      </c>
      <c r="D737" s="102">
        <v>3987464</v>
      </c>
      <c r="E737" s="120">
        <f t="shared" ref="E737" si="15">SUM(B737:D737)</f>
        <v>5571524</v>
      </c>
      <c r="F737" s="25" t="s">
        <v>1490</v>
      </c>
      <c r="G737" s="543"/>
      <c r="H737" s="5"/>
      <c r="I737" s="99"/>
      <c r="M737" s="5"/>
    </row>
    <row r="738" spans="1:13" hidden="1" outlineLevel="1">
      <c r="A738" s="870" t="s">
        <v>1491</v>
      </c>
      <c r="B738" s="124">
        <v>0</v>
      </c>
      <c r="C738" s="102">
        <v>5871221</v>
      </c>
      <c r="D738" s="102">
        <v>20198487</v>
      </c>
      <c r="E738" s="120">
        <f t="shared" si="2"/>
        <v>26069708</v>
      </c>
      <c r="F738" s="25" t="s">
        <v>1492</v>
      </c>
      <c r="G738" s="543"/>
      <c r="H738" s="5"/>
      <c r="I738" s="99"/>
      <c r="M738" s="5"/>
    </row>
    <row r="739" spans="1:13" hidden="1" outlineLevel="1">
      <c r="A739" s="870" t="s">
        <v>1493</v>
      </c>
      <c r="B739" s="124">
        <v>0</v>
      </c>
      <c r="C739" s="102">
        <v>2395446</v>
      </c>
      <c r="D739" s="102">
        <v>1578150</v>
      </c>
      <c r="E739" s="120">
        <f t="shared" ref="E739:E802" si="16">SUM(B739:D739)</f>
        <v>3973596</v>
      </c>
      <c r="F739" s="25" t="s">
        <v>1494</v>
      </c>
      <c r="G739" s="543"/>
      <c r="H739" s="5"/>
      <c r="I739" s="99"/>
      <c r="M739" s="5"/>
    </row>
    <row r="740" spans="1:13" hidden="1" outlineLevel="1">
      <c r="A740" s="870" t="s">
        <v>429</v>
      </c>
      <c r="B740" s="124">
        <v>0</v>
      </c>
      <c r="C740" s="102">
        <v>0</v>
      </c>
      <c r="D740" s="102">
        <v>400000</v>
      </c>
      <c r="E740" s="120">
        <f t="shared" si="16"/>
        <v>400000</v>
      </c>
      <c r="F740" s="25" t="s">
        <v>430</v>
      </c>
      <c r="G740" s="543"/>
      <c r="H740" s="5"/>
      <c r="I740" s="99"/>
      <c r="M740" s="5"/>
    </row>
    <row r="741" spans="1:13" hidden="1" outlineLevel="1">
      <c r="A741" s="870" t="s">
        <v>1495</v>
      </c>
      <c r="B741" s="124">
        <v>0</v>
      </c>
      <c r="C741" s="102">
        <v>564798</v>
      </c>
      <c r="D741" s="102">
        <v>4095633</v>
      </c>
      <c r="E741" s="120">
        <f t="shared" si="16"/>
        <v>4660431</v>
      </c>
      <c r="F741" s="25" t="s">
        <v>1496</v>
      </c>
      <c r="G741" s="543"/>
      <c r="H741" s="5"/>
      <c r="I741" s="99"/>
      <c r="M741" s="5"/>
    </row>
    <row r="742" spans="1:13" hidden="1" outlineLevel="1">
      <c r="A742" s="870" t="s">
        <v>1497</v>
      </c>
      <c r="B742" s="124">
        <v>0</v>
      </c>
      <c r="C742" s="102">
        <v>3059367</v>
      </c>
      <c r="D742" s="102">
        <v>585615</v>
      </c>
      <c r="E742" s="120">
        <f t="shared" si="16"/>
        <v>3644982</v>
      </c>
      <c r="F742" s="25" t="s">
        <v>1498</v>
      </c>
      <c r="G742" s="543"/>
      <c r="H742" s="5"/>
      <c r="I742" s="99"/>
      <c r="M742" s="5"/>
    </row>
    <row r="743" spans="1:13" hidden="1" outlineLevel="1">
      <c r="A743" s="870" t="s">
        <v>1499</v>
      </c>
      <c r="B743" s="124">
        <v>17149</v>
      </c>
      <c r="C743" s="102">
        <v>0</v>
      </c>
      <c r="D743" s="102">
        <v>73960</v>
      </c>
      <c r="E743" s="120">
        <f t="shared" si="16"/>
        <v>91109</v>
      </c>
      <c r="F743" s="25" t="s">
        <v>1500</v>
      </c>
      <c r="G743" s="543"/>
      <c r="H743" s="5"/>
      <c r="I743" s="99"/>
      <c r="M743" s="5"/>
    </row>
    <row r="744" spans="1:13" hidden="1" outlineLevel="1">
      <c r="A744" s="870" t="s">
        <v>1501</v>
      </c>
      <c r="B744" s="124">
        <v>951</v>
      </c>
      <c r="C744" s="102">
        <v>75596</v>
      </c>
      <c r="D744" s="102">
        <v>0</v>
      </c>
      <c r="E744" s="120">
        <f t="shared" si="16"/>
        <v>76547</v>
      </c>
      <c r="F744" s="25" t="s">
        <v>1502</v>
      </c>
      <c r="G744" s="543"/>
      <c r="H744" s="5"/>
      <c r="I744" s="99"/>
      <c r="M744" s="5"/>
    </row>
    <row r="745" spans="1:13" hidden="1" outlineLevel="1">
      <c r="A745" s="870" t="s">
        <v>1503</v>
      </c>
      <c r="B745" s="124">
        <v>0</v>
      </c>
      <c r="C745" s="102">
        <v>326062</v>
      </c>
      <c r="D745" s="102">
        <v>791881</v>
      </c>
      <c r="E745" s="120">
        <f t="shared" si="16"/>
        <v>1117943</v>
      </c>
      <c r="F745" s="25" t="s">
        <v>1504</v>
      </c>
      <c r="G745" s="543"/>
      <c r="H745" s="5"/>
      <c r="I745" s="99"/>
      <c r="M745" s="5"/>
    </row>
    <row r="746" spans="1:13" hidden="1" outlineLevel="1">
      <c r="A746" s="870" t="s">
        <v>1505</v>
      </c>
      <c r="B746" s="124">
        <v>0</v>
      </c>
      <c r="C746" s="102">
        <v>302651</v>
      </c>
      <c r="D746" s="102">
        <v>819922</v>
      </c>
      <c r="E746" s="120">
        <f t="shared" si="16"/>
        <v>1122573</v>
      </c>
      <c r="F746" s="25" t="s">
        <v>1506</v>
      </c>
      <c r="G746" s="543"/>
      <c r="H746" s="5"/>
      <c r="I746" s="99"/>
      <c r="M746" s="5"/>
    </row>
    <row r="747" spans="1:13" hidden="1" outlineLevel="1">
      <c r="A747" s="870" t="s">
        <v>1507</v>
      </c>
      <c r="B747" s="124">
        <v>0</v>
      </c>
      <c r="C747" s="102">
        <v>98691</v>
      </c>
      <c r="D747" s="102">
        <v>241660</v>
      </c>
      <c r="E747" s="120">
        <f t="shared" si="16"/>
        <v>340351</v>
      </c>
      <c r="F747" s="25" t="s">
        <v>1508</v>
      </c>
      <c r="G747" s="543"/>
      <c r="H747" s="5"/>
      <c r="I747" s="99"/>
      <c r="M747" s="5"/>
    </row>
    <row r="748" spans="1:13" hidden="1" outlineLevel="1">
      <c r="A748" s="870" t="s">
        <v>1509</v>
      </c>
      <c r="B748" s="124">
        <v>0</v>
      </c>
      <c r="C748" s="102">
        <v>52511</v>
      </c>
      <c r="D748" s="102">
        <v>568171</v>
      </c>
      <c r="E748" s="120">
        <f t="shared" si="16"/>
        <v>620682</v>
      </c>
      <c r="F748" s="25" t="s">
        <v>1510</v>
      </c>
      <c r="G748" s="543"/>
      <c r="H748" s="5"/>
      <c r="I748" s="99"/>
      <c r="M748" s="5"/>
    </row>
    <row r="749" spans="1:13" hidden="1" outlineLevel="1">
      <c r="A749" s="870" t="s">
        <v>1511</v>
      </c>
      <c r="B749" s="124">
        <v>0</v>
      </c>
      <c r="C749" s="102">
        <v>281180</v>
      </c>
      <c r="D749" s="102">
        <v>4290</v>
      </c>
      <c r="E749" s="120">
        <f t="shared" si="16"/>
        <v>285470</v>
      </c>
      <c r="F749" s="25" t="s">
        <v>1512</v>
      </c>
      <c r="G749" s="543"/>
      <c r="H749" s="5"/>
      <c r="I749" s="99"/>
      <c r="M749" s="5"/>
    </row>
    <row r="750" spans="1:13" hidden="1" outlineLevel="1">
      <c r="A750" s="870" t="s">
        <v>1513</v>
      </c>
      <c r="B750" s="124">
        <v>0</v>
      </c>
      <c r="C750" s="102">
        <v>977861</v>
      </c>
      <c r="D750" s="102">
        <v>2764377</v>
      </c>
      <c r="E750" s="120">
        <f t="shared" si="16"/>
        <v>3742238</v>
      </c>
      <c r="F750" s="25" t="s">
        <v>1514</v>
      </c>
      <c r="G750" s="543"/>
      <c r="H750" s="5"/>
      <c r="I750" s="99"/>
      <c r="M750" s="5"/>
    </row>
    <row r="751" spans="1:13" hidden="1" outlineLevel="1">
      <c r="A751" s="870" t="s">
        <v>1515</v>
      </c>
      <c r="B751" s="124">
        <v>0</v>
      </c>
      <c r="C751" s="102">
        <v>190527</v>
      </c>
      <c r="D751" s="102">
        <v>1239207</v>
      </c>
      <c r="E751" s="120">
        <f t="shared" si="16"/>
        <v>1429734</v>
      </c>
      <c r="F751" s="25" t="s">
        <v>1516</v>
      </c>
      <c r="G751" s="543"/>
      <c r="H751" s="5"/>
      <c r="I751" s="99"/>
      <c r="M751" s="5"/>
    </row>
    <row r="752" spans="1:13" hidden="1" outlineLevel="1">
      <c r="A752" s="870" t="s">
        <v>1517</v>
      </c>
      <c r="B752" s="124">
        <v>0</v>
      </c>
      <c r="C752" s="102">
        <v>840077</v>
      </c>
      <c r="D752" s="102">
        <v>3028120</v>
      </c>
      <c r="E752" s="120">
        <f t="shared" si="16"/>
        <v>3868197</v>
      </c>
      <c r="F752" s="25" t="s">
        <v>1518</v>
      </c>
      <c r="G752" s="543"/>
      <c r="H752" s="5"/>
      <c r="I752" s="99"/>
      <c r="M752" s="5"/>
    </row>
    <row r="753" spans="1:13" hidden="1" outlineLevel="1">
      <c r="A753" s="870" t="s">
        <v>1519</v>
      </c>
      <c r="B753" s="124">
        <v>0</v>
      </c>
      <c r="C753" s="102">
        <v>4900</v>
      </c>
      <c r="D753" s="102">
        <v>26123</v>
      </c>
      <c r="E753" s="120">
        <f t="shared" si="16"/>
        <v>31023</v>
      </c>
      <c r="F753" s="25" t="s">
        <v>1520</v>
      </c>
      <c r="G753" s="543"/>
      <c r="H753" s="5"/>
      <c r="I753" s="99"/>
      <c r="M753" s="5"/>
    </row>
    <row r="754" spans="1:13" hidden="1" outlineLevel="1">
      <c r="A754" s="870" t="s">
        <v>1521</v>
      </c>
      <c r="B754" s="124">
        <v>0</v>
      </c>
      <c r="C754" s="102">
        <v>1218850</v>
      </c>
      <c r="D754" s="102">
        <v>1910160</v>
      </c>
      <c r="E754" s="120">
        <f t="shared" si="16"/>
        <v>3129010</v>
      </c>
      <c r="F754" s="25" t="s">
        <v>1522</v>
      </c>
      <c r="G754" s="543"/>
      <c r="H754" s="5"/>
      <c r="I754" s="99"/>
      <c r="M754" s="5"/>
    </row>
    <row r="755" spans="1:13" hidden="1" outlineLevel="1">
      <c r="A755" s="870" t="s">
        <v>1523</v>
      </c>
      <c r="B755" s="124">
        <v>0</v>
      </c>
      <c r="C755" s="102">
        <v>250132</v>
      </c>
      <c r="D755" s="102">
        <v>911776</v>
      </c>
      <c r="E755" s="120">
        <f t="shared" si="16"/>
        <v>1161908</v>
      </c>
      <c r="F755" s="25" t="s">
        <v>1524</v>
      </c>
      <c r="G755" s="543"/>
      <c r="H755" s="5"/>
      <c r="I755" s="99"/>
      <c r="M755" s="5"/>
    </row>
    <row r="756" spans="1:13" hidden="1" outlineLevel="1">
      <c r="A756" s="870" t="s">
        <v>1525</v>
      </c>
      <c r="B756" s="124">
        <v>0</v>
      </c>
      <c r="C756" s="102">
        <v>278722</v>
      </c>
      <c r="D756" s="102">
        <v>2109411</v>
      </c>
      <c r="E756" s="120">
        <f t="shared" si="16"/>
        <v>2388133</v>
      </c>
      <c r="F756" s="25" t="s">
        <v>1526</v>
      </c>
      <c r="G756" s="543"/>
      <c r="H756" s="5"/>
      <c r="I756" s="99"/>
      <c r="M756" s="5"/>
    </row>
    <row r="757" spans="1:13" hidden="1" outlineLevel="1">
      <c r="A757" s="870" t="s">
        <v>1527</v>
      </c>
      <c r="B757" s="124">
        <v>0</v>
      </c>
      <c r="C757" s="102">
        <v>66022</v>
      </c>
      <c r="D757" s="102">
        <v>280000</v>
      </c>
      <c r="E757" s="120">
        <f t="shared" si="16"/>
        <v>346022</v>
      </c>
      <c r="F757" s="25" t="s">
        <v>1528</v>
      </c>
      <c r="G757" s="543"/>
      <c r="H757" s="5"/>
      <c r="I757" s="99"/>
      <c r="M757" s="5"/>
    </row>
    <row r="758" spans="1:13" hidden="1" outlineLevel="1">
      <c r="A758" s="870" t="s">
        <v>1529</v>
      </c>
      <c r="B758" s="124">
        <v>0</v>
      </c>
      <c r="C758" s="102">
        <v>498898</v>
      </c>
      <c r="D758" s="102">
        <v>4190097</v>
      </c>
      <c r="E758" s="120">
        <f t="shared" si="16"/>
        <v>4688995</v>
      </c>
      <c r="F758" s="25" t="s">
        <v>1530</v>
      </c>
      <c r="G758" s="543"/>
      <c r="H758" s="5"/>
      <c r="I758" s="99"/>
      <c r="M758" s="5"/>
    </row>
    <row r="759" spans="1:13" hidden="1" outlineLevel="1">
      <c r="A759" s="870" t="s">
        <v>1531</v>
      </c>
      <c r="B759" s="124">
        <v>0</v>
      </c>
      <c r="C759" s="102">
        <v>1</v>
      </c>
      <c r="D759" s="102">
        <v>263757</v>
      </c>
      <c r="E759" s="120">
        <f t="shared" si="16"/>
        <v>263758</v>
      </c>
      <c r="F759" s="25" t="s">
        <v>1532</v>
      </c>
      <c r="G759" s="543"/>
      <c r="H759" s="5"/>
      <c r="I759" s="99"/>
      <c r="M759" s="5"/>
    </row>
    <row r="760" spans="1:13" hidden="1" outlineLevel="1">
      <c r="A760" s="870" t="s">
        <v>1533</v>
      </c>
      <c r="B760" s="124">
        <v>0</v>
      </c>
      <c r="C760" s="102">
        <v>4042869</v>
      </c>
      <c r="D760" s="102">
        <v>13870090</v>
      </c>
      <c r="E760" s="120">
        <f t="shared" si="16"/>
        <v>17912959</v>
      </c>
      <c r="F760" s="25" t="s">
        <v>1534</v>
      </c>
      <c r="G760" s="543"/>
      <c r="H760" s="5"/>
      <c r="I760" s="99"/>
      <c r="M760" s="5"/>
    </row>
    <row r="761" spans="1:13" hidden="1" outlineLevel="1">
      <c r="A761" s="870" t="s">
        <v>1535</v>
      </c>
      <c r="B761" s="124">
        <v>0</v>
      </c>
      <c r="C761" s="102">
        <v>60392</v>
      </c>
      <c r="D761" s="102">
        <v>192682</v>
      </c>
      <c r="E761" s="120">
        <f t="shared" si="16"/>
        <v>253074</v>
      </c>
      <c r="F761" s="25" t="s">
        <v>1536</v>
      </c>
      <c r="G761" s="543"/>
      <c r="H761" s="5"/>
      <c r="I761" s="99"/>
      <c r="M761" s="5"/>
    </row>
    <row r="762" spans="1:13" hidden="1" outlineLevel="1">
      <c r="A762" s="870" t="s">
        <v>1537</v>
      </c>
      <c r="B762" s="124">
        <v>0</v>
      </c>
      <c r="C762" s="102">
        <v>720550</v>
      </c>
      <c r="D762" s="102">
        <v>3423079</v>
      </c>
      <c r="E762" s="120">
        <f t="shared" si="16"/>
        <v>4143629</v>
      </c>
      <c r="F762" s="25" t="s">
        <v>1538</v>
      </c>
      <c r="G762" s="543"/>
      <c r="H762" s="5"/>
      <c r="I762" s="99"/>
      <c r="M762" s="5"/>
    </row>
    <row r="763" spans="1:13" hidden="1" outlineLevel="1">
      <c r="A763" s="870" t="s">
        <v>1539</v>
      </c>
      <c r="B763" s="124">
        <v>0</v>
      </c>
      <c r="C763" s="102">
        <v>89582</v>
      </c>
      <c r="D763" s="102">
        <v>502523</v>
      </c>
      <c r="E763" s="120">
        <f t="shared" si="16"/>
        <v>592105</v>
      </c>
      <c r="F763" s="25" t="s">
        <v>1540</v>
      </c>
      <c r="G763" s="543"/>
      <c r="H763" s="5"/>
      <c r="I763" s="99"/>
      <c r="M763" s="5"/>
    </row>
    <row r="764" spans="1:13" hidden="1" outlineLevel="1">
      <c r="A764" s="870" t="s">
        <v>1541</v>
      </c>
      <c r="B764" s="124">
        <v>0</v>
      </c>
      <c r="C764" s="102">
        <v>79206</v>
      </c>
      <c r="D764" s="102">
        <v>865565</v>
      </c>
      <c r="E764" s="120">
        <f t="shared" si="16"/>
        <v>944771</v>
      </c>
      <c r="F764" s="25" t="s">
        <v>1542</v>
      </c>
      <c r="G764" s="543"/>
      <c r="H764" s="5"/>
      <c r="I764" s="99"/>
      <c r="M764" s="5"/>
    </row>
    <row r="765" spans="1:13" hidden="1" outlineLevel="1">
      <c r="A765" s="870" t="s">
        <v>1543</v>
      </c>
      <c r="B765" s="124">
        <v>0</v>
      </c>
      <c r="C765" s="102">
        <v>6025</v>
      </c>
      <c r="D765" s="102">
        <v>0</v>
      </c>
      <c r="E765" s="120">
        <f t="shared" si="16"/>
        <v>6025</v>
      </c>
      <c r="F765" s="25" t="s">
        <v>1544</v>
      </c>
      <c r="G765" s="543"/>
      <c r="H765" s="5"/>
      <c r="I765" s="99"/>
      <c r="M765" s="5"/>
    </row>
    <row r="766" spans="1:13" hidden="1" outlineLevel="1">
      <c r="A766" s="870" t="s">
        <v>1545</v>
      </c>
      <c r="B766" s="124">
        <v>0</v>
      </c>
      <c r="C766" s="102">
        <v>0</v>
      </c>
      <c r="D766" s="102">
        <v>166775</v>
      </c>
      <c r="E766" s="120">
        <f t="shared" si="16"/>
        <v>166775</v>
      </c>
      <c r="F766" s="25" t="s">
        <v>1546</v>
      </c>
      <c r="G766" s="543"/>
      <c r="H766" s="5"/>
      <c r="I766" s="99"/>
      <c r="M766" s="5"/>
    </row>
    <row r="767" spans="1:13" hidden="1" outlineLevel="1">
      <c r="A767" s="870" t="s">
        <v>86</v>
      </c>
      <c r="B767" s="124">
        <v>0</v>
      </c>
      <c r="C767" s="102">
        <v>0</v>
      </c>
      <c r="D767" s="102">
        <v>247918</v>
      </c>
      <c r="E767" s="120">
        <f t="shared" si="16"/>
        <v>247918</v>
      </c>
      <c r="F767" s="25" t="s">
        <v>87</v>
      </c>
      <c r="G767" s="543"/>
      <c r="H767" s="5"/>
      <c r="I767" s="99"/>
      <c r="M767" s="5"/>
    </row>
    <row r="768" spans="1:13" hidden="1" outlineLevel="1">
      <c r="A768" s="870" t="s">
        <v>1547</v>
      </c>
      <c r="B768" s="124">
        <v>0</v>
      </c>
      <c r="C768" s="102">
        <v>25465</v>
      </c>
      <c r="D768" s="102">
        <v>0</v>
      </c>
      <c r="E768" s="120">
        <f t="shared" si="16"/>
        <v>25465</v>
      </c>
      <c r="F768" s="25" t="s">
        <v>1548</v>
      </c>
      <c r="G768" s="543"/>
      <c r="H768" s="5"/>
      <c r="I768" s="99"/>
      <c r="M768" s="5"/>
    </row>
    <row r="769" spans="1:13" hidden="1" outlineLevel="1">
      <c r="A769" s="870" t="s">
        <v>1549</v>
      </c>
      <c r="B769" s="124">
        <v>0</v>
      </c>
      <c r="C769" s="102">
        <v>87240</v>
      </c>
      <c r="D769" s="102">
        <v>0</v>
      </c>
      <c r="E769" s="120">
        <f t="shared" si="16"/>
        <v>87240</v>
      </c>
      <c r="F769" s="25" t="s">
        <v>1550</v>
      </c>
      <c r="G769" s="543"/>
      <c r="H769" s="5"/>
      <c r="I769" s="99"/>
      <c r="M769" s="5"/>
    </row>
    <row r="770" spans="1:13" hidden="1" outlineLevel="1">
      <c r="A770" s="870" t="s">
        <v>1551</v>
      </c>
      <c r="B770" s="124">
        <v>0</v>
      </c>
      <c r="C770" s="102">
        <v>39532873</v>
      </c>
      <c r="D770" s="102">
        <v>848032</v>
      </c>
      <c r="E770" s="120">
        <f t="shared" si="16"/>
        <v>40380905</v>
      </c>
      <c r="F770" s="25" t="s">
        <v>1552</v>
      </c>
      <c r="G770" s="543"/>
      <c r="H770" s="5"/>
      <c r="I770" s="99"/>
      <c r="M770" s="5"/>
    </row>
    <row r="771" spans="1:13" hidden="1" outlineLevel="1">
      <c r="A771" s="870" t="s">
        <v>1553</v>
      </c>
      <c r="B771" s="124">
        <v>0</v>
      </c>
      <c r="C771" s="102">
        <v>39098334</v>
      </c>
      <c r="D771" s="102">
        <v>0</v>
      </c>
      <c r="E771" s="120">
        <f t="shared" si="16"/>
        <v>39098334</v>
      </c>
      <c r="F771" s="25" t="s">
        <v>1554</v>
      </c>
      <c r="G771" s="543"/>
      <c r="H771" s="5"/>
      <c r="I771" s="99"/>
      <c r="M771" s="5"/>
    </row>
    <row r="772" spans="1:13" hidden="1" outlineLevel="1">
      <c r="A772" s="870" t="s">
        <v>1555</v>
      </c>
      <c r="B772" s="124">
        <v>0</v>
      </c>
      <c r="C772" s="102">
        <v>5009</v>
      </c>
      <c r="D772" s="102">
        <v>0</v>
      </c>
      <c r="E772" s="120">
        <f t="shared" si="16"/>
        <v>5009</v>
      </c>
      <c r="F772" s="25" t="s">
        <v>1556</v>
      </c>
      <c r="G772" s="543"/>
      <c r="H772" s="5"/>
      <c r="I772" s="99"/>
      <c r="M772" s="5"/>
    </row>
    <row r="773" spans="1:13" hidden="1" outlineLevel="1">
      <c r="A773" s="870" t="s">
        <v>1557</v>
      </c>
      <c r="B773" s="124">
        <v>0</v>
      </c>
      <c r="C773" s="102">
        <v>0</v>
      </c>
      <c r="D773" s="102">
        <v>22000</v>
      </c>
      <c r="E773" s="120">
        <f t="shared" si="16"/>
        <v>22000</v>
      </c>
      <c r="F773" s="25" t="s">
        <v>1558</v>
      </c>
      <c r="G773" s="543"/>
      <c r="H773" s="5"/>
      <c r="I773" s="99"/>
      <c r="M773" s="5"/>
    </row>
    <row r="774" spans="1:13" hidden="1" outlineLevel="1">
      <c r="A774" s="870" t="s">
        <v>1559</v>
      </c>
      <c r="B774" s="124">
        <v>6250876</v>
      </c>
      <c r="C774" s="102">
        <v>10347005</v>
      </c>
      <c r="D774" s="102">
        <v>18302839</v>
      </c>
      <c r="E774" s="120">
        <f t="shared" si="16"/>
        <v>34900720</v>
      </c>
      <c r="F774" s="25" t="s">
        <v>1560</v>
      </c>
      <c r="G774" s="543"/>
      <c r="H774" s="5"/>
      <c r="I774" s="99"/>
      <c r="M774" s="5"/>
    </row>
    <row r="775" spans="1:13" hidden="1" outlineLevel="1">
      <c r="A775" s="870" t="s">
        <v>1561</v>
      </c>
      <c r="B775" s="124">
        <v>0</v>
      </c>
      <c r="C775" s="102">
        <v>13769791</v>
      </c>
      <c r="D775" s="102">
        <v>56414146</v>
      </c>
      <c r="E775" s="120">
        <f t="shared" si="16"/>
        <v>70183937</v>
      </c>
      <c r="F775" s="25" t="s">
        <v>1562</v>
      </c>
      <c r="G775" s="543"/>
      <c r="H775" s="5"/>
      <c r="I775" s="99"/>
      <c r="M775" s="5"/>
    </row>
    <row r="776" spans="1:13" hidden="1" outlineLevel="1">
      <c r="A776" s="870" t="s">
        <v>1413</v>
      </c>
      <c r="B776" s="124">
        <v>0</v>
      </c>
      <c r="C776" s="102">
        <v>104254</v>
      </c>
      <c r="D776" s="102">
        <v>449950</v>
      </c>
      <c r="E776" s="120">
        <f t="shared" si="16"/>
        <v>554204</v>
      </c>
      <c r="F776" s="25" t="s">
        <v>1414</v>
      </c>
      <c r="G776" s="543"/>
      <c r="H776" s="5"/>
      <c r="I776" s="99"/>
      <c r="M776" s="5"/>
    </row>
    <row r="777" spans="1:13" hidden="1" outlineLevel="1">
      <c r="A777" s="870" t="s">
        <v>1563</v>
      </c>
      <c r="B777" s="124">
        <v>0</v>
      </c>
      <c r="C777" s="102">
        <v>20062</v>
      </c>
      <c r="D777" s="102">
        <v>60477</v>
      </c>
      <c r="E777" s="120">
        <f t="shared" si="16"/>
        <v>80539</v>
      </c>
      <c r="F777" s="25" t="s">
        <v>1564</v>
      </c>
      <c r="G777" s="543"/>
      <c r="H777" s="5"/>
      <c r="I777" s="99"/>
      <c r="M777" s="5"/>
    </row>
    <row r="778" spans="1:13" hidden="1" outlineLevel="1">
      <c r="A778" s="870" t="s">
        <v>613</v>
      </c>
      <c r="B778" s="124">
        <v>60787</v>
      </c>
      <c r="C778" s="102">
        <v>27672881</v>
      </c>
      <c r="D778" s="102">
        <v>380938224</v>
      </c>
      <c r="E778" s="120">
        <f t="shared" si="16"/>
        <v>408671892</v>
      </c>
      <c r="F778" s="25" t="s">
        <v>614</v>
      </c>
      <c r="G778" s="543"/>
      <c r="H778" s="5"/>
      <c r="I778" s="99"/>
      <c r="M778" s="5"/>
    </row>
    <row r="779" spans="1:13" hidden="1" outlineLevel="1">
      <c r="A779" s="870" t="s">
        <v>1565</v>
      </c>
      <c r="B779" s="124">
        <v>0</v>
      </c>
      <c r="C779" s="102">
        <v>692208</v>
      </c>
      <c r="D779" s="102">
        <v>1749158</v>
      </c>
      <c r="E779" s="120">
        <f t="shared" si="16"/>
        <v>2441366</v>
      </c>
      <c r="F779" s="25" t="s">
        <v>1566</v>
      </c>
      <c r="G779" s="543"/>
      <c r="H779" s="5"/>
      <c r="I779" s="99"/>
      <c r="M779" s="5"/>
    </row>
    <row r="780" spans="1:13" hidden="1" outlineLevel="1">
      <c r="A780" s="870" t="s">
        <v>1567</v>
      </c>
      <c r="B780" s="124">
        <v>0</v>
      </c>
      <c r="C780" s="102">
        <v>47071</v>
      </c>
      <c r="D780" s="102">
        <v>773035</v>
      </c>
      <c r="E780" s="120">
        <f t="shared" si="16"/>
        <v>820106</v>
      </c>
      <c r="F780" s="25" t="s">
        <v>1568</v>
      </c>
      <c r="G780" s="543"/>
      <c r="H780" s="5"/>
      <c r="I780" s="99"/>
      <c r="M780" s="5"/>
    </row>
    <row r="781" spans="1:13" hidden="1" outlineLevel="1">
      <c r="A781" s="870" t="s">
        <v>1569</v>
      </c>
      <c r="B781" s="124">
        <v>0</v>
      </c>
      <c r="C781" s="102">
        <v>3442418</v>
      </c>
      <c r="D781" s="102">
        <v>12575180</v>
      </c>
      <c r="E781" s="120">
        <f t="shared" si="16"/>
        <v>16017598</v>
      </c>
      <c r="F781" s="25" t="s">
        <v>1570</v>
      </c>
      <c r="G781" s="543"/>
      <c r="H781" s="5"/>
      <c r="I781" s="99"/>
      <c r="M781" s="5"/>
    </row>
    <row r="782" spans="1:13" hidden="1" outlineLevel="1">
      <c r="A782" s="870" t="s">
        <v>1571</v>
      </c>
      <c r="B782" s="124">
        <v>0</v>
      </c>
      <c r="C782" s="102">
        <v>4341376</v>
      </c>
      <c r="D782" s="102">
        <v>2440950</v>
      </c>
      <c r="E782" s="120">
        <f t="shared" si="16"/>
        <v>6782326</v>
      </c>
      <c r="F782" s="25" t="s">
        <v>1572</v>
      </c>
      <c r="G782" s="543"/>
      <c r="H782" s="5"/>
      <c r="I782" s="99"/>
      <c r="M782" s="5"/>
    </row>
    <row r="783" spans="1:13" hidden="1" outlineLevel="1">
      <c r="A783" s="870" t="s">
        <v>1573</v>
      </c>
      <c r="B783" s="124">
        <v>0</v>
      </c>
      <c r="C783" s="102">
        <v>0</v>
      </c>
      <c r="D783" s="102">
        <v>98221</v>
      </c>
      <c r="E783" s="120">
        <f t="shared" si="16"/>
        <v>98221</v>
      </c>
      <c r="F783" s="25" t="s">
        <v>1574</v>
      </c>
      <c r="G783" s="543"/>
      <c r="H783" s="5"/>
      <c r="I783" s="99"/>
      <c r="M783" s="5"/>
    </row>
    <row r="784" spans="1:13" hidden="1" outlineLevel="1">
      <c r="A784" s="870" t="s">
        <v>1575</v>
      </c>
      <c r="B784" s="124">
        <v>0</v>
      </c>
      <c r="C784" s="102">
        <v>7081</v>
      </c>
      <c r="D784" s="102">
        <v>994938</v>
      </c>
      <c r="E784" s="120">
        <f t="shared" si="16"/>
        <v>1002019</v>
      </c>
      <c r="F784" s="25" t="s">
        <v>1576</v>
      </c>
      <c r="G784" s="543"/>
      <c r="H784" s="5"/>
      <c r="I784" s="99"/>
      <c r="M784" s="5"/>
    </row>
    <row r="785" spans="1:18" hidden="1" outlineLevel="1">
      <c r="A785" s="870" t="s">
        <v>1577</v>
      </c>
      <c r="B785" s="124">
        <v>0</v>
      </c>
      <c r="C785" s="102">
        <v>233777</v>
      </c>
      <c r="D785" s="102">
        <v>1169278</v>
      </c>
      <c r="E785" s="120">
        <f t="shared" si="16"/>
        <v>1403055</v>
      </c>
      <c r="F785" s="25" t="s">
        <v>1578</v>
      </c>
      <c r="G785" s="543"/>
      <c r="H785" s="5"/>
      <c r="I785" s="99"/>
      <c r="M785" s="5"/>
    </row>
    <row r="786" spans="1:18" hidden="1" outlineLevel="1">
      <c r="A786" s="870" t="s">
        <v>1579</v>
      </c>
      <c r="B786" s="124">
        <v>0</v>
      </c>
      <c r="C786" s="102">
        <v>455624</v>
      </c>
      <c r="D786" s="102">
        <v>3158578</v>
      </c>
      <c r="E786" s="120">
        <f t="shared" si="16"/>
        <v>3614202</v>
      </c>
      <c r="F786" s="25" t="s">
        <v>1580</v>
      </c>
      <c r="G786" s="543"/>
      <c r="H786" s="5"/>
      <c r="I786" s="99"/>
      <c r="M786" s="5"/>
    </row>
    <row r="787" spans="1:18" hidden="1" outlineLevel="1">
      <c r="A787" s="870" t="s">
        <v>1581</v>
      </c>
      <c r="B787" s="124">
        <v>173201</v>
      </c>
      <c r="C787" s="102">
        <v>1558279</v>
      </c>
      <c r="D787" s="102">
        <v>7551306</v>
      </c>
      <c r="E787" s="120">
        <f t="shared" si="16"/>
        <v>9282786</v>
      </c>
      <c r="F787" s="25" t="s">
        <v>1582</v>
      </c>
      <c r="G787" s="543"/>
      <c r="H787" s="5"/>
      <c r="I787" s="99"/>
      <c r="M787" s="5"/>
    </row>
    <row r="788" spans="1:18" hidden="1" outlineLevel="1">
      <c r="A788" s="870" t="s">
        <v>1583</v>
      </c>
      <c r="B788" s="124">
        <v>0</v>
      </c>
      <c r="C788" s="102">
        <v>280550</v>
      </c>
      <c r="D788" s="102">
        <v>1529010</v>
      </c>
      <c r="E788" s="120">
        <f t="shared" si="16"/>
        <v>1809560</v>
      </c>
      <c r="F788" s="25" t="s">
        <v>1584</v>
      </c>
      <c r="G788" s="543"/>
      <c r="H788" s="5"/>
      <c r="I788" s="99"/>
      <c r="M788" s="5"/>
    </row>
    <row r="789" spans="1:18" hidden="1" outlineLevel="1">
      <c r="A789" s="870" t="s">
        <v>1585</v>
      </c>
      <c r="B789" s="124">
        <v>0</v>
      </c>
      <c r="C789" s="102">
        <v>621048</v>
      </c>
      <c r="D789" s="102">
        <v>947016</v>
      </c>
      <c r="E789" s="120">
        <f t="shared" si="16"/>
        <v>1568064</v>
      </c>
      <c r="F789" s="25" t="s">
        <v>1586</v>
      </c>
      <c r="G789" s="543"/>
      <c r="H789" s="5"/>
      <c r="I789" s="99"/>
      <c r="M789" s="5"/>
    </row>
    <row r="790" spans="1:18" hidden="1" outlineLevel="1">
      <c r="A790" s="870" t="s">
        <v>1587</v>
      </c>
      <c r="B790" s="124">
        <v>0</v>
      </c>
      <c r="C790" s="102">
        <v>1593902</v>
      </c>
      <c r="D790" s="102">
        <v>4084424</v>
      </c>
      <c r="E790" s="120">
        <f t="shared" si="16"/>
        <v>5678326</v>
      </c>
      <c r="F790" s="25" t="s">
        <v>1588</v>
      </c>
      <c r="G790" s="543"/>
      <c r="H790" s="5"/>
      <c r="I790" s="99"/>
      <c r="M790" s="5"/>
    </row>
    <row r="791" spans="1:18" hidden="1" outlineLevel="1">
      <c r="A791" s="870" t="s">
        <v>1589</v>
      </c>
      <c r="B791" s="124">
        <v>0</v>
      </c>
      <c r="C791" s="102">
        <v>68381</v>
      </c>
      <c r="D791" s="102">
        <v>417394</v>
      </c>
      <c r="E791" s="120">
        <f t="shared" si="16"/>
        <v>485775</v>
      </c>
      <c r="F791" s="25" t="s">
        <v>1590</v>
      </c>
      <c r="G791" s="543"/>
      <c r="H791" s="5"/>
      <c r="I791" s="99"/>
      <c r="M791" s="5"/>
    </row>
    <row r="792" spans="1:18" hidden="1" outlineLevel="1">
      <c r="A792" s="870" t="s">
        <v>1591</v>
      </c>
      <c r="B792" s="124">
        <v>0</v>
      </c>
      <c r="C792" s="102">
        <v>39899</v>
      </c>
      <c r="D792" s="102">
        <v>3617391</v>
      </c>
      <c r="E792" s="120">
        <f t="shared" si="16"/>
        <v>3657290</v>
      </c>
      <c r="F792" s="25" t="s">
        <v>1592</v>
      </c>
      <c r="G792" s="543"/>
      <c r="H792" s="5"/>
      <c r="I792" s="99"/>
      <c r="M792" s="5"/>
    </row>
    <row r="793" spans="1:18" hidden="1" outlineLevel="1">
      <c r="A793" s="870" t="s">
        <v>1593</v>
      </c>
      <c r="B793" s="124">
        <v>0</v>
      </c>
      <c r="C793" s="102">
        <v>404842</v>
      </c>
      <c r="D793" s="102">
        <v>849133</v>
      </c>
      <c r="E793" s="120">
        <f t="shared" si="16"/>
        <v>1253975</v>
      </c>
      <c r="F793" s="25" t="s">
        <v>1594</v>
      </c>
      <c r="G793" s="543"/>
      <c r="H793" s="5"/>
      <c r="I793" s="99"/>
      <c r="M793" s="5"/>
    </row>
    <row r="794" spans="1:18" hidden="1" outlineLevel="1">
      <c r="A794" s="870" t="s">
        <v>1595</v>
      </c>
      <c r="B794" s="124">
        <v>0</v>
      </c>
      <c r="C794" s="102">
        <v>12685</v>
      </c>
      <c r="D794" s="102">
        <v>503762</v>
      </c>
      <c r="E794" s="120">
        <f t="shared" si="16"/>
        <v>516447</v>
      </c>
      <c r="F794" s="25" t="s">
        <v>1596</v>
      </c>
      <c r="G794" s="1044"/>
      <c r="H794" s="5"/>
      <c r="I794" s="99"/>
      <c r="M794" s="5"/>
    </row>
    <row r="795" spans="1:18" hidden="1" outlineLevel="1">
      <c r="A795" s="870" t="s">
        <v>1597</v>
      </c>
      <c r="B795" s="124">
        <v>0</v>
      </c>
      <c r="C795" s="102">
        <v>963108</v>
      </c>
      <c r="D795" s="102">
        <v>1652888</v>
      </c>
      <c r="E795" s="120">
        <f t="shared" si="16"/>
        <v>2615996</v>
      </c>
      <c r="F795" s="25" t="s">
        <v>1598</v>
      </c>
      <c r="H795" s="5"/>
      <c r="I795" s="99"/>
      <c r="M795" s="5"/>
      <c r="Q795" s="5"/>
      <c r="R795" s="5"/>
    </row>
    <row r="796" spans="1:18" hidden="1" outlineLevel="1">
      <c r="A796" s="870" t="s">
        <v>1599</v>
      </c>
      <c r="B796" s="124">
        <v>43245</v>
      </c>
      <c r="C796" s="102">
        <v>440582</v>
      </c>
      <c r="D796" s="102">
        <v>3397950</v>
      </c>
      <c r="E796" s="120">
        <f t="shared" si="16"/>
        <v>3881777</v>
      </c>
      <c r="F796" s="25" t="s">
        <v>1600</v>
      </c>
      <c r="G796" s="543"/>
      <c r="H796" s="5"/>
      <c r="I796" s="99"/>
      <c r="M796" s="5"/>
    </row>
    <row r="797" spans="1:18" hidden="1" outlineLevel="1">
      <c r="A797" s="870" t="s">
        <v>1601</v>
      </c>
      <c r="B797" s="124">
        <v>0</v>
      </c>
      <c r="C797" s="102">
        <v>217989</v>
      </c>
      <c r="D797" s="102">
        <v>9707430</v>
      </c>
      <c r="E797" s="120">
        <f t="shared" si="16"/>
        <v>9925419</v>
      </c>
      <c r="F797" s="25" t="s">
        <v>1602</v>
      </c>
      <c r="G797" s="543"/>
      <c r="H797" s="5"/>
      <c r="I797" s="99"/>
      <c r="M797" s="5"/>
    </row>
    <row r="798" spans="1:18" hidden="1" outlineLevel="1">
      <c r="A798" s="870" t="s">
        <v>1603</v>
      </c>
      <c r="B798" s="124">
        <v>0</v>
      </c>
      <c r="C798" s="102">
        <v>59539</v>
      </c>
      <c r="D798" s="102">
        <v>1033014</v>
      </c>
      <c r="E798" s="120">
        <f t="shared" si="16"/>
        <v>1092553</v>
      </c>
      <c r="F798" s="25" t="s">
        <v>1604</v>
      </c>
      <c r="G798" s="543"/>
      <c r="H798" s="5"/>
      <c r="I798" s="99"/>
      <c r="M798" s="5"/>
    </row>
    <row r="799" spans="1:18" hidden="1" outlineLevel="1">
      <c r="A799" s="870" t="s">
        <v>1605</v>
      </c>
      <c r="B799" s="124">
        <v>0</v>
      </c>
      <c r="C799" s="102">
        <v>1369</v>
      </c>
      <c r="D799" s="102">
        <v>543352</v>
      </c>
      <c r="E799" s="120">
        <f t="shared" si="16"/>
        <v>544721</v>
      </c>
      <c r="F799" s="25" t="s">
        <v>1606</v>
      </c>
      <c r="G799" s="543"/>
      <c r="H799" s="5"/>
      <c r="I799" s="99"/>
      <c r="M799" s="5"/>
    </row>
    <row r="800" spans="1:18" hidden="1" outlineLevel="1">
      <c r="A800" s="870" t="s">
        <v>1607</v>
      </c>
      <c r="B800" s="124">
        <v>0</v>
      </c>
      <c r="C800" s="102">
        <v>0</v>
      </c>
      <c r="D800" s="102">
        <v>473443</v>
      </c>
      <c r="E800" s="120">
        <f t="shared" si="16"/>
        <v>473443</v>
      </c>
      <c r="F800" s="25" t="s">
        <v>1608</v>
      </c>
      <c r="G800" s="543"/>
      <c r="H800" s="5"/>
      <c r="I800" s="99"/>
      <c r="M800" s="5"/>
    </row>
    <row r="801" spans="1:13" hidden="1" outlineLevel="1">
      <c r="A801" s="870" t="s">
        <v>1609</v>
      </c>
      <c r="B801" s="124">
        <v>0</v>
      </c>
      <c r="C801" s="102">
        <v>461359</v>
      </c>
      <c r="D801" s="102">
        <v>8831769</v>
      </c>
      <c r="E801" s="120">
        <f t="shared" si="16"/>
        <v>9293128</v>
      </c>
      <c r="F801" s="25" t="s">
        <v>1610</v>
      </c>
      <c r="G801" s="543"/>
      <c r="H801" s="5"/>
      <c r="I801" s="99"/>
      <c r="M801" s="5"/>
    </row>
    <row r="802" spans="1:13" hidden="1" outlineLevel="1">
      <c r="A802" s="870" t="s">
        <v>1611</v>
      </c>
      <c r="B802" s="124">
        <v>0</v>
      </c>
      <c r="C802" s="102">
        <v>34481</v>
      </c>
      <c r="D802" s="102">
        <v>1302960</v>
      </c>
      <c r="E802" s="120">
        <f t="shared" si="16"/>
        <v>1337441</v>
      </c>
      <c r="F802" s="25" t="s">
        <v>1612</v>
      </c>
      <c r="G802" s="543"/>
      <c r="H802" s="5"/>
      <c r="I802" s="99"/>
      <c r="M802" s="5"/>
    </row>
    <row r="803" spans="1:13" hidden="1" outlineLevel="1">
      <c r="A803" s="870" t="s">
        <v>1613</v>
      </c>
      <c r="B803" s="124">
        <v>0</v>
      </c>
      <c r="C803" s="102">
        <v>0</v>
      </c>
      <c r="D803" s="102">
        <v>403243</v>
      </c>
      <c r="E803" s="120">
        <f t="shared" ref="E803:E859" si="17">SUM(B803:D803)</f>
        <v>403243</v>
      </c>
      <c r="F803" s="25" t="s">
        <v>1614</v>
      </c>
      <c r="G803" s="543"/>
      <c r="H803" s="5"/>
      <c r="I803" s="99"/>
      <c r="M803" s="5"/>
    </row>
    <row r="804" spans="1:13" hidden="1" outlineLevel="1">
      <c r="A804" s="870" t="s">
        <v>1615</v>
      </c>
      <c r="B804" s="124">
        <v>0</v>
      </c>
      <c r="C804" s="102">
        <v>157889</v>
      </c>
      <c r="D804" s="102">
        <v>3769522</v>
      </c>
      <c r="E804" s="120">
        <f t="shared" si="17"/>
        <v>3927411</v>
      </c>
      <c r="F804" s="25" t="s">
        <v>1616</v>
      </c>
      <c r="G804" s="543"/>
      <c r="H804" s="5"/>
      <c r="I804" s="99"/>
      <c r="M804" s="5"/>
    </row>
    <row r="805" spans="1:13" hidden="1" outlineLevel="1">
      <c r="A805" s="870" t="s">
        <v>1617</v>
      </c>
      <c r="B805" s="124">
        <v>0</v>
      </c>
      <c r="C805" s="102">
        <v>78810</v>
      </c>
      <c r="D805" s="102">
        <v>432062</v>
      </c>
      <c r="E805" s="120">
        <f t="shared" si="17"/>
        <v>510872</v>
      </c>
      <c r="F805" s="25" t="s">
        <v>1618</v>
      </c>
      <c r="G805" s="543"/>
      <c r="H805" s="5"/>
      <c r="I805" s="99"/>
      <c r="M805" s="5"/>
    </row>
    <row r="806" spans="1:13" hidden="1" outlineLevel="1">
      <c r="A806" s="870" t="s">
        <v>1619</v>
      </c>
      <c r="B806" s="124">
        <v>0</v>
      </c>
      <c r="C806" s="102">
        <v>252311</v>
      </c>
      <c r="D806" s="102">
        <v>6684592</v>
      </c>
      <c r="E806" s="120">
        <f t="shared" si="17"/>
        <v>6936903</v>
      </c>
      <c r="F806" s="25" t="s">
        <v>1620</v>
      </c>
      <c r="G806" s="543"/>
      <c r="H806" s="5"/>
      <c r="I806" s="99"/>
      <c r="M806" s="5"/>
    </row>
    <row r="807" spans="1:13" hidden="1" outlineLevel="1">
      <c r="A807" s="870" t="s">
        <v>1621</v>
      </c>
      <c r="B807" s="124">
        <v>134044</v>
      </c>
      <c r="C807" s="102">
        <v>528849</v>
      </c>
      <c r="D807" s="102">
        <v>3645954</v>
      </c>
      <c r="E807" s="120">
        <f t="shared" si="17"/>
        <v>4308847</v>
      </c>
      <c r="F807" s="25" t="s">
        <v>1622</v>
      </c>
      <c r="G807" s="543"/>
      <c r="H807" s="5"/>
      <c r="I807" s="99"/>
      <c r="M807" s="5"/>
    </row>
    <row r="808" spans="1:13" hidden="1" outlineLevel="1">
      <c r="A808" s="870" t="s">
        <v>1623</v>
      </c>
      <c r="B808" s="124">
        <v>0</v>
      </c>
      <c r="C808" s="102">
        <v>820118</v>
      </c>
      <c r="D808" s="102">
        <v>920443</v>
      </c>
      <c r="E808" s="120">
        <f t="shared" si="17"/>
        <v>1740561</v>
      </c>
      <c r="F808" s="25" t="s">
        <v>1624</v>
      </c>
      <c r="G808" s="543"/>
      <c r="H808" s="5"/>
      <c r="I808" s="99"/>
      <c r="M808" s="5"/>
    </row>
    <row r="809" spans="1:13" hidden="1" outlineLevel="1">
      <c r="A809" s="870" t="s">
        <v>1625</v>
      </c>
      <c r="B809" s="124">
        <v>0</v>
      </c>
      <c r="C809" s="102">
        <v>209077</v>
      </c>
      <c r="D809" s="102">
        <v>457731</v>
      </c>
      <c r="E809" s="120">
        <f t="shared" si="17"/>
        <v>666808</v>
      </c>
      <c r="F809" s="25" t="s">
        <v>1626</v>
      </c>
      <c r="G809" s="543"/>
      <c r="H809" s="5"/>
      <c r="I809" s="99"/>
      <c r="M809" s="5"/>
    </row>
    <row r="810" spans="1:13" hidden="1" outlineLevel="1">
      <c r="A810" s="870" t="s">
        <v>1627</v>
      </c>
      <c r="B810" s="124">
        <v>0</v>
      </c>
      <c r="C810" s="102">
        <v>80748</v>
      </c>
      <c r="D810" s="102">
        <v>829975</v>
      </c>
      <c r="E810" s="120">
        <f t="shared" si="17"/>
        <v>910723</v>
      </c>
      <c r="F810" s="25" t="s">
        <v>1628</v>
      </c>
      <c r="G810" s="543"/>
      <c r="H810" s="5"/>
      <c r="I810" s="99"/>
      <c r="M810" s="5"/>
    </row>
    <row r="811" spans="1:13" hidden="1" outlineLevel="1">
      <c r="A811" s="870" t="s">
        <v>1629</v>
      </c>
      <c r="B811" s="124">
        <v>0</v>
      </c>
      <c r="C811" s="102">
        <v>420877</v>
      </c>
      <c r="D811" s="102">
        <v>1742873</v>
      </c>
      <c r="E811" s="120">
        <f t="shared" si="17"/>
        <v>2163750</v>
      </c>
      <c r="F811" s="25" t="s">
        <v>1630</v>
      </c>
      <c r="G811" s="543"/>
      <c r="H811" s="5"/>
      <c r="I811" s="99"/>
      <c r="M811" s="5"/>
    </row>
    <row r="812" spans="1:13" hidden="1" outlineLevel="1">
      <c r="A812" s="870" t="s">
        <v>1631</v>
      </c>
      <c r="B812" s="124">
        <v>0</v>
      </c>
      <c r="C812" s="102">
        <v>0</v>
      </c>
      <c r="D812" s="102">
        <v>1344815</v>
      </c>
      <c r="E812" s="120">
        <f t="shared" si="17"/>
        <v>1344815</v>
      </c>
      <c r="F812" s="25" t="s">
        <v>1632</v>
      </c>
      <c r="G812" s="543"/>
      <c r="H812" s="5"/>
      <c r="I812" s="99"/>
      <c r="M812" s="5"/>
    </row>
    <row r="813" spans="1:13" hidden="1" outlineLevel="1">
      <c r="A813" s="870" t="s">
        <v>1633</v>
      </c>
      <c r="B813" s="124">
        <v>0</v>
      </c>
      <c r="C813" s="102">
        <v>535336</v>
      </c>
      <c r="D813" s="102">
        <v>88502469</v>
      </c>
      <c r="E813" s="120">
        <f t="shared" si="17"/>
        <v>89037805</v>
      </c>
      <c r="F813" s="25" t="s">
        <v>1634</v>
      </c>
      <c r="G813" s="543"/>
      <c r="H813" s="5"/>
      <c r="I813" s="99"/>
      <c r="M813" s="5"/>
    </row>
    <row r="814" spans="1:13" hidden="1" outlineLevel="1">
      <c r="A814" s="870" t="s">
        <v>1635</v>
      </c>
      <c r="B814" s="124">
        <v>967235</v>
      </c>
      <c r="C814" s="102">
        <v>2276658</v>
      </c>
      <c r="D814" s="102">
        <v>11465855</v>
      </c>
      <c r="E814" s="120">
        <f t="shared" si="17"/>
        <v>14709748</v>
      </c>
      <c r="F814" s="25" t="s">
        <v>1636</v>
      </c>
      <c r="G814" s="543"/>
      <c r="H814" s="5"/>
      <c r="I814" s="99"/>
      <c r="M814" s="5"/>
    </row>
    <row r="815" spans="1:13" hidden="1" outlineLevel="1">
      <c r="A815" s="870" t="s">
        <v>1637</v>
      </c>
      <c r="B815" s="124">
        <v>0</v>
      </c>
      <c r="C815" s="102">
        <v>265310</v>
      </c>
      <c r="D815" s="102">
        <v>85767</v>
      </c>
      <c r="E815" s="120">
        <f t="shared" si="17"/>
        <v>351077</v>
      </c>
      <c r="F815" s="25" t="s">
        <v>1638</v>
      </c>
      <c r="G815" s="543"/>
      <c r="H815" s="5"/>
      <c r="I815" s="99"/>
      <c r="M815" s="5"/>
    </row>
    <row r="816" spans="1:13" hidden="1" outlineLevel="1">
      <c r="A816" s="870" t="s">
        <v>767</v>
      </c>
      <c r="B816" s="124">
        <v>0</v>
      </c>
      <c r="C816" s="102">
        <v>600985</v>
      </c>
      <c r="D816" s="102">
        <v>5043592</v>
      </c>
      <c r="E816" s="120">
        <f t="shared" si="17"/>
        <v>5644577</v>
      </c>
      <c r="F816" s="25" t="s">
        <v>768</v>
      </c>
      <c r="G816" s="543"/>
      <c r="H816" s="5"/>
      <c r="I816" s="99"/>
      <c r="M816" s="5"/>
    </row>
    <row r="817" spans="1:13" hidden="1" outlineLevel="1">
      <c r="A817" s="870" t="s">
        <v>1639</v>
      </c>
      <c r="B817" s="124">
        <v>0</v>
      </c>
      <c r="C817" s="102">
        <v>103797</v>
      </c>
      <c r="D817" s="102">
        <v>728313</v>
      </c>
      <c r="E817" s="120">
        <f t="shared" si="17"/>
        <v>832110</v>
      </c>
      <c r="F817" s="25" t="s">
        <v>1640</v>
      </c>
      <c r="G817" s="543"/>
      <c r="H817" s="5"/>
      <c r="I817" s="99"/>
      <c r="M817" s="5"/>
    </row>
    <row r="818" spans="1:13" hidden="1" outlineLevel="1">
      <c r="A818" s="870" t="s">
        <v>1641</v>
      </c>
      <c r="B818" s="124">
        <v>0</v>
      </c>
      <c r="C818" s="102">
        <v>445773</v>
      </c>
      <c r="D818" s="102">
        <v>1636483</v>
      </c>
      <c r="E818" s="120">
        <f t="shared" si="17"/>
        <v>2082256</v>
      </c>
      <c r="F818" s="25" t="s">
        <v>1642</v>
      </c>
      <c r="G818" s="543"/>
      <c r="H818" s="5"/>
      <c r="I818" s="99"/>
      <c r="M818" s="5"/>
    </row>
    <row r="819" spans="1:13" hidden="1" outlineLevel="1">
      <c r="A819" s="870" t="s">
        <v>1643</v>
      </c>
      <c r="B819" s="124">
        <v>0</v>
      </c>
      <c r="C819" s="102">
        <v>109151</v>
      </c>
      <c r="D819" s="102">
        <v>1304157</v>
      </c>
      <c r="E819" s="120">
        <f t="shared" si="17"/>
        <v>1413308</v>
      </c>
      <c r="F819" s="25" t="s">
        <v>1644</v>
      </c>
      <c r="G819" s="543"/>
      <c r="H819" s="5"/>
      <c r="I819" s="99"/>
      <c r="M819" s="5"/>
    </row>
    <row r="820" spans="1:13" hidden="1" outlineLevel="1">
      <c r="A820" s="870" t="s">
        <v>1645</v>
      </c>
      <c r="B820" s="124">
        <v>0</v>
      </c>
      <c r="C820" s="102">
        <v>0</v>
      </c>
      <c r="D820" s="102">
        <v>1224371</v>
      </c>
      <c r="E820" s="120">
        <f t="shared" si="17"/>
        <v>1224371</v>
      </c>
      <c r="F820" s="25" t="s">
        <v>1646</v>
      </c>
      <c r="G820" s="543"/>
      <c r="H820" s="5"/>
      <c r="I820" s="99"/>
      <c r="M820" s="5"/>
    </row>
    <row r="821" spans="1:13" hidden="1" outlineLevel="1">
      <c r="A821" s="870" t="s">
        <v>1647</v>
      </c>
      <c r="B821" s="124">
        <v>0</v>
      </c>
      <c r="C821" s="102">
        <v>40391</v>
      </c>
      <c r="D821" s="102">
        <v>672778</v>
      </c>
      <c r="E821" s="120">
        <f t="shared" si="17"/>
        <v>713169</v>
      </c>
      <c r="F821" s="25" t="s">
        <v>1648</v>
      </c>
      <c r="G821" s="543"/>
      <c r="H821" s="5"/>
      <c r="I821" s="99"/>
      <c r="M821" s="5"/>
    </row>
    <row r="822" spans="1:13" hidden="1" outlineLevel="1">
      <c r="A822" s="870" t="s">
        <v>1649</v>
      </c>
      <c r="B822" s="124">
        <v>0</v>
      </c>
      <c r="C822" s="102">
        <v>10537</v>
      </c>
      <c r="D822" s="102">
        <v>318538</v>
      </c>
      <c r="E822" s="120">
        <f t="shared" si="17"/>
        <v>329075</v>
      </c>
      <c r="F822" s="25" t="s">
        <v>1650</v>
      </c>
      <c r="G822" s="543"/>
      <c r="H822" s="5"/>
      <c r="I822" s="99"/>
      <c r="M822" s="5"/>
    </row>
    <row r="823" spans="1:13" hidden="1" outlineLevel="1">
      <c r="A823" s="870" t="s">
        <v>1651</v>
      </c>
      <c r="B823" s="124">
        <v>0</v>
      </c>
      <c r="C823" s="102">
        <v>526609</v>
      </c>
      <c r="D823" s="102">
        <v>5551058</v>
      </c>
      <c r="E823" s="120">
        <f t="shared" si="17"/>
        <v>6077667</v>
      </c>
      <c r="F823" s="25" t="s">
        <v>1652</v>
      </c>
      <c r="G823" s="543"/>
      <c r="H823" s="5"/>
      <c r="I823" s="99"/>
      <c r="M823" s="5"/>
    </row>
    <row r="824" spans="1:13" hidden="1" outlineLevel="1">
      <c r="A824" s="870" t="s">
        <v>1653</v>
      </c>
      <c r="B824" s="124">
        <v>0</v>
      </c>
      <c r="C824" s="102">
        <v>119685</v>
      </c>
      <c r="D824" s="102">
        <v>1522074</v>
      </c>
      <c r="E824" s="120">
        <f t="shared" si="17"/>
        <v>1641759</v>
      </c>
      <c r="F824" s="25" t="s">
        <v>1654</v>
      </c>
      <c r="G824" s="543"/>
      <c r="H824" s="5"/>
      <c r="I824" s="99"/>
      <c r="M824" s="5"/>
    </row>
    <row r="825" spans="1:13" hidden="1" outlineLevel="1">
      <c r="A825" s="870" t="s">
        <v>1655</v>
      </c>
      <c r="B825" s="124">
        <v>0</v>
      </c>
      <c r="C825" s="102">
        <v>336267</v>
      </c>
      <c r="D825" s="102">
        <v>1180085</v>
      </c>
      <c r="E825" s="120">
        <f t="shared" si="17"/>
        <v>1516352</v>
      </c>
      <c r="F825" s="25" t="s">
        <v>1656</v>
      </c>
      <c r="G825" s="543"/>
      <c r="H825" s="5"/>
      <c r="I825" s="99"/>
      <c r="M825" s="5"/>
    </row>
    <row r="826" spans="1:13" hidden="1" outlineLevel="1">
      <c r="A826" s="870" t="s">
        <v>1657</v>
      </c>
      <c r="B826" s="124">
        <v>0</v>
      </c>
      <c r="C826" s="102">
        <v>1592233</v>
      </c>
      <c r="D826" s="102">
        <v>9555930</v>
      </c>
      <c r="E826" s="120">
        <f t="shared" si="17"/>
        <v>11148163</v>
      </c>
      <c r="F826" s="25" t="s">
        <v>1658</v>
      </c>
      <c r="G826" s="543"/>
      <c r="H826" s="5"/>
      <c r="I826" s="99"/>
      <c r="M826" s="5"/>
    </row>
    <row r="827" spans="1:13" hidden="1" outlineLevel="1">
      <c r="A827" s="870" t="s">
        <v>1659</v>
      </c>
      <c r="B827" s="124">
        <v>1063</v>
      </c>
      <c r="C827" s="102">
        <v>0</v>
      </c>
      <c r="D827" s="102">
        <v>40755</v>
      </c>
      <c r="E827" s="120">
        <f t="shared" si="17"/>
        <v>41818</v>
      </c>
      <c r="F827" s="25" t="s">
        <v>1660</v>
      </c>
      <c r="G827" s="543"/>
      <c r="H827" s="5"/>
      <c r="I827" s="99"/>
      <c r="M827" s="5"/>
    </row>
    <row r="828" spans="1:13" hidden="1" outlineLevel="1">
      <c r="A828" s="870" t="s">
        <v>1661</v>
      </c>
      <c r="B828" s="124">
        <v>0</v>
      </c>
      <c r="C828" s="102">
        <v>570550</v>
      </c>
      <c r="D828" s="102">
        <v>971340</v>
      </c>
      <c r="E828" s="120">
        <f t="shared" si="17"/>
        <v>1541890</v>
      </c>
      <c r="F828" s="25" t="s">
        <v>1662</v>
      </c>
      <c r="G828" s="543"/>
      <c r="H828" s="5"/>
      <c r="I828" s="99"/>
      <c r="M828" s="5"/>
    </row>
    <row r="829" spans="1:13" hidden="1" outlineLevel="1">
      <c r="A829" s="870" t="s">
        <v>1663</v>
      </c>
      <c r="B829" s="124">
        <v>0</v>
      </c>
      <c r="C829" s="102">
        <v>1330645</v>
      </c>
      <c r="D829" s="102">
        <v>1496936</v>
      </c>
      <c r="E829" s="120">
        <f t="shared" si="17"/>
        <v>2827581</v>
      </c>
      <c r="F829" s="25" t="s">
        <v>1664</v>
      </c>
      <c r="G829" s="543"/>
      <c r="H829" s="5"/>
      <c r="I829" s="99"/>
      <c r="M829" s="5"/>
    </row>
    <row r="830" spans="1:13" hidden="1" outlineLevel="1">
      <c r="A830" s="870" t="s">
        <v>789</v>
      </c>
      <c r="B830" s="124">
        <v>0</v>
      </c>
      <c r="C830" s="102">
        <v>110790</v>
      </c>
      <c r="D830" s="102">
        <v>33197276</v>
      </c>
      <c r="E830" s="120">
        <f t="shared" si="17"/>
        <v>33308066</v>
      </c>
      <c r="F830" s="25" t="s">
        <v>790</v>
      </c>
      <c r="G830" s="543"/>
      <c r="H830" s="5"/>
      <c r="I830" s="99"/>
      <c r="M830" s="5"/>
    </row>
    <row r="831" spans="1:13" hidden="1" outlineLevel="1">
      <c r="A831" s="870" t="s">
        <v>1665</v>
      </c>
      <c r="B831" s="124">
        <v>0</v>
      </c>
      <c r="C831" s="102">
        <v>112829</v>
      </c>
      <c r="D831" s="102">
        <v>2962388</v>
      </c>
      <c r="E831" s="120">
        <f t="shared" si="17"/>
        <v>3075217</v>
      </c>
      <c r="F831" s="25" t="s">
        <v>1666</v>
      </c>
      <c r="G831" s="543"/>
      <c r="H831" s="5"/>
      <c r="I831" s="99"/>
      <c r="M831" s="5"/>
    </row>
    <row r="832" spans="1:13" hidden="1" outlineLevel="1">
      <c r="A832" s="870" t="s">
        <v>1667</v>
      </c>
      <c r="B832" s="124">
        <v>0</v>
      </c>
      <c r="C832" s="102">
        <v>438125</v>
      </c>
      <c r="D832" s="102">
        <v>8901576</v>
      </c>
      <c r="E832" s="120">
        <f t="shared" si="17"/>
        <v>9339701</v>
      </c>
      <c r="F832" s="25" t="s">
        <v>1668</v>
      </c>
      <c r="G832" s="543"/>
      <c r="H832" s="5"/>
      <c r="I832" s="99"/>
      <c r="M832" s="5"/>
    </row>
    <row r="833" spans="1:13" hidden="1" outlineLevel="1">
      <c r="A833" s="870" t="s">
        <v>1669</v>
      </c>
      <c r="B833" s="124">
        <v>0</v>
      </c>
      <c r="C833" s="102">
        <v>108078</v>
      </c>
      <c r="D833" s="102">
        <v>55745</v>
      </c>
      <c r="E833" s="120">
        <f t="shared" si="17"/>
        <v>163823</v>
      </c>
      <c r="F833" s="25" t="s">
        <v>1670</v>
      </c>
      <c r="G833" s="543"/>
      <c r="H833" s="5"/>
      <c r="I833" s="99"/>
      <c r="M833" s="5"/>
    </row>
    <row r="834" spans="1:13" hidden="1" outlineLevel="1">
      <c r="A834" s="870" t="s">
        <v>1671</v>
      </c>
      <c r="B834" s="124">
        <v>111133</v>
      </c>
      <c r="C834" s="102">
        <v>1184503</v>
      </c>
      <c r="D834" s="102">
        <v>20526569</v>
      </c>
      <c r="E834" s="120">
        <f t="shared" si="17"/>
        <v>21822205</v>
      </c>
      <c r="F834" s="25" t="s">
        <v>1672</v>
      </c>
      <c r="G834" s="543"/>
      <c r="H834" s="5"/>
      <c r="I834" s="99"/>
      <c r="M834" s="5"/>
    </row>
    <row r="835" spans="1:13" hidden="1" outlineLevel="1">
      <c r="A835" s="870" t="s">
        <v>1673</v>
      </c>
      <c r="B835" s="124">
        <v>0</v>
      </c>
      <c r="C835" s="102">
        <v>501900</v>
      </c>
      <c r="D835" s="102">
        <v>1964080</v>
      </c>
      <c r="E835" s="120">
        <f t="shared" si="17"/>
        <v>2465980</v>
      </c>
      <c r="F835" s="25" t="s">
        <v>1674</v>
      </c>
      <c r="G835" s="543"/>
      <c r="H835" s="5"/>
      <c r="I835" s="99"/>
      <c r="M835" s="5"/>
    </row>
    <row r="836" spans="1:13" hidden="1" outlineLevel="1">
      <c r="A836" s="870" t="s">
        <v>543</v>
      </c>
      <c r="B836" s="124">
        <v>0</v>
      </c>
      <c r="C836" s="102">
        <v>3771119</v>
      </c>
      <c r="D836" s="102">
        <v>56113294</v>
      </c>
      <c r="E836" s="120">
        <f t="shared" si="17"/>
        <v>59884413</v>
      </c>
      <c r="F836" s="25" t="s">
        <v>544</v>
      </c>
      <c r="G836" s="543"/>
      <c r="H836" s="5"/>
      <c r="I836" s="99"/>
      <c r="M836" s="5"/>
    </row>
    <row r="837" spans="1:13" hidden="1" outlineLevel="1">
      <c r="A837" s="870" t="s">
        <v>1675</v>
      </c>
      <c r="B837" s="124">
        <v>0</v>
      </c>
      <c r="C837" s="102">
        <v>904</v>
      </c>
      <c r="D837" s="102">
        <v>8028198</v>
      </c>
      <c r="E837" s="120">
        <f t="shared" si="17"/>
        <v>8029102</v>
      </c>
      <c r="F837" s="25" t="s">
        <v>1676</v>
      </c>
      <c r="G837" s="543"/>
      <c r="H837" s="5"/>
      <c r="I837" s="99"/>
      <c r="M837" s="5"/>
    </row>
    <row r="838" spans="1:13" hidden="1" outlineLevel="1">
      <c r="A838" s="870" t="s">
        <v>1677</v>
      </c>
      <c r="B838" s="124">
        <v>0</v>
      </c>
      <c r="C838" s="102">
        <v>1412428</v>
      </c>
      <c r="D838" s="102">
        <v>7643681</v>
      </c>
      <c r="E838" s="120">
        <f t="shared" si="17"/>
        <v>9056109</v>
      </c>
      <c r="F838" s="25" t="s">
        <v>1678</v>
      </c>
      <c r="G838" s="543"/>
      <c r="H838" s="5"/>
      <c r="I838" s="99"/>
      <c r="M838" s="5"/>
    </row>
    <row r="839" spans="1:13" hidden="1" outlineLevel="1">
      <c r="A839" s="870" t="s">
        <v>1679</v>
      </c>
      <c r="B839" s="124">
        <v>0</v>
      </c>
      <c r="C839" s="102">
        <v>601500</v>
      </c>
      <c r="D839" s="102">
        <v>1293585</v>
      </c>
      <c r="E839" s="120">
        <f t="shared" si="17"/>
        <v>1895085</v>
      </c>
      <c r="F839" s="25" t="s">
        <v>1680</v>
      </c>
      <c r="G839" s="543"/>
      <c r="H839" s="5"/>
      <c r="I839" s="99"/>
      <c r="M839" s="5"/>
    </row>
    <row r="840" spans="1:13" hidden="1" outlineLevel="1">
      <c r="A840" s="870" t="s">
        <v>1681</v>
      </c>
      <c r="B840" s="124">
        <v>0</v>
      </c>
      <c r="C840" s="102">
        <v>565295</v>
      </c>
      <c r="D840" s="102">
        <v>1304461</v>
      </c>
      <c r="E840" s="120">
        <f t="shared" si="17"/>
        <v>1869756</v>
      </c>
      <c r="F840" s="25" t="s">
        <v>1682</v>
      </c>
      <c r="G840" s="543"/>
      <c r="H840" s="5"/>
      <c r="I840" s="99"/>
      <c r="M840" s="5"/>
    </row>
    <row r="841" spans="1:13" hidden="1" outlineLevel="1">
      <c r="A841" s="870" t="s">
        <v>1683</v>
      </c>
      <c r="B841" s="124">
        <v>0</v>
      </c>
      <c r="C841" s="102">
        <v>286826</v>
      </c>
      <c r="D841" s="102">
        <v>741065</v>
      </c>
      <c r="E841" s="120">
        <f t="shared" si="17"/>
        <v>1027891</v>
      </c>
      <c r="F841" s="25" t="s">
        <v>1684</v>
      </c>
      <c r="G841" s="543"/>
      <c r="H841" s="5"/>
      <c r="I841" s="99"/>
      <c r="M841" s="5"/>
    </row>
    <row r="842" spans="1:13" hidden="1" outlineLevel="1">
      <c r="A842" s="870" t="s">
        <v>1685</v>
      </c>
      <c r="B842" s="124">
        <v>0</v>
      </c>
      <c r="C842" s="102">
        <v>0</v>
      </c>
      <c r="D842" s="102">
        <v>107866</v>
      </c>
      <c r="E842" s="120">
        <f t="shared" si="17"/>
        <v>107866</v>
      </c>
      <c r="F842" s="25" t="s">
        <v>1686</v>
      </c>
      <c r="G842" s="543"/>
      <c r="H842" s="5"/>
      <c r="I842" s="99"/>
      <c r="M842" s="5"/>
    </row>
    <row r="843" spans="1:13" hidden="1" outlineLevel="1">
      <c r="A843" s="870" t="s">
        <v>1687</v>
      </c>
      <c r="B843" s="124">
        <v>0</v>
      </c>
      <c r="C843" s="102">
        <v>218</v>
      </c>
      <c r="D843" s="102">
        <v>968019</v>
      </c>
      <c r="E843" s="120">
        <f t="shared" si="17"/>
        <v>968237</v>
      </c>
      <c r="F843" s="25" t="s">
        <v>1688</v>
      </c>
      <c r="G843" s="543"/>
      <c r="H843" s="5"/>
      <c r="I843" s="99"/>
      <c r="M843" s="5"/>
    </row>
    <row r="844" spans="1:13" hidden="1" outlineLevel="1">
      <c r="A844" s="870" t="s">
        <v>1132</v>
      </c>
      <c r="B844" s="124">
        <v>0</v>
      </c>
      <c r="C844" s="102">
        <v>161936</v>
      </c>
      <c r="D844" s="102">
        <v>329431</v>
      </c>
      <c r="E844" s="120">
        <f t="shared" si="17"/>
        <v>491367</v>
      </c>
      <c r="F844" s="25" t="s">
        <v>1133</v>
      </c>
      <c r="G844" s="543"/>
      <c r="H844" s="5"/>
      <c r="I844" s="99"/>
      <c r="M844" s="5"/>
    </row>
    <row r="845" spans="1:13" hidden="1" outlineLevel="1">
      <c r="A845" s="870" t="s">
        <v>1689</v>
      </c>
      <c r="B845" s="124">
        <v>0</v>
      </c>
      <c r="C845" s="102">
        <v>461331</v>
      </c>
      <c r="D845" s="102">
        <v>1130742</v>
      </c>
      <c r="E845" s="120">
        <f t="shared" si="17"/>
        <v>1592073</v>
      </c>
      <c r="F845" s="25" t="s">
        <v>1690</v>
      </c>
      <c r="G845" s="543"/>
      <c r="H845" s="5"/>
      <c r="I845" s="99"/>
      <c r="M845" s="5"/>
    </row>
    <row r="846" spans="1:13" hidden="1" outlineLevel="1">
      <c r="A846" s="870" t="s">
        <v>1691</v>
      </c>
      <c r="B846" s="124">
        <v>0</v>
      </c>
      <c r="C846" s="102">
        <v>495363</v>
      </c>
      <c r="D846" s="102">
        <v>479266</v>
      </c>
      <c r="E846" s="120">
        <f t="shared" si="17"/>
        <v>974629</v>
      </c>
      <c r="F846" s="25" t="s">
        <v>1692</v>
      </c>
      <c r="G846" s="543"/>
      <c r="H846" s="5"/>
      <c r="I846" s="99"/>
      <c r="M846" s="5"/>
    </row>
    <row r="847" spans="1:13" hidden="1" outlineLevel="1">
      <c r="A847" s="870" t="s">
        <v>1693</v>
      </c>
      <c r="B847" s="124">
        <v>0</v>
      </c>
      <c r="C847" s="102">
        <v>1287805</v>
      </c>
      <c r="D847" s="102">
        <v>548145</v>
      </c>
      <c r="E847" s="120">
        <f t="shared" si="17"/>
        <v>1835950</v>
      </c>
      <c r="F847" s="25" t="s">
        <v>1694</v>
      </c>
      <c r="G847" s="543"/>
      <c r="H847" s="5"/>
      <c r="I847" s="99"/>
      <c r="M847" s="5"/>
    </row>
    <row r="848" spans="1:13" hidden="1" outlineLevel="1">
      <c r="A848" s="870" t="s">
        <v>1695</v>
      </c>
      <c r="B848" s="124">
        <v>0</v>
      </c>
      <c r="C848" s="102">
        <v>14841571</v>
      </c>
      <c r="D848" s="102">
        <v>67858641</v>
      </c>
      <c r="E848" s="120">
        <f t="shared" si="17"/>
        <v>82700212</v>
      </c>
      <c r="F848" s="25" t="s">
        <v>1696</v>
      </c>
      <c r="G848" s="543"/>
      <c r="H848" s="5"/>
      <c r="I848" s="99"/>
      <c r="M848" s="5"/>
    </row>
    <row r="849" spans="1:13" hidden="1" outlineLevel="1">
      <c r="A849" s="870" t="s">
        <v>1697</v>
      </c>
      <c r="B849" s="124">
        <v>0</v>
      </c>
      <c r="C849" s="102">
        <v>1265662</v>
      </c>
      <c r="D849" s="102">
        <v>4035636</v>
      </c>
      <c r="E849" s="120">
        <f t="shared" si="17"/>
        <v>5301298</v>
      </c>
      <c r="F849" s="25" t="s">
        <v>1698</v>
      </c>
      <c r="G849" s="543"/>
      <c r="H849" s="5"/>
      <c r="I849" s="99"/>
      <c r="M849" s="5"/>
    </row>
    <row r="850" spans="1:13" hidden="1" outlineLevel="1">
      <c r="A850" s="870" t="s">
        <v>1699</v>
      </c>
      <c r="B850" s="124">
        <v>0</v>
      </c>
      <c r="C850" s="102">
        <v>1403575</v>
      </c>
      <c r="D850" s="102">
        <v>140340843</v>
      </c>
      <c r="E850" s="120">
        <f t="shared" si="17"/>
        <v>141744418</v>
      </c>
      <c r="F850" s="25" t="s">
        <v>1700</v>
      </c>
      <c r="G850" s="543"/>
      <c r="H850" s="5"/>
      <c r="I850" s="99"/>
      <c r="M850" s="5"/>
    </row>
    <row r="851" spans="1:13" hidden="1" outlineLevel="1">
      <c r="A851" s="870" t="s">
        <v>449</v>
      </c>
      <c r="B851" s="124">
        <v>0</v>
      </c>
      <c r="C851" s="102">
        <v>383360</v>
      </c>
      <c r="D851" s="102">
        <v>556103</v>
      </c>
      <c r="E851" s="120">
        <f t="shared" si="17"/>
        <v>939463</v>
      </c>
      <c r="F851" s="25" t="s">
        <v>450</v>
      </c>
      <c r="G851" s="543"/>
      <c r="H851" s="5"/>
      <c r="I851" s="99"/>
      <c r="M851" s="5"/>
    </row>
    <row r="852" spans="1:13" hidden="1" outlineLevel="1">
      <c r="A852" s="870" t="s">
        <v>1701</v>
      </c>
      <c r="B852" s="124">
        <v>0</v>
      </c>
      <c r="C852" s="102">
        <v>0</v>
      </c>
      <c r="D852" s="102">
        <v>114730</v>
      </c>
      <c r="E852" s="120">
        <f t="shared" si="17"/>
        <v>114730</v>
      </c>
      <c r="F852" s="25" t="s">
        <v>1702</v>
      </c>
      <c r="G852" s="543"/>
      <c r="H852" s="5"/>
      <c r="I852" s="99"/>
      <c r="M852" s="5"/>
    </row>
    <row r="853" spans="1:13" hidden="1" outlineLevel="1">
      <c r="A853" s="870" t="s">
        <v>837</v>
      </c>
      <c r="B853" s="124">
        <v>0</v>
      </c>
      <c r="C853" s="102">
        <v>0</v>
      </c>
      <c r="D853" s="102">
        <v>1016470</v>
      </c>
      <c r="E853" s="120">
        <f t="shared" si="17"/>
        <v>1016470</v>
      </c>
      <c r="F853" s="25" t="s">
        <v>838</v>
      </c>
      <c r="G853" s="543"/>
      <c r="H853" s="5"/>
      <c r="I853" s="99"/>
      <c r="M853" s="5"/>
    </row>
    <row r="854" spans="1:13" hidden="1" outlineLevel="1">
      <c r="A854" s="870" t="s">
        <v>1703</v>
      </c>
      <c r="B854" s="124">
        <v>0</v>
      </c>
      <c r="C854" s="102">
        <v>609648295</v>
      </c>
      <c r="D854" s="102">
        <v>0</v>
      </c>
      <c r="E854" s="120">
        <f t="shared" si="17"/>
        <v>609648295</v>
      </c>
      <c r="F854" s="25" t="s">
        <v>1704</v>
      </c>
      <c r="G854" s="543"/>
      <c r="H854" s="5"/>
      <c r="I854" s="99"/>
      <c r="M854" s="5"/>
    </row>
    <row r="855" spans="1:13" hidden="1" outlineLevel="1">
      <c r="A855" s="870" t="s">
        <v>1705</v>
      </c>
      <c r="B855" s="124">
        <v>0</v>
      </c>
      <c r="C855" s="102">
        <v>1313724</v>
      </c>
      <c r="D855" s="102">
        <v>3291750</v>
      </c>
      <c r="E855" s="120">
        <f t="shared" si="17"/>
        <v>4605474</v>
      </c>
      <c r="F855" s="25" t="s">
        <v>1706</v>
      </c>
      <c r="G855" s="543"/>
      <c r="H855" s="5"/>
      <c r="I855" s="99"/>
      <c r="M855" s="5"/>
    </row>
    <row r="856" spans="1:13" hidden="1" outlineLevel="1">
      <c r="A856" s="870" t="s">
        <v>1707</v>
      </c>
      <c r="B856" s="124">
        <v>0</v>
      </c>
      <c r="C856" s="102">
        <v>60853</v>
      </c>
      <c r="D856" s="102">
        <v>0</v>
      </c>
      <c r="E856" s="120">
        <f t="shared" si="17"/>
        <v>60853</v>
      </c>
      <c r="F856" s="25" t="s">
        <v>1708</v>
      </c>
      <c r="G856" s="543"/>
      <c r="H856" s="5"/>
      <c r="I856" s="99"/>
      <c r="M856" s="5"/>
    </row>
    <row r="857" spans="1:13" hidden="1" outlineLevel="1">
      <c r="A857" s="870" t="s">
        <v>1709</v>
      </c>
      <c r="B857" s="124">
        <v>0</v>
      </c>
      <c r="C857" s="102">
        <v>1152017</v>
      </c>
      <c r="D857" s="102">
        <v>30826736</v>
      </c>
      <c r="E857" s="120">
        <f t="shared" si="17"/>
        <v>31978753</v>
      </c>
      <c r="F857" s="25" t="s">
        <v>1710</v>
      </c>
      <c r="G857" s="543"/>
      <c r="H857" s="5"/>
      <c r="I857" s="99"/>
      <c r="M857" s="5"/>
    </row>
    <row r="858" spans="1:13" hidden="1" outlineLevel="1">
      <c r="A858" s="870" t="s">
        <v>1711</v>
      </c>
      <c r="B858" s="124">
        <v>0</v>
      </c>
      <c r="C858" s="102">
        <v>0</v>
      </c>
      <c r="D858" s="102">
        <v>206900</v>
      </c>
      <c r="E858" s="120">
        <f t="shared" si="17"/>
        <v>206900</v>
      </c>
      <c r="F858" s="25" t="s">
        <v>1712</v>
      </c>
      <c r="G858" s="543"/>
      <c r="H858" s="5"/>
      <c r="I858" s="99"/>
      <c r="M858" s="5"/>
    </row>
    <row r="859" spans="1:13" ht="13.5" hidden="1" outlineLevel="1" thickBot="1">
      <c r="A859" s="870" t="s">
        <v>1713</v>
      </c>
      <c r="B859" s="124">
        <v>0</v>
      </c>
      <c r="C859" s="102">
        <v>434056</v>
      </c>
      <c r="D859" s="102">
        <v>149058</v>
      </c>
      <c r="E859" s="120">
        <f t="shared" si="17"/>
        <v>583114</v>
      </c>
      <c r="F859" s="25" t="s">
        <v>1714</v>
      </c>
      <c r="G859" s="543"/>
      <c r="H859" s="5"/>
      <c r="I859" s="99"/>
    </row>
    <row r="860" spans="1:13" ht="13.5" collapsed="1" thickBot="1">
      <c r="A860" s="1113" t="s">
        <v>1715</v>
      </c>
      <c r="B860" s="491">
        <f>B735+B405+B168+B8</f>
        <v>214665042</v>
      </c>
      <c r="C860" s="492">
        <f>C735+C405+C168+C8</f>
        <v>2152125257.7269998</v>
      </c>
      <c r="D860" s="492">
        <f>D735+D405+D168+D8</f>
        <v>20405125552.425999</v>
      </c>
      <c r="E860" s="493">
        <f>E735+E405+E168+E8</f>
        <v>22771915852.153</v>
      </c>
      <c r="F860" s="17"/>
    </row>
    <row r="861" spans="1:13">
      <c r="A861" s="1112" t="s">
        <v>1716</v>
      </c>
      <c r="B861" s="113">
        <f>B860/$E860</f>
        <v>9.4267449165768898E-3</v>
      </c>
      <c r="C861" s="113">
        <f>C860/$E860</f>
        <v>9.4507869768169911E-2</v>
      </c>
      <c r="D861" s="114">
        <f>D860/$E860</f>
        <v>0.89606538531525315</v>
      </c>
      <c r="E861" s="115">
        <f>SUM(B861:D861)</f>
        <v>1</v>
      </c>
    </row>
    <row r="864" spans="1:13" s="8" customFormat="1">
      <c r="A864" s="13" t="s">
        <v>1717</v>
      </c>
    </row>
    <row r="865" spans="1:7" ht="13.5" thickBot="1">
      <c r="F865" s="8"/>
      <c r="G865" s="8"/>
    </row>
    <row r="866" spans="1:7" ht="45.75" customHeight="1">
      <c r="A866" s="542"/>
      <c r="B866" s="116" t="s">
        <v>1718</v>
      </c>
      <c r="C866" s="117" t="s">
        <v>1719</v>
      </c>
      <c r="D866" s="130" t="s">
        <v>1720</v>
      </c>
      <c r="E866" s="1116" t="s">
        <v>1721</v>
      </c>
    </row>
    <row r="867" spans="1:7" ht="13.5" thickBot="1">
      <c r="A867" s="606"/>
      <c r="B867" s="485" t="s">
        <v>1722</v>
      </c>
      <c r="C867" s="486" t="s">
        <v>1722</v>
      </c>
      <c r="D867" s="486" t="s">
        <v>1722</v>
      </c>
      <c r="E867" s="487" t="s">
        <v>1722</v>
      </c>
      <c r="F867" s="112"/>
    </row>
    <row r="868" spans="1:7">
      <c r="A868" s="1110" t="str">
        <f>A8</f>
        <v>Regelzone 50Hertz (gesamt)</v>
      </c>
      <c r="B868" s="159">
        <f>SUM(B869:B1027)</f>
        <v>1233778.46</v>
      </c>
      <c r="C868" s="167">
        <f>SUM(C869:C1027)</f>
        <v>5830069.5999999978</v>
      </c>
      <c r="D868" s="167">
        <f>SUM(D869:D1027)</f>
        <v>256695932.22999999</v>
      </c>
      <c r="E868" s="144">
        <f>SUM(B868:D868)</f>
        <v>263759780.28999999</v>
      </c>
    </row>
    <row r="869" spans="1:7" hidden="1" outlineLevel="1">
      <c r="A869" s="1110" t="s">
        <v>86</v>
      </c>
      <c r="B869" s="168">
        <v>0</v>
      </c>
      <c r="C869" s="169">
        <v>0</v>
      </c>
      <c r="D869" s="169">
        <v>65352.039999999994</v>
      </c>
      <c r="E869" s="144">
        <f t="shared" ref="E869:E1596" si="18">SUM(B869:D869)</f>
        <v>65352.039999999994</v>
      </c>
      <c r="F869" t="s">
        <v>87</v>
      </c>
    </row>
    <row r="870" spans="1:7" hidden="1" outlineLevel="1">
      <c r="A870" s="1110" t="s">
        <v>88</v>
      </c>
      <c r="B870" s="168">
        <v>0</v>
      </c>
      <c r="C870" s="169">
        <v>8044.02</v>
      </c>
      <c r="D870" s="169">
        <v>28729.759999999998</v>
      </c>
      <c r="E870" s="144">
        <f t="shared" si="18"/>
        <v>36773.78</v>
      </c>
      <c r="F870" t="s">
        <v>89</v>
      </c>
    </row>
    <row r="871" spans="1:7" hidden="1" outlineLevel="1">
      <c r="A871" s="1110" t="s">
        <v>90</v>
      </c>
      <c r="B871" s="170">
        <v>0</v>
      </c>
      <c r="C871" s="171">
        <v>0</v>
      </c>
      <c r="D871" s="172">
        <v>10707118.84</v>
      </c>
      <c r="E871" s="144">
        <f t="shared" si="18"/>
        <v>10707118.84</v>
      </c>
      <c r="F871" t="s">
        <v>91</v>
      </c>
    </row>
    <row r="872" spans="1:7" hidden="1" outlineLevel="1">
      <c r="A872" s="1110" t="s">
        <v>92</v>
      </c>
      <c r="B872" s="170">
        <v>0</v>
      </c>
      <c r="C872" s="171">
        <v>2493.63</v>
      </c>
      <c r="D872" s="172">
        <v>0</v>
      </c>
      <c r="E872" s="144">
        <f t="shared" si="18"/>
        <v>2493.63</v>
      </c>
      <c r="F872" t="s">
        <v>93</v>
      </c>
    </row>
    <row r="873" spans="1:7" hidden="1" outlineLevel="1">
      <c r="A873" s="1110" t="s">
        <v>94</v>
      </c>
      <c r="B873" s="170">
        <v>0</v>
      </c>
      <c r="C873" s="171">
        <v>0</v>
      </c>
      <c r="D873" s="172">
        <v>693930.13</v>
      </c>
      <c r="E873" s="144">
        <f t="shared" si="18"/>
        <v>693930.13</v>
      </c>
      <c r="F873" t="s">
        <v>95</v>
      </c>
    </row>
    <row r="874" spans="1:7" hidden="1" outlineLevel="1">
      <c r="A874" s="1110" t="s">
        <v>96</v>
      </c>
      <c r="B874" s="170">
        <v>0</v>
      </c>
      <c r="C874" s="171">
        <v>498.90999999999997</v>
      </c>
      <c r="D874" s="172">
        <v>3873766.1100000003</v>
      </c>
      <c r="E874" s="144">
        <f t="shared" si="18"/>
        <v>3874265.0200000005</v>
      </c>
      <c r="F874" t="s">
        <v>97</v>
      </c>
    </row>
    <row r="875" spans="1:7" hidden="1" outlineLevel="1">
      <c r="A875" s="1110" t="s">
        <v>98</v>
      </c>
      <c r="B875" s="170">
        <v>0</v>
      </c>
      <c r="C875" s="171">
        <v>18305.280000000002</v>
      </c>
      <c r="D875" s="172">
        <v>15676.16</v>
      </c>
      <c r="E875" s="144">
        <f t="shared" si="18"/>
        <v>33981.440000000002</v>
      </c>
      <c r="F875" t="s">
        <v>99</v>
      </c>
    </row>
    <row r="876" spans="1:7" hidden="1" outlineLevel="1">
      <c r="A876" s="1110" t="s">
        <v>100</v>
      </c>
      <c r="B876" s="170">
        <v>0</v>
      </c>
      <c r="C876" s="171">
        <v>36380.339999999997</v>
      </c>
      <c r="D876" s="172">
        <v>422968.18999999994</v>
      </c>
      <c r="E876" s="144">
        <f t="shared" si="18"/>
        <v>459348.52999999991</v>
      </c>
      <c r="F876" t="s">
        <v>101</v>
      </c>
    </row>
    <row r="877" spans="1:7" hidden="1" outlineLevel="1">
      <c r="A877" s="1110" t="s">
        <v>102</v>
      </c>
      <c r="B877" s="170">
        <v>0</v>
      </c>
      <c r="C877" s="171">
        <v>5914.54</v>
      </c>
      <c r="D877" s="172">
        <v>1285453.7000000002</v>
      </c>
      <c r="E877" s="144">
        <f t="shared" si="18"/>
        <v>1291368.2400000002</v>
      </c>
      <c r="F877" t="s">
        <v>103</v>
      </c>
    </row>
    <row r="878" spans="1:7" hidden="1" outlineLevel="1">
      <c r="A878" s="1110" t="s">
        <v>104</v>
      </c>
      <c r="B878" s="170">
        <v>0</v>
      </c>
      <c r="C878" s="171">
        <v>6363.65</v>
      </c>
      <c r="D878" s="172">
        <v>3261.4799999999996</v>
      </c>
      <c r="E878" s="144">
        <f t="shared" si="18"/>
        <v>9625.1299999999992</v>
      </c>
      <c r="F878" t="s">
        <v>105</v>
      </c>
    </row>
    <row r="879" spans="1:7" hidden="1" outlineLevel="1">
      <c r="A879" s="1110" t="s">
        <v>106</v>
      </c>
      <c r="B879" s="170">
        <v>0</v>
      </c>
      <c r="C879" s="171">
        <v>25832.799999999996</v>
      </c>
      <c r="D879" s="172">
        <v>1548939.02</v>
      </c>
      <c r="E879" s="144">
        <f t="shared" si="18"/>
        <v>1574771.82</v>
      </c>
      <c r="F879" t="s">
        <v>107</v>
      </c>
    </row>
    <row r="880" spans="1:7" hidden="1" outlineLevel="1">
      <c r="A880" s="1110" t="s">
        <v>108</v>
      </c>
      <c r="B880" s="170">
        <v>0</v>
      </c>
      <c r="C880" s="171">
        <v>1330.32</v>
      </c>
      <c r="D880" s="172">
        <v>0</v>
      </c>
      <c r="E880" s="144">
        <f t="shared" si="18"/>
        <v>1330.32</v>
      </c>
      <c r="F880" t="s">
        <v>109</v>
      </c>
    </row>
    <row r="881" spans="1:6" hidden="1" outlineLevel="1">
      <c r="A881" s="1110" t="s">
        <v>110</v>
      </c>
      <c r="B881" s="170">
        <v>0</v>
      </c>
      <c r="C881" s="171">
        <v>0</v>
      </c>
      <c r="D881" s="172">
        <v>0</v>
      </c>
      <c r="E881" s="144">
        <f t="shared" si="18"/>
        <v>0</v>
      </c>
      <c r="F881" t="s">
        <v>111</v>
      </c>
    </row>
    <row r="882" spans="1:6" hidden="1" outlineLevel="1">
      <c r="A882" s="1110" t="s">
        <v>112</v>
      </c>
      <c r="B882" s="170">
        <v>0</v>
      </c>
      <c r="C882" s="171">
        <v>17975.32</v>
      </c>
      <c r="D882" s="172">
        <v>1458107.16</v>
      </c>
      <c r="E882" s="144">
        <f t="shared" si="18"/>
        <v>1476082.48</v>
      </c>
      <c r="F882" t="s">
        <v>113</v>
      </c>
    </row>
    <row r="883" spans="1:6" hidden="1" outlineLevel="1">
      <c r="A883" s="1110" t="s">
        <v>114</v>
      </c>
      <c r="B883" s="170">
        <v>0</v>
      </c>
      <c r="C883" s="171">
        <v>907115.77999999991</v>
      </c>
      <c r="D883" s="172">
        <v>41114586.039999984</v>
      </c>
      <c r="E883" s="144">
        <f t="shared" si="18"/>
        <v>42021701.819999985</v>
      </c>
      <c r="F883" t="s">
        <v>115</v>
      </c>
    </row>
    <row r="884" spans="1:6" hidden="1" outlineLevel="1">
      <c r="A884" s="1110" t="s">
        <v>116</v>
      </c>
      <c r="B884" s="170">
        <v>0</v>
      </c>
      <c r="C884" s="171">
        <v>12005.05</v>
      </c>
      <c r="D884" s="172">
        <v>21984536.98</v>
      </c>
      <c r="E884" s="144">
        <f t="shared" si="18"/>
        <v>21996542.030000001</v>
      </c>
      <c r="F884" t="s">
        <v>117</v>
      </c>
    </row>
    <row r="885" spans="1:6" hidden="1" outlineLevel="1">
      <c r="A885" s="1110" t="s">
        <v>118</v>
      </c>
      <c r="B885" s="170">
        <v>0</v>
      </c>
      <c r="C885" s="171">
        <v>6922.53</v>
      </c>
      <c r="D885" s="172">
        <v>20542.400000000001</v>
      </c>
      <c r="E885" s="144">
        <f t="shared" si="18"/>
        <v>27464.93</v>
      </c>
      <c r="F885" t="s">
        <v>119</v>
      </c>
    </row>
    <row r="886" spans="1:6" hidden="1" outlineLevel="1">
      <c r="A886" s="1110" t="s">
        <v>120</v>
      </c>
      <c r="B886" s="170">
        <v>0</v>
      </c>
      <c r="C886" s="171">
        <v>0</v>
      </c>
      <c r="D886" s="172">
        <v>57656.640000000007</v>
      </c>
      <c r="E886" s="144">
        <f t="shared" si="18"/>
        <v>57656.640000000007</v>
      </c>
      <c r="F886" t="s">
        <v>121</v>
      </c>
    </row>
    <row r="887" spans="1:6" hidden="1" outlineLevel="1">
      <c r="A887" s="1110" t="s">
        <v>122</v>
      </c>
      <c r="B887" s="170">
        <v>0</v>
      </c>
      <c r="C887" s="171">
        <v>1008.15</v>
      </c>
      <c r="D887" s="172">
        <v>16294.920000000002</v>
      </c>
      <c r="E887" s="144">
        <f t="shared" si="18"/>
        <v>17303.070000000003</v>
      </c>
      <c r="F887" t="s">
        <v>123</v>
      </c>
    </row>
    <row r="888" spans="1:6" hidden="1" outlineLevel="1">
      <c r="A888" s="1110" t="s">
        <v>124</v>
      </c>
      <c r="B888" s="170">
        <v>0</v>
      </c>
      <c r="C888" s="171">
        <v>202.01</v>
      </c>
      <c r="D888" s="172">
        <v>5760</v>
      </c>
      <c r="E888" s="144">
        <f t="shared" si="18"/>
        <v>5962.01</v>
      </c>
      <c r="F888" t="s">
        <v>125</v>
      </c>
    </row>
    <row r="889" spans="1:6" hidden="1" outlineLevel="1">
      <c r="A889" s="1110" t="s">
        <v>126</v>
      </c>
      <c r="B889" s="170">
        <v>0</v>
      </c>
      <c r="C889" s="171">
        <v>0.27</v>
      </c>
      <c r="D889" s="172">
        <v>318187.82999999996</v>
      </c>
      <c r="E889" s="144">
        <f t="shared" si="18"/>
        <v>318188.09999999998</v>
      </c>
      <c r="F889" t="s">
        <v>127</v>
      </c>
    </row>
    <row r="890" spans="1:6" hidden="1" outlineLevel="1">
      <c r="A890" s="1110" t="s">
        <v>128</v>
      </c>
      <c r="B890" s="170">
        <v>0</v>
      </c>
      <c r="C890" s="171">
        <v>3476.25</v>
      </c>
      <c r="D890" s="172">
        <v>9009.4</v>
      </c>
      <c r="E890" s="144">
        <f t="shared" si="18"/>
        <v>12485.65</v>
      </c>
      <c r="F890" t="s">
        <v>129</v>
      </c>
    </row>
    <row r="891" spans="1:6" hidden="1" outlineLevel="1">
      <c r="A891" s="1110" t="s">
        <v>130</v>
      </c>
      <c r="B891" s="170">
        <v>0</v>
      </c>
      <c r="C891" s="171">
        <v>5997.6399999999994</v>
      </c>
      <c r="D891" s="172">
        <v>13167.88</v>
      </c>
      <c r="E891" s="144">
        <f t="shared" si="18"/>
        <v>19165.519999999997</v>
      </c>
      <c r="F891" t="s">
        <v>131</v>
      </c>
    </row>
    <row r="892" spans="1:6" hidden="1" outlineLevel="1">
      <c r="A892" s="1110" t="s">
        <v>132</v>
      </c>
      <c r="B892" s="170">
        <v>0</v>
      </c>
      <c r="C892" s="171">
        <v>8624.84</v>
      </c>
      <c r="D892" s="172">
        <v>335440.58999999997</v>
      </c>
      <c r="E892" s="144">
        <f t="shared" si="18"/>
        <v>344065.43</v>
      </c>
      <c r="F892" t="s">
        <v>133</v>
      </c>
    </row>
    <row r="893" spans="1:6" hidden="1" outlineLevel="1">
      <c r="A893" s="1110" t="s">
        <v>134</v>
      </c>
      <c r="B893" s="170">
        <v>0</v>
      </c>
      <c r="C893" s="171">
        <v>56.64</v>
      </c>
      <c r="D893" s="172">
        <v>144787.93</v>
      </c>
      <c r="E893" s="144">
        <f t="shared" si="18"/>
        <v>144844.57</v>
      </c>
      <c r="F893" t="s">
        <v>135</v>
      </c>
    </row>
    <row r="894" spans="1:6" hidden="1" outlineLevel="1">
      <c r="A894" s="1110" t="s">
        <v>136</v>
      </c>
      <c r="B894" s="170">
        <v>0</v>
      </c>
      <c r="C894" s="171">
        <v>9431.68</v>
      </c>
      <c r="D894" s="172">
        <v>604297.13</v>
      </c>
      <c r="E894" s="144">
        <f t="shared" si="18"/>
        <v>613728.81000000006</v>
      </c>
      <c r="F894" t="s">
        <v>137</v>
      </c>
    </row>
    <row r="895" spans="1:6" hidden="1" outlineLevel="1">
      <c r="A895" s="1110" t="s">
        <v>138</v>
      </c>
      <c r="B895" s="170">
        <v>0</v>
      </c>
      <c r="C895" s="171">
        <v>0</v>
      </c>
      <c r="D895" s="172">
        <v>110458.25</v>
      </c>
      <c r="E895" s="144">
        <f t="shared" si="18"/>
        <v>110458.25</v>
      </c>
      <c r="F895" t="s">
        <v>139</v>
      </c>
    </row>
    <row r="896" spans="1:6" hidden="1" outlineLevel="1">
      <c r="A896" s="1110" t="s">
        <v>140</v>
      </c>
      <c r="B896" s="170">
        <v>0</v>
      </c>
      <c r="C896" s="171">
        <v>0</v>
      </c>
      <c r="D896" s="172">
        <v>31190.199999999997</v>
      </c>
      <c r="E896" s="144">
        <f t="shared" si="18"/>
        <v>31190.199999999997</v>
      </c>
      <c r="F896" t="s">
        <v>141</v>
      </c>
    </row>
    <row r="897" spans="1:6" hidden="1" outlineLevel="1">
      <c r="A897" s="1110" t="s">
        <v>142</v>
      </c>
      <c r="B897" s="170">
        <v>0</v>
      </c>
      <c r="C897" s="171">
        <v>2472.9699999999998</v>
      </c>
      <c r="D897" s="172">
        <v>34079.18</v>
      </c>
      <c r="E897" s="144">
        <f t="shared" si="18"/>
        <v>36552.15</v>
      </c>
      <c r="F897" t="s">
        <v>143</v>
      </c>
    </row>
    <row r="898" spans="1:6" hidden="1" outlineLevel="1">
      <c r="A898" s="1110" t="s">
        <v>144</v>
      </c>
      <c r="B898" s="170">
        <v>0</v>
      </c>
      <c r="C898" s="171">
        <v>841.91000000000008</v>
      </c>
      <c r="D898" s="172">
        <v>386263.73000000004</v>
      </c>
      <c r="E898" s="144">
        <f t="shared" si="18"/>
        <v>387105.64</v>
      </c>
      <c r="F898" t="s">
        <v>145</v>
      </c>
    </row>
    <row r="899" spans="1:6" hidden="1" outlineLevel="1">
      <c r="A899" s="1110" t="s">
        <v>146</v>
      </c>
      <c r="B899" s="170">
        <v>0</v>
      </c>
      <c r="C899" s="171">
        <v>830.76</v>
      </c>
      <c r="D899" s="172">
        <v>358836.37</v>
      </c>
      <c r="E899" s="144">
        <f t="shared" si="18"/>
        <v>359667.13</v>
      </c>
      <c r="F899" t="s">
        <v>147</v>
      </c>
    </row>
    <row r="900" spans="1:6" hidden="1" outlineLevel="1">
      <c r="A900" s="1110" t="s">
        <v>148</v>
      </c>
      <c r="B900" s="170">
        <v>0</v>
      </c>
      <c r="C900" s="171">
        <v>19508.88</v>
      </c>
      <c r="D900" s="172">
        <v>116501.75</v>
      </c>
      <c r="E900" s="144">
        <f t="shared" si="18"/>
        <v>136010.63</v>
      </c>
      <c r="F900" t="s">
        <v>149</v>
      </c>
    </row>
    <row r="901" spans="1:6" hidden="1" outlineLevel="1">
      <c r="A901" s="1110" t="s">
        <v>150</v>
      </c>
      <c r="B901" s="170">
        <v>0</v>
      </c>
      <c r="C901" s="171">
        <v>0</v>
      </c>
      <c r="D901" s="172">
        <v>1052016.22</v>
      </c>
      <c r="E901" s="144">
        <f t="shared" si="18"/>
        <v>1052016.22</v>
      </c>
      <c r="F901" t="s">
        <v>151</v>
      </c>
    </row>
    <row r="902" spans="1:6" hidden="1" outlineLevel="1">
      <c r="A902" s="1110" t="s">
        <v>152</v>
      </c>
      <c r="B902" s="170">
        <v>0</v>
      </c>
      <c r="C902" s="171">
        <v>1921.15</v>
      </c>
      <c r="D902" s="172">
        <v>1121.28</v>
      </c>
      <c r="E902" s="144">
        <f t="shared" si="18"/>
        <v>3042.4300000000003</v>
      </c>
      <c r="F902" t="s">
        <v>153</v>
      </c>
    </row>
    <row r="903" spans="1:6" hidden="1" outlineLevel="1">
      <c r="A903" s="1110" t="s">
        <v>154</v>
      </c>
      <c r="B903" s="170">
        <v>0</v>
      </c>
      <c r="C903" s="171">
        <v>1361.53</v>
      </c>
      <c r="D903" s="172">
        <v>4137805.75</v>
      </c>
      <c r="E903" s="144">
        <f t="shared" si="18"/>
        <v>4139167.28</v>
      </c>
      <c r="F903" t="s">
        <v>155</v>
      </c>
    </row>
    <row r="904" spans="1:6" hidden="1" outlineLevel="1">
      <c r="A904" s="1110" t="s">
        <v>156</v>
      </c>
      <c r="B904" s="170">
        <v>0</v>
      </c>
      <c r="C904" s="171">
        <v>2942.92</v>
      </c>
      <c r="D904" s="172">
        <v>190025.58999999997</v>
      </c>
      <c r="E904" s="144">
        <f t="shared" si="18"/>
        <v>192968.50999999998</v>
      </c>
      <c r="F904" t="s">
        <v>157</v>
      </c>
    </row>
    <row r="905" spans="1:6" hidden="1" outlineLevel="1">
      <c r="A905" s="1110" t="s">
        <v>158</v>
      </c>
      <c r="B905" s="170">
        <v>0</v>
      </c>
      <c r="C905" s="171">
        <v>0</v>
      </c>
      <c r="D905" s="172">
        <v>761049.47</v>
      </c>
      <c r="E905" s="144">
        <f t="shared" si="18"/>
        <v>761049.47</v>
      </c>
      <c r="F905" t="s">
        <v>159</v>
      </c>
    </row>
    <row r="906" spans="1:6" hidden="1" outlineLevel="1">
      <c r="A906" s="1110" t="s">
        <v>160</v>
      </c>
      <c r="B906" s="170">
        <v>0</v>
      </c>
      <c r="C906" s="171">
        <v>28627.29</v>
      </c>
      <c r="D906" s="172">
        <v>66264.56</v>
      </c>
      <c r="E906" s="144">
        <f t="shared" si="18"/>
        <v>94891.85</v>
      </c>
      <c r="F906" t="s">
        <v>161</v>
      </c>
    </row>
    <row r="907" spans="1:6" hidden="1" outlineLevel="1">
      <c r="A907" s="1110" t="s">
        <v>162</v>
      </c>
      <c r="B907" s="170">
        <v>0</v>
      </c>
      <c r="C907" s="171">
        <v>1846.65</v>
      </c>
      <c r="D907" s="172">
        <v>666.96</v>
      </c>
      <c r="E907" s="144">
        <f t="shared" si="18"/>
        <v>2513.61</v>
      </c>
      <c r="F907" t="s">
        <v>163</v>
      </c>
    </row>
    <row r="908" spans="1:6" hidden="1" outlineLevel="1">
      <c r="A908" s="1110" t="s">
        <v>164</v>
      </c>
      <c r="B908" s="170">
        <v>0</v>
      </c>
      <c r="C908" s="171">
        <v>1556.57</v>
      </c>
      <c r="D908" s="172">
        <v>85507.64</v>
      </c>
      <c r="E908" s="144">
        <f t="shared" si="18"/>
        <v>87064.21</v>
      </c>
      <c r="F908" t="s">
        <v>165</v>
      </c>
    </row>
    <row r="909" spans="1:6" hidden="1" outlineLevel="1">
      <c r="A909" s="1110" t="s">
        <v>166</v>
      </c>
      <c r="B909" s="170">
        <v>0</v>
      </c>
      <c r="C909" s="171">
        <v>53501.970000000008</v>
      </c>
      <c r="D909" s="172">
        <v>548466.32000000018</v>
      </c>
      <c r="E909" s="144">
        <f t="shared" si="18"/>
        <v>601968.29000000015</v>
      </c>
      <c r="F909" t="s">
        <v>167</v>
      </c>
    </row>
    <row r="910" spans="1:6" hidden="1" outlineLevel="1">
      <c r="A910" s="1110" t="s">
        <v>168</v>
      </c>
      <c r="B910" s="170">
        <v>0</v>
      </c>
      <c r="C910" s="171">
        <v>41802.18</v>
      </c>
      <c r="D910" s="172">
        <v>210391.72999999992</v>
      </c>
      <c r="E910" s="144">
        <f t="shared" si="18"/>
        <v>252193.90999999992</v>
      </c>
      <c r="F910" t="s">
        <v>169</v>
      </c>
    </row>
    <row r="911" spans="1:6" hidden="1" outlineLevel="1">
      <c r="A911" s="1110" t="s">
        <v>170</v>
      </c>
      <c r="B911" s="170">
        <v>0</v>
      </c>
      <c r="C911" s="171">
        <v>2172.33</v>
      </c>
      <c r="D911" s="172">
        <v>69258.75</v>
      </c>
      <c r="E911" s="144">
        <f t="shared" si="18"/>
        <v>71431.08</v>
      </c>
      <c r="F911" t="s">
        <v>171</v>
      </c>
    </row>
    <row r="912" spans="1:6" hidden="1" outlineLevel="1">
      <c r="A912" s="1110" t="s">
        <v>172</v>
      </c>
      <c r="B912" s="170">
        <v>0</v>
      </c>
      <c r="C912" s="171">
        <v>0</v>
      </c>
      <c r="D912" s="172">
        <v>0</v>
      </c>
      <c r="E912" s="144">
        <f t="shared" si="18"/>
        <v>0</v>
      </c>
      <c r="F912" t="s">
        <v>173</v>
      </c>
    </row>
    <row r="913" spans="1:6" hidden="1" outlineLevel="1">
      <c r="A913" s="1110" t="s">
        <v>174</v>
      </c>
      <c r="B913" s="170">
        <v>0</v>
      </c>
      <c r="C913" s="171">
        <v>0</v>
      </c>
      <c r="D913" s="172">
        <v>0</v>
      </c>
      <c r="E913" s="144">
        <f t="shared" si="18"/>
        <v>0</v>
      </c>
      <c r="F913" t="s">
        <v>175</v>
      </c>
    </row>
    <row r="914" spans="1:6" hidden="1" outlineLevel="1">
      <c r="A914" s="1110" t="s">
        <v>176</v>
      </c>
      <c r="B914" s="170">
        <v>0</v>
      </c>
      <c r="C914" s="171">
        <v>13065.849999999999</v>
      </c>
      <c r="D914" s="172">
        <v>5866786.4100000011</v>
      </c>
      <c r="E914" s="144">
        <f t="shared" si="18"/>
        <v>5879852.2600000007</v>
      </c>
      <c r="F914" t="s">
        <v>177</v>
      </c>
    </row>
    <row r="915" spans="1:6" hidden="1" outlineLevel="1">
      <c r="A915" s="1110" t="s">
        <v>178</v>
      </c>
      <c r="B915" s="170">
        <v>0</v>
      </c>
      <c r="C915" s="171">
        <v>4871.6000000000004</v>
      </c>
      <c r="D915" s="172">
        <v>851953.6</v>
      </c>
      <c r="E915" s="144">
        <f t="shared" si="18"/>
        <v>856825.2</v>
      </c>
      <c r="F915" t="s">
        <v>179</v>
      </c>
    </row>
    <row r="916" spans="1:6" hidden="1" outlineLevel="1">
      <c r="A916" s="1110" t="s">
        <v>180</v>
      </c>
      <c r="B916" s="170">
        <v>0</v>
      </c>
      <c r="C916" s="171">
        <v>0</v>
      </c>
      <c r="D916" s="172">
        <v>1283884.81</v>
      </c>
      <c r="E916" s="144">
        <f t="shared" si="18"/>
        <v>1283884.81</v>
      </c>
      <c r="F916" t="s">
        <v>181</v>
      </c>
    </row>
    <row r="917" spans="1:6" hidden="1" outlineLevel="1">
      <c r="A917" s="1110" t="s">
        <v>182</v>
      </c>
      <c r="B917" s="170">
        <v>0</v>
      </c>
      <c r="C917" s="171">
        <v>11954.64</v>
      </c>
      <c r="D917" s="172">
        <v>932343.84999999986</v>
      </c>
      <c r="E917" s="144">
        <f t="shared" si="18"/>
        <v>944298.48999999987</v>
      </c>
      <c r="F917" t="s">
        <v>183</v>
      </c>
    </row>
    <row r="918" spans="1:6" hidden="1" outlineLevel="1">
      <c r="A918" s="1110" t="s">
        <v>184</v>
      </c>
      <c r="B918" s="170">
        <v>0</v>
      </c>
      <c r="C918" s="171">
        <v>2047.63</v>
      </c>
      <c r="D918" s="172">
        <v>12149.16</v>
      </c>
      <c r="E918" s="144">
        <f t="shared" si="18"/>
        <v>14196.79</v>
      </c>
      <c r="F918" t="s">
        <v>185</v>
      </c>
    </row>
    <row r="919" spans="1:6" hidden="1" outlineLevel="1">
      <c r="A919" s="1110" t="s">
        <v>186</v>
      </c>
      <c r="B919" s="170">
        <v>0</v>
      </c>
      <c r="C919" s="171">
        <v>28311.129999999997</v>
      </c>
      <c r="D919" s="172">
        <v>316416.07999999996</v>
      </c>
      <c r="E919" s="144">
        <f t="shared" si="18"/>
        <v>344727.20999999996</v>
      </c>
      <c r="F919" t="s">
        <v>187</v>
      </c>
    </row>
    <row r="920" spans="1:6" hidden="1" outlineLevel="1">
      <c r="A920" s="1110" t="s">
        <v>188</v>
      </c>
      <c r="B920" s="170">
        <v>0</v>
      </c>
      <c r="C920" s="171">
        <v>19910.91</v>
      </c>
      <c r="D920" s="172">
        <v>22903.48</v>
      </c>
      <c r="E920" s="144">
        <f t="shared" si="18"/>
        <v>42814.39</v>
      </c>
      <c r="F920" t="s">
        <v>189</v>
      </c>
    </row>
    <row r="921" spans="1:6" hidden="1" outlineLevel="1">
      <c r="A921" s="1110" t="s">
        <v>190</v>
      </c>
      <c r="B921" s="170">
        <v>0</v>
      </c>
      <c r="C921" s="171">
        <v>34487.130000000005</v>
      </c>
      <c r="D921" s="172">
        <v>302092.66000000009</v>
      </c>
      <c r="E921" s="144">
        <f t="shared" si="18"/>
        <v>336579.7900000001</v>
      </c>
      <c r="F921" t="s">
        <v>191</v>
      </c>
    </row>
    <row r="922" spans="1:6" hidden="1" outlineLevel="1">
      <c r="A922" s="1110" t="s">
        <v>192</v>
      </c>
      <c r="B922" s="170">
        <v>0</v>
      </c>
      <c r="C922" s="171">
        <v>0</v>
      </c>
      <c r="D922" s="172">
        <v>0</v>
      </c>
      <c r="E922" s="144">
        <f t="shared" si="18"/>
        <v>0</v>
      </c>
      <c r="F922" t="s">
        <v>193</v>
      </c>
    </row>
    <row r="923" spans="1:6" hidden="1" outlineLevel="1">
      <c r="A923" s="1110" t="s">
        <v>194</v>
      </c>
      <c r="B923" s="170">
        <v>0</v>
      </c>
      <c r="C923" s="171">
        <v>0</v>
      </c>
      <c r="D923" s="172">
        <v>0</v>
      </c>
      <c r="E923" s="144">
        <f t="shared" si="18"/>
        <v>0</v>
      </c>
      <c r="F923" t="s">
        <v>195</v>
      </c>
    </row>
    <row r="924" spans="1:6" hidden="1" outlineLevel="1">
      <c r="A924" s="1110" t="s">
        <v>196</v>
      </c>
      <c r="B924" s="170">
        <v>0</v>
      </c>
      <c r="C924" s="171">
        <v>0</v>
      </c>
      <c r="D924" s="172">
        <v>0</v>
      </c>
      <c r="E924" s="144">
        <f t="shared" si="18"/>
        <v>0</v>
      </c>
      <c r="F924" t="s">
        <v>197</v>
      </c>
    </row>
    <row r="925" spans="1:6" hidden="1" outlineLevel="1">
      <c r="A925" s="1110" t="s">
        <v>198</v>
      </c>
      <c r="B925" s="170">
        <v>0</v>
      </c>
      <c r="C925" s="171">
        <v>10318.39</v>
      </c>
      <c r="D925" s="172">
        <v>85462.119999999981</v>
      </c>
      <c r="E925" s="144">
        <f t="shared" si="18"/>
        <v>95780.50999999998</v>
      </c>
      <c r="F925" t="s">
        <v>199</v>
      </c>
    </row>
    <row r="926" spans="1:6" hidden="1" outlineLevel="1">
      <c r="A926" s="1110" t="s">
        <v>200</v>
      </c>
      <c r="B926" s="170">
        <v>0</v>
      </c>
      <c r="C926" s="171">
        <v>769.73</v>
      </c>
      <c r="D926" s="172">
        <v>611563.78</v>
      </c>
      <c r="E926" s="144">
        <f t="shared" si="18"/>
        <v>612333.51</v>
      </c>
      <c r="F926" t="s">
        <v>201</v>
      </c>
    </row>
    <row r="927" spans="1:6" hidden="1" outlineLevel="1">
      <c r="A927" s="1110" t="s">
        <v>202</v>
      </c>
      <c r="B927" s="170">
        <v>0</v>
      </c>
      <c r="C927" s="171">
        <v>36292.769999999997</v>
      </c>
      <c r="D927" s="172">
        <v>50763.909999999996</v>
      </c>
      <c r="E927" s="144">
        <f t="shared" si="18"/>
        <v>87056.68</v>
      </c>
      <c r="F927" t="s">
        <v>203</v>
      </c>
    </row>
    <row r="928" spans="1:6" hidden="1" outlineLevel="1">
      <c r="A928" s="1110" t="s">
        <v>204</v>
      </c>
      <c r="B928" s="170">
        <v>0</v>
      </c>
      <c r="C928" s="171">
        <v>37820.229999999996</v>
      </c>
      <c r="D928" s="172">
        <v>95971.38</v>
      </c>
      <c r="E928" s="144">
        <f t="shared" si="18"/>
        <v>133791.60999999999</v>
      </c>
      <c r="F928" t="s">
        <v>205</v>
      </c>
    </row>
    <row r="929" spans="1:6" hidden="1" outlineLevel="1">
      <c r="A929" s="1110" t="s">
        <v>206</v>
      </c>
      <c r="B929" s="170">
        <v>0</v>
      </c>
      <c r="C929" s="171">
        <v>0</v>
      </c>
      <c r="D929" s="172">
        <v>0</v>
      </c>
      <c r="E929" s="144">
        <f t="shared" si="18"/>
        <v>0</v>
      </c>
      <c r="F929" t="s">
        <v>207</v>
      </c>
    </row>
    <row r="930" spans="1:6" hidden="1" outlineLevel="1">
      <c r="A930" s="1110" t="s">
        <v>208</v>
      </c>
      <c r="B930" s="170">
        <v>0</v>
      </c>
      <c r="C930" s="171">
        <v>5130.57</v>
      </c>
      <c r="D930" s="172">
        <v>226893.28</v>
      </c>
      <c r="E930" s="144">
        <f t="shared" si="18"/>
        <v>232023.85</v>
      </c>
      <c r="F930" t="s">
        <v>209</v>
      </c>
    </row>
    <row r="931" spans="1:6" hidden="1" outlineLevel="1">
      <c r="A931" s="1110" t="s">
        <v>210</v>
      </c>
      <c r="B931" s="170">
        <v>0</v>
      </c>
      <c r="C931" s="171">
        <v>0.27</v>
      </c>
      <c r="D931" s="172">
        <v>10868.600000000002</v>
      </c>
      <c r="E931" s="144">
        <f t="shared" si="18"/>
        <v>10868.870000000003</v>
      </c>
      <c r="F931" t="s">
        <v>211</v>
      </c>
    </row>
    <row r="932" spans="1:6" hidden="1" outlineLevel="1">
      <c r="A932" s="1110" t="s">
        <v>212</v>
      </c>
      <c r="B932" s="170">
        <v>0</v>
      </c>
      <c r="C932" s="171">
        <v>3730.73</v>
      </c>
      <c r="D932" s="172">
        <v>294235.06000000011</v>
      </c>
      <c r="E932" s="144">
        <f t="shared" si="18"/>
        <v>297965.7900000001</v>
      </c>
      <c r="F932" t="s">
        <v>213</v>
      </c>
    </row>
    <row r="933" spans="1:6" hidden="1" outlineLevel="1">
      <c r="A933" s="1110" t="s">
        <v>214</v>
      </c>
      <c r="B933" s="170">
        <v>0</v>
      </c>
      <c r="C933" s="171">
        <v>2759.15</v>
      </c>
      <c r="D933" s="172">
        <v>1420951.76</v>
      </c>
      <c r="E933" s="144">
        <f t="shared" si="18"/>
        <v>1423710.91</v>
      </c>
      <c r="F933" t="s">
        <v>215</v>
      </c>
    </row>
    <row r="934" spans="1:6" hidden="1" outlineLevel="1">
      <c r="A934" s="1110" t="s">
        <v>216</v>
      </c>
      <c r="B934" s="170">
        <v>0</v>
      </c>
      <c r="C934" s="171">
        <v>243.83</v>
      </c>
      <c r="D934" s="172">
        <v>366478.33</v>
      </c>
      <c r="E934" s="144">
        <f t="shared" si="18"/>
        <v>366722.16000000003</v>
      </c>
      <c r="F934" t="s">
        <v>217</v>
      </c>
    </row>
    <row r="935" spans="1:6" hidden="1" outlineLevel="1">
      <c r="A935" s="1110" t="s">
        <v>218</v>
      </c>
      <c r="B935" s="170">
        <v>0</v>
      </c>
      <c r="C935" s="171">
        <v>2936.06</v>
      </c>
      <c r="D935" s="172">
        <v>14373.68</v>
      </c>
      <c r="E935" s="144">
        <f t="shared" si="18"/>
        <v>17309.740000000002</v>
      </c>
      <c r="F935" t="s">
        <v>219</v>
      </c>
    </row>
    <row r="936" spans="1:6" hidden="1" outlineLevel="1">
      <c r="A936" s="1110" t="s">
        <v>220</v>
      </c>
      <c r="B936" s="170">
        <v>0</v>
      </c>
      <c r="C936" s="171">
        <v>18155.47</v>
      </c>
      <c r="D936" s="172">
        <v>26344.440000000002</v>
      </c>
      <c r="E936" s="144">
        <f t="shared" si="18"/>
        <v>44499.91</v>
      </c>
      <c r="F936" t="s">
        <v>221</v>
      </c>
    </row>
    <row r="937" spans="1:6" hidden="1" outlineLevel="1">
      <c r="A937" s="1110" t="s">
        <v>222</v>
      </c>
      <c r="B937" s="170">
        <v>0</v>
      </c>
      <c r="C937" s="171">
        <v>531.64</v>
      </c>
      <c r="D937" s="172">
        <v>424666.53999999986</v>
      </c>
      <c r="E937" s="144">
        <f t="shared" si="18"/>
        <v>425198.17999999988</v>
      </c>
      <c r="F937" t="s">
        <v>223</v>
      </c>
    </row>
    <row r="938" spans="1:6" hidden="1" outlineLevel="1">
      <c r="A938" s="1110" t="s">
        <v>224</v>
      </c>
      <c r="B938" s="170">
        <v>0</v>
      </c>
      <c r="C938" s="171">
        <v>7781.1</v>
      </c>
      <c r="D938" s="172">
        <v>156411.74000000002</v>
      </c>
      <c r="E938" s="144">
        <f t="shared" si="18"/>
        <v>164192.84000000003</v>
      </c>
      <c r="F938" t="s">
        <v>225</v>
      </c>
    </row>
    <row r="939" spans="1:6" hidden="1" outlineLevel="1">
      <c r="A939" s="1110" t="s">
        <v>226</v>
      </c>
      <c r="B939" s="170">
        <v>0</v>
      </c>
      <c r="C939" s="171">
        <v>20748</v>
      </c>
      <c r="D939" s="172">
        <v>48320.880000000005</v>
      </c>
      <c r="E939" s="144">
        <f t="shared" si="18"/>
        <v>69068.88</v>
      </c>
      <c r="F939" t="s">
        <v>227</v>
      </c>
    </row>
    <row r="940" spans="1:6" hidden="1" outlineLevel="1">
      <c r="A940" s="1110" t="s">
        <v>228</v>
      </c>
      <c r="B940" s="170">
        <v>0</v>
      </c>
      <c r="C940" s="171">
        <v>821378.29</v>
      </c>
      <c r="D940" s="172">
        <v>4677770.5</v>
      </c>
      <c r="E940" s="144">
        <f t="shared" si="18"/>
        <v>5499148.79</v>
      </c>
      <c r="F940" t="s">
        <v>229</v>
      </c>
    </row>
    <row r="941" spans="1:6" hidden="1" outlineLevel="1">
      <c r="A941" s="1110" t="s">
        <v>230</v>
      </c>
      <c r="B941" s="170">
        <v>0</v>
      </c>
      <c r="C941" s="171">
        <v>50313.03</v>
      </c>
      <c r="D941" s="172">
        <v>203248.04000000004</v>
      </c>
      <c r="E941" s="144">
        <f t="shared" si="18"/>
        <v>253561.07000000004</v>
      </c>
      <c r="F941" t="s">
        <v>231</v>
      </c>
    </row>
    <row r="942" spans="1:6" hidden="1" outlineLevel="1">
      <c r="A942" s="1110" t="s">
        <v>232</v>
      </c>
      <c r="B942" s="170">
        <v>0</v>
      </c>
      <c r="C942" s="171">
        <v>0</v>
      </c>
      <c r="D942" s="172">
        <v>4362.72</v>
      </c>
      <c r="E942" s="144">
        <f t="shared" si="18"/>
        <v>4362.72</v>
      </c>
      <c r="F942" t="s">
        <v>233</v>
      </c>
    </row>
    <row r="943" spans="1:6" hidden="1" outlineLevel="1">
      <c r="A943" s="1110" t="s">
        <v>234</v>
      </c>
      <c r="B943" s="170">
        <v>0</v>
      </c>
      <c r="C943" s="171">
        <v>759.18</v>
      </c>
      <c r="D943" s="172">
        <v>101910.84000000001</v>
      </c>
      <c r="E943" s="144">
        <f t="shared" si="18"/>
        <v>102670.02</v>
      </c>
      <c r="F943" t="s">
        <v>235</v>
      </c>
    </row>
    <row r="944" spans="1:6" hidden="1" outlineLevel="1">
      <c r="A944" s="1110" t="s">
        <v>236</v>
      </c>
      <c r="B944" s="170">
        <v>0</v>
      </c>
      <c r="C944" s="171">
        <v>0</v>
      </c>
      <c r="D944" s="172">
        <v>26628.959999999999</v>
      </c>
      <c r="E944" s="144">
        <f t="shared" si="18"/>
        <v>26628.959999999999</v>
      </c>
      <c r="F944" t="s">
        <v>237</v>
      </c>
    </row>
    <row r="945" spans="1:6" hidden="1" outlineLevel="1">
      <c r="A945" s="1110" t="s">
        <v>238</v>
      </c>
      <c r="B945" s="170">
        <v>0</v>
      </c>
      <c r="C945" s="171">
        <v>39364.67</v>
      </c>
      <c r="D945" s="172">
        <v>859867.52</v>
      </c>
      <c r="E945" s="144">
        <f t="shared" si="18"/>
        <v>899232.19000000006</v>
      </c>
      <c r="F945" t="s">
        <v>239</v>
      </c>
    </row>
    <row r="946" spans="1:6" hidden="1" outlineLevel="1">
      <c r="A946" s="1110" t="s">
        <v>240</v>
      </c>
      <c r="B946" s="170">
        <v>0</v>
      </c>
      <c r="C946" s="171">
        <v>15296.84</v>
      </c>
      <c r="D946" s="172">
        <v>229942.98</v>
      </c>
      <c r="E946" s="144">
        <f t="shared" si="18"/>
        <v>245239.82</v>
      </c>
      <c r="F946" t="s">
        <v>241</v>
      </c>
    </row>
    <row r="947" spans="1:6" hidden="1" outlineLevel="1">
      <c r="A947" s="1110" t="s">
        <v>242</v>
      </c>
      <c r="B947" s="170">
        <v>0</v>
      </c>
      <c r="C947" s="171">
        <v>5985.3</v>
      </c>
      <c r="D947" s="172">
        <v>227088.22999999998</v>
      </c>
      <c r="E947" s="144">
        <f t="shared" si="18"/>
        <v>233073.52999999997</v>
      </c>
      <c r="F947" t="s">
        <v>243</v>
      </c>
    </row>
    <row r="948" spans="1:6" hidden="1" outlineLevel="1">
      <c r="A948" s="1110" t="s">
        <v>244</v>
      </c>
      <c r="B948" s="170">
        <v>0</v>
      </c>
      <c r="C948" s="171">
        <v>1573.11</v>
      </c>
      <c r="D948" s="172">
        <v>56893.18</v>
      </c>
      <c r="E948" s="144">
        <f t="shared" si="18"/>
        <v>58466.29</v>
      </c>
      <c r="F948" t="s">
        <v>245</v>
      </c>
    </row>
    <row r="949" spans="1:6" hidden="1" outlineLevel="1">
      <c r="A949" s="1110" t="s">
        <v>246</v>
      </c>
      <c r="B949" s="170">
        <v>0</v>
      </c>
      <c r="C949" s="171">
        <v>0</v>
      </c>
      <c r="D949" s="172">
        <v>12706.720000000001</v>
      </c>
      <c r="E949" s="144">
        <f t="shared" si="18"/>
        <v>12706.720000000001</v>
      </c>
      <c r="F949" t="s">
        <v>247</v>
      </c>
    </row>
    <row r="950" spans="1:6" hidden="1" outlineLevel="1">
      <c r="A950" s="1110" t="s">
        <v>248</v>
      </c>
      <c r="B950" s="170">
        <v>0</v>
      </c>
      <c r="C950" s="171">
        <v>2148.46</v>
      </c>
      <c r="D950" s="172">
        <v>6705040.6999999993</v>
      </c>
      <c r="E950" s="144">
        <f t="shared" si="18"/>
        <v>6707189.1599999992</v>
      </c>
      <c r="F950" t="s">
        <v>249</v>
      </c>
    </row>
    <row r="951" spans="1:6" hidden="1" outlineLevel="1">
      <c r="A951" s="1110" t="s">
        <v>250</v>
      </c>
      <c r="B951" s="170">
        <v>0</v>
      </c>
      <c r="C951" s="171">
        <v>312802.58999999997</v>
      </c>
      <c r="D951" s="172">
        <v>3222028.5299999993</v>
      </c>
      <c r="E951" s="144">
        <f t="shared" si="18"/>
        <v>3534831.1199999992</v>
      </c>
      <c r="F951" t="s">
        <v>251</v>
      </c>
    </row>
    <row r="952" spans="1:6" hidden="1" outlineLevel="1">
      <c r="A952" s="1110" t="s">
        <v>252</v>
      </c>
      <c r="B952" s="170">
        <v>0</v>
      </c>
      <c r="C952" s="171">
        <v>31424.940000000002</v>
      </c>
      <c r="D952" s="172">
        <v>14808836.879999997</v>
      </c>
      <c r="E952" s="144">
        <f t="shared" si="18"/>
        <v>14840261.819999997</v>
      </c>
      <c r="F952" t="s">
        <v>253</v>
      </c>
    </row>
    <row r="953" spans="1:6" hidden="1" outlineLevel="1">
      <c r="A953" s="1110" t="s">
        <v>254</v>
      </c>
      <c r="B953" s="170">
        <v>0</v>
      </c>
      <c r="C953" s="171">
        <v>0</v>
      </c>
      <c r="D953" s="172">
        <v>845890.03999999992</v>
      </c>
      <c r="E953" s="144">
        <f t="shared" si="18"/>
        <v>845890.03999999992</v>
      </c>
      <c r="F953" t="s">
        <v>255</v>
      </c>
    </row>
    <row r="954" spans="1:6" hidden="1" outlineLevel="1">
      <c r="A954" s="1110" t="s">
        <v>256</v>
      </c>
      <c r="B954" s="170">
        <v>0</v>
      </c>
      <c r="C954" s="171">
        <v>3500.1099999999997</v>
      </c>
      <c r="D954" s="172">
        <v>897272.80999999982</v>
      </c>
      <c r="E954" s="144">
        <f t="shared" si="18"/>
        <v>900772.91999999981</v>
      </c>
      <c r="F954" t="s">
        <v>257</v>
      </c>
    </row>
    <row r="955" spans="1:6" hidden="1" outlineLevel="1">
      <c r="A955" s="1110" t="s">
        <v>258</v>
      </c>
      <c r="B955" s="170">
        <v>0</v>
      </c>
      <c r="C955" s="171">
        <v>1158.17</v>
      </c>
      <c r="D955" s="172">
        <v>56278.080000000002</v>
      </c>
      <c r="E955" s="144">
        <f t="shared" si="18"/>
        <v>57436.25</v>
      </c>
      <c r="F955" t="s">
        <v>259</v>
      </c>
    </row>
    <row r="956" spans="1:6" hidden="1" outlineLevel="1">
      <c r="A956" s="1110" t="s">
        <v>260</v>
      </c>
      <c r="B956" s="170">
        <v>0</v>
      </c>
      <c r="C956" s="171">
        <v>12412.33</v>
      </c>
      <c r="D956" s="172">
        <v>10815.32</v>
      </c>
      <c r="E956" s="144">
        <f t="shared" si="18"/>
        <v>23227.65</v>
      </c>
      <c r="F956" t="s">
        <v>261</v>
      </c>
    </row>
    <row r="957" spans="1:6" hidden="1" outlineLevel="1">
      <c r="A957" s="1110" t="s">
        <v>262</v>
      </c>
      <c r="B957" s="170">
        <v>0</v>
      </c>
      <c r="C957" s="171">
        <v>9600.75</v>
      </c>
      <c r="D957" s="172">
        <v>589717.92000000004</v>
      </c>
      <c r="E957" s="144">
        <f t="shared" si="18"/>
        <v>599318.67000000004</v>
      </c>
      <c r="F957" t="s">
        <v>263</v>
      </c>
    </row>
    <row r="958" spans="1:6" hidden="1" outlineLevel="1">
      <c r="A958" s="1110" t="s">
        <v>264</v>
      </c>
      <c r="B958" s="170">
        <v>0</v>
      </c>
      <c r="C958" s="171">
        <v>6149.75</v>
      </c>
      <c r="D958" s="172">
        <v>43101.72</v>
      </c>
      <c r="E958" s="144">
        <f t="shared" si="18"/>
        <v>49251.47</v>
      </c>
      <c r="F958" t="s">
        <v>265</v>
      </c>
    </row>
    <row r="959" spans="1:6" hidden="1" outlineLevel="1">
      <c r="A959" s="1110" t="s">
        <v>266</v>
      </c>
      <c r="B959" s="170">
        <v>0</v>
      </c>
      <c r="C959" s="171">
        <v>11444.720000000001</v>
      </c>
      <c r="D959" s="172">
        <v>6283891.1100000003</v>
      </c>
      <c r="E959" s="144">
        <f t="shared" si="18"/>
        <v>6295335.8300000001</v>
      </c>
      <c r="F959" t="s">
        <v>267</v>
      </c>
    </row>
    <row r="960" spans="1:6" hidden="1" outlineLevel="1">
      <c r="A960" s="1110" t="s">
        <v>268</v>
      </c>
      <c r="B960" s="170">
        <v>0</v>
      </c>
      <c r="C960" s="171">
        <v>3810.21</v>
      </c>
      <c r="D960" s="172">
        <v>1745298.9499999995</v>
      </c>
      <c r="E960" s="144">
        <f t="shared" si="18"/>
        <v>1749109.1599999995</v>
      </c>
      <c r="F960" t="s">
        <v>269</v>
      </c>
    </row>
    <row r="961" spans="1:6" hidden="1" outlineLevel="1">
      <c r="A961" s="1110" t="s">
        <v>270</v>
      </c>
      <c r="B961" s="170">
        <v>0</v>
      </c>
      <c r="C961" s="171">
        <v>749.12</v>
      </c>
      <c r="D961" s="172">
        <v>34409.68</v>
      </c>
      <c r="E961" s="144">
        <f t="shared" si="18"/>
        <v>35158.800000000003</v>
      </c>
      <c r="F961" t="s">
        <v>271</v>
      </c>
    </row>
    <row r="962" spans="1:6" hidden="1" outlineLevel="1">
      <c r="A962" s="1110" t="s">
        <v>272</v>
      </c>
      <c r="B962" s="170">
        <v>0</v>
      </c>
      <c r="C962" s="171">
        <v>1089.0899999999999</v>
      </c>
      <c r="D962" s="172">
        <v>26030.91</v>
      </c>
      <c r="E962" s="144">
        <f t="shared" si="18"/>
        <v>27120</v>
      </c>
      <c r="F962" t="s">
        <v>273</v>
      </c>
    </row>
    <row r="963" spans="1:6" hidden="1" outlineLevel="1">
      <c r="A963" s="1110" t="s">
        <v>274</v>
      </c>
      <c r="B963" s="170">
        <v>0</v>
      </c>
      <c r="C963" s="171">
        <v>8444.6299999999992</v>
      </c>
      <c r="D963" s="172">
        <v>397456.84000000008</v>
      </c>
      <c r="E963" s="144">
        <f t="shared" si="18"/>
        <v>405901.47000000009</v>
      </c>
      <c r="F963" t="s">
        <v>275</v>
      </c>
    </row>
    <row r="964" spans="1:6" hidden="1" outlineLevel="1">
      <c r="A964" s="1110" t="s">
        <v>276</v>
      </c>
      <c r="B964" s="170">
        <v>0</v>
      </c>
      <c r="C964" s="171">
        <v>34877.040000000001</v>
      </c>
      <c r="D964" s="172">
        <v>225364.51000000004</v>
      </c>
      <c r="E964" s="144">
        <f t="shared" si="18"/>
        <v>260241.55000000005</v>
      </c>
      <c r="F964" t="s">
        <v>277</v>
      </c>
    </row>
    <row r="965" spans="1:6" hidden="1" outlineLevel="1">
      <c r="A965" s="1110" t="s">
        <v>278</v>
      </c>
      <c r="B965" s="170">
        <v>0</v>
      </c>
      <c r="C965" s="171">
        <v>76879.819999999978</v>
      </c>
      <c r="D965" s="172">
        <v>150878.56</v>
      </c>
      <c r="E965" s="144">
        <f t="shared" si="18"/>
        <v>227758.37999999998</v>
      </c>
      <c r="F965" t="s">
        <v>279</v>
      </c>
    </row>
    <row r="966" spans="1:6" hidden="1" outlineLevel="1">
      <c r="A966" s="1110" t="s">
        <v>280</v>
      </c>
      <c r="B966" s="170">
        <v>0</v>
      </c>
      <c r="C966" s="171">
        <v>51273.87</v>
      </c>
      <c r="D966" s="172">
        <v>60301.909999999996</v>
      </c>
      <c r="E966" s="144">
        <f t="shared" si="18"/>
        <v>111575.78</v>
      </c>
      <c r="F966" t="s">
        <v>281</v>
      </c>
    </row>
    <row r="967" spans="1:6" hidden="1" outlineLevel="1">
      <c r="A967" s="1110" t="s">
        <v>282</v>
      </c>
      <c r="B967" s="170">
        <v>0</v>
      </c>
      <c r="C967" s="171">
        <v>159.69999999999999</v>
      </c>
      <c r="D967" s="172">
        <v>103129.22</v>
      </c>
      <c r="E967" s="144">
        <f t="shared" si="18"/>
        <v>103288.92</v>
      </c>
      <c r="F967" t="s">
        <v>283</v>
      </c>
    </row>
    <row r="968" spans="1:6" hidden="1" outlineLevel="1">
      <c r="A968" s="1110" t="s">
        <v>284</v>
      </c>
      <c r="B968" s="170">
        <v>0</v>
      </c>
      <c r="C968" s="171">
        <v>52651.47</v>
      </c>
      <c r="D968" s="172">
        <v>358111.97</v>
      </c>
      <c r="E968" s="144">
        <f t="shared" si="18"/>
        <v>410763.43999999994</v>
      </c>
      <c r="F968" t="s">
        <v>285</v>
      </c>
    </row>
    <row r="969" spans="1:6" hidden="1" outlineLevel="1">
      <c r="A969" s="1110" t="s">
        <v>286</v>
      </c>
      <c r="B969" s="170">
        <v>0</v>
      </c>
      <c r="C969" s="171">
        <v>0</v>
      </c>
      <c r="D969" s="172">
        <v>0</v>
      </c>
      <c r="E969" s="144">
        <f t="shared" si="18"/>
        <v>0</v>
      </c>
      <c r="F969" t="s">
        <v>287</v>
      </c>
    </row>
    <row r="970" spans="1:6" hidden="1" outlineLevel="1">
      <c r="A970" s="1110" t="s">
        <v>288</v>
      </c>
      <c r="B970" s="170">
        <v>0</v>
      </c>
      <c r="C970" s="171">
        <v>28696.03</v>
      </c>
      <c r="D970" s="172">
        <v>639032.37</v>
      </c>
      <c r="E970" s="144">
        <f t="shared" si="18"/>
        <v>667728.4</v>
      </c>
      <c r="F970" t="s">
        <v>289</v>
      </c>
    </row>
    <row r="971" spans="1:6" hidden="1" outlineLevel="1">
      <c r="A971" s="1110" t="s">
        <v>290</v>
      </c>
      <c r="B971" s="170">
        <v>0</v>
      </c>
      <c r="C971" s="171">
        <v>0</v>
      </c>
      <c r="D971" s="172">
        <v>22420.080000000002</v>
      </c>
      <c r="E971" s="144">
        <f t="shared" si="18"/>
        <v>22420.080000000002</v>
      </c>
      <c r="F971" t="s">
        <v>291</v>
      </c>
    </row>
    <row r="972" spans="1:6" hidden="1" outlineLevel="1">
      <c r="A972" s="1110" t="s">
        <v>292</v>
      </c>
      <c r="B972" s="170">
        <v>0</v>
      </c>
      <c r="C972" s="171">
        <v>3260.44</v>
      </c>
      <c r="D972" s="172">
        <v>6628</v>
      </c>
      <c r="E972" s="144">
        <f t="shared" si="18"/>
        <v>9888.44</v>
      </c>
      <c r="F972" t="s">
        <v>293</v>
      </c>
    </row>
    <row r="973" spans="1:6" hidden="1" outlineLevel="1">
      <c r="A973" s="1110" t="s">
        <v>294</v>
      </c>
      <c r="B973" s="170">
        <v>0</v>
      </c>
      <c r="C973" s="171">
        <v>1478.23</v>
      </c>
      <c r="D973" s="172">
        <v>14440.920000000002</v>
      </c>
      <c r="E973" s="144">
        <f t="shared" si="18"/>
        <v>15919.150000000001</v>
      </c>
      <c r="F973" t="s">
        <v>295</v>
      </c>
    </row>
    <row r="974" spans="1:6" hidden="1" outlineLevel="1">
      <c r="A974" s="1110" t="s">
        <v>296</v>
      </c>
      <c r="B974" s="170">
        <v>0</v>
      </c>
      <c r="C974" s="171">
        <v>3240.2800000000007</v>
      </c>
      <c r="D974" s="172">
        <v>363656.56999999995</v>
      </c>
      <c r="E974" s="144">
        <f t="shared" si="18"/>
        <v>366896.85</v>
      </c>
      <c r="F974" t="s">
        <v>297</v>
      </c>
    </row>
    <row r="975" spans="1:6" hidden="1" outlineLevel="1">
      <c r="A975" s="1110" t="s">
        <v>298</v>
      </c>
      <c r="B975" s="170">
        <v>0</v>
      </c>
      <c r="C975" s="171">
        <v>506.59</v>
      </c>
      <c r="D975" s="172">
        <v>17509.919999999998</v>
      </c>
      <c r="E975" s="144">
        <f t="shared" si="18"/>
        <v>18016.509999999998</v>
      </c>
      <c r="F975" t="s">
        <v>299</v>
      </c>
    </row>
    <row r="976" spans="1:6" hidden="1" outlineLevel="1">
      <c r="A976" s="1110" t="s">
        <v>300</v>
      </c>
      <c r="B976" s="170">
        <v>0</v>
      </c>
      <c r="C976" s="171">
        <v>29916.559999999998</v>
      </c>
      <c r="D976" s="172">
        <v>353310.91999999993</v>
      </c>
      <c r="E976" s="144">
        <f t="shared" si="18"/>
        <v>383227.47999999992</v>
      </c>
      <c r="F976" t="s">
        <v>301</v>
      </c>
    </row>
    <row r="977" spans="1:6" hidden="1" outlineLevel="1">
      <c r="A977" s="1110" t="s">
        <v>302</v>
      </c>
      <c r="B977" s="170">
        <v>0</v>
      </c>
      <c r="C977" s="171">
        <v>0</v>
      </c>
      <c r="D977" s="172">
        <v>101208.00000000001</v>
      </c>
      <c r="E977" s="144">
        <f t="shared" si="18"/>
        <v>101208.00000000001</v>
      </c>
      <c r="F977" t="s">
        <v>303</v>
      </c>
    </row>
    <row r="978" spans="1:6" hidden="1" outlineLevel="1">
      <c r="A978" s="1110" t="s">
        <v>304</v>
      </c>
      <c r="B978" s="170">
        <v>0</v>
      </c>
      <c r="C978" s="171">
        <v>7908.2300000000005</v>
      </c>
      <c r="D978" s="172">
        <v>616847.26</v>
      </c>
      <c r="E978" s="144">
        <f t="shared" si="18"/>
        <v>624755.49</v>
      </c>
      <c r="F978" t="s">
        <v>305</v>
      </c>
    </row>
    <row r="979" spans="1:6" hidden="1" outlineLevel="1">
      <c r="A979" s="1110" t="s">
        <v>306</v>
      </c>
      <c r="B979" s="170">
        <v>0</v>
      </c>
      <c r="C979" s="171">
        <v>0</v>
      </c>
      <c r="D979" s="172">
        <v>0</v>
      </c>
      <c r="E979" s="144">
        <f t="shared" si="18"/>
        <v>0</v>
      </c>
      <c r="F979" t="s">
        <v>307</v>
      </c>
    </row>
    <row r="980" spans="1:6" hidden="1" outlineLevel="1">
      <c r="A980" s="1110" t="s">
        <v>308</v>
      </c>
      <c r="B980" s="170">
        <v>0</v>
      </c>
      <c r="C980" s="171">
        <v>7017.21</v>
      </c>
      <c r="D980" s="172">
        <v>5555.8399999999992</v>
      </c>
      <c r="E980" s="144">
        <f t="shared" si="18"/>
        <v>12573.05</v>
      </c>
      <c r="F980" t="s">
        <v>309</v>
      </c>
    </row>
    <row r="981" spans="1:6" hidden="1" outlineLevel="1">
      <c r="A981" s="1110" t="s">
        <v>310</v>
      </c>
      <c r="B981" s="170">
        <v>1219407.8399999999</v>
      </c>
      <c r="C981" s="171">
        <v>437794.79</v>
      </c>
      <c r="D981" s="172">
        <v>2865302.9600000009</v>
      </c>
      <c r="E981" s="144">
        <f t="shared" si="18"/>
        <v>4522505.5900000008</v>
      </c>
      <c r="F981" t="s">
        <v>311</v>
      </c>
    </row>
    <row r="982" spans="1:6" hidden="1" outlineLevel="1">
      <c r="A982" s="1110" t="s">
        <v>312</v>
      </c>
      <c r="B982" s="170">
        <v>0</v>
      </c>
      <c r="C982" s="171">
        <v>125483.34000000001</v>
      </c>
      <c r="D982" s="172">
        <v>2030236.13</v>
      </c>
      <c r="E982" s="144">
        <f t="shared" si="18"/>
        <v>2155719.4699999997</v>
      </c>
      <c r="F982" t="s">
        <v>313</v>
      </c>
    </row>
    <row r="983" spans="1:6" hidden="1" outlineLevel="1">
      <c r="A983" s="1110" t="s">
        <v>314</v>
      </c>
      <c r="B983" s="170">
        <v>0</v>
      </c>
      <c r="C983" s="171">
        <v>7691.8799999999992</v>
      </c>
      <c r="D983" s="172">
        <v>66684.92</v>
      </c>
      <c r="E983" s="144">
        <f t="shared" si="18"/>
        <v>74376.800000000003</v>
      </c>
      <c r="F983" t="s">
        <v>315</v>
      </c>
    </row>
    <row r="984" spans="1:6" hidden="1" outlineLevel="1">
      <c r="A984" s="1110" t="s">
        <v>316</v>
      </c>
      <c r="B984" s="170">
        <v>0</v>
      </c>
      <c r="C984" s="171">
        <v>228117.76000000015</v>
      </c>
      <c r="D984" s="172">
        <v>2095643.9699999988</v>
      </c>
      <c r="E984" s="144">
        <f t="shared" si="18"/>
        <v>2323761.7299999991</v>
      </c>
      <c r="F984" t="s">
        <v>317</v>
      </c>
    </row>
    <row r="985" spans="1:6" hidden="1" outlineLevel="1">
      <c r="A985" s="1110" t="s">
        <v>318</v>
      </c>
      <c r="B985" s="170">
        <v>0</v>
      </c>
      <c r="C985" s="171">
        <v>5350.49</v>
      </c>
      <c r="D985" s="172">
        <v>98243.12</v>
      </c>
      <c r="E985" s="144">
        <f t="shared" si="18"/>
        <v>103593.61</v>
      </c>
      <c r="F985" t="s">
        <v>319</v>
      </c>
    </row>
    <row r="986" spans="1:6" hidden="1" outlineLevel="1">
      <c r="A986" s="1110" t="s">
        <v>320</v>
      </c>
      <c r="B986" s="170">
        <v>0</v>
      </c>
      <c r="C986" s="171">
        <v>2650.09</v>
      </c>
      <c r="D986" s="172">
        <v>451538.8</v>
      </c>
      <c r="E986" s="144">
        <f t="shared" si="18"/>
        <v>454188.89</v>
      </c>
      <c r="F986" t="s">
        <v>321</v>
      </c>
    </row>
    <row r="987" spans="1:6" hidden="1" outlineLevel="1">
      <c r="A987" s="1110" t="s">
        <v>322</v>
      </c>
      <c r="B987" s="170">
        <v>0</v>
      </c>
      <c r="C987" s="171">
        <v>666.94</v>
      </c>
      <c r="D987" s="172">
        <v>13295.29</v>
      </c>
      <c r="E987" s="144">
        <f t="shared" si="18"/>
        <v>13962.230000000001</v>
      </c>
      <c r="F987" t="s">
        <v>323</v>
      </c>
    </row>
    <row r="988" spans="1:6" hidden="1" outlineLevel="1">
      <c r="A988" s="1110" t="s">
        <v>324</v>
      </c>
      <c r="B988" s="170">
        <v>0</v>
      </c>
      <c r="C988" s="171">
        <v>0</v>
      </c>
      <c r="D988" s="172">
        <v>0</v>
      </c>
      <c r="E988" s="144">
        <f t="shared" si="18"/>
        <v>0</v>
      </c>
      <c r="F988" t="s">
        <v>325</v>
      </c>
    </row>
    <row r="989" spans="1:6" hidden="1" outlineLevel="1">
      <c r="A989" s="1110" t="s">
        <v>326</v>
      </c>
      <c r="B989" s="170">
        <v>0</v>
      </c>
      <c r="C989" s="171">
        <v>29687.049999999996</v>
      </c>
      <c r="D989" s="172">
        <v>23416.239999999994</v>
      </c>
      <c r="E989" s="144">
        <f t="shared" si="18"/>
        <v>53103.289999999994</v>
      </c>
      <c r="F989" t="s">
        <v>327</v>
      </c>
    </row>
    <row r="990" spans="1:6" hidden="1" outlineLevel="1">
      <c r="A990" s="1110" t="s">
        <v>328</v>
      </c>
      <c r="B990" s="170">
        <v>0</v>
      </c>
      <c r="C990" s="171">
        <v>3646.5</v>
      </c>
      <c r="D990" s="172">
        <v>47923.27</v>
      </c>
      <c r="E990" s="144">
        <f t="shared" si="18"/>
        <v>51569.77</v>
      </c>
      <c r="F990" t="s">
        <v>329</v>
      </c>
    </row>
    <row r="991" spans="1:6" hidden="1" outlineLevel="1">
      <c r="A991" s="1110" t="s">
        <v>330</v>
      </c>
      <c r="B991" s="170">
        <v>0</v>
      </c>
      <c r="C991" s="171">
        <v>1241.32</v>
      </c>
      <c r="D991" s="172">
        <v>47639.56</v>
      </c>
      <c r="E991" s="144">
        <f t="shared" si="18"/>
        <v>48880.88</v>
      </c>
      <c r="F991" t="s">
        <v>331</v>
      </c>
    </row>
    <row r="992" spans="1:6" hidden="1" outlineLevel="1">
      <c r="A992" s="1110" t="s">
        <v>332</v>
      </c>
      <c r="B992" s="170">
        <v>0</v>
      </c>
      <c r="C992" s="171">
        <v>0</v>
      </c>
      <c r="D992" s="172">
        <v>62304</v>
      </c>
      <c r="E992" s="144">
        <f t="shared" si="18"/>
        <v>62304</v>
      </c>
      <c r="F992" t="s">
        <v>333</v>
      </c>
    </row>
    <row r="993" spans="1:6" hidden="1" outlineLevel="1">
      <c r="A993" s="1110" t="s">
        <v>334</v>
      </c>
      <c r="B993" s="170">
        <v>0</v>
      </c>
      <c r="C993" s="171">
        <v>0</v>
      </c>
      <c r="D993" s="172">
        <v>0</v>
      </c>
      <c r="E993" s="144">
        <f t="shared" si="18"/>
        <v>0</v>
      </c>
      <c r="F993" t="s">
        <v>335</v>
      </c>
    </row>
    <row r="994" spans="1:6" hidden="1" outlineLevel="1">
      <c r="A994" s="1110" t="s">
        <v>336</v>
      </c>
      <c r="B994" s="170">
        <v>0</v>
      </c>
      <c r="C994" s="171">
        <v>20.13</v>
      </c>
      <c r="D994" s="172">
        <v>913507.15999999992</v>
      </c>
      <c r="E994" s="144">
        <f t="shared" si="18"/>
        <v>913527.28999999992</v>
      </c>
      <c r="F994" t="s">
        <v>337</v>
      </c>
    </row>
    <row r="995" spans="1:6" hidden="1" outlineLevel="1">
      <c r="A995" s="1110" t="s">
        <v>338</v>
      </c>
      <c r="B995" s="170">
        <v>0</v>
      </c>
      <c r="C995" s="171">
        <v>0</v>
      </c>
      <c r="D995" s="172">
        <v>12800</v>
      </c>
      <c r="E995" s="144">
        <f t="shared" si="18"/>
        <v>12800</v>
      </c>
      <c r="F995" t="s">
        <v>339</v>
      </c>
    </row>
    <row r="996" spans="1:6" hidden="1" outlineLevel="1">
      <c r="A996" s="1110" t="s">
        <v>340</v>
      </c>
      <c r="B996" s="170">
        <v>0</v>
      </c>
      <c r="C996" s="171">
        <v>6099.5</v>
      </c>
      <c r="D996" s="172">
        <v>58489.48</v>
      </c>
      <c r="E996" s="144">
        <f t="shared" si="18"/>
        <v>64588.98</v>
      </c>
      <c r="F996" t="s">
        <v>341</v>
      </c>
    </row>
    <row r="997" spans="1:6" hidden="1" outlineLevel="1">
      <c r="A997" s="1110" t="s">
        <v>342</v>
      </c>
      <c r="B997" s="170">
        <v>0</v>
      </c>
      <c r="C997" s="171">
        <v>9962.52</v>
      </c>
      <c r="D997" s="172">
        <v>17200.48</v>
      </c>
      <c r="E997" s="144">
        <f t="shared" si="18"/>
        <v>27163</v>
      </c>
      <c r="F997" t="s">
        <v>343</v>
      </c>
    </row>
    <row r="998" spans="1:6" hidden="1" outlineLevel="1">
      <c r="A998" s="1110" t="s">
        <v>344</v>
      </c>
      <c r="B998" s="170">
        <v>0</v>
      </c>
      <c r="C998" s="171">
        <v>134.43</v>
      </c>
      <c r="D998" s="172">
        <v>476647.91</v>
      </c>
      <c r="E998" s="144">
        <f t="shared" si="18"/>
        <v>476782.33999999997</v>
      </c>
      <c r="F998" t="s">
        <v>345</v>
      </c>
    </row>
    <row r="999" spans="1:6" hidden="1" outlineLevel="1">
      <c r="A999" s="1110" t="s">
        <v>346</v>
      </c>
      <c r="B999" s="170">
        <v>0</v>
      </c>
      <c r="C999" s="171">
        <v>38869.89</v>
      </c>
      <c r="D999" s="172">
        <v>6265.8399999999992</v>
      </c>
      <c r="E999" s="144">
        <f t="shared" si="18"/>
        <v>45135.729999999996</v>
      </c>
      <c r="F999" t="s">
        <v>347</v>
      </c>
    </row>
    <row r="1000" spans="1:6" hidden="1" outlineLevel="1">
      <c r="A1000" s="1110" t="s">
        <v>348</v>
      </c>
      <c r="B1000" s="170">
        <v>0</v>
      </c>
      <c r="C1000" s="171">
        <v>0</v>
      </c>
      <c r="D1000" s="172">
        <v>297929.61</v>
      </c>
      <c r="E1000" s="144">
        <f t="shared" si="18"/>
        <v>297929.61</v>
      </c>
      <c r="F1000" t="s">
        <v>349</v>
      </c>
    </row>
    <row r="1001" spans="1:6" hidden="1" outlineLevel="1">
      <c r="A1001" s="1110" t="s">
        <v>350</v>
      </c>
      <c r="B1001" s="170">
        <v>0</v>
      </c>
      <c r="C1001" s="171">
        <v>1350.39</v>
      </c>
      <c r="D1001" s="172">
        <v>32663.960000000003</v>
      </c>
      <c r="E1001" s="144">
        <f t="shared" si="18"/>
        <v>34014.350000000006</v>
      </c>
      <c r="F1001" t="s">
        <v>351</v>
      </c>
    </row>
    <row r="1002" spans="1:6" hidden="1" outlineLevel="1">
      <c r="A1002" s="1110" t="s">
        <v>352</v>
      </c>
      <c r="B1002" s="170">
        <v>14370.619999999999</v>
      </c>
      <c r="C1002" s="171">
        <v>1235650.2399999993</v>
      </c>
      <c r="D1002" s="172">
        <v>62379784.709999993</v>
      </c>
      <c r="E1002" s="144">
        <f t="shared" si="18"/>
        <v>63629805.569999993</v>
      </c>
      <c r="F1002" t="s">
        <v>353</v>
      </c>
    </row>
    <row r="1003" spans="1:6" hidden="1" outlineLevel="1">
      <c r="A1003" s="1110" t="s">
        <v>354</v>
      </c>
      <c r="B1003" s="170">
        <v>0</v>
      </c>
      <c r="C1003" s="171">
        <v>502.7</v>
      </c>
      <c r="D1003" s="172">
        <v>145348.01</v>
      </c>
      <c r="E1003" s="144">
        <f t="shared" si="18"/>
        <v>145850.71000000002</v>
      </c>
      <c r="F1003" t="s">
        <v>355</v>
      </c>
    </row>
    <row r="1004" spans="1:6" hidden="1" outlineLevel="1">
      <c r="A1004" s="1110" t="s">
        <v>356</v>
      </c>
      <c r="B1004" s="170">
        <v>0</v>
      </c>
      <c r="C1004" s="171">
        <v>0</v>
      </c>
      <c r="D1004" s="172">
        <v>0</v>
      </c>
      <c r="E1004" s="144">
        <f t="shared" si="18"/>
        <v>0</v>
      </c>
      <c r="F1004" t="s">
        <v>357</v>
      </c>
    </row>
    <row r="1005" spans="1:6" hidden="1" outlineLevel="1">
      <c r="A1005" s="1110" t="s">
        <v>358</v>
      </c>
      <c r="B1005" s="170">
        <v>0</v>
      </c>
      <c r="C1005" s="171">
        <v>157131.34</v>
      </c>
      <c r="D1005" s="172">
        <v>13220097.179999998</v>
      </c>
      <c r="E1005" s="144">
        <f t="shared" si="18"/>
        <v>13377228.519999998</v>
      </c>
      <c r="F1005" t="s">
        <v>359</v>
      </c>
    </row>
    <row r="1006" spans="1:6" hidden="1" outlineLevel="1">
      <c r="A1006" s="1110" t="s">
        <v>360</v>
      </c>
      <c r="B1006" s="170">
        <v>0</v>
      </c>
      <c r="C1006" s="171">
        <v>0</v>
      </c>
      <c r="D1006" s="172">
        <v>30676.05</v>
      </c>
      <c r="E1006" s="144">
        <f t="shared" si="18"/>
        <v>30676.05</v>
      </c>
      <c r="F1006" t="s">
        <v>361</v>
      </c>
    </row>
    <row r="1007" spans="1:6" hidden="1" outlineLevel="1">
      <c r="A1007" s="1110" t="s">
        <v>362</v>
      </c>
      <c r="B1007" s="170">
        <v>0</v>
      </c>
      <c r="C1007" s="171">
        <v>5348.92</v>
      </c>
      <c r="D1007" s="172">
        <v>28838.52</v>
      </c>
      <c r="E1007" s="144">
        <f t="shared" si="18"/>
        <v>34187.440000000002</v>
      </c>
      <c r="F1007" t="s">
        <v>363</v>
      </c>
    </row>
    <row r="1008" spans="1:6" hidden="1" outlineLevel="1">
      <c r="A1008" s="1110" t="s">
        <v>364</v>
      </c>
      <c r="B1008" s="170">
        <v>0</v>
      </c>
      <c r="C1008" s="171">
        <v>0</v>
      </c>
      <c r="D1008" s="172">
        <v>0</v>
      </c>
      <c r="E1008" s="144">
        <f t="shared" si="18"/>
        <v>0</v>
      </c>
      <c r="F1008" t="s">
        <v>365</v>
      </c>
    </row>
    <row r="1009" spans="1:6" hidden="1" outlineLevel="1">
      <c r="A1009" s="1110" t="s">
        <v>366</v>
      </c>
      <c r="B1009" s="170">
        <v>0</v>
      </c>
      <c r="C1009" s="171">
        <v>22182.240000000002</v>
      </c>
      <c r="D1009" s="172">
        <v>457410.87000000011</v>
      </c>
      <c r="E1009" s="144">
        <f t="shared" si="18"/>
        <v>479593.1100000001</v>
      </c>
      <c r="F1009" t="s">
        <v>367</v>
      </c>
    </row>
    <row r="1010" spans="1:6" hidden="1" outlineLevel="1">
      <c r="A1010" s="1110" t="s">
        <v>368</v>
      </c>
      <c r="B1010" s="170">
        <v>0</v>
      </c>
      <c r="C1010" s="171">
        <v>0</v>
      </c>
      <c r="D1010" s="172">
        <v>4518419.08</v>
      </c>
      <c r="E1010" s="144">
        <f t="shared" si="18"/>
        <v>4518419.08</v>
      </c>
      <c r="F1010" t="s">
        <v>369</v>
      </c>
    </row>
    <row r="1011" spans="1:6" hidden="1" outlineLevel="1">
      <c r="A1011" s="1110" t="s">
        <v>370</v>
      </c>
      <c r="B1011" s="170">
        <v>0</v>
      </c>
      <c r="C1011" s="171">
        <v>86484.890000000014</v>
      </c>
      <c r="D1011" s="172">
        <v>12706097.990000002</v>
      </c>
      <c r="E1011" s="144">
        <f t="shared" si="18"/>
        <v>12792582.880000003</v>
      </c>
      <c r="F1011" t="s">
        <v>371</v>
      </c>
    </row>
    <row r="1012" spans="1:6" hidden="1" outlineLevel="1">
      <c r="A1012" s="1110" t="s">
        <v>372</v>
      </c>
      <c r="B1012" s="170">
        <v>0</v>
      </c>
      <c r="C1012" s="171">
        <v>2078.85</v>
      </c>
      <c r="D1012" s="172">
        <v>3831.04</v>
      </c>
      <c r="E1012" s="144">
        <f t="shared" si="18"/>
        <v>5909.8899999999994</v>
      </c>
      <c r="F1012" t="s">
        <v>373</v>
      </c>
    </row>
    <row r="1013" spans="1:6" hidden="1" outlineLevel="1">
      <c r="A1013" s="1110" t="s">
        <v>374</v>
      </c>
      <c r="B1013" s="170">
        <v>0</v>
      </c>
      <c r="C1013" s="171">
        <v>0</v>
      </c>
      <c r="D1013" s="172">
        <v>90036.66</v>
      </c>
      <c r="E1013" s="144">
        <f t="shared" si="18"/>
        <v>90036.66</v>
      </c>
      <c r="F1013" t="s">
        <v>375</v>
      </c>
    </row>
    <row r="1014" spans="1:6" hidden="1" outlineLevel="1">
      <c r="A1014" s="1110" t="s">
        <v>376</v>
      </c>
      <c r="B1014" s="170">
        <v>0</v>
      </c>
      <c r="C1014" s="171">
        <v>29086.53</v>
      </c>
      <c r="D1014" s="172">
        <v>18571.16</v>
      </c>
      <c r="E1014" s="144">
        <f t="shared" si="18"/>
        <v>47657.69</v>
      </c>
      <c r="F1014" t="s">
        <v>377</v>
      </c>
    </row>
    <row r="1015" spans="1:6" hidden="1" outlineLevel="1">
      <c r="A1015" s="1110" t="s">
        <v>378</v>
      </c>
      <c r="B1015" s="170">
        <v>0</v>
      </c>
      <c r="C1015" s="171">
        <v>862.5200000000001</v>
      </c>
      <c r="D1015" s="172">
        <v>368716.52999999997</v>
      </c>
      <c r="E1015" s="144">
        <f t="shared" si="18"/>
        <v>369579.05</v>
      </c>
      <c r="F1015" t="s">
        <v>379</v>
      </c>
    </row>
    <row r="1016" spans="1:6" hidden="1" outlineLevel="1">
      <c r="A1016" s="1110" t="s">
        <v>380</v>
      </c>
      <c r="B1016" s="170">
        <v>0</v>
      </c>
      <c r="C1016" s="171">
        <v>0</v>
      </c>
      <c r="D1016" s="172">
        <v>14728.64</v>
      </c>
      <c r="E1016" s="144">
        <f t="shared" si="18"/>
        <v>14728.64</v>
      </c>
      <c r="F1016" t="s">
        <v>381</v>
      </c>
    </row>
    <row r="1017" spans="1:6" hidden="1" outlineLevel="1">
      <c r="A1017" s="1110" t="s">
        <v>382</v>
      </c>
      <c r="B1017" s="170">
        <v>0</v>
      </c>
      <c r="C1017" s="171">
        <v>1720.05</v>
      </c>
      <c r="D1017" s="172">
        <v>553301.64999999991</v>
      </c>
      <c r="E1017" s="144">
        <f t="shared" si="18"/>
        <v>555021.69999999995</v>
      </c>
      <c r="F1017" t="s">
        <v>383</v>
      </c>
    </row>
    <row r="1018" spans="1:6" hidden="1" outlineLevel="1">
      <c r="A1018" s="1110" t="s">
        <v>384</v>
      </c>
      <c r="B1018" s="170">
        <v>0</v>
      </c>
      <c r="C1018" s="171">
        <v>2454.9499999999998</v>
      </c>
      <c r="D1018" s="172">
        <v>7556.6</v>
      </c>
      <c r="E1018" s="144">
        <f t="shared" si="18"/>
        <v>10011.549999999999</v>
      </c>
      <c r="F1018" t="s">
        <v>385</v>
      </c>
    </row>
    <row r="1019" spans="1:6" hidden="1" outlineLevel="1">
      <c r="A1019" s="1110" t="s">
        <v>386</v>
      </c>
      <c r="B1019" s="170">
        <v>0</v>
      </c>
      <c r="C1019" s="171">
        <v>33108.949999999997</v>
      </c>
      <c r="D1019" s="172">
        <v>28838.839999999997</v>
      </c>
      <c r="E1019" s="144">
        <f t="shared" si="18"/>
        <v>61947.789999999994</v>
      </c>
      <c r="F1019" t="s">
        <v>387</v>
      </c>
    </row>
    <row r="1020" spans="1:6" hidden="1" outlineLevel="1">
      <c r="A1020" s="1110" t="s">
        <v>388</v>
      </c>
      <c r="B1020" s="170">
        <v>0</v>
      </c>
      <c r="C1020" s="171">
        <v>141427.28</v>
      </c>
      <c r="D1020" s="172">
        <v>805562.49999999977</v>
      </c>
      <c r="E1020" s="144">
        <f t="shared" si="18"/>
        <v>946989.7799999998</v>
      </c>
      <c r="F1020" t="s">
        <v>389</v>
      </c>
    </row>
    <row r="1021" spans="1:6" hidden="1" outlineLevel="1">
      <c r="A1021" s="1110" t="s">
        <v>390</v>
      </c>
      <c r="B1021" s="170">
        <v>0</v>
      </c>
      <c r="C1021" s="171">
        <v>39971.189999999995</v>
      </c>
      <c r="D1021" s="172">
        <v>67124.189999999988</v>
      </c>
      <c r="E1021" s="144">
        <f t="shared" si="18"/>
        <v>107095.37999999998</v>
      </c>
      <c r="F1021" t="s">
        <v>391</v>
      </c>
    </row>
    <row r="1022" spans="1:6" hidden="1" outlineLevel="1">
      <c r="A1022" s="1110" t="s">
        <v>392</v>
      </c>
      <c r="B1022" s="170">
        <v>0</v>
      </c>
      <c r="C1022" s="171">
        <v>0</v>
      </c>
      <c r="D1022" s="172">
        <v>22041.190000000002</v>
      </c>
      <c r="E1022" s="144">
        <f t="shared" si="18"/>
        <v>22041.190000000002</v>
      </c>
      <c r="F1022" t="s">
        <v>393</v>
      </c>
    </row>
    <row r="1023" spans="1:6" hidden="1" outlineLevel="1">
      <c r="A1023" s="1110" t="s">
        <v>394</v>
      </c>
      <c r="B1023" s="170">
        <v>0</v>
      </c>
      <c r="C1023" s="171">
        <v>26288.499999999996</v>
      </c>
      <c r="D1023" s="172">
        <v>26334.600000000006</v>
      </c>
      <c r="E1023" s="144">
        <f t="shared" si="18"/>
        <v>52623.100000000006</v>
      </c>
      <c r="F1023" t="s">
        <v>395</v>
      </c>
    </row>
    <row r="1024" spans="1:6" hidden="1" outlineLevel="1">
      <c r="A1024" s="1110" t="s">
        <v>396</v>
      </c>
      <c r="B1024" s="170">
        <v>0</v>
      </c>
      <c r="C1024" s="171">
        <v>0</v>
      </c>
      <c r="D1024" s="172">
        <v>28379.399999999994</v>
      </c>
      <c r="E1024" s="144">
        <f t="shared" si="18"/>
        <v>28379.399999999994</v>
      </c>
      <c r="F1024" t="s">
        <v>397</v>
      </c>
    </row>
    <row r="1025" spans="1:6" hidden="1" outlineLevel="1">
      <c r="A1025" s="1110" t="s">
        <v>398</v>
      </c>
      <c r="B1025" s="170">
        <v>0</v>
      </c>
      <c r="C1025" s="171">
        <v>0</v>
      </c>
      <c r="D1025" s="172">
        <v>62958.06</v>
      </c>
      <c r="E1025" s="144">
        <f t="shared" si="18"/>
        <v>62958.06</v>
      </c>
      <c r="F1025" t="s">
        <v>399</v>
      </c>
    </row>
    <row r="1026" spans="1:6" hidden="1" outlineLevel="1">
      <c r="A1026" s="1110" t="s">
        <v>400</v>
      </c>
      <c r="B1026" s="170">
        <v>0</v>
      </c>
      <c r="C1026" s="171">
        <v>10499.08</v>
      </c>
      <c r="D1026" s="172">
        <v>79351.199999999997</v>
      </c>
      <c r="E1026" s="144">
        <f t="shared" si="18"/>
        <v>89850.28</v>
      </c>
      <c r="F1026" t="s">
        <v>401</v>
      </c>
    </row>
    <row r="1027" spans="1:6" hidden="1" outlineLevel="1">
      <c r="A1027" s="1110" t="s">
        <v>402</v>
      </c>
      <c r="B1027" s="170">
        <v>0</v>
      </c>
      <c r="C1027" s="171">
        <v>0</v>
      </c>
      <c r="D1027" s="172">
        <v>0</v>
      </c>
      <c r="E1027" s="144">
        <f t="shared" si="18"/>
        <v>0</v>
      </c>
      <c r="F1027" t="s">
        <v>403</v>
      </c>
    </row>
    <row r="1028" spans="1:6" collapsed="1">
      <c r="A1028" s="1110" t="str">
        <f>A168</f>
        <v>Regelzone Amprion (gesamt)</v>
      </c>
      <c r="B1028" s="173">
        <f>SUM(B1029:B1264)</f>
        <v>972576.07</v>
      </c>
      <c r="C1028" s="174">
        <f>SUM(C1029:C1264)</f>
        <v>16462549.210000006</v>
      </c>
      <c r="D1028" s="174">
        <f>SUM(D1029:D1264)</f>
        <v>235692735.95000011</v>
      </c>
      <c r="E1028" s="144">
        <f t="shared" si="18"/>
        <v>253127861.23000011</v>
      </c>
    </row>
    <row r="1029" spans="1:6" hidden="1" outlineLevel="1">
      <c r="A1029" s="1110" t="s">
        <v>405</v>
      </c>
      <c r="B1029" s="170">
        <v>0</v>
      </c>
      <c r="C1029" s="171">
        <v>258.38</v>
      </c>
      <c r="D1029" s="172">
        <v>50324.959999999999</v>
      </c>
      <c r="E1029" s="144">
        <f>SUM(B1029:D1029)</f>
        <v>50583.34</v>
      </c>
      <c r="F1029" s="125" t="s">
        <v>406</v>
      </c>
    </row>
    <row r="1030" spans="1:6" hidden="1" outlineLevel="1">
      <c r="A1030" s="1110" t="s">
        <v>86</v>
      </c>
      <c r="B1030" s="170">
        <v>0</v>
      </c>
      <c r="C1030" s="171">
        <v>0</v>
      </c>
      <c r="D1030" s="172">
        <v>152863.07</v>
      </c>
      <c r="E1030" s="144">
        <f t="shared" ref="E1030:E1093" si="19">SUM(B1030:D1030)</f>
        <v>152863.07</v>
      </c>
      <c r="F1030" s="125" t="s">
        <v>87</v>
      </c>
    </row>
    <row r="1031" spans="1:6" hidden="1" outlineLevel="1">
      <c r="A1031" s="1110" t="s">
        <v>407</v>
      </c>
      <c r="B1031" s="170">
        <v>0</v>
      </c>
      <c r="C1031" s="171">
        <v>78155.56</v>
      </c>
      <c r="D1031" s="172">
        <v>63663.040000000001</v>
      </c>
      <c r="E1031" s="144">
        <f t="shared" si="19"/>
        <v>141818.6</v>
      </c>
      <c r="F1031" s="125" t="s">
        <v>408</v>
      </c>
    </row>
    <row r="1032" spans="1:6" hidden="1" outlineLevel="1">
      <c r="A1032" s="1110" t="s">
        <v>409</v>
      </c>
      <c r="B1032" s="170">
        <v>0</v>
      </c>
      <c r="C1032" s="171">
        <v>46760.17</v>
      </c>
      <c r="D1032" s="172">
        <v>199182.88</v>
      </c>
      <c r="E1032" s="144">
        <f t="shared" si="19"/>
        <v>245943.05</v>
      </c>
      <c r="F1032" s="125" t="s">
        <v>410</v>
      </c>
    </row>
    <row r="1033" spans="1:6" hidden="1" outlineLevel="1">
      <c r="A1033" s="1110" t="s">
        <v>411</v>
      </c>
      <c r="B1033" s="170">
        <v>0</v>
      </c>
      <c r="C1033" s="171">
        <v>326872.92</v>
      </c>
      <c r="D1033" s="172">
        <v>546258.34</v>
      </c>
      <c r="E1033" s="144">
        <f t="shared" si="19"/>
        <v>873131.26</v>
      </c>
      <c r="F1033" s="125" t="s">
        <v>412</v>
      </c>
    </row>
    <row r="1034" spans="1:6" hidden="1" outlineLevel="1">
      <c r="A1034" s="1110" t="s">
        <v>413</v>
      </c>
      <c r="B1034" s="170">
        <v>0</v>
      </c>
      <c r="C1034" s="171">
        <v>61901.83</v>
      </c>
      <c r="D1034" s="172">
        <v>463329.43</v>
      </c>
      <c r="E1034" s="144">
        <f t="shared" si="19"/>
        <v>525231.26</v>
      </c>
      <c r="F1034" s="125" t="s">
        <v>414</v>
      </c>
    </row>
    <row r="1035" spans="1:6" hidden="1" outlineLevel="1">
      <c r="A1035" s="1110" t="s">
        <v>415</v>
      </c>
      <c r="B1035" s="170">
        <v>0</v>
      </c>
      <c r="C1035" s="171">
        <v>17633.84</v>
      </c>
      <c r="D1035" s="172">
        <v>173382.81</v>
      </c>
      <c r="E1035" s="144">
        <f t="shared" si="19"/>
        <v>191016.65</v>
      </c>
      <c r="F1035" s="125" t="s">
        <v>416</v>
      </c>
    </row>
    <row r="1036" spans="1:6" hidden="1" outlineLevel="1">
      <c r="A1036" s="1110" t="s">
        <v>417</v>
      </c>
      <c r="B1036" s="170">
        <v>0</v>
      </c>
      <c r="C1036" s="171">
        <v>125192.51</v>
      </c>
      <c r="D1036" s="172">
        <v>4199659.6500000004</v>
      </c>
      <c r="E1036" s="144">
        <f t="shared" si="19"/>
        <v>4324852.16</v>
      </c>
      <c r="F1036" s="125" t="s">
        <v>418</v>
      </c>
    </row>
    <row r="1037" spans="1:6" hidden="1" outlineLevel="1">
      <c r="A1037" s="1110" t="s">
        <v>419</v>
      </c>
      <c r="B1037" s="170">
        <v>11733.16</v>
      </c>
      <c r="C1037" s="171">
        <v>435548.02</v>
      </c>
      <c r="D1037" s="172">
        <v>3711089.81</v>
      </c>
      <c r="E1037" s="144">
        <f t="shared" si="19"/>
        <v>4158370.99</v>
      </c>
      <c r="F1037" s="125" t="s">
        <v>420</v>
      </c>
    </row>
    <row r="1038" spans="1:6" hidden="1" outlineLevel="1">
      <c r="A1038" s="1110" t="s">
        <v>421</v>
      </c>
      <c r="B1038" s="170">
        <v>0</v>
      </c>
      <c r="C1038" s="171">
        <v>21569.73</v>
      </c>
      <c r="D1038" s="172">
        <v>22511.759999999998</v>
      </c>
      <c r="E1038" s="144">
        <f t="shared" si="19"/>
        <v>44081.49</v>
      </c>
      <c r="F1038" s="125" t="s">
        <v>422</v>
      </c>
    </row>
    <row r="1039" spans="1:6" hidden="1" outlineLevel="1">
      <c r="A1039" s="1110" t="s">
        <v>423</v>
      </c>
      <c r="B1039" s="170">
        <v>0</v>
      </c>
      <c r="C1039" s="171">
        <v>6340.84</v>
      </c>
      <c r="D1039" s="172">
        <v>311825.40000000002</v>
      </c>
      <c r="E1039" s="144">
        <f t="shared" si="19"/>
        <v>318166.24000000005</v>
      </c>
      <c r="F1039" s="125" t="s">
        <v>424</v>
      </c>
    </row>
    <row r="1040" spans="1:6" hidden="1" outlineLevel="1">
      <c r="A1040" s="1110" t="s">
        <v>425</v>
      </c>
      <c r="B1040" s="170">
        <v>0</v>
      </c>
      <c r="C1040" s="171">
        <v>235789.75</v>
      </c>
      <c r="D1040" s="172">
        <v>323997.64</v>
      </c>
      <c r="E1040" s="144">
        <f t="shared" si="19"/>
        <v>559787.39</v>
      </c>
      <c r="F1040" s="125" t="s">
        <v>426</v>
      </c>
    </row>
    <row r="1041" spans="1:6" hidden="1" outlineLevel="1">
      <c r="A1041" s="1110" t="s">
        <v>427</v>
      </c>
      <c r="B1041" s="170">
        <v>0</v>
      </c>
      <c r="C1041" s="171">
        <v>13227.91</v>
      </c>
      <c r="D1041" s="172">
        <v>79960.740000000005</v>
      </c>
      <c r="E1041" s="144">
        <f t="shared" si="19"/>
        <v>93188.650000000009</v>
      </c>
      <c r="F1041" s="125" t="s">
        <v>428</v>
      </c>
    </row>
    <row r="1042" spans="1:6" hidden="1" outlineLevel="1">
      <c r="A1042" s="1110" t="s">
        <v>429</v>
      </c>
      <c r="B1042" s="170">
        <v>0</v>
      </c>
      <c r="C1042" s="171">
        <v>0</v>
      </c>
      <c r="D1042" s="172">
        <v>48800.49</v>
      </c>
      <c r="E1042" s="144">
        <f t="shared" si="19"/>
        <v>48800.49</v>
      </c>
      <c r="F1042" s="125" t="s">
        <v>430</v>
      </c>
    </row>
    <row r="1043" spans="1:6" hidden="1" outlineLevel="1">
      <c r="A1043" s="1110" t="s">
        <v>431</v>
      </c>
      <c r="B1043" s="170">
        <v>8.74</v>
      </c>
      <c r="C1043" s="171">
        <v>115.56</v>
      </c>
      <c r="D1043" s="172">
        <v>1736.88</v>
      </c>
      <c r="E1043" s="144">
        <f t="shared" si="19"/>
        <v>1861.18</v>
      </c>
      <c r="F1043" s="125" t="s">
        <v>432</v>
      </c>
    </row>
    <row r="1044" spans="1:6" hidden="1" outlineLevel="1">
      <c r="A1044" s="1110" t="s">
        <v>433</v>
      </c>
      <c r="B1044" s="170">
        <v>0</v>
      </c>
      <c r="C1044" s="171">
        <v>14519.25</v>
      </c>
      <c r="D1044" s="172">
        <v>920365.32</v>
      </c>
      <c r="E1044" s="144">
        <f t="shared" si="19"/>
        <v>934884.57</v>
      </c>
      <c r="F1044" s="125" t="s">
        <v>434</v>
      </c>
    </row>
    <row r="1045" spans="1:6" hidden="1" outlineLevel="1">
      <c r="A1045" s="1110" t="s">
        <v>435</v>
      </c>
      <c r="B1045" s="170">
        <v>0</v>
      </c>
      <c r="C1045" s="171">
        <v>7493.23</v>
      </c>
      <c r="D1045" s="172">
        <v>132558.32</v>
      </c>
      <c r="E1045" s="144">
        <f t="shared" si="19"/>
        <v>140051.55000000002</v>
      </c>
      <c r="F1045" s="125" t="s">
        <v>436</v>
      </c>
    </row>
    <row r="1046" spans="1:6" hidden="1" outlineLevel="1">
      <c r="A1046" s="1110" t="s">
        <v>437</v>
      </c>
      <c r="B1046" s="170">
        <v>0</v>
      </c>
      <c r="C1046" s="171">
        <v>46486.71</v>
      </c>
      <c r="D1046" s="172">
        <v>193975.15</v>
      </c>
      <c r="E1046" s="144">
        <f t="shared" si="19"/>
        <v>240461.86</v>
      </c>
      <c r="F1046" s="125" t="s">
        <v>438</v>
      </c>
    </row>
    <row r="1047" spans="1:6" hidden="1" outlineLevel="1">
      <c r="A1047" s="1110" t="s">
        <v>439</v>
      </c>
      <c r="B1047" s="170">
        <v>0</v>
      </c>
      <c r="C1047" s="171">
        <v>0</v>
      </c>
      <c r="D1047" s="172">
        <v>1800</v>
      </c>
      <c r="E1047" s="144">
        <f t="shared" si="19"/>
        <v>1800</v>
      </c>
      <c r="F1047" s="125" t="s">
        <v>440</v>
      </c>
    </row>
    <row r="1048" spans="1:6" hidden="1" outlineLevel="1">
      <c r="A1048" s="1110" t="s">
        <v>441</v>
      </c>
      <c r="B1048" s="170">
        <v>2493.5</v>
      </c>
      <c r="C1048" s="171">
        <v>101411.69</v>
      </c>
      <c r="D1048" s="172">
        <v>5021172.92</v>
      </c>
      <c r="E1048" s="144">
        <f t="shared" si="19"/>
        <v>5125078.1100000003</v>
      </c>
      <c r="F1048" s="125" t="s">
        <v>442</v>
      </c>
    </row>
    <row r="1049" spans="1:6" hidden="1" outlineLevel="1">
      <c r="A1049" s="1110" t="s">
        <v>443</v>
      </c>
      <c r="B1049" s="170">
        <v>0</v>
      </c>
      <c r="C1049" s="171">
        <v>17449.849999999999</v>
      </c>
      <c r="D1049" s="172">
        <v>2698.2</v>
      </c>
      <c r="E1049" s="144">
        <f t="shared" si="19"/>
        <v>20148.05</v>
      </c>
      <c r="F1049" s="125" t="s">
        <v>444</v>
      </c>
    </row>
    <row r="1050" spans="1:6" hidden="1" outlineLevel="1">
      <c r="A1050" s="1110" t="s">
        <v>445</v>
      </c>
      <c r="B1050" s="170">
        <v>0</v>
      </c>
      <c r="C1050" s="171">
        <v>55112.31</v>
      </c>
      <c r="D1050" s="172">
        <v>63541.66</v>
      </c>
      <c r="E1050" s="144">
        <f t="shared" si="19"/>
        <v>118653.97</v>
      </c>
      <c r="F1050" s="125" t="s">
        <v>446</v>
      </c>
    </row>
    <row r="1051" spans="1:6" hidden="1" outlineLevel="1">
      <c r="A1051" s="1110" t="s">
        <v>447</v>
      </c>
      <c r="B1051" s="170">
        <v>0</v>
      </c>
      <c r="C1051" s="171">
        <v>4787.6899999999996</v>
      </c>
      <c r="D1051" s="172">
        <v>28142.400000000001</v>
      </c>
      <c r="E1051" s="144">
        <f t="shared" si="19"/>
        <v>32930.090000000004</v>
      </c>
      <c r="F1051" s="125" t="s">
        <v>448</v>
      </c>
    </row>
    <row r="1052" spans="1:6" hidden="1" outlineLevel="1">
      <c r="A1052" s="1110" t="s">
        <v>449</v>
      </c>
      <c r="B1052" s="170">
        <v>0</v>
      </c>
      <c r="C1052" s="171">
        <v>486538.7</v>
      </c>
      <c r="D1052" s="172">
        <v>33191183.66</v>
      </c>
      <c r="E1052" s="144">
        <f t="shared" si="19"/>
        <v>33677722.359999999</v>
      </c>
      <c r="F1052" s="125" t="s">
        <v>450</v>
      </c>
    </row>
    <row r="1053" spans="1:6" hidden="1" outlineLevel="1">
      <c r="A1053" s="1110" t="s">
        <v>451</v>
      </c>
      <c r="B1053" s="170">
        <v>0</v>
      </c>
      <c r="C1053" s="171">
        <v>1526.97</v>
      </c>
      <c r="D1053" s="172">
        <v>75996.28</v>
      </c>
      <c r="E1053" s="144">
        <f t="shared" si="19"/>
        <v>77523.25</v>
      </c>
      <c r="F1053" s="125" t="s">
        <v>452</v>
      </c>
    </row>
    <row r="1054" spans="1:6" hidden="1" outlineLevel="1">
      <c r="A1054" s="1110" t="s">
        <v>453</v>
      </c>
      <c r="B1054" s="170">
        <v>0</v>
      </c>
      <c r="C1054" s="171">
        <v>50422.34</v>
      </c>
      <c r="D1054" s="172">
        <v>114857.65</v>
      </c>
      <c r="E1054" s="144">
        <f t="shared" si="19"/>
        <v>165279.99</v>
      </c>
      <c r="F1054" s="125" t="s">
        <v>454</v>
      </c>
    </row>
    <row r="1055" spans="1:6" hidden="1" outlineLevel="1">
      <c r="A1055" s="1110" t="s">
        <v>455</v>
      </c>
      <c r="B1055" s="170">
        <v>0</v>
      </c>
      <c r="C1055" s="171">
        <v>228.95</v>
      </c>
      <c r="D1055" s="172">
        <v>159880.29</v>
      </c>
      <c r="E1055" s="144">
        <f t="shared" si="19"/>
        <v>160109.24000000002</v>
      </c>
      <c r="F1055" s="125" t="s">
        <v>456</v>
      </c>
    </row>
    <row r="1056" spans="1:6" hidden="1" outlineLevel="1">
      <c r="A1056" s="1110" t="s">
        <v>457</v>
      </c>
      <c r="B1056" s="170">
        <v>0</v>
      </c>
      <c r="C1056" s="171">
        <v>0</v>
      </c>
      <c r="D1056" s="172">
        <v>0</v>
      </c>
      <c r="E1056" s="144">
        <f t="shared" si="19"/>
        <v>0</v>
      </c>
      <c r="F1056" s="125" t="s">
        <v>458</v>
      </c>
    </row>
    <row r="1057" spans="1:6" hidden="1" outlineLevel="1">
      <c r="A1057" s="1110" t="s">
        <v>459</v>
      </c>
      <c r="B1057" s="170">
        <v>0</v>
      </c>
      <c r="C1057" s="171">
        <v>18380.689999999999</v>
      </c>
      <c r="D1057" s="172">
        <v>119240.73</v>
      </c>
      <c r="E1057" s="144">
        <f t="shared" si="19"/>
        <v>137621.41999999998</v>
      </c>
      <c r="F1057" s="125" t="s">
        <v>460</v>
      </c>
    </row>
    <row r="1058" spans="1:6" hidden="1" outlineLevel="1">
      <c r="A1058" s="1110" t="s">
        <v>461</v>
      </c>
      <c r="B1058" s="170">
        <v>0</v>
      </c>
      <c r="C1058" s="171">
        <v>20636.18</v>
      </c>
      <c r="D1058" s="172">
        <v>15712.72</v>
      </c>
      <c r="E1058" s="144">
        <f t="shared" si="19"/>
        <v>36348.9</v>
      </c>
      <c r="F1058" s="125" t="s">
        <v>462</v>
      </c>
    </row>
    <row r="1059" spans="1:6" hidden="1" outlineLevel="1">
      <c r="A1059" s="1110" t="s">
        <v>463</v>
      </c>
      <c r="B1059" s="170">
        <v>0</v>
      </c>
      <c r="C1059" s="171">
        <v>76314.92</v>
      </c>
      <c r="D1059" s="172">
        <v>352519.5</v>
      </c>
      <c r="E1059" s="144">
        <f t="shared" si="19"/>
        <v>428834.42</v>
      </c>
      <c r="F1059" s="125" t="s">
        <v>464</v>
      </c>
    </row>
    <row r="1060" spans="1:6" hidden="1" outlineLevel="1">
      <c r="A1060" s="1110" t="s">
        <v>465</v>
      </c>
      <c r="B1060" s="170">
        <v>0</v>
      </c>
      <c r="C1060" s="171">
        <v>0</v>
      </c>
      <c r="D1060" s="172">
        <v>458.32</v>
      </c>
      <c r="E1060" s="144">
        <f t="shared" si="19"/>
        <v>458.32</v>
      </c>
      <c r="F1060" s="125" t="s">
        <v>466</v>
      </c>
    </row>
    <row r="1061" spans="1:6" hidden="1" outlineLevel="1">
      <c r="A1061" s="1110" t="s">
        <v>467</v>
      </c>
      <c r="B1061" s="170">
        <v>0</v>
      </c>
      <c r="C1061" s="171">
        <v>42638.28</v>
      </c>
      <c r="D1061" s="172">
        <v>11720.84</v>
      </c>
      <c r="E1061" s="144">
        <f t="shared" si="19"/>
        <v>54359.119999999995</v>
      </c>
      <c r="F1061" s="125" t="s">
        <v>468</v>
      </c>
    </row>
    <row r="1062" spans="1:6" hidden="1" outlineLevel="1">
      <c r="A1062" s="1110" t="s">
        <v>469</v>
      </c>
      <c r="B1062" s="170">
        <v>32462.06</v>
      </c>
      <c r="C1062" s="171">
        <v>1853908.67</v>
      </c>
      <c r="D1062" s="172">
        <v>7982379.6399999997</v>
      </c>
      <c r="E1062" s="144">
        <f t="shared" si="19"/>
        <v>9868750.3699999992</v>
      </c>
      <c r="F1062" s="125" t="s">
        <v>470</v>
      </c>
    </row>
    <row r="1063" spans="1:6" hidden="1" outlineLevel="1">
      <c r="A1063" s="1110" t="s">
        <v>471</v>
      </c>
      <c r="B1063" s="170">
        <v>0</v>
      </c>
      <c r="C1063" s="171">
        <v>5466.64</v>
      </c>
      <c r="D1063" s="172">
        <v>134553.44</v>
      </c>
      <c r="E1063" s="144">
        <f t="shared" si="19"/>
        <v>140020.08000000002</v>
      </c>
      <c r="F1063" s="125" t="s">
        <v>472</v>
      </c>
    </row>
    <row r="1064" spans="1:6" hidden="1" outlineLevel="1">
      <c r="A1064" s="1110" t="s">
        <v>473</v>
      </c>
      <c r="B1064" s="170">
        <v>0</v>
      </c>
      <c r="C1064" s="171">
        <v>0</v>
      </c>
      <c r="D1064" s="172">
        <v>84219.199999999997</v>
      </c>
      <c r="E1064" s="144">
        <f t="shared" si="19"/>
        <v>84219.199999999997</v>
      </c>
      <c r="F1064" s="125" t="s">
        <v>474</v>
      </c>
    </row>
    <row r="1065" spans="1:6" hidden="1" outlineLevel="1">
      <c r="A1065" s="1110" t="s">
        <v>475</v>
      </c>
      <c r="B1065" s="170">
        <v>0</v>
      </c>
      <c r="C1065" s="171">
        <v>4955.3500000000004</v>
      </c>
      <c r="D1065" s="172">
        <v>11396.04</v>
      </c>
      <c r="E1065" s="144">
        <f t="shared" si="19"/>
        <v>16351.390000000001</v>
      </c>
      <c r="F1065" s="125" t="s">
        <v>476</v>
      </c>
    </row>
    <row r="1066" spans="1:6" hidden="1" outlineLevel="1">
      <c r="A1066" s="1110" t="s">
        <v>477</v>
      </c>
      <c r="B1066" s="170">
        <v>0</v>
      </c>
      <c r="C1066" s="171">
        <v>2088637.62</v>
      </c>
      <c r="D1066" s="172">
        <v>1912749.43</v>
      </c>
      <c r="E1066" s="144">
        <f t="shared" si="19"/>
        <v>4001387.05</v>
      </c>
      <c r="F1066" s="125" t="s">
        <v>478</v>
      </c>
    </row>
    <row r="1067" spans="1:6" hidden="1" outlineLevel="1">
      <c r="A1067" s="1110" t="s">
        <v>479</v>
      </c>
      <c r="B1067" s="170">
        <v>0</v>
      </c>
      <c r="C1067" s="171">
        <v>4714.38</v>
      </c>
      <c r="D1067" s="172">
        <v>75391.679999999993</v>
      </c>
      <c r="E1067" s="144">
        <f t="shared" si="19"/>
        <v>80106.06</v>
      </c>
      <c r="F1067" s="125" t="s">
        <v>480</v>
      </c>
    </row>
    <row r="1068" spans="1:6" hidden="1" outlineLevel="1">
      <c r="A1068" s="1110" t="s">
        <v>481</v>
      </c>
      <c r="B1068" s="170">
        <v>0</v>
      </c>
      <c r="C1068" s="171">
        <v>54809.1</v>
      </c>
      <c r="D1068" s="172">
        <v>332295.46000000002</v>
      </c>
      <c r="E1068" s="144">
        <f t="shared" si="19"/>
        <v>387104.56</v>
      </c>
      <c r="F1068" s="125" t="s">
        <v>482</v>
      </c>
    </row>
    <row r="1069" spans="1:6" hidden="1" outlineLevel="1">
      <c r="A1069" s="1110" t="s">
        <v>483</v>
      </c>
      <c r="B1069" s="170">
        <v>0</v>
      </c>
      <c r="C1069" s="171">
        <v>218077.55</v>
      </c>
      <c r="D1069" s="172">
        <v>39933501.350000001</v>
      </c>
      <c r="E1069" s="144">
        <f t="shared" si="19"/>
        <v>40151578.899999999</v>
      </c>
      <c r="F1069" s="125" t="s">
        <v>484</v>
      </c>
    </row>
    <row r="1070" spans="1:6" hidden="1" outlineLevel="1">
      <c r="A1070" s="1110" t="s">
        <v>485</v>
      </c>
      <c r="B1070" s="170">
        <v>0</v>
      </c>
      <c r="C1070" s="171">
        <v>32246.81</v>
      </c>
      <c r="D1070" s="172">
        <v>115226.08</v>
      </c>
      <c r="E1070" s="144">
        <f t="shared" si="19"/>
        <v>147472.89000000001</v>
      </c>
      <c r="F1070" s="125" t="s">
        <v>486</v>
      </c>
    </row>
    <row r="1071" spans="1:6" hidden="1" outlineLevel="1">
      <c r="A1071" s="1110" t="s">
        <v>487</v>
      </c>
      <c r="B1071" s="170">
        <v>0</v>
      </c>
      <c r="C1071" s="171">
        <v>0</v>
      </c>
      <c r="D1071" s="172">
        <v>4134.3999999999996</v>
      </c>
      <c r="E1071" s="144">
        <f t="shared" si="19"/>
        <v>4134.3999999999996</v>
      </c>
      <c r="F1071" s="125" t="s">
        <v>488</v>
      </c>
    </row>
    <row r="1072" spans="1:6" hidden="1" outlineLevel="1">
      <c r="A1072" s="1110" t="s">
        <v>489</v>
      </c>
      <c r="B1072" s="170">
        <v>0</v>
      </c>
      <c r="C1072" s="171">
        <v>152172.64000000001</v>
      </c>
      <c r="D1072" s="172">
        <v>234616.55</v>
      </c>
      <c r="E1072" s="144">
        <f t="shared" si="19"/>
        <v>386789.19</v>
      </c>
      <c r="F1072" s="125" t="s">
        <v>490</v>
      </c>
    </row>
    <row r="1073" spans="1:6" hidden="1" outlineLevel="1">
      <c r="A1073" s="1110" t="s">
        <v>491</v>
      </c>
      <c r="B1073" s="170">
        <v>0</v>
      </c>
      <c r="C1073" s="171">
        <v>1434.08</v>
      </c>
      <c r="D1073" s="172">
        <v>57911.64</v>
      </c>
      <c r="E1073" s="144">
        <f t="shared" si="19"/>
        <v>59345.72</v>
      </c>
      <c r="F1073" s="125" t="s">
        <v>492</v>
      </c>
    </row>
    <row r="1074" spans="1:6" hidden="1" outlineLevel="1">
      <c r="A1074" s="1110" t="s">
        <v>493</v>
      </c>
      <c r="B1074" s="170">
        <v>0</v>
      </c>
      <c r="C1074" s="171">
        <v>15596.6</v>
      </c>
      <c r="D1074" s="172">
        <v>484995.15</v>
      </c>
      <c r="E1074" s="144">
        <f t="shared" si="19"/>
        <v>500591.75</v>
      </c>
      <c r="F1074" s="125" t="s">
        <v>494</v>
      </c>
    </row>
    <row r="1075" spans="1:6" hidden="1" outlineLevel="1">
      <c r="A1075" s="1110" t="s">
        <v>495</v>
      </c>
      <c r="B1075" s="170">
        <v>0</v>
      </c>
      <c r="C1075" s="171">
        <v>505742.39</v>
      </c>
      <c r="D1075" s="172">
        <v>226880.75</v>
      </c>
      <c r="E1075" s="144">
        <f t="shared" si="19"/>
        <v>732623.14</v>
      </c>
      <c r="F1075" s="125" t="s">
        <v>496</v>
      </c>
    </row>
    <row r="1076" spans="1:6" hidden="1" outlineLevel="1">
      <c r="A1076" s="1110" t="s">
        <v>497</v>
      </c>
      <c r="B1076" s="170">
        <v>0</v>
      </c>
      <c r="C1076" s="171">
        <v>5457.95</v>
      </c>
      <c r="D1076" s="172">
        <v>10747.44</v>
      </c>
      <c r="E1076" s="144">
        <f t="shared" si="19"/>
        <v>16205.39</v>
      </c>
      <c r="F1076" s="125" t="s">
        <v>498</v>
      </c>
    </row>
    <row r="1077" spans="1:6" hidden="1" outlineLevel="1">
      <c r="A1077" s="1110" t="s">
        <v>499</v>
      </c>
      <c r="B1077" s="170">
        <v>0</v>
      </c>
      <c r="C1077" s="171">
        <v>0</v>
      </c>
      <c r="D1077" s="172">
        <v>0</v>
      </c>
      <c r="E1077" s="144">
        <f t="shared" si="19"/>
        <v>0</v>
      </c>
      <c r="F1077" s="125" t="s">
        <v>500</v>
      </c>
    </row>
    <row r="1078" spans="1:6" hidden="1" outlineLevel="1">
      <c r="A1078" s="1110" t="s">
        <v>501</v>
      </c>
      <c r="B1078" s="170">
        <v>0</v>
      </c>
      <c r="C1078" s="171">
        <v>10675.71</v>
      </c>
      <c r="D1078" s="172">
        <v>108303.53</v>
      </c>
      <c r="E1078" s="144">
        <f t="shared" si="19"/>
        <v>118979.23999999999</v>
      </c>
      <c r="F1078" s="125" t="s">
        <v>502</v>
      </c>
    </row>
    <row r="1079" spans="1:6" hidden="1" outlineLevel="1">
      <c r="A1079" s="1110" t="s">
        <v>503</v>
      </c>
      <c r="B1079" s="170">
        <v>0</v>
      </c>
      <c r="C1079" s="171">
        <v>50302.63</v>
      </c>
      <c r="D1079" s="172">
        <v>143282.07999999999</v>
      </c>
      <c r="E1079" s="144">
        <f t="shared" si="19"/>
        <v>193584.71</v>
      </c>
      <c r="F1079" s="125" t="s">
        <v>504</v>
      </c>
    </row>
    <row r="1080" spans="1:6" hidden="1" outlineLevel="1">
      <c r="A1080" s="1110" t="s">
        <v>505</v>
      </c>
      <c r="B1080" s="170">
        <v>0</v>
      </c>
      <c r="C1080" s="171">
        <v>13178.49</v>
      </c>
      <c r="D1080" s="172">
        <v>76448.2</v>
      </c>
      <c r="E1080" s="144">
        <f t="shared" si="19"/>
        <v>89626.69</v>
      </c>
      <c r="F1080" s="125" t="s">
        <v>506</v>
      </c>
    </row>
    <row r="1081" spans="1:6" hidden="1" outlineLevel="1">
      <c r="A1081" s="1110" t="s">
        <v>507</v>
      </c>
      <c r="B1081" s="170">
        <v>0</v>
      </c>
      <c r="C1081" s="171">
        <v>11353.37</v>
      </c>
      <c r="D1081" s="172">
        <v>68133.94</v>
      </c>
      <c r="E1081" s="144">
        <f t="shared" si="19"/>
        <v>79487.31</v>
      </c>
      <c r="F1081" s="125" t="s">
        <v>508</v>
      </c>
    </row>
    <row r="1082" spans="1:6" hidden="1" outlineLevel="1">
      <c r="A1082" s="1110" t="s">
        <v>509</v>
      </c>
      <c r="B1082" s="170">
        <v>0</v>
      </c>
      <c r="C1082" s="171">
        <v>32954.1</v>
      </c>
      <c r="D1082" s="172">
        <v>27854.95</v>
      </c>
      <c r="E1082" s="144">
        <f t="shared" si="19"/>
        <v>60809.05</v>
      </c>
      <c r="F1082" s="125" t="s">
        <v>510</v>
      </c>
    </row>
    <row r="1083" spans="1:6" hidden="1" outlineLevel="1">
      <c r="A1083" s="1110" t="s">
        <v>511</v>
      </c>
      <c r="B1083" s="170">
        <v>0</v>
      </c>
      <c r="C1083" s="171">
        <v>0</v>
      </c>
      <c r="D1083" s="172">
        <v>0</v>
      </c>
      <c r="E1083" s="144">
        <f t="shared" si="19"/>
        <v>0</v>
      </c>
      <c r="F1083" s="125" t="s">
        <v>512</v>
      </c>
    </row>
    <row r="1084" spans="1:6" hidden="1" outlineLevel="1">
      <c r="A1084" s="1110" t="s">
        <v>172</v>
      </c>
      <c r="B1084" s="170">
        <v>0</v>
      </c>
      <c r="C1084" s="171">
        <v>0</v>
      </c>
      <c r="D1084" s="172">
        <v>0</v>
      </c>
      <c r="E1084" s="144">
        <f t="shared" si="19"/>
        <v>0</v>
      </c>
      <c r="F1084" s="125" t="s">
        <v>173</v>
      </c>
    </row>
    <row r="1085" spans="1:6" hidden="1" outlineLevel="1">
      <c r="A1085" s="1110" t="s">
        <v>513</v>
      </c>
      <c r="B1085" s="170">
        <v>0</v>
      </c>
      <c r="C1085" s="171">
        <v>5010.04</v>
      </c>
      <c r="D1085" s="172">
        <v>49577.88</v>
      </c>
      <c r="E1085" s="144">
        <f t="shared" si="19"/>
        <v>54587.92</v>
      </c>
      <c r="F1085" s="125" t="s">
        <v>514</v>
      </c>
    </row>
    <row r="1086" spans="1:6" hidden="1" outlineLevel="1">
      <c r="A1086" s="1110" t="s">
        <v>515</v>
      </c>
      <c r="B1086" s="170">
        <v>0</v>
      </c>
      <c r="C1086" s="171">
        <v>0</v>
      </c>
      <c r="D1086" s="172">
        <v>3675.36</v>
      </c>
      <c r="E1086" s="144">
        <f t="shared" si="19"/>
        <v>3675.36</v>
      </c>
      <c r="F1086" s="125" t="s">
        <v>516</v>
      </c>
    </row>
    <row r="1087" spans="1:6" hidden="1" outlineLevel="1">
      <c r="A1087" s="1110" t="s">
        <v>517</v>
      </c>
      <c r="B1087" s="170">
        <v>0</v>
      </c>
      <c r="C1087" s="171">
        <v>9369.31</v>
      </c>
      <c r="D1087" s="172">
        <v>35869.440000000002</v>
      </c>
      <c r="E1087" s="144">
        <f t="shared" si="19"/>
        <v>45238.75</v>
      </c>
      <c r="F1087" s="125" t="s">
        <v>518</v>
      </c>
    </row>
    <row r="1088" spans="1:6" hidden="1" outlineLevel="1">
      <c r="A1088" s="1110" t="s">
        <v>519</v>
      </c>
      <c r="B1088" s="170">
        <v>0</v>
      </c>
      <c r="C1088" s="171">
        <v>27047.51</v>
      </c>
      <c r="D1088" s="172">
        <v>57744.84</v>
      </c>
      <c r="E1088" s="144">
        <f t="shared" si="19"/>
        <v>84792.349999999991</v>
      </c>
      <c r="F1088" s="125" t="s">
        <v>520</v>
      </c>
    </row>
    <row r="1089" spans="1:6" hidden="1" outlineLevel="1">
      <c r="A1089" s="1110" t="s">
        <v>521</v>
      </c>
      <c r="B1089" s="170">
        <v>0</v>
      </c>
      <c r="C1089" s="171">
        <v>21679.24</v>
      </c>
      <c r="D1089" s="172">
        <v>73216.72</v>
      </c>
      <c r="E1089" s="144">
        <f t="shared" si="19"/>
        <v>94895.96</v>
      </c>
      <c r="F1089" s="125" t="s">
        <v>522</v>
      </c>
    </row>
    <row r="1090" spans="1:6" hidden="1" outlineLevel="1">
      <c r="A1090" s="1110" t="s">
        <v>523</v>
      </c>
      <c r="B1090" s="170">
        <v>0</v>
      </c>
      <c r="C1090" s="171">
        <v>14454.44</v>
      </c>
      <c r="D1090" s="172">
        <v>19021.560000000001</v>
      </c>
      <c r="E1090" s="144">
        <f t="shared" si="19"/>
        <v>33476</v>
      </c>
      <c r="F1090" s="125" t="s">
        <v>524</v>
      </c>
    </row>
    <row r="1091" spans="1:6" hidden="1" outlineLevel="1">
      <c r="A1091" s="1110" t="s">
        <v>525</v>
      </c>
      <c r="B1091" s="170">
        <v>0</v>
      </c>
      <c r="C1091" s="171">
        <v>3595.11</v>
      </c>
      <c r="D1091" s="172">
        <v>0</v>
      </c>
      <c r="E1091" s="144">
        <f t="shared" si="19"/>
        <v>3595.11</v>
      </c>
      <c r="F1091" s="125" t="s">
        <v>526</v>
      </c>
    </row>
    <row r="1092" spans="1:6" hidden="1" outlineLevel="1">
      <c r="A1092" s="1110" t="s">
        <v>527</v>
      </c>
      <c r="B1092" s="170">
        <v>0</v>
      </c>
      <c r="C1092" s="171">
        <v>6146.14</v>
      </c>
      <c r="D1092" s="172">
        <v>113371.28</v>
      </c>
      <c r="E1092" s="144">
        <f t="shared" si="19"/>
        <v>119517.42</v>
      </c>
      <c r="F1092" s="125" t="s">
        <v>528</v>
      </c>
    </row>
    <row r="1093" spans="1:6" hidden="1" outlineLevel="1">
      <c r="A1093" s="1110" t="s">
        <v>529</v>
      </c>
      <c r="B1093" s="170">
        <v>0</v>
      </c>
      <c r="C1093" s="171">
        <v>0</v>
      </c>
      <c r="D1093" s="172">
        <v>0</v>
      </c>
      <c r="E1093" s="144">
        <f t="shared" si="19"/>
        <v>0</v>
      </c>
      <c r="F1093" s="125" t="s">
        <v>530</v>
      </c>
    </row>
    <row r="1094" spans="1:6" hidden="1" outlineLevel="1">
      <c r="A1094" s="1110" t="s">
        <v>531</v>
      </c>
      <c r="B1094" s="170">
        <v>0</v>
      </c>
      <c r="C1094" s="171">
        <v>35910.76</v>
      </c>
      <c r="D1094" s="172">
        <v>100776.92</v>
      </c>
      <c r="E1094" s="144">
        <f t="shared" ref="E1094:E1157" si="20">SUM(B1094:D1094)</f>
        <v>136687.67999999999</v>
      </c>
      <c r="F1094" s="125" t="s">
        <v>532</v>
      </c>
    </row>
    <row r="1095" spans="1:6" hidden="1" outlineLevel="1">
      <c r="A1095" s="1110" t="s">
        <v>533</v>
      </c>
      <c r="B1095" s="170">
        <v>0</v>
      </c>
      <c r="C1095" s="171">
        <v>3147.05</v>
      </c>
      <c r="D1095" s="172">
        <v>273029.09999999998</v>
      </c>
      <c r="E1095" s="144">
        <f t="shared" si="20"/>
        <v>276176.14999999997</v>
      </c>
      <c r="F1095" s="125" t="s">
        <v>534</v>
      </c>
    </row>
    <row r="1096" spans="1:6" hidden="1" outlineLevel="1">
      <c r="A1096" s="1110" t="s">
        <v>535</v>
      </c>
      <c r="B1096" s="170">
        <v>0</v>
      </c>
      <c r="C1096" s="171">
        <v>45115.45</v>
      </c>
      <c r="D1096" s="172">
        <v>64793.48</v>
      </c>
      <c r="E1096" s="144">
        <f t="shared" si="20"/>
        <v>109908.93</v>
      </c>
      <c r="F1096" s="125" t="s">
        <v>536</v>
      </c>
    </row>
    <row r="1097" spans="1:6" hidden="1" outlineLevel="1">
      <c r="A1097" s="1110" t="s">
        <v>537</v>
      </c>
      <c r="B1097" s="170">
        <v>0</v>
      </c>
      <c r="C1097" s="171">
        <v>0</v>
      </c>
      <c r="D1097" s="172">
        <v>0</v>
      </c>
      <c r="E1097" s="144">
        <f t="shared" si="20"/>
        <v>0</v>
      </c>
      <c r="F1097" s="125" t="s">
        <v>538</v>
      </c>
    </row>
    <row r="1098" spans="1:6" hidden="1" outlineLevel="1">
      <c r="A1098" s="1110" t="s">
        <v>539</v>
      </c>
      <c r="B1098" s="170">
        <v>0</v>
      </c>
      <c r="C1098" s="171">
        <v>15877.22</v>
      </c>
      <c r="D1098" s="172">
        <v>131630.93</v>
      </c>
      <c r="E1098" s="144">
        <f t="shared" si="20"/>
        <v>147508.15</v>
      </c>
      <c r="F1098" s="125" t="s">
        <v>540</v>
      </c>
    </row>
    <row r="1099" spans="1:6" hidden="1" outlineLevel="1">
      <c r="A1099" s="1110" t="s">
        <v>541</v>
      </c>
      <c r="B1099" s="170">
        <v>0</v>
      </c>
      <c r="C1099" s="171">
        <v>468115.48</v>
      </c>
      <c r="D1099" s="172">
        <v>26625202.469999999</v>
      </c>
      <c r="E1099" s="144">
        <f t="shared" si="20"/>
        <v>27093317.949999999</v>
      </c>
      <c r="F1099" s="125" t="s">
        <v>542</v>
      </c>
    </row>
    <row r="1100" spans="1:6" hidden="1" outlineLevel="1">
      <c r="A1100" s="1110" t="s">
        <v>543</v>
      </c>
      <c r="B1100" s="170">
        <v>0</v>
      </c>
      <c r="C1100" s="171">
        <v>11946.36</v>
      </c>
      <c r="D1100" s="172">
        <v>1675234.71</v>
      </c>
      <c r="E1100" s="144">
        <f t="shared" si="20"/>
        <v>1687181.07</v>
      </c>
      <c r="F1100" s="125" t="s">
        <v>544</v>
      </c>
    </row>
    <row r="1101" spans="1:6" hidden="1" outlineLevel="1">
      <c r="A1101" s="1110" t="s">
        <v>545</v>
      </c>
      <c r="B1101" s="170">
        <v>0</v>
      </c>
      <c r="C1101" s="171">
        <v>3000.98</v>
      </c>
      <c r="D1101" s="172">
        <v>10402.879999999999</v>
      </c>
      <c r="E1101" s="144">
        <f t="shared" si="20"/>
        <v>13403.859999999999</v>
      </c>
      <c r="F1101" s="125" t="s">
        <v>546</v>
      </c>
    </row>
    <row r="1102" spans="1:6" hidden="1" outlineLevel="1">
      <c r="A1102" s="1110" t="s">
        <v>547</v>
      </c>
      <c r="B1102" s="170">
        <v>0</v>
      </c>
      <c r="C1102" s="171">
        <v>9585.26</v>
      </c>
      <c r="D1102" s="172">
        <v>225731.72</v>
      </c>
      <c r="E1102" s="144">
        <f t="shared" si="20"/>
        <v>235316.98</v>
      </c>
      <c r="F1102" s="125" t="s">
        <v>548</v>
      </c>
    </row>
    <row r="1103" spans="1:6" hidden="1" outlineLevel="1">
      <c r="A1103" s="1110" t="s">
        <v>549</v>
      </c>
      <c r="B1103" s="170">
        <v>0</v>
      </c>
      <c r="C1103" s="171">
        <v>33053.480000000003</v>
      </c>
      <c r="D1103" s="172">
        <v>116070.96</v>
      </c>
      <c r="E1103" s="144">
        <f t="shared" si="20"/>
        <v>149124.44</v>
      </c>
      <c r="F1103" s="125" t="s">
        <v>550</v>
      </c>
    </row>
    <row r="1104" spans="1:6" hidden="1" outlineLevel="1">
      <c r="A1104" s="1110" t="s">
        <v>551</v>
      </c>
      <c r="B1104" s="170">
        <v>0</v>
      </c>
      <c r="C1104" s="171">
        <v>98662.399999999994</v>
      </c>
      <c r="D1104" s="172">
        <v>66566.559999999998</v>
      </c>
      <c r="E1104" s="144">
        <f t="shared" si="20"/>
        <v>165228.96</v>
      </c>
      <c r="F1104" s="125" t="s">
        <v>552</v>
      </c>
    </row>
    <row r="1105" spans="1:6" hidden="1" outlineLevel="1">
      <c r="A1105" s="1110" t="s">
        <v>553</v>
      </c>
      <c r="B1105" s="170">
        <v>0</v>
      </c>
      <c r="C1105" s="171">
        <v>22020.49</v>
      </c>
      <c r="D1105" s="172">
        <v>46524.05</v>
      </c>
      <c r="E1105" s="144">
        <f t="shared" si="20"/>
        <v>68544.540000000008</v>
      </c>
      <c r="F1105" s="125" t="s">
        <v>554</v>
      </c>
    </row>
    <row r="1106" spans="1:6" hidden="1" outlineLevel="1">
      <c r="A1106" s="1110" t="s">
        <v>555</v>
      </c>
      <c r="B1106" s="170">
        <v>0</v>
      </c>
      <c r="C1106" s="171">
        <v>13259.96</v>
      </c>
      <c r="D1106" s="172">
        <v>64859.87</v>
      </c>
      <c r="E1106" s="144">
        <f t="shared" si="20"/>
        <v>78119.83</v>
      </c>
      <c r="F1106" s="125" t="s">
        <v>556</v>
      </c>
    </row>
    <row r="1107" spans="1:6" hidden="1" outlineLevel="1">
      <c r="A1107" s="1110" t="s">
        <v>557</v>
      </c>
      <c r="B1107" s="170">
        <v>0</v>
      </c>
      <c r="C1107" s="171">
        <v>0</v>
      </c>
      <c r="D1107" s="172">
        <v>0</v>
      </c>
      <c r="E1107" s="144">
        <f t="shared" si="20"/>
        <v>0</v>
      </c>
      <c r="F1107" s="125" t="s">
        <v>558</v>
      </c>
    </row>
    <row r="1108" spans="1:6" hidden="1" outlineLevel="1">
      <c r="A1108" s="1110" t="s">
        <v>559</v>
      </c>
      <c r="B1108" s="170">
        <v>0</v>
      </c>
      <c r="C1108" s="171">
        <v>0</v>
      </c>
      <c r="D1108" s="172">
        <v>0</v>
      </c>
      <c r="E1108" s="144">
        <f t="shared" si="20"/>
        <v>0</v>
      </c>
      <c r="F1108" s="125" t="s">
        <v>560</v>
      </c>
    </row>
    <row r="1109" spans="1:6" hidden="1" outlineLevel="1">
      <c r="A1109" s="1110" t="s">
        <v>561</v>
      </c>
      <c r="B1109" s="170">
        <v>0</v>
      </c>
      <c r="C1109" s="171">
        <v>0</v>
      </c>
      <c r="D1109" s="172">
        <v>0</v>
      </c>
      <c r="E1109" s="144">
        <f t="shared" si="20"/>
        <v>0</v>
      </c>
      <c r="F1109" s="125" t="s">
        <v>562</v>
      </c>
    </row>
    <row r="1110" spans="1:6" hidden="1" outlineLevel="1">
      <c r="A1110" s="1110" t="s">
        <v>563</v>
      </c>
      <c r="B1110" s="170">
        <v>0</v>
      </c>
      <c r="C1110" s="171">
        <v>304.2</v>
      </c>
      <c r="D1110" s="172">
        <v>16256.05</v>
      </c>
      <c r="E1110" s="144">
        <f t="shared" si="20"/>
        <v>16560.25</v>
      </c>
      <c r="F1110" s="125" t="s">
        <v>564</v>
      </c>
    </row>
    <row r="1111" spans="1:6" hidden="1" outlineLevel="1">
      <c r="A1111" s="1110" t="s">
        <v>565</v>
      </c>
      <c r="B1111" s="170">
        <v>0</v>
      </c>
      <c r="C1111" s="171">
        <v>0</v>
      </c>
      <c r="D1111" s="172">
        <v>4573009.21</v>
      </c>
      <c r="E1111" s="144">
        <f t="shared" si="20"/>
        <v>4573009.21</v>
      </c>
      <c r="F1111" s="125" t="s">
        <v>566</v>
      </c>
    </row>
    <row r="1112" spans="1:6" hidden="1" outlineLevel="1">
      <c r="A1112" s="1110" t="s">
        <v>567</v>
      </c>
      <c r="B1112" s="170">
        <v>0</v>
      </c>
      <c r="C1112" s="171">
        <v>146262.73000000001</v>
      </c>
      <c r="D1112" s="172">
        <v>503536.12</v>
      </c>
      <c r="E1112" s="144">
        <f t="shared" si="20"/>
        <v>649798.85</v>
      </c>
      <c r="F1112" s="125" t="s">
        <v>568</v>
      </c>
    </row>
    <row r="1113" spans="1:6" hidden="1" outlineLevel="1">
      <c r="A1113" s="1110" t="s">
        <v>569</v>
      </c>
      <c r="B1113" s="170">
        <v>0</v>
      </c>
      <c r="C1113" s="171">
        <v>30210.23</v>
      </c>
      <c r="D1113" s="172">
        <v>28885.599999999999</v>
      </c>
      <c r="E1113" s="144">
        <f t="shared" si="20"/>
        <v>59095.83</v>
      </c>
      <c r="F1113" s="125" t="s">
        <v>570</v>
      </c>
    </row>
    <row r="1114" spans="1:6" hidden="1" outlineLevel="1">
      <c r="A1114" s="1110" t="s">
        <v>571</v>
      </c>
      <c r="B1114" s="170">
        <v>0</v>
      </c>
      <c r="C1114" s="171">
        <v>0</v>
      </c>
      <c r="D1114" s="172">
        <v>0</v>
      </c>
      <c r="E1114" s="144">
        <f t="shared" si="20"/>
        <v>0</v>
      </c>
      <c r="F1114" s="125" t="s">
        <v>572</v>
      </c>
    </row>
    <row r="1115" spans="1:6" hidden="1" outlineLevel="1">
      <c r="A1115" s="1110" t="s">
        <v>573</v>
      </c>
      <c r="B1115" s="170">
        <v>0</v>
      </c>
      <c r="C1115" s="171">
        <v>23929.74</v>
      </c>
      <c r="D1115" s="172">
        <v>82663.56</v>
      </c>
      <c r="E1115" s="144">
        <f t="shared" si="20"/>
        <v>106593.3</v>
      </c>
      <c r="F1115" s="125" t="s">
        <v>574</v>
      </c>
    </row>
    <row r="1116" spans="1:6" hidden="1" outlineLevel="1">
      <c r="A1116" s="1110" t="s">
        <v>575</v>
      </c>
      <c r="B1116" s="170">
        <v>0</v>
      </c>
      <c r="C1116" s="171">
        <v>27084.68</v>
      </c>
      <c r="D1116" s="172">
        <v>91539.62</v>
      </c>
      <c r="E1116" s="144">
        <f t="shared" si="20"/>
        <v>118624.29999999999</v>
      </c>
      <c r="F1116" s="125" t="s">
        <v>576</v>
      </c>
    </row>
    <row r="1117" spans="1:6" hidden="1" outlineLevel="1">
      <c r="A1117" s="1110" t="s">
        <v>577</v>
      </c>
      <c r="B1117" s="170">
        <v>0</v>
      </c>
      <c r="C1117" s="171">
        <v>0</v>
      </c>
      <c r="D1117" s="172">
        <v>0</v>
      </c>
      <c r="E1117" s="144">
        <f t="shared" si="20"/>
        <v>0</v>
      </c>
      <c r="F1117" s="125" t="s">
        <v>578</v>
      </c>
    </row>
    <row r="1118" spans="1:6" hidden="1" outlineLevel="1">
      <c r="A1118" s="1110" t="s">
        <v>579</v>
      </c>
      <c r="B1118" s="170">
        <v>0</v>
      </c>
      <c r="C1118" s="171">
        <v>9108</v>
      </c>
      <c r="D1118" s="172">
        <v>687830.32</v>
      </c>
      <c r="E1118" s="144">
        <f t="shared" si="20"/>
        <v>696938.32</v>
      </c>
      <c r="F1118" s="125" t="s">
        <v>580</v>
      </c>
    </row>
    <row r="1119" spans="1:6" hidden="1" outlineLevel="1">
      <c r="A1119" s="1110" t="s">
        <v>581</v>
      </c>
      <c r="B1119" s="170">
        <v>0</v>
      </c>
      <c r="C1119" s="171">
        <v>0</v>
      </c>
      <c r="D1119" s="172">
        <v>15315.36</v>
      </c>
      <c r="E1119" s="144">
        <f t="shared" si="20"/>
        <v>15315.36</v>
      </c>
      <c r="F1119" s="125" t="s">
        <v>582</v>
      </c>
    </row>
    <row r="1120" spans="1:6" hidden="1" outlineLevel="1">
      <c r="A1120" s="1110" t="s">
        <v>583</v>
      </c>
      <c r="B1120" s="170">
        <v>0</v>
      </c>
      <c r="C1120" s="171">
        <v>11370.42</v>
      </c>
      <c r="D1120" s="172">
        <v>1248565.81</v>
      </c>
      <c r="E1120" s="144">
        <f t="shared" si="20"/>
        <v>1259936.23</v>
      </c>
      <c r="F1120" s="125" t="s">
        <v>584</v>
      </c>
    </row>
    <row r="1121" spans="1:6" hidden="1" outlineLevel="1">
      <c r="A1121" s="1110" t="s">
        <v>585</v>
      </c>
      <c r="B1121" s="170">
        <v>0</v>
      </c>
      <c r="C1121" s="171">
        <v>0</v>
      </c>
      <c r="D1121" s="172">
        <v>0</v>
      </c>
      <c r="E1121" s="144">
        <f t="shared" si="20"/>
        <v>0</v>
      </c>
      <c r="F1121" s="125" t="s">
        <v>586</v>
      </c>
    </row>
    <row r="1122" spans="1:6" hidden="1" outlineLevel="1">
      <c r="A1122" s="1110" t="s">
        <v>585</v>
      </c>
      <c r="B1122" s="170">
        <v>0</v>
      </c>
      <c r="C1122" s="171">
        <v>0</v>
      </c>
      <c r="D1122" s="172">
        <v>0</v>
      </c>
      <c r="E1122" s="144">
        <f t="shared" si="20"/>
        <v>0</v>
      </c>
      <c r="F1122" s="125" t="s">
        <v>586</v>
      </c>
    </row>
    <row r="1123" spans="1:6" hidden="1" outlineLevel="1">
      <c r="A1123" s="1110" t="s">
        <v>587</v>
      </c>
      <c r="B1123" s="170">
        <v>0</v>
      </c>
      <c r="C1123" s="171">
        <v>0</v>
      </c>
      <c r="D1123" s="172">
        <v>162592.88</v>
      </c>
      <c r="E1123" s="144">
        <f t="shared" si="20"/>
        <v>162592.88</v>
      </c>
      <c r="F1123" s="125" t="s">
        <v>588</v>
      </c>
    </row>
    <row r="1124" spans="1:6" hidden="1" outlineLevel="1">
      <c r="A1124" s="1110" t="s">
        <v>589</v>
      </c>
      <c r="B1124" s="170">
        <v>0</v>
      </c>
      <c r="C1124" s="171">
        <v>11161.8</v>
      </c>
      <c r="D1124" s="172">
        <v>59360.6</v>
      </c>
      <c r="E1124" s="144">
        <f t="shared" si="20"/>
        <v>70522.399999999994</v>
      </c>
      <c r="F1124" s="125" t="s">
        <v>590</v>
      </c>
    </row>
    <row r="1125" spans="1:6" hidden="1" outlineLevel="1">
      <c r="A1125" s="1110" t="s">
        <v>591</v>
      </c>
      <c r="B1125" s="170">
        <v>0</v>
      </c>
      <c r="C1125" s="171">
        <v>415141.87</v>
      </c>
      <c r="D1125" s="172">
        <v>592722.84</v>
      </c>
      <c r="E1125" s="144">
        <f t="shared" si="20"/>
        <v>1007864.71</v>
      </c>
      <c r="F1125" s="125" t="s">
        <v>592</v>
      </c>
    </row>
    <row r="1126" spans="1:6" hidden="1" outlineLevel="1">
      <c r="A1126" s="1110" t="s">
        <v>593</v>
      </c>
      <c r="B1126" s="170">
        <v>0</v>
      </c>
      <c r="C1126" s="171">
        <v>15348.44</v>
      </c>
      <c r="D1126" s="172">
        <v>21362.48</v>
      </c>
      <c r="E1126" s="144">
        <f t="shared" si="20"/>
        <v>36710.92</v>
      </c>
      <c r="F1126" s="125" t="s">
        <v>594</v>
      </c>
    </row>
    <row r="1127" spans="1:6" hidden="1" outlineLevel="1">
      <c r="A1127" s="1110" t="s">
        <v>595</v>
      </c>
      <c r="B1127" s="170">
        <v>0</v>
      </c>
      <c r="C1127" s="171">
        <v>25858.44</v>
      </c>
      <c r="D1127" s="172">
        <v>16238.4</v>
      </c>
      <c r="E1127" s="144">
        <f t="shared" si="20"/>
        <v>42096.84</v>
      </c>
      <c r="F1127" s="125" t="s">
        <v>596</v>
      </c>
    </row>
    <row r="1128" spans="1:6" hidden="1" outlineLevel="1">
      <c r="A1128" s="1110" t="s">
        <v>597</v>
      </c>
      <c r="B1128" s="170">
        <v>0</v>
      </c>
      <c r="C1128" s="171">
        <v>2327.87</v>
      </c>
      <c r="D1128" s="172">
        <v>29287.68</v>
      </c>
      <c r="E1128" s="144">
        <f t="shared" si="20"/>
        <v>31615.55</v>
      </c>
      <c r="F1128" s="125" t="s">
        <v>598</v>
      </c>
    </row>
    <row r="1129" spans="1:6" hidden="1" outlineLevel="1">
      <c r="A1129" s="1110" t="s">
        <v>599</v>
      </c>
      <c r="B1129" s="170">
        <v>0</v>
      </c>
      <c r="C1129" s="171">
        <v>44520.38</v>
      </c>
      <c r="D1129" s="172">
        <v>39353.040000000001</v>
      </c>
      <c r="E1129" s="144">
        <f t="shared" si="20"/>
        <v>83873.42</v>
      </c>
      <c r="F1129" s="125" t="s">
        <v>600</v>
      </c>
    </row>
    <row r="1130" spans="1:6" hidden="1" outlineLevel="1">
      <c r="A1130" s="1110" t="s">
        <v>601</v>
      </c>
      <c r="B1130" s="170">
        <v>0</v>
      </c>
      <c r="C1130" s="171">
        <v>16488.330000000002</v>
      </c>
      <c r="D1130" s="172">
        <v>60228.11</v>
      </c>
      <c r="E1130" s="144">
        <f t="shared" si="20"/>
        <v>76716.44</v>
      </c>
      <c r="F1130" s="125" t="s">
        <v>602</v>
      </c>
    </row>
    <row r="1131" spans="1:6" hidden="1" outlineLevel="1">
      <c r="A1131" s="1110" t="s">
        <v>603</v>
      </c>
      <c r="B1131" s="170">
        <v>0</v>
      </c>
      <c r="C1131" s="171">
        <v>0</v>
      </c>
      <c r="D1131" s="172">
        <v>15823.37</v>
      </c>
      <c r="E1131" s="144">
        <f t="shared" si="20"/>
        <v>15823.37</v>
      </c>
      <c r="F1131" s="125" t="s">
        <v>604</v>
      </c>
    </row>
    <row r="1132" spans="1:6" hidden="1" outlineLevel="1">
      <c r="A1132" s="1110" t="s">
        <v>605</v>
      </c>
      <c r="B1132" s="170">
        <v>0</v>
      </c>
      <c r="C1132" s="171">
        <v>24331.71</v>
      </c>
      <c r="D1132" s="172">
        <v>254087.51</v>
      </c>
      <c r="E1132" s="144">
        <f t="shared" si="20"/>
        <v>278419.22000000003</v>
      </c>
      <c r="F1132" s="125" t="s">
        <v>606</v>
      </c>
    </row>
    <row r="1133" spans="1:6" hidden="1" outlineLevel="1">
      <c r="A1133" s="1110" t="s">
        <v>607</v>
      </c>
      <c r="B1133" s="170">
        <v>0</v>
      </c>
      <c r="C1133" s="171">
        <v>0</v>
      </c>
      <c r="D1133" s="172">
        <v>291.60000000000002</v>
      </c>
      <c r="E1133" s="144">
        <f t="shared" si="20"/>
        <v>291.60000000000002</v>
      </c>
      <c r="F1133" s="125" t="s">
        <v>608</v>
      </c>
    </row>
    <row r="1134" spans="1:6" hidden="1" outlineLevel="1">
      <c r="A1134" s="1110" t="s">
        <v>609</v>
      </c>
      <c r="B1134" s="170">
        <v>0</v>
      </c>
      <c r="C1134" s="171">
        <v>44973.29</v>
      </c>
      <c r="D1134" s="172">
        <v>171788.2</v>
      </c>
      <c r="E1134" s="144">
        <f t="shared" si="20"/>
        <v>216761.49000000002</v>
      </c>
      <c r="F1134" s="125" t="s">
        <v>610</v>
      </c>
    </row>
    <row r="1135" spans="1:6" hidden="1" outlineLevel="1">
      <c r="A1135" s="1110" t="s">
        <v>611</v>
      </c>
      <c r="B1135" s="170">
        <v>0</v>
      </c>
      <c r="C1135" s="171">
        <v>20245.900000000001</v>
      </c>
      <c r="D1135" s="172">
        <v>89269.27</v>
      </c>
      <c r="E1135" s="144">
        <f t="shared" si="20"/>
        <v>109515.17000000001</v>
      </c>
      <c r="F1135" s="125" t="s">
        <v>612</v>
      </c>
    </row>
    <row r="1136" spans="1:6" hidden="1" outlineLevel="1">
      <c r="A1136" s="1110" t="s">
        <v>613</v>
      </c>
      <c r="B1136" s="170">
        <v>0</v>
      </c>
      <c r="C1136" s="171">
        <v>0</v>
      </c>
      <c r="D1136" s="172">
        <v>0</v>
      </c>
      <c r="E1136" s="144">
        <f t="shared" si="20"/>
        <v>0</v>
      </c>
      <c r="F1136" s="125" t="s">
        <v>614</v>
      </c>
    </row>
    <row r="1137" spans="1:6" hidden="1" outlineLevel="1">
      <c r="A1137" s="1110" t="s">
        <v>615</v>
      </c>
      <c r="B1137" s="170">
        <v>0</v>
      </c>
      <c r="C1137" s="171">
        <v>0</v>
      </c>
      <c r="D1137" s="172">
        <v>0</v>
      </c>
      <c r="E1137" s="144">
        <f t="shared" si="20"/>
        <v>0</v>
      </c>
      <c r="F1137" s="125" t="s">
        <v>616</v>
      </c>
    </row>
    <row r="1138" spans="1:6" hidden="1" outlineLevel="1">
      <c r="A1138" s="1110" t="s">
        <v>617</v>
      </c>
      <c r="B1138" s="170">
        <v>0</v>
      </c>
      <c r="C1138" s="171">
        <v>12347.73</v>
      </c>
      <c r="D1138" s="172">
        <v>61694.16</v>
      </c>
      <c r="E1138" s="144">
        <f t="shared" si="20"/>
        <v>74041.89</v>
      </c>
      <c r="F1138" s="125" t="s">
        <v>618</v>
      </c>
    </row>
    <row r="1139" spans="1:6" hidden="1" outlineLevel="1">
      <c r="A1139" s="1110" t="s">
        <v>619</v>
      </c>
      <c r="B1139" s="170">
        <v>5155.1099999999997</v>
      </c>
      <c r="C1139" s="171">
        <v>58915.21</v>
      </c>
      <c r="D1139" s="172">
        <v>221049.2</v>
      </c>
      <c r="E1139" s="144">
        <f t="shared" si="20"/>
        <v>285119.52</v>
      </c>
      <c r="F1139" s="125" t="s">
        <v>620</v>
      </c>
    </row>
    <row r="1140" spans="1:6" hidden="1" outlineLevel="1">
      <c r="A1140" s="1110" t="s">
        <v>621</v>
      </c>
      <c r="B1140" s="170">
        <v>0</v>
      </c>
      <c r="C1140" s="171">
        <v>81920.58</v>
      </c>
      <c r="D1140" s="172">
        <v>372511.36</v>
      </c>
      <c r="E1140" s="144">
        <f t="shared" si="20"/>
        <v>454431.94</v>
      </c>
      <c r="F1140" s="125" t="s">
        <v>622</v>
      </c>
    </row>
    <row r="1141" spans="1:6" hidden="1" outlineLevel="1">
      <c r="A1141" s="1110" t="s">
        <v>623</v>
      </c>
      <c r="B1141" s="170">
        <v>0</v>
      </c>
      <c r="C1141" s="171">
        <v>2551.14</v>
      </c>
      <c r="D1141" s="172">
        <v>2577.92</v>
      </c>
      <c r="E1141" s="144">
        <f t="shared" si="20"/>
        <v>5129.0599999999995</v>
      </c>
      <c r="F1141" s="125" t="s">
        <v>624</v>
      </c>
    </row>
    <row r="1142" spans="1:6" hidden="1" outlineLevel="1">
      <c r="A1142" s="1110" t="s">
        <v>625</v>
      </c>
      <c r="B1142" s="170">
        <v>0</v>
      </c>
      <c r="C1142" s="171">
        <v>0</v>
      </c>
      <c r="D1142" s="172">
        <v>28180.32</v>
      </c>
      <c r="E1142" s="144">
        <f t="shared" si="20"/>
        <v>28180.32</v>
      </c>
      <c r="F1142" s="125" t="s">
        <v>626</v>
      </c>
    </row>
    <row r="1143" spans="1:6" hidden="1" outlineLevel="1">
      <c r="A1143" s="1110" t="s">
        <v>627</v>
      </c>
      <c r="B1143" s="170">
        <v>0</v>
      </c>
      <c r="C1143" s="171">
        <v>1287.53</v>
      </c>
      <c r="D1143" s="172">
        <v>555707.52</v>
      </c>
      <c r="E1143" s="144">
        <f t="shared" si="20"/>
        <v>556995.05000000005</v>
      </c>
      <c r="F1143" s="125" t="s">
        <v>628</v>
      </c>
    </row>
    <row r="1144" spans="1:6" hidden="1" outlineLevel="1">
      <c r="A1144" s="1110" t="s">
        <v>629</v>
      </c>
      <c r="B1144" s="170">
        <v>0</v>
      </c>
      <c r="C1144" s="171">
        <v>717.26</v>
      </c>
      <c r="D1144" s="172">
        <v>6227.6</v>
      </c>
      <c r="E1144" s="144">
        <f t="shared" si="20"/>
        <v>6944.8600000000006</v>
      </c>
      <c r="F1144" s="125" t="s">
        <v>630</v>
      </c>
    </row>
    <row r="1145" spans="1:6" hidden="1" outlineLevel="1">
      <c r="A1145" s="1110" t="s">
        <v>631</v>
      </c>
      <c r="B1145" s="170">
        <v>0</v>
      </c>
      <c r="C1145" s="171">
        <v>0</v>
      </c>
      <c r="D1145" s="172">
        <v>102764.92</v>
      </c>
      <c r="E1145" s="144">
        <f t="shared" si="20"/>
        <v>102764.92</v>
      </c>
      <c r="F1145" s="125" t="s">
        <v>632</v>
      </c>
    </row>
    <row r="1146" spans="1:6" hidden="1" outlineLevel="1">
      <c r="A1146" s="1110" t="s">
        <v>633</v>
      </c>
      <c r="B1146" s="170">
        <v>0</v>
      </c>
      <c r="C1146" s="171">
        <v>2099.5700000000002</v>
      </c>
      <c r="D1146" s="172">
        <v>64735.48</v>
      </c>
      <c r="E1146" s="144">
        <f t="shared" si="20"/>
        <v>66835.05</v>
      </c>
      <c r="F1146" s="125" t="s">
        <v>634</v>
      </c>
    </row>
    <row r="1147" spans="1:6" hidden="1" outlineLevel="1">
      <c r="A1147" s="1110" t="s">
        <v>635</v>
      </c>
      <c r="B1147" s="170">
        <v>0</v>
      </c>
      <c r="C1147" s="171">
        <v>9795.9500000000007</v>
      </c>
      <c r="D1147" s="172">
        <v>11159</v>
      </c>
      <c r="E1147" s="144">
        <f t="shared" si="20"/>
        <v>20954.95</v>
      </c>
      <c r="F1147" s="125" t="s">
        <v>636</v>
      </c>
    </row>
    <row r="1148" spans="1:6" hidden="1" outlineLevel="1">
      <c r="A1148" s="1110" t="s">
        <v>637</v>
      </c>
      <c r="B1148" s="170">
        <v>0</v>
      </c>
      <c r="C1148" s="171">
        <v>0</v>
      </c>
      <c r="D1148" s="172">
        <v>27091933.5</v>
      </c>
      <c r="E1148" s="144">
        <f t="shared" si="20"/>
        <v>27091933.5</v>
      </c>
      <c r="F1148" s="125" t="s">
        <v>638</v>
      </c>
    </row>
    <row r="1149" spans="1:6" hidden="1" outlineLevel="1">
      <c r="A1149" s="1110" t="s">
        <v>639</v>
      </c>
      <c r="B1149" s="170">
        <v>0</v>
      </c>
      <c r="C1149" s="171">
        <v>99702.21</v>
      </c>
      <c r="D1149" s="172">
        <v>921027.95</v>
      </c>
      <c r="E1149" s="144">
        <f t="shared" si="20"/>
        <v>1020730.1599999999</v>
      </c>
      <c r="F1149" s="125" t="s">
        <v>640</v>
      </c>
    </row>
    <row r="1150" spans="1:6" hidden="1" outlineLevel="1">
      <c r="A1150" s="1110" t="s">
        <v>641</v>
      </c>
      <c r="B1150" s="170">
        <v>0</v>
      </c>
      <c r="C1150" s="171">
        <v>0</v>
      </c>
      <c r="D1150" s="172">
        <v>6442.96</v>
      </c>
      <c r="E1150" s="144">
        <f t="shared" si="20"/>
        <v>6442.96</v>
      </c>
      <c r="F1150" s="125" t="s">
        <v>642</v>
      </c>
    </row>
    <row r="1151" spans="1:6" hidden="1" outlineLevel="1">
      <c r="A1151" s="1110" t="s">
        <v>643</v>
      </c>
      <c r="B1151" s="170">
        <v>0</v>
      </c>
      <c r="C1151" s="171">
        <v>5621</v>
      </c>
      <c r="D1151" s="172">
        <v>22117.08</v>
      </c>
      <c r="E1151" s="144">
        <f t="shared" si="20"/>
        <v>27738.080000000002</v>
      </c>
      <c r="F1151" s="125" t="s">
        <v>644</v>
      </c>
    </row>
    <row r="1152" spans="1:6" hidden="1" outlineLevel="1">
      <c r="A1152" s="1110" t="s">
        <v>645</v>
      </c>
      <c r="B1152" s="170">
        <v>0</v>
      </c>
      <c r="C1152" s="171">
        <v>85673.57</v>
      </c>
      <c r="D1152" s="172">
        <v>205445.22</v>
      </c>
      <c r="E1152" s="144">
        <f t="shared" si="20"/>
        <v>291118.79000000004</v>
      </c>
      <c r="F1152" s="125" t="s">
        <v>646</v>
      </c>
    </row>
    <row r="1153" spans="1:6" hidden="1" outlineLevel="1">
      <c r="A1153" s="1110" t="s">
        <v>647</v>
      </c>
      <c r="B1153" s="170">
        <v>0</v>
      </c>
      <c r="C1153" s="171">
        <v>0</v>
      </c>
      <c r="D1153" s="172">
        <v>0</v>
      </c>
      <c r="E1153" s="144">
        <f t="shared" si="20"/>
        <v>0</v>
      </c>
      <c r="F1153" s="125" t="s">
        <v>648</v>
      </c>
    </row>
    <row r="1154" spans="1:6" hidden="1" outlineLevel="1">
      <c r="A1154" s="1110" t="s">
        <v>649</v>
      </c>
      <c r="B1154" s="170">
        <v>0</v>
      </c>
      <c r="C1154" s="171">
        <v>46333.15</v>
      </c>
      <c r="D1154" s="172">
        <v>49981.11</v>
      </c>
      <c r="E1154" s="144">
        <f t="shared" si="20"/>
        <v>96314.260000000009</v>
      </c>
      <c r="F1154" s="125" t="s">
        <v>650</v>
      </c>
    </row>
    <row r="1155" spans="1:6" hidden="1" outlineLevel="1">
      <c r="A1155" s="1110" t="s">
        <v>651</v>
      </c>
      <c r="B1155" s="170">
        <v>0</v>
      </c>
      <c r="C1155" s="171">
        <v>142411.76999999999</v>
      </c>
      <c r="D1155" s="172">
        <v>3624953.7</v>
      </c>
      <c r="E1155" s="144">
        <f t="shared" si="20"/>
        <v>3767365.47</v>
      </c>
      <c r="F1155" s="125" t="s">
        <v>652</v>
      </c>
    </row>
    <row r="1156" spans="1:6" hidden="1" outlineLevel="1">
      <c r="A1156" s="1110" t="s">
        <v>653</v>
      </c>
      <c r="B1156" s="170">
        <v>0</v>
      </c>
      <c r="C1156" s="171">
        <v>0</v>
      </c>
      <c r="D1156" s="172">
        <v>1654.72</v>
      </c>
      <c r="E1156" s="144">
        <f t="shared" si="20"/>
        <v>1654.72</v>
      </c>
      <c r="F1156" s="125" t="s">
        <v>654</v>
      </c>
    </row>
    <row r="1157" spans="1:6" hidden="1" outlineLevel="1">
      <c r="A1157" s="1110" t="s">
        <v>655</v>
      </c>
      <c r="B1157" s="170">
        <v>0</v>
      </c>
      <c r="C1157" s="171">
        <v>0</v>
      </c>
      <c r="D1157" s="172">
        <v>0</v>
      </c>
      <c r="E1157" s="144">
        <f t="shared" si="20"/>
        <v>0</v>
      </c>
      <c r="F1157" s="125" t="s">
        <v>578</v>
      </c>
    </row>
    <row r="1158" spans="1:6" hidden="1" outlineLevel="1">
      <c r="A1158" s="1110" t="s">
        <v>656</v>
      </c>
      <c r="B1158" s="170">
        <v>0</v>
      </c>
      <c r="C1158" s="171">
        <v>0</v>
      </c>
      <c r="D1158" s="172">
        <v>101144.3</v>
      </c>
      <c r="E1158" s="144">
        <f t="shared" ref="E1158:E1263" si="21">SUM(B1158:D1158)</f>
        <v>101144.3</v>
      </c>
      <c r="F1158" s="125" t="s">
        <v>657</v>
      </c>
    </row>
    <row r="1159" spans="1:6" hidden="1" outlineLevel="1">
      <c r="A1159" s="1110" t="s">
        <v>658</v>
      </c>
      <c r="B1159" s="170">
        <v>0</v>
      </c>
      <c r="C1159" s="171">
        <v>0</v>
      </c>
      <c r="D1159" s="172">
        <v>7017026.7999999998</v>
      </c>
      <c r="E1159" s="144">
        <f t="shared" si="21"/>
        <v>7017026.7999999998</v>
      </c>
      <c r="F1159" s="125" t="s">
        <v>659</v>
      </c>
    </row>
    <row r="1160" spans="1:6" hidden="1" outlineLevel="1">
      <c r="A1160" s="1110" t="s">
        <v>660</v>
      </c>
      <c r="B1160" s="170">
        <v>0</v>
      </c>
      <c r="C1160" s="171">
        <v>5147.72</v>
      </c>
      <c r="D1160" s="172">
        <v>52676.63</v>
      </c>
      <c r="E1160" s="144">
        <f t="shared" si="21"/>
        <v>57824.35</v>
      </c>
      <c r="F1160" s="125" t="s">
        <v>661</v>
      </c>
    </row>
    <row r="1161" spans="1:6" hidden="1" outlineLevel="1">
      <c r="A1161" s="1110" t="s">
        <v>662</v>
      </c>
      <c r="B1161" s="170">
        <v>0</v>
      </c>
      <c r="C1161" s="171">
        <v>236515.31</v>
      </c>
      <c r="D1161" s="172">
        <v>10103859.060000001</v>
      </c>
      <c r="E1161" s="144">
        <f t="shared" si="21"/>
        <v>10340374.370000001</v>
      </c>
      <c r="F1161" s="125" t="s">
        <v>663</v>
      </c>
    </row>
    <row r="1162" spans="1:6" hidden="1" outlineLevel="1">
      <c r="A1162" s="1110" t="s">
        <v>664</v>
      </c>
      <c r="B1162" s="170">
        <v>0</v>
      </c>
      <c r="C1162" s="171">
        <v>9064.83</v>
      </c>
      <c r="D1162" s="172">
        <v>77721.86</v>
      </c>
      <c r="E1162" s="144">
        <f t="shared" si="21"/>
        <v>86786.69</v>
      </c>
      <c r="F1162" s="125" t="s">
        <v>665</v>
      </c>
    </row>
    <row r="1163" spans="1:6" hidden="1" outlineLevel="1">
      <c r="A1163" s="1110" t="s">
        <v>666</v>
      </c>
      <c r="B1163" s="170">
        <v>0</v>
      </c>
      <c r="C1163" s="171">
        <v>23228.71</v>
      </c>
      <c r="D1163" s="172">
        <v>26067.119999999999</v>
      </c>
      <c r="E1163" s="144">
        <f t="shared" si="21"/>
        <v>49295.83</v>
      </c>
      <c r="F1163" s="125" t="s">
        <v>667</v>
      </c>
    </row>
    <row r="1164" spans="1:6" hidden="1" outlineLevel="1">
      <c r="A1164" s="1110" t="s">
        <v>668</v>
      </c>
      <c r="B1164" s="170">
        <v>0</v>
      </c>
      <c r="C1164" s="171">
        <v>0</v>
      </c>
      <c r="D1164" s="172">
        <v>0</v>
      </c>
      <c r="E1164" s="144">
        <f t="shared" si="21"/>
        <v>0</v>
      </c>
      <c r="F1164" s="125" t="s">
        <v>669</v>
      </c>
    </row>
    <row r="1165" spans="1:6" hidden="1" outlineLevel="1">
      <c r="A1165" s="1110" t="s">
        <v>670</v>
      </c>
      <c r="B1165" s="170">
        <v>0</v>
      </c>
      <c r="C1165" s="171">
        <v>9423.91</v>
      </c>
      <c r="D1165" s="172">
        <v>71776.44</v>
      </c>
      <c r="E1165" s="144">
        <f t="shared" si="21"/>
        <v>81200.350000000006</v>
      </c>
      <c r="F1165" s="125" t="s">
        <v>671</v>
      </c>
    </row>
    <row r="1166" spans="1:6" hidden="1" outlineLevel="1">
      <c r="A1166" s="1110" t="s">
        <v>672</v>
      </c>
      <c r="B1166" s="170">
        <v>0</v>
      </c>
      <c r="C1166" s="171">
        <v>1627.44</v>
      </c>
      <c r="D1166" s="172">
        <v>1465.83</v>
      </c>
      <c r="E1166" s="144">
        <f t="shared" si="21"/>
        <v>3093.27</v>
      </c>
      <c r="F1166" s="125" t="s">
        <v>673</v>
      </c>
    </row>
    <row r="1167" spans="1:6" hidden="1" outlineLevel="1">
      <c r="A1167" s="1110" t="s">
        <v>674</v>
      </c>
      <c r="B1167" s="170">
        <v>0</v>
      </c>
      <c r="C1167" s="171">
        <v>64329.63</v>
      </c>
      <c r="D1167" s="172">
        <v>32900.400000000001</v>
      </c>
      <c r="E1167" s="144">
        <f t="shared" si="21"/>
        <v>97230.03</v>
      </c>
      <c r="F1167" s="125" t="s">
        <v>675</v>
      </c>
    </row>
    <row r="1168" spans="1:6" hidden="1" outlineLevel="1">
      <c r="A1168" s="1110" t="s">
        <v>676</v>
      </c>
      <c r="B1168" s="170">
        <v>0</v>
      </c>
      <c r="C1168" s="171">
        <v>23926.59</v>
      </c>
      <c r="D1168" s="172">
        <v>299016.28999999998</v>
      </c>
      <c r="E1168" s="144">
        <f t="shared" si="21"/>
        <v>322942.88</v>
      </c>
      <c r="F1168" s="125" t="s">
        <v>677</v>
      </c>
    </row>
    <row r="1169" spans="1:6" hidden="1" outlineLevel="1">
      <c r="A1169" s="1110" t="s">
        <v>678</v>
      </c>
      <c r="B1169" s="170">
        <v>0</v>
      </c>
      <c r="C1169" s="171">
        <v>39972.53</v>
      </c>
      <c r="D1169" s="172">
        <v>163007.79999999999</v>
      </c>
      <c r="E1169" s="144">
        <f t="shared" si="21"/>
        <v>202980.33</v>
      </c>
      <c r="F1169" s="125" t="s">
        <v>679</v>
      </c>
    </row>
    <row r="1170" spans="1:6" hidden="1" outlineLevel="1">
      <c r="A1170" s="1110" t="s">
        <v>680</v>
      </c>
      <c r="B1170" s="170">
        <v>0</v>
      </c>
      <c r="C1170" s="171">
        <v>0</v>
      </c>
      <c r="D1170" s="172">
        <v>0</v>
      </c>
      <c r="E1170" s="144">
        <f t="shared" si="21"/>
        <v>0</v>
      </c>
      <c r="F1170" s="125" t="s">
        <v>681</v>
      </c>
    </row>
    <row r="1171" spans="1:6" hidden="1" outlineLevel="1">
      <c r="A1171" s="1110" t="s">
        <v>682</v>
      </c>
      <c r="B1171" s="170">
        <v>0</v>
      </c>
      <c r="C1171" s="171">
        <v>2522.85</v>
      </c>
      <c r="D1171" s="172">
        <v>193189.25</v>
      </c>
      <c r="E1171" s="144">
        <f t="shared" si="21"/>
        <v>195712.1</v>
      </c>
      <c r="F1171" s="125" t="s">
        <v>683</v>
      </c>
    </row>
    <row r="1172" spans="1:6" hidden="1" outlineLevel="1">
      <c r="A1172" s="1110" t="s">
        <v>684</v>
      </c>
      <c r="B1172" s="170">
        <v>0</v>
      </c>
      <c r="C1172" s="171">
        <v>288559.26</v>
      </c>
      <c r="D1172" s="172">
        <v>449543.84</v>
      </c>
      <c r="E1172" s="144">
        <f t="shared" si="21"/>
        <v>738103.10000000009</v>
      </c>
      <c r="F1172" s="125" t="s">
        <v>685</v>
      </c>
    </row>
    <row r="1173" spans="1:6" hidden="1" outlineLevel="1">
      <c r="A1173" s="1110" t="s">
        <v>686</v>
      </c>
      <c r="B1173" s="170">
        <v>0</v>
      </c>
      <c r="C1173" s="171">
        <v>0</v>
      </c>
      <c r="D1173" s="172">
        <v>0</v>
      </c>
      <c r="E1173" s="144">
        <f t="shared" si="21"/>
        <v>0</v>
      </c>
      <c r="F1173" s="125" t="s">
        <v>687</v>
      </c>
    </row>
    <row r="1174" spans="1:6" hidden="1" outlineLevel="1">
      <c r="A1174" s="1110" t="s">
        <v>688</v>
      </c>
      <c r="B1174" s="170">
        <v>0</v>
      </c>
      <c r="C1174" s="171">
        <v>12451.82</v>
      </c>
      <c r="D1174" s="172">
        <v>325699.09999999998</v>
      </c>
      <c r="E1174" s="144">
        <f t="shared" si="21"/>
        <v>338150.92</v>
      </c>
      <c r="F1174" s="125" t="s">
        <v>689</v>
      </c>
    </row>
    <row r="1175" spans="1:6" hidden="1" outlineLevel="1">
      <c r="A1175" s="1110" t="s">
        <v>690</v>
      </c>
      <c r="B1175" s="170">
        <v>0</v>
      </c>
      <c r="C1175" s="171">
        <v>11558.25</v>
      </c>
      <c r="D1175" s="172">
        <v>106343.51</v>
      </c>
      <c r="E1175" s="144">
        <f t="shared" si="21"/>
        <v>117901.75999999999</v>
      </c>
      <c r="F1175" s="125" t="s">
        <v>691</v>
      </c>
    </row>
    <row r="1176" spans="1:6" hidden="1" outlineLevel="1">
      <c r="A1176" s="1110" t="s">
        <v>692</v>
      </c>
      <c r="B1176" s="170">
        <v>0</v>
      </c>
      <c r="C1176" s="171">
        <v>55312.23</v>
      </c>
      <c r="D1176" s="172">
        <v>155388.15</v>
      </c>
      <c r="E1176" s="144">
        <f t="shared" si="21"/>
        <v>210700.38</v>
      </c>
      <c r="F1176" s="125" t="s">
        <v>693</v>
      </c>
    </row>
    <row r="1177" spans="1:6" hidden="1" outlineLevel="1">
      <c r="A1177" s="1110" t="s">
        <v>694</v>
      </c>
      <c r="B1177" s="170">
        <v>0</v>
      </c>
      <c r="C1177" s="171">
        <v>0</v>
      </c>
      <c r="D1177" s="172">
        <v>0</v>
      </c>
      <c r="E1177" s="144">
        <f t="shared" si="21"/>
        <v>0</v>
      </c>
      <c r="F1177" s="125" t="s">
        <v>695</v>
      </c>
    </row>
    <row r="1178" spans="1:6" hidden="1" outlineLevel="1">
      <c r="A1178" s="1110" t="s">
        <v>696</v>
      </c>
      <c r="B1178" s="170">
        <v>0</v>
      </c>
      <c r="C1178" s="171">
        <v>14466.06</v>
      </c>
      <c r="D1178" s="172">
        <v>249132.89</v>
      </c>
      <c r="E1178" s="144">
        <f t="shared" si="21"/>
        <v>263598.95</v>
      </c>
      <c r="F1178" s="125" t="s">
        <v>697</v>
      </c>
    </row>
    <row r="1179" spans="1:6" hidden="1" outlineLevel="1">
      <c r="A1179" s="1110" t="s">
        <v>698</v>
      </c>
      <c r="B1179" s="170">
        <v>0</v>
      </c>
      <c r="C1179" s="171">
        <v>21493.32</v>
      </c>
      <c r="D1179" s="172">
        <v>320864.14</v>
      </c>
      <c r="E1179" s="144">
        <f t="shared" si="21"/>
        <v>342357.46</v>
      </c>
      <c r="F1179" s="125" t="s">
        <v>699</v>
      </c>
    </row>
    <row r="1180" spans="1:6" hidden="1" outlineLevel="1">
      <c r="A1180" s="1110" t="s">
        <v>700</v>
      </c>
      <c r="B1180" s="170">
        <v>0</v>
      </c>
      <c r="C1180" s="171">
        <v>0</v>
      </c>
      <c r="D1180" s="172">
        <v>4135.24</v>
      </c>
      <c r="E1180" s="144">
        <f t="shared" si="21"/>
        <v>4135.24</v>
      </c>
      <c r="F1180" s="125" t="s">
        <v>701</v>
      </c>
    </row>
    <row r="1181" spans="1:6" hidden="1" outlineLevel="1">
      <c r="A1181" s="1110" t="s">
        <v>702</v>
      </c>
      <c r="B1181" s="170">
        <v>0</v>
      </c>
      <c r="C1181" s="171">
        <v>31092.41</v>
      </c>
      <c r="D1181" s="172">
        <v>201747.45</v>
      </c>
      <c r="E1181" s="144">
        <f t="shared" si="21"/>
        <v>232839.86000000002</v>
      </c>
      <c r="F1181" s="125" t="s">
        <v>703</v>
      </c>
    </row>
    <row r="1182" spans="1:6" hidden="1" outlineLevel="1">
      <c r="A1182" s="1110" t="s">
        <v>704</v>
      </c>
      <c r="B1182" s="170">
        <v>0</v>
      </c>
      <c r="C1182" s="171">
        <v>3867.56</v>
      </c>
      <c r="D1182" s="172">
        <v>57612.72</v>
      </c>
      <c r="E1182" s="144">
        <f t="shared" si="21"/>
        <v>61480.28</v>
      </c>
      <c r="F1182" s="125" t="s">
        <v>705</v>
      </c>
    </row>
    <row r="1183" spans="1:6" hidden="1" outlineLevel="1">
      <c r="A1183" s="1110" t="s">
        <v>706</v>
      </c>
      <c r="B1183" s="170">
        <v>0</v>
      </c>
      <c r="C1183" s="171">
        <v>83597.710000000006</v>
      </c>
      <c r="D1183" s="172">
        <v>618923.18000000005</v>
      </c>
      <c r="E1183" s="144">
        <f t="shared" si="21"/>
        <v>702520.89</v>
      </c>
      <c r="F1183" s="125" t="s">
        <v>707</v>
      </c>
    </row>
    <row r="1184" spans="1:6" hidden="1" outlineLevel="1">
      <c r="A1184" s="1110" t="s">
        <v>708</v>
      </c>
      <c r="B1184" s="170">
        <v>0</v>
      </c>
      <c r="C1184" s="171">
        <v>49543.06</v>
      </c>
      <c r="D1184" s="172">
        <v>525590.85</v>
      </c>
      <c r="E1184" s="144">
        <f t="shared" si="21"/>
        <v>575133.90999999992</v>
      </c>
      <c r="F1184" s="125" t="s">
        <v>709</v>
      </c>
    </row>
    <row r="1185" spans="1:6" hidden="1" outlineLevel="1">
      <c r="A1185" s="1110" t="s">
        <v>710</v>
      </c>
      <c r="B1185" s="170">
        <v>0</v>
      </c>
      <c r="C1185" s="171">
        <v>27883.64</v>
      </c>
      <c r="D1185" s="172">
        <v>73321.600000000006</v>
      </c>
      <c r="E1185" s="144">
        <f t="shared" si="21"/>
        <v>101205.24</v>
      </c>
      <c r="F1185" s="125" t="s">
        <v>711</v>
      </c>
    </row>
    <row r="1186" spans="1:6" hidden="1" outlineLevel="1">
      <c r="A1186" s="1110" t="s">
        <v>712</v>
      </c>
      <c r="B1186" s="170">
        <v>0</v>
      </c>
      <c r="C1186" s="171">
        <v>84948.2</v>
      </c>
      <c r="D1186" s="172">
        <v>123290.33</v>
      </c>
      <c r="E1186" s="144">
        <f t="shared" si="21"/>
        <v>208238.53</v>
      </c>
      <c r="F1186" s="125" t="s">
        <v>713</v>
      </c>
    </row>
    <row r="1187" spans="1:6" hidden="1" outlineLevel="1">
      <c r="A1187" s="1110" t="s">
        <v>714</v>
      </c>
      <c r="B1187" s="170">
        <v>0</v>
      </c>
      <c r="C1187" s="171">
        <v>0</v>
      </c>
      <c r="D1187" s="172">
        <v>7263.25</v>
      </c>
      <c r="E1187" s="144">
        <f t="shared" si="21"/>
        <v>7263.25</v>
      </c>
      <c r="F1187" s="125" t="s">
        <v>715</v>
      </c>
    </row>
    <row r="1188" spans="1:6" hidden="1" outlineLevel="1">
      <c r="A1188" s="1110" t="s">
        <v>716</v>
      </c>
      <c r="B1188" s="170">
        <v>0</v>
      </c>
      <c r="C1188" s="171">
        <v>6239.79</v>
      </c>
      <c r="D1188" s="172">
        <v>90828.24</v>
      </c>
      <c r="E1188" s="144">
        <f t="shared" si="21"/>
        <v>97068.03</v>
      </c>
      <c r="F1188" s="125" t="s">
        <v>717</v>
      </c>
    </row>
    <row r="1189" spans="1:6" hidden="1" outlineLevel="1">
      <c r="A1189" s="1110" t="s">
        <v>718</v>
      </c>
      <c r="B1189" s="170">
        <v>0</v>
      </c>
      <c r="C1189" s="171">
        <v>781.69</v>
      </c>
      <c r="D1189" s="172">
        <v>48460.24</v>
      </c>
      <c r="E1189" s="144">
        <f t="shared" si="21"/>
        <v>49241.93</v>
      </c>
      <c r="F1189" s="125" t="s">
        <v>719</v>
      </c>
    </row>
    <row r="1190" spans="1:6" hidden="1" outlineLevel="1">
      <c r="A1190" s="1110" t="s">
        <v>720</v>
      </c>
      <c r="B1190" s="170">
        <v>0</v>
      </c>
      <c r="C1190" s="171">
        <v>0</v>
      </c>
      <c r="D1190" s="172">
        <v>272220.02</v>
      </c>
      <c r="E1190" s="144">
        <f t="shared" si="21"/>
        <v>272220.02</v>
      </c>
      <c r="F1190" s="125" t="s">
        <v>721</v>
      </c>
    </row>
    <row r="1191" spans="1:6" hidden="1" outlineLevel="1">
      <c r="A1191" s="1110" t="s">
        <v>722</v>
      </c>
      <c r="B1191" s="170">
        <v>0</v>
      </c>
      <c r="C1191" s="171">
        <v>16771.11</v>
      </c>
      <c r="D1191" s="172">
        <v>63085.760000000002</v>
      </c>
      <c r="E1191" s="144">
        <f t="shared" si="21"/>
        <v>79856.87</v>
      </c>
      <c r="F1191" s="125" t="s">
        <v>723</v>
      </c>
    </row>
    <row r="1192" spans="1:6" hidden="1" outlineLevel="1">
      <c r="A1192" s="1110" t="s">
        <v>724</v>
      </c>
      <c r="B1192" s="170">
        <v>0</v>
      </c>
      <c r="C1192" s="171">
        <v>16892.78</v>
      </c>
      <c r="D1192" s="172">
        <v>59166.59</v>
      </c>
      <c r="E1192" s="144">
        <f t="shared" si="21"/>
        <v>76059.37</v>
      </c>
      <c r="F1192" s="125" t="s">
        <v>725</v>
      </c>
    </row>
    <row r="1193" spans="1:6" hidden="1" outlineLevel="1">
      <c r="A1193" s="1110" t="s">
        <v>726</v>
      </c>
      <c r="B1193" s="170">
        <v>0</v>
      </c>
      <c r="C1193" s="171">
        <v>98174.83</v>
      </c>
      <c r="D1193" s="172">
        <v>82187.56</v>
      </c>
      <c r="E1193" s="144">
        <f t="shared" si="21"/>
        <v>180362.39</v>
      </c>
      <c r="F1193" s="125" t="s">
        <v>727</v>
      </c>
    </row>
    <row r="1194" spans="1:6" hidden="1" outlineLevel="1">
      <c r="A1194" s="1110" t="s">
        <v>728</v>
      </c>
      <c r="B1194" s="170">
        <v>0</v>
      </c>
      <c r="C1194" s="171">
        <v>14262.06</v>
      </c>
      <c r="D1194" s="172">
        <v>204.56</v>
      </c>
      <c r="E1194" s="144">
        <f t="shared" si="21"/>
        <v>14466.619999999999</v>
      </c>
      <c r="F1194" s="125" t="s">
        <v>729</v>
      </c>
    </row>
    <row r="1195" spans="1:6" hidden="1" outlineLevel="1">
      <c r="A1195" s="1110" t="s">
        <v>730</v>
      </c>
      <c r="B1195" s="170">
        <v>0</v>
      </c>
      <c r="C1195" s="171">
        <v>451.19</v>
      </c>
      <c r="D1195" s="172">
        <v>44656.959999999999</v>
      </c>
      <c r="E1195" s="144">
        <f t="shared" si="21"/>
        <v>45108.15</v>
      </c>
      <c r="F1195" s="125" t="s">
        <v>731</v>
      </c>
    </row>
    <row r="1196" spans="1:6" hidden="1" outlineLevel="1">
      <c r="A1196" s="1110" t="s">
        <v>732</v>
      </c>
      <c r="B1196" s="170">
        <v>0</v>
      </c>
      <c r="C1196" s="171">
        <v>0</v>
      </c>
      <c r="D1196" s="172">
        <v>0</v>
      </c>
      <c r="E1196" s="144">
        <f t="shared" si="21"/>
        <v>0</v>
      </c>
      <c r="F1196" s="125" t="s">
        <v>733</v>
      </c>
    </row>
    <row r="1197" spans="1:6" hidden="1" outlineLevel="1">
      <c r="A1197" s="1110" t="s">
        <v>734</v>
      </c>
      <c r="B1197" s="170">
        <v>0</v>
      </c>
      <c r="C1197" s="171">
        <v>142276.57999999999</v>
      </c>
      <c r="D1197" s="172">
        <v>176366.48</v>
      </c>
      <c r="E1197" s="144">
        <f t="shared" si="21"/>
        <v>318643.06</v>
      </c>
      <c r="F1197" s="125" t="s">
        <v>735</v>
      </c>
    </row>
    <row r="1198" spans="1:6" hidden="1" outlineLevel="1">
      <c r="A1198" s="1110" t="s">
        <v>736</v>
      </c>
      <c r="B1198" s="170">
        <v>0</v>
      </c>
      <c r="C1198" s="171">
        <v>16909.43</v>
      </c>
      <c r="D1198" s="172">
        <v>132208.68</v>
      </c>
      <c r="E1198" s="144">
        <f t="shared" si="21"/>
        <v>149118.10999999999</v>
      </c>
      <c r="F1198" s="125" t="s">
        <v>737</v>
      </c>
    </row>
    <row r="1199" spans="1:6" hidden="1" outlineLevel="1">
      <c r="A1199" s="1110" t="s">
        <v>738</v>
      </c>
      <c r="B1199" s="170">
        <v>0</v>
      </c>
      <c r="C1199" s="171">
        <v>1331.4</v>
      </c>
      <c r="D1199" s="172">
        <v>14850.4</v>
      </c>
      <c r="E1199" s="144">
        <f t="shared" si="21"/>
        <v>16181.8</v>
      </c>
      <c r="F1199" s="125" t="s">
        <v>739</v>
      </c>
    </row>
    <row r="1200" spans="1:6" hidden="1" outlineLevel="1">
      <c r="A1200" s="1110" t="s">
        <v>740</v>
      </c>
      <c r="B1200" s="170">
        <v>0</v>
      </c>
      <c r="C1200" s="171">
        <v>0</v>
      </c>
      <c r="D1200" s="172">
        <v>0</v>
      </c>
      <c r="E1200" s="144">
        <f t="shared" si="21"/>
        <v>0</v>
      </c>
      <c r="F1200" s="125" t="s">
        <v>741</v>
      </c>
    </row>
    <row r="1201" spans="1:6" hidden="1" outlineLevel="1">
      <c r="A1201" s="1110" t="s">
        <v>742</v>
      </c>
      <c r="B1201" s="170">
        <v>0</v>
      </c>
      <c r="C1201" s="171">
        <v>3965.96</v>
      </c>
      <c r="D1201" s="172">
        <v>109102.28</v>
      </c>
      <c r="E1201" s="144">
        <f t="shared" si="21"/>
        <v>113068.24</v>
      </c>
      <c r="F1201" s="125" t="s">
        <v>743</v>
      </c>
    </row>
    <row r="1202" spans="1:6" hidden="1" outlineLevel="1">
      <c r="A1202" s="1110" t="s">
        <v>744</v>
      </c>
      <c r="B1202" s="170">
        <v>0</v>
      </c>
      <c r="C1202" s="171">
        <v>6772.57</v>
      </c>
      <c r="D1202" s="172">
        <v>40743.620000000003</v>
      </c>
      <c r="E1202" s="144">
        <f t="shared" si="21"/>
        <v>47516.19</v>
      </c>
      <c r="F1202" s="125" t="s">
        <v>745</v>
      </c>
    </row>
    <row r="1203" spans="1:6" hidden="1" outlineLevel="1">
      <c r="A1203" s="1110" t="s">
        <v>746</v>
      </c>
      <c r="B1203" s="170">
        <v>0</v>
      </c>
      <c r="C1203" s="171">
        <v>0</v>
      </c>
      <c r="D1203" s="172">
        <v>0</v>
      </c>
      <c r="E1203" s="144">
        <f t="shared" si="21"/>
        <v>0</v>
      </c>
      <c r="F1203" s="125" t="s">
        <v>747</v>
      </c>
    </row>
    <row r="1204" spans="1:6" hidden="1" outlineLevel="1">
      <c r="A1204" s="1110" t="s">
        <v>748</v>
      </c>
      <c r="B1204" s="170">
        <v>0</v>
      </c>
      <c r="C1204" s="171">
        <v>2949.48</v>
      </c>
      <c r="D1204" s="172">
        <v>45315.16</v>
      </c>
      <c r="E1204" s="144">
        <f t="shared" si="21"/>
        <v>48264.640000000007</v>
      </c>
      <c r="F1204" s="125" t="s">
        <v>749</v>
      </c>
    </row>
    <row r="1205" spans="1:6" hidden="1" outlineLevel="1">
      <c r="A1205" s="1110" t="s">
        <v>750</v>
      </c>
      <c r="B1205" s="170">
        <v>0</v>
      </c>
      <c r="C1205" s="171">
        <v>0</v>
      </c>
      <c r="D1205" s="172">
        <v>25622.33</v>
      </c>
      <c r="E1205" s="144">
        <f t="shared" si="21"/>
        <v>25622.33</v>
      </c>
      <c r="F1205" s="125" t="s">
        <v>751</v>
      </c>
    </row>
    <row r="1206" spans="1:6" hidden="1" outlineLevel="1">
      <c r="A1206" s="1110" t="s">
        <v>752</v>
      </c>
      <c r="B1206" s="170">
        <v>0</v>
      </c>
      <c r="C1206" s="171">
        <v>77923.64</v>
      </c>
      <c r="D1206" s="172">
        <v>273426.46000000002</v>
      </c>
      <c r="E1206" s="144">
        <f t="shared" si="21"/>
        <v>351350.10000000003</v>
      </c>
      <c r="F1206" s="125" t="s">
        <v>753</v>
      </c>
    </row>
    <row r="1207" spans="1:6" hidden="1" outlineLevel="1">
      <c r="A1207" s="1110" t="s">
        <v>754</v>
      </c>
      <c r="B1207" s="170">
        <v>920723.5</v>
      </c>
      <c r="C1207" s="171">
        <v>4009850.65</v>
      </c>
      <c r="D1207" s="172">
        <v>16037073.99</v>
      </c>
      <c r="E1207" s="144">
        <f t="shared" si="21"/>
        <v>20967648.140000001</v>
      </c>
      <c r="F1207" s="125" t="s">
        <v>755</v>
      </c>
    </row>
    <row r="1208" spans="1:6" hidden="1" outlineLevel="1">
      <c r="A1208" s="1110" t="s">
        <v>756</v>
      </c>
      <c r="B1208" s="170">
        <v>0</v>
      </c>
      <c r="C1208" s="171">
        <v>7717.15</v>
      </c>
      <c r="D1208" s="172">
        <v>423091.49</v>
      </c>
      <c r="E1208" s="144">
        <f t="shared" si="21"/>
        <v>430808.64</v>
      </c>
      <c r="F1208" s="125" t="s">
        <v>610</v>
      </c>
    </row>
    <row r="1209" spans="1:6" hidden="1" outlineLevel="1">
      <c r="A1209" s="1110" t="s">
        <v>757</v>
      </c>
      <c r="B1209" s="170">
        <v>0</v>
      </c>
      <c r="C1209" s="171">
        <v>0</v>
      </c>
      <c r="D1209" s="172">
        <v>0</v>
      </c>
      <c r="E1209" s="144">
        <f t="shared" si="21"/>
        <v>0</v>
      </c>
      <c r="F1209" s="125" t="s">
        <v>758</v>
      </c>
    </row>
    <row r="1210" spans="1:6" hidden="1" outlineLevel="1">
      <c r="A1210" s="1110" t="s">
        <v>759</v>
      </c>
      <c r="B1210" s="170">
        <v>0</v>
      </c>
      <c r="C1210" s="171">
        <v>21964.45</v>
      </c>
      <c r="D1210" s="172">
        <v>73565.679999999993</v>
      </c>
      <c r="E1210" s="144">
        <f t="shared" si="21"/>
        <v>95530.12999999999</v>
      </c>
      <c r="F1210" s="125" t="s">
        <v>760</v>
      </c>
    </row>
    <row r="1211" spans="1:6" hidden="1" outlineLevel="1">
      <c r="A1211" s="1110" t="s">
        <v>761</v>
      </c>
      <c r="B1211" s="170">
        <v>0</v>
      </c>
      <c r="C1211" s="171">
        <v>0</v>
      </c>
      <c r="D1211" s="172">
        <v>244474.69</v>
      </c>
      <c r="E1211" s="144">
        <f t="shared" si="21"/>
        <v>244474.69</v>
      </c>
      <c r="F1211" s="125" t="s">
        <v>762</v>
      </c>
    </row>
    <row r="1212" spans="1:6" hidden="1" outlineLevel="1">
      <c r="A1212" s="1110" t="s">
        <v>763</v>
      </c>
      <c r="B1212" s="170">
        <v>0</v>
      </c>
      <c r="C1212" s="171">
        <v>44048.43</v>
      </c>
      <c r="D1212" s="172">
        <v>76067.45</v>
      </c>
      <c r="E1212" s="144">
        <f t="shared" si="21"/>
        <v>120115.88</v>
      </c>
      <c r="F1212" s="125" t="s">
        <v>764</v>
      </c>
    </row>
    <row r="1213" spans="1:6" hidden="1" outlineLevel="1">
      <c r="A1213" s="1110" t="s">
        <v>765</v>
      </c>
      <c r="B1213" s="170">
        <v>0</v>
      </c>
      <c r="C1213" s="171">
        <v>15313.76</v>
      </c>
      <c r="D1213" s="172">
        <v>8814.1200000000008</v>
      </c>
      <c r="E1213" s="144">
        <f t="shared" si="21"/>
        <v>24127.88</v>
      </c>
      <c r="F1213" s="125" t="s">
        <v>766</v>
      </c>
    </row>
    <row r="1214" spans="1:6" hidden="1" outlineLevel="1">
      <c r="A1214" s="1110" t="s">
        <v>767</v>
      </c>
      <c r="B1214" s="170">
        <v>0</v>
      </c>
      <c r="C1214" s="171">
        <v>0</v>
      </c>
      <c r="D1214" s="172">
        <v>55668.6</v>
      </c>
      <c r="E1214" s="144">
        <f t="shared" si="21"/>
        <v>55668.6</v>
      </c>
      <c r="F1214" s="125" t="s">
        <v>768</v>
      </c>
    </row>
    <row r="1215" spans="1:6" hidden="1" outlineLevel="1">
      <c r="A1215" s="1110" t="s">
        <v>769</v>
      </c>
      <c r="B1215" s="170">
        <v>0</v>
      </c>
      <c r="C1215" s="171">
        <v>163.11000000000001</v>
      </c>
      <c r="D1215" s="172">
        <v>50591.46</v>
      </c>
      <c r="E1215" s="144">
        <f t="shared" si="21"/>
        <v>50754.57</v>
      </c>
      <c r="F1215" s="125" t="s">
        <v>770</v>
      </c>
    </row>
    <row r="1216" spans="1:6" hidden="1" outlineLevel="1">
      <c r="A1216" s="1110" t="s">
        <v>771</v>
      </c>
      <c r="B1216" s="170">
        <v>0</v>
      </c>
      <c r="C1216" s="171">
        <v>18950.09</v>
      </c>
      <c r="D1216" s="172">
        <v>36729.519999999997</v>
      </c>
      <c r="E1216" s="144">
        <f t="shared" si="21"/>
        <v>55679.61</v>
      </c>
      <c r="F1216" s="125" t="s">
        <v>772</v>
      </c>
    </row>
    <row r="1217" spans="1:6" hidden="1" outlineLevel="1">
      <c r="A1217" s="1110" t="s">
        <v>773</v>
      </c>
      <c r="B1217" s="170">
        <v>0</v>
      </c>
      <c r="C1217" s="171">
        <v>292051.12</v>
      </c>
      <c r="D1217" s="172">
        <v>356636.24</v>
      </c>
      <c r="E1217" s="144">
        <f t="shared" si="21"/>
        <v>648687.35999999999</v>
      </c>
      <c r="F1217" s="125" t="s">
        <v>774</v>
      </c>
    </row>
    <row r="1218" spans="1:6" hidden="1" outlineLevel="1">
      <c r="A1218" s="1110" t="s">
        <v>356</v>
      </c>
      <c r="B1218" s="170">
        <v>0</v>
      </c>
      <c r="C1218" s="171">
        <v>0</v>
      </c>
      <c r="D1218" s="172">
        <v>0</v>
      </c>
      <c r="E1218" s="144">
        <f t="shared" si="21"/>
        <v>0</v>
      </c>
      <c r="F1218" s="125" t="s">
        <v>357</v>
      </c>
    </row>
    <row r="1219" spans="1:6" hidden="1" outlineLevel="1">
      <c r="A1219" s="1110" t="s">
        <v>775</v>
      </c>
      <c r="B1219" s="170">
        <v>0</v>
      </c>
      <c r="C1219" s="171">
        <v>320959.34000000003</v>
      </c>
      <c r="D1219" s="172">
        <v>590064.57999999996</v>
      </c>
      <c r="E1219" s="144">
        <f t="shared" si="21"/>
        <v>911023.91999999993</v>
      </c>
      <c r="F1219" s="125" t="s">
        <v>776</v>
      </c>
    </row>
    <row r="1220" spans="1:6" hidden="1" outlineLevel="1">
      <c r="A1220" s="1110" t="s">
        <v>777</v>
      </c>
      <c r="B1220" s="170">
        <v>0</v>
      </c>
      <c r="C1220" s="171">
        <v>50885.4</v>
      </c>
      <c r="D1220" s="172">
        <v>437229.65</v>
      </c>
      <c r="E1220" s="144">
        <f t="shared" si="21"/>
        <v>488115.05000000005</v>
      </c>
      <c r="F1220" s="125" t="s">
        <v>778</v>
      </c>
    </row>
    <row r="1221" spans="1:6" hidden="1" outlineLevel="1">
      <c r="A1221" s="1110" t="s">
        <v>360</v>
      </c>
      <c r="B1221" s="170">
        <v>0</v>
      </c>
      <c r="C1221" s="171">
        <v>0</v>
      </c>
      <c r="D1221" s="172">
        <v>0</v>
      </c>
      <c r="E1221" s="144">
        <f t="shared" si="21"/>
        <v>0</v>
      </c>
      <c r="F1221" s="125" t="s">
        <v>361</v>
      </c>
    </row>
    <row r="1222" spans="1:6" hidden="1" outlineLevel="1">
      <c r="A1222" s="1110" t="s">
        <v>779</v>
      </c>
      <c r="B1222" s="170">
        <v>0</v>
      </c>
      <c r="C1222" s="171">
        <v>2185.75</v>
      </c>
      <c r="D1222" s="172">
        <v>47818.92</v>
      </c>
      <c r="E1222" s="144">
        <f t="shared" si="21"/>
        <v>50004.67</v>
      </c>
      <c r="F1222" s="125" t="s">
        <v>780</v>
      </c>
    </row>
    <row r="1223" spans="1:6" hidden="1" outlineLevel="1">
      <c r="A1223" s="1110" t="s">
        <v>781</v>
      </c>
      <c r="B1223" s="170">
        <v>0</v>
      </c>
      <c r="C1223" s="171">
        <v>41544.81</v>
      </c>
      <c r="D1223" s="172">
        <v>220533.21</v>
      </c>
      <c r="E1223" s="144">
        <f t="shared" si="21"/>
        <v>262078.02</v>
      </c>
      <c r="F1223" s="125" t="s">
        <v>782</v>
      </c>
    </row>
    <row r="1224" spans="1:6" hidden="1" outlineLevel="1">
      <c r="A1224" s="1110" t="s">
        <v>783</v>
      </c>
      <c r="B1224" s="170">
        <v>0</v>
      </c>
      <c r="C1224" s="171">
        <v>822.32</v>
      </c>
      <c r="D1224" s="172">
        <v>48301.04</v>
      </c>
      <c r="E1224" s="144">
        <f t="shared" si="21"/>
        <v>49123.360000000001</v>
      </c>
      <c r="F1224" s="125" t="s">
        <v>784</v>
      </c>
    </row>
    <row r="1225" spans="1:6" hidden="1" outlineLevel="1">
      <c r="A1225" s="1110" t="s">
        <v>785</v>
      </c>
      <c r="B1225" s="170">
        <v>0</v>
      </c>
      <c r="C1225" s="171">
        <v>6626.98</v>
      </c>
      <c r="D1225" s="172">
        <v>4569731.05</v>
      </c>
      <c r="E1225" s="144">
        <f t="shared" si="21"/>
        <v>4576358.03</v>
      </c>
      <c r="F1225" s="125" t="s">
        <v>786</v>
      </c>
    </row>
    <row r="1226" spans="1:6" hidden="1" outlineLevel="1">
      <c r="A1226" s="1110" t="s">
        <v>787</v>
      </c>
      <c r="B1226" s="170">
        <v>0</v>
      </c>
      <c r="C1226" s="171">
        <v>5649.99</v>
      </c>
      <c r="D1226" s="172">
        <v>356702.02</v>
      </c>
      <c r="E1226" s="144">
        <f t="shared" si="21"/>
        <v>362352.01</v>
      </c>
      <c r="F1226" s="125" t="s">
        <v>788</v>
      </c>
    </row>
    <row r="1227" spans="1:6" hidden="1" outlineLevel="1">
      <c r="A1227" s="1110" t="s">
        <v>789</v>
      </c>
      <c r="B1227" s="170">
        <v>0</v>
      </c>
      <c r="C1227" s="171">
        <v>0</v>
      </c>
      <c r="D1227" s="172">
        <v>0</v>
      </c>
      <c r="E1227" s="144">
        <f t="shared" si="21"/>
        <v>0</v>
      </c>
      <c r="F1227" s="125" t="s">
        <v>790</v>
      </c>
    </row>
    <row r="1228" spans="1:6" hidden="1" outlineLevel="1">
      <c r="A1228" s="1110" t="s">
        <v>791</v>
      </c>
      <c r="B1228" s="170">
        <v>0</v>
      </c>
      <c r="C1228" s="171">
        <v>1944.41</v>
      </c>
      <c r="D1228" s="172">
        <v>1728251.97</v>
      </c>
      <c r="E1228" s="144">
        <f t="shared" si="21"/>
        <v>1730196.38</v>
      </c>
      <c r="F1228" s="125" t="s">
        <v>792</v>
      </c>
    </row>
    <row r="1229" spans="1:6" hidden="1" outlineLevel="1">
      <c r="A1229" s="1110" t="s">
        <v>793</v>
      </c>
      <c r="B1229" s="170">
        <v>0</v>
      </c>
      <c r="C1229" s="171">
        <v>0</v>
      </c>
      <c r="D1229" s="172">
        <v>57075.66</v>
      </c>
      <c r="E1229" s="144">
        <f t="shared" si="21"/>
        <v>57075.66</v>
      </c>
      <c r="F1229" s="125" t="s">
        <v>794</v>
      </c>
    </row>
    <row r="1230" spans="1:6" hidden="1" outlineLevel="1">
      <c r="A1230" s="1110" t="s">
        <v>795</v>
      </c>
      <c r="B1230" s="170">
        <v>0</v>
      </c>
      <c r="C1230" s="171">
        <v>38849.449999999997</v>
      </c>
      <c r="D1230" s="172">
        <v>91348.6</v>
      </c>
      <c r="E1230" s="144">
        <f t="shared" si="21"/>
        <v>130198.05</v>
      </c>
      <c r="F1230" s="125" t="s">
        <v>796</v>
      </c>
    </row>
    <row r="1231" spans="1:6" hidden="1" outlineLevel="1">
      <c r="A1231" s="1110" t="s">
        <v>797</v>
      </c>
      <c r="B1231" s="170">
        <v>0</v>
      </c>
      <c r="C1231" s="171">
        <v>824.54</v>
      </c>
      <c r="D1231" s="172">
        <v>9652.8799999999992</v>
      </c>
      <c r="E1231" s="144">
        <f t="shared" si="21"/>
        <v>10477.419999999998</v>
      </c>
      <c r="F1231" s="125" t="s">
        <v>798</v>
      </c>
    </row>
    <row r="1232" spans="1:6" hidden="1" outlineLevel="1">
      <c r="A1232" s="1110" t="s">
        <v>799</v>
      </c>
      <c r="B1232" s="170">
        <v>0</v>
      </c>
      <c r="C1232" s="171">
        <v>0</v>
      </c>
      <c r="D1232" s="172">
        <v>724.72</v>
      </c>
      <c r="E1232" s="144">
        <f t="shared" si="21"/>
        <v>724.72</v>
      </c>
      <c r="F1232" s="125" t="s">
        <v>800</v>
      </c>
    </row>
    <row r="1233" spans="1:6" hidden="1" outlineLevel="1">
      <c r="A1233" s="1110" t="s">
        <v>801</v>
      </c>
      <c r="B1233" s="170">
        <v>0</v>
      </c>
      <c r="C1233" s="171">
        <v>0</v>
      </c>
      <c r="D1233" s="172">
        <v>0</v>
      </c>
      <c r="E1233" s="144">
        <f t="shared" si="21"/>
        <v>0</v>
      </c>
      <c r="F1233" s="125" t="s">
        <v>802</v>
      </c>
    </row>
    <row r="1234" spans="1:6" hidden="1" outlineLevel="1">
      <c r="A1234" s="1110" t="s">
        <v>803</v>
      </c>
      <c r="B1234" s="170">
        <v>0</v>
      </c>
      <c r="C1234" s="171">
        <v>0</v>
      </c>
      <c r="D1234" s="172">
        <v>0</v>
      </c>
      <c r="E1234" s="144">
        <f t="shared" si="21"/>
        <v>0</v>
      </c>
      <c r="F1234" s="125" t="s">
        <v>804</v>
      </c>
    </row>
    <row r="1235" spans="1:6" hidden="1" outlineLevel="1">
      <c r="A1235" s="1110" t="s">
        <v>805</v>
      </c>
      <c r="B1235" s="170">
        <v>0</v>
      </c>
      <c r="C1235" s="171">
        <v>14601.9</v>
      </c>
      <c r="D1235" s="172">
        <v>124396.23</v>
      </c>
      <c r="E1235" s="144">
        <f t="shared" si="21"/>
        <v>138998.13</v>
      </c>
      <c r="F1235" s="125" t="s">
        <v>806</v>
      </c>
    </row>
    <row r="1236" spans="1:6" hidden="1" outlineLevel="1">
      <c r="A1236" s="1110" t="s">
        <v>807</v>
      </c>
      <c r="B1236" s="170">
        <v>0</v>
      </c>
      <c r="C1236" s="171">
        <v>22546.14</v>
      </c>
      <c r="D1236" s="172">
        <v>36521.599999999999</v>
      </c>
      <c r="E1236" s="144">
        <f t="shared" si="21"/>
        <v>59067.74</v>
      </c>
      <c r="F1236" s="125" t="s">
        <v>808</v>
      </c>
    </row>
    <row r="1237" spans="1:6" hidden="1" outlineLevel="1">
      <c r="A1237" s="1110" t="s">
        <v>809</v>
      </c>
      <c r="B1237" s="170">
        <v>0</v>
      </c>
      <c r="C1237" s="171">
        <v>97827.38</v>
      </c>
      <c r="D1237" s="172">
        <v>6062659.6200000001</v>
      </c>
      <c r="E1237" s="144">
        <f t="shared" si="21"/>
        <v>6160487</v>
      </c>
      <c r="F1237" s="125" t="s">
        <v>810</v>
      </c>
    </row>
    <row r="1238" spans="1:6" hidden="1" outlineLevel="1">
      <c r="A1238" s="1110" t="s">
        <v>811</v>
      </c>
      <c r="B1238" s="170">
        <v>0</v>
      </c>
      <c r="C1238" s="171">
        <v>55011.48</v>
      </c>
      <c r="D1238" s="172">
        <v>284364.42</v>
      </c>
      <c r="E1238" s="144">
        <f t="shared" si="21"/>
        <v>339375.89999999997</v>
      </c>
      <c r="F1238" s="125" t="s">
        <v>812</v>
      </c>
    </row>
    <row r="1239" spans="1:6" hidden="1" outlineLevel="1">
      <c r="A1239" s="1110" t="s">
        <v>813</v>
      </c>
      <c r="B1239" s="170">
        <v>0</v>
      </c>
      <c r="C1239" s="171">
        <v>2755</v>
      </c>
      <c r="D1239" s="172">
        <v>63153.120000000003</v>
      </c>
      <c r="E1239" s="144">
        <f t="shared" si="21"/>
        <v>65908.12</v>
      </c>
      <c r="F1239" s="125" t="s">
        <v>814</v>
      </c>
    </row>
    <row r="1240" spans="1:6" hidden="1" outlineLevel="1">
      <c r="A1240" s="1110" t="s">
        <v>815</v>
      </c>
      <c r="B1240" s="170">
        <v>0</v>
      </c>
      <c r="C1240" s="171">
        <v>24092.62</v>
      </c>
      <c r="D1240" s="172">
        <v>132840.37</v>
      </c>
      <c r="E1240" s="144">
        <f t="shared" si="21"/>
        <v>156932.99</v>
      </c>
      <c r="F1240" s="125" t="s">
        <v>816</v>
      </c>
    </row>
    <row r="1241" spans="1:6" hidden="1" outlineLevel="1">
      <c r="A1241" s="1110" t="s">
        <v>817</v>
      </c>
      <c r="B1241" s="170">
        <v>0</v>
      </c>
      <c r="C1241" s="171">
        <v>29602.66</v>
      </c>
      <c r="D1241" s="172">
        <v>124792.43</v>
      </c>
      <c r="E1241" s="144">
        <f t="shared" si="21"/>
        <v>154395.09</v>
      </c>
      <c r="F1241" s="125" t="s">
        <v>818</v>
      </c>
    </row>
    <row r="1242" spans="1:6" hidden="1" outlineLevel="1">
      <c r="A1242" s="1110" t="s">
        <v>819</v>
      </c>
      <c r="B1242" s="170">
        <v>0</v>
      </c>
      <c r="C1242" s="171">
        <v>0</v>
      </c>
      <c r="D1242" s="172">
        <v>10094.280000000001</v>
      </c>
      <c r="E1242" s="144">
        <f t="shared" si="21"/>
        <v>10094.280000000001</v>
      </c>
      <c r="F1242" s="125" t="s">
        <v>820</v>
      </c>
    </row>
    <row r="1243" spans="1:6" hidden="1" outlineLevel="1">
      <c r="A1243" s="1110" t="s">
        <v>821</v>
      </c>
      <c r="B1243" s="170">
        <v>0</v>
      </c>
      <c r="C1243" s="171">
        <v>0</v>
      </c>
      <c r="D1243" s="172">
        <v>0</v>
      </c>
      <c r="E1243" s="144">
        <f t="shared" si="21"/>
        <v>0</v>
      </c>
      <c r="F1243" s="125" t="s">
        <v>822</v>
      </c>
    </row>
    <row r="1244" spans="1:6" hidden="1" outlineLevel="1">
      <c r="A1244" s="1110" t="s">
        <v>821</v>
      </c>
      <c r="B1244" s="170">
        <v>0</v>
      </c>
      <c r="C1244" s="171">
        <v>0</v>
      </c>
      <c r="D1244" s="172">
        <v>0</v>
      </c>
      <c r="E1244" s="144">
        <f t="shared" si="21"/>
        <v>0</v>
      </c>
      <c r="F1244" s="125" t="s">
        <v>822</v>
      </c>
    </row>
    <row r="1245" spans="1:6" hidden="1" outlineLevel="1">
      <c r="A1245" s="1110" t="s">
        <v>821</v>
      </c>
      <c r="B1245" s="170">
        <v>0</v>
      </c>
      <c r="C1245" s="171">
        <v>0</v>
      </c>
      <c r="D1245" s="172">
        <v>0</v>
      </c>
      <c r="E1245" s="144">
        <f t="shared" si="21"/>
        <v>0</v>
      </c>
      <c r="F1245" s="125" t="s">
        <v>822</v>
      </c>
    </row>
    <row r="1246" spans="1:6" hidden="1" outlineLevel="1">
      <c r="A1246" s="1110" t="s">
        <v>823</v>
      </c>
      <c r="B1246" s="170">
        <v>0</v>
      </c>
      <c r="C1246" s="171">
        <v>17819.73</v>
      </c>
      <c r="D1246" s="172">
        <v>21911.919999999998</v>
      </c>
      <c r="E1246" s="144">
        <f t="shared" si="21"/>
        <v>39731.649999999994</v>
      </c>
      <c r="F1246" s="125" t="s">
        <v>824</v>
      </c>
    </row>
    <row r="1247" spans="1:6" hidden="1" outlineLevel="1">
      <c r="A1247" s="1110" t="s">
        <v>825</v>
      </c>
      <c r="B1247" s="170">
        <v>0</v>
      </c>
      <c r="C1247" s="171">
        <v>1709.45</v>
      </c>
      <c r="D1247" s="172">
        <v>35957</v>
      </c>
      <c r="E1247" s="144">
        <f t="shared" si="21"/>
        <v>37666.449999999997</v>
      </c>
      <c r="F1247" s="125" t="s">
        <v>826</v>
      </c>
    </row>
    <row r="1248" spans="1:6" hidden="1" outlineLevel="1">
      <c r="A1248" s="1110" t="s">
        <v>827</v>
      </c>
      <c r="B1248" s="170">
        <v>0</v>
      </c>
      <c r="C1248" s="171">
        <v>8485.59</v>
      </c>
      <c r="D1248" s="172">
        <v>16848.2</v>
      </c>
      <c r="E1248" s="144">
        <f t="shared" si="21"/>
        <v>25333.79</v>
      </c>
      <c r="F1248" s="125" t="s">
        <v>828</v>
      </c>
    </row>
    <row r="1249" spans="1:6" hidden="1" outlineLevel="1">
      <c r="A1249" s="1110" t="s">
        <v>829</v>
      </c>
      <c r="B1249" s="170">
        <v>0</v>
      </c>
      <c r="C1249" s="171">
        <v>21585.14</v>
      </c>
      <c r="D1249" s="172">
        <v>10647.04</v>
      </c>
      <c r="E1249" s="144">
        <f t="shared" si="21"/>
        <v>32232.18</v>
      </c>
      <c r="F1249" s="125" t="s">
        <v>830</v>
      </c>
    </row>
    <row r="1250" spans="1:6" hidden="1" outlineLevel="1">
      <c r="A1250" s="1110" t="s">
        <v>831</v>
      </c>
      <c r="B1250" s="170">
        <v>0</v>
      </c>
      <c r="C1250" s="171">
        <v>0</v>
      </c>
      <c r="D1250" s="172">
        <v>0</v>
      </c>
      <c r="E1250" s="144">
        <f t="shared" si="21"/>
        <v>0</v>
      </c>
      <c r="F1250" s="125" t="s">
        <v>832</v>
      </c>
    </row>
    <row r="1251" spans="1:6" hidden="1" outlineLevel="1">
      <c r="A1251" s="1110" t="s">
        <v>833</v>
      </c>
      <c r="B1251" s="170">
        <v>0</v>
      </c>
      <c r="C1251" s="171">
        <v>40932.480000000003</v>
      </c>
      <c r="D1251" s="172">
        <v>8250.2000000000007</v>
      </c>
      <c r="E1251" s="144">
        <f t="shared" si="21"/>
        <v>49182.680000000008</v>
      </c>
      <c r="F1251" s="125" t="s">
        <v>834</v>
      </c>
    </row>
    <row r="1252" spans="1:6" hidden="1" outlineLevel="1">
      <c r="A1252" s="1110" t="s">
        <v>835</v>
      </c>
      <c r="B1252" s="170">
        <v>0</v>
      </c>
      <c r="C1252" s="171">
        <v>52687.29</v>
      </c>
      <c r="D1252" s="172">
        <v>58961.46</v>
      </c>
      <c r="E1252" s="144">
        <f t="shared" si="21"/>
        <v>111648.75</v>
      </c>
      <c r="F1252" s="125" t="s">
        <v>836</v>
      </c>
    </row>
    <row r="1253" spans="1:6" hidden="1" outlineLevel="1">
      <c r="A1253" s="1110" t="s">
        <v>837</v>
      </c>
      <c r="B1253" s="170">
        <v>0</v>
      </c>
      <c r="C1253" s="171">
        <v>17097.66</v>
      </c>
      <c r="D1253" s="172">
        <v>1594.96</v>
      </c>
      <c r="E1253" s="144">
        <f t="shared" si="21"/>
        <v>18692.62</v>
      </c>
      <c r="F1253" s="125" t="s">
        <v>838</v>
      </c>
    </row>
    <row r="1254" spans="1:6" hidden="1" outlineLevel="1">
      <c r="A1254" s="1110" t="s">
        <v>837</v>
      </c>
      <c r="B1254" s="170">
        <v>0</v>
      </c>
      <c r="C1254" s="171">
        <v>0</v>
      </c>
      <c r="D1254" s="172">
        <v>0</v>
      </c>
      <c r="E1254" s="144">
        <f t="shared" si="21"/>
        <v>0</v>
      </c>
      <c r="F1254" s="125" t="s">
        <v>838</v>
      </c>
    </row>
    <row r="1255" spans="1:6" hidden="1" outlineLevel="1">
      <c r="A1255" s="1110" t="s">
        <v>837</v>
      </c>
      <c r="B1255" s="170">
        <v>0</v>
      </c>
      <c r="C1255" s="171">
        <v>0</v>
      </c>
      <c r="D1255" s="172">
        <v>0</v>
      </c>
      <c r="E1255" s="144">
        <f t="shared" si="21"/>
        <v>0</v>
      </c>
      <c r="F1255" s="125" t="s">
        <v>838</v>
      </c>
    </row>
    <row r="1256" spans="1:6" hidden="1" outlineLevel="1">
      <c r="A1256" s="1110" t="s">
        <v>839</v>
      </c>
      <c r="B1256" s="170">
        <v>0</v>
      </c>
      <c r="C1256" s="171">
        <v>0</v>
      </c>
      <c r="D1256" s="172">
        <v>30720</v>
      </c>
      <c r="E1256" s="144">
        <f t="shared" si="21"/>
        <v>30720</v>
      </c>
      <c r="F1256" s="125" t="s">
        <v>840</v>
      </c>
    </row>
    <row r="1257" spans="1:6" hidden="1" outlineLevel="1">
      <c r="A1257" s="1110" t="s">
        <v>841</v>
      </c>
      <c r="B1257" s="170">
        <v>0</v>
      </c>
      <c r="C1257" s="171">
        <v>1161.96</v>
      </c>
      <c r="D1257" s="172">
        <v>99445.36</v>
      </c>
      <c r="E1257" s="144">
        <f t="shared" si="21"/>
        <v>100607.32</v>
      </c>
      <c r="F1257" s="125" t="s">
        <v>842</v>
      </c>
    </row>
    <row r="1258" spans="1:6" hidden="1" outlineLevel="1">
      <c r="A1258" s="1110" t="s">
        <v>843</v>
      </c>
      <c r="B1258" s="170">
        <v>0</v>
      </c>
      <c r="C1258" s="171">
        <v>11411.1</v>
      </c>
      <c r="D1258" s="172">
        <v>5834.04</v>
      </c>
      <c r="E1258" s="144">
        <f t="shared" si="21"/>
        <v>17245.14</v>
      </c>
      <c r="F1258" s="125" t="s">
        <v>844</v>
      </c>
    </row>
    <row r="1259" spans="1:6" hidden="1" outlineLevel="1">
      <c r="A1259" s="1110" t="s">
        <v>845</v>
      </c>
      <c r="B1259" s="170">
        <v>0</v>
      </c>
      <c r="C1259" s="171">
        <v>9468.7999999999993</v>
      </c>
      <c r="D1259" s="172">
        <v>2584828.46</v>
      </c>
      <c r="E1259" s="144">
        <f t="shared" si="21"/>
        <v>2594297.2599999998</v>
      </c>
      <c r="F1259" s="125" t="s">
        <v>846</v>
      </c>
    </row>
    <row r="1260" spans="1:6" hidden="1" outlineLevel="1">
      <c r="A1260" s="1110" t="s">
        <v>847</v>
      </c>
      <c r="B1260" s="170">
        <v>0</v>
      </c>
      <c r="C1260" s="171">
        <v>6830.23</v>
      </c>
      <c r="D1260" s="172">
        <v>125607.96</v>
      </c>
      <c r="E1260" s="144">
        <f t="shared" si="21"/>
        <v>132438.19</v>
      </c>
      <c r="F1260" s="125" t="s">
        <v>848</v>
      </c>
    </row>
    <row r="1261" spans="1:6" hidden="1" outlineLevel="1">
      <c r="A1261" s="1110" t="s">
        <v>849</v>
      </c>
      <c r="B1261" s="170">
        <v>0</v>
      </c>
      <c r="C1261" s="171">
        <v>0</v>
      </c>
      <c r="D1261" s="172">
        <v>2797935.52</v>
      </c>
      <c r="E1261" s="144">
        <f t="shared" si="21"/>
        <v>2797935.52</v>
      </c>
      <c r="F1261" s="125" t="s">
        <v>850</v>
      </c>
    </row>
    <row r="1262" spans="1:6" hidden="1" outlineLevel="1">
      <c r="A1262" s="1110" t="s">
        <v>398</v>
      </c>
      <c r="B1262" s="170">
        <v>0</v>
      </c>
      <c r="C1262" s="171">
        <v>0</v>
      </c>
      <c r="D1262" s="172">
        <v>34800</v>
      </c>
      <c r="E1262" s="144">
        <f t="shared" si="21"/>
        <v>34800</v>
      </c>
      <c r="F1262" s="125" t="s">
        <v>399</v>
      </c>
    </row>
    <row r="1263" spans="1:6" hidden="1" outlineLevel="1">
      <c r="A1263" s="1110" t="s">
        <v>851</v>
      </c>
      <c r="B1263" s="170">
        <v>0</v>
      </c>
      <c r="C1263" s="171">
        <v>0</v>
      </c>
      <c r="D1263" s="172">
        <v>0</v>
      </c>
      <c r="E1263" s="144">
        <f t="shared" si="21"/>
        <v>0</v>
      </c>
      <c r="F1263" s="125" t="s">
        <v>852</v>
      </c>
    </row>
    <row r="1264" spans="1:6" hidden="1" outlineLevel="1">
      <c r="A1264" s="1110" t="s">
        <v>853</v>
      </c>
      <c r="B1264" s="170">
        <v>0</v>
      </c>
      <c r="C1264" s="171">
        <v>295.06</v>
      </c>
      <c r="D1264" s="172">
        <v>20366.96</v>
      </c>
      <c r="E1264" s="144">
        <f t="shared" ref="E1264" si="22">SUM(B1264:D1264)</f>
        <v>20662.02</v>
      </c>
      <c r="F1264" s="125" t="s">
        <v>854</v>
      </c>
    </row>
    <row r="1265" spans="1:6" collapsed="1">
      <c r="A1265" s="1110" t="str">
        <f>A405</f>
        <v>Regelzone TenneT (gesamt)</v>
      </c>
      <c r="B1265" s="175">
        <f>SUM(B1266:B1594)</f>
        <v>1034399.7299999997</v>
      </c>
      <c r="C1265" s="176">
        <f>SUM(C1266:C1594)</f>
        <v>18645069.389999993</v>
      </c>
      <c r="D1265" s="177">
        <f>SUM(D1266:D1594)</f>
        <v>251556871.67999998</v>
      </c>
      <c r="E1265" s="144">
        <f t="shared" si="18"/>
        <v>271236340.79999995</v>
      </c>
      <c r="F1265" s="127"/>
    </row>
    <row r="1266" spans="1:6" hidden="1" outlineLevel="1">
      <c r="A1266" s="870" t="s">
        <v>856</v>
      </c>
      <c r="B1266" s="163">
        <v>0</v>
      </c>
      <c r="C1266" s="178">
        <v>0</v>
      </c>
      <c r="D1266" s="179">
        <v>6898.92</v>
      </c>
      <c r="E1266" s="145">
        <f t="shared" ref="E1266:E1329" si="23">SUM(B1266:D1266)</f>
        <v>6898.92</v>
      </c>
      <c r="F1266" s="112" t="s">
        <v>857</v>
      </c>
    </row>
    <row r="1267" spans="1:6" hidden="1" outlineLevel="1">
      <c r="A1267" s="870" t="s">
        <v>858</v>
      </c>
      <c r="B1267" s="163">
        <v>0</v>
      </c>
      <c r="C1267" s="178">
        <v>0</v>
      </c>
      <c r="D1267" s="179">
        <v>3564.63</v>
      </c>
      <c r="E1267" s="145">
        <f t="shared" si="23"/>
        <v>3564.63</v>
      </c>
      <c r="F1267" s="112" t="s">
        <v>859</v>
      </c>
    </row>
    <row r="1268" spans="1:6" hidden="1" outlineLevel="1">
      <c r="A1268" s="870" t="s">
        <v>860</v>
      </c>
      <c r="B1268" s="163">
        <v>0</v>
      </c>
      <c r="C1268" s="178">
        <v>24789.91</v>
      </c>
      <c r="D1268" s="179">
        <v>0</v>
      </c>
      <c r="E1268" s="145">
        <f t="shared" si="23"/>
        <v>24789.91</v>
      </c>
      <c r="F1268" s="112" t="s">
        <v>861</v>
      </c>
    </row>
    <row r="1269" spans="1:6" hidden="1" outlineLevel="1">
      <c r="A1269" s="870" t="s">
        <v>862</v>
      </c>
      <c r="B1269" s="163">
        <v>0</v>
      </c>
      <c r="C1269" s="178">
        <v>92.84</v>
      </c>
      <c r="D1269" s="179">
        <v>1361.4</v>
      </c>
      <c r="E1269" s="145">
        <f t="shared" si="23"/>
        <v>1454.24</v>
      </c>
      <c r="F1269" s="112" t="s">
        <v>863</v>
      </c>
    </row>
    <row r="1270" spans="1:6" hidden="1" outlineLevel="1">
      <c r="A1270" s="870" t="s">
        <v>864</v>
      </c>
      <c r="B1270" s="163">
        <v>0</v>
      </c>
      <c r="C1270" s="178">
        <v>0</v>
      </c>
      <c r="D1270" s="179">
        <v>53753.03</v>
      </c>
      <c r="E1270" s="145">
        <f t="shared" si="23"/>
        <v>53753.03</v>
      </c>
      <c r="F1270" s="112" t="s">
        <v>865</v>
      </c>
    </row>
    <row r="1271" spans="1:6" hidden="1" outlineLevel="1">
      <c r="A1271" s="870" t="s">
        <v>866</v>
      </c>
      <c r="B1271" s="163">
        <v>0</v>
      </c>
      <c r="C1271" s="178">
        <v>0</v>
      </c>
      <c r="D1271" s="179">
        <v>1122.1200000000001</v>
      </c>
      <c r="E1271" s="145">
        <f t="shared" si="23"/>
        <v>1122.1200000000001</v>
      </c>
      <c r="F1271" s="112" t="s">
        <v>867</v>
      </c>
    </row>
    <row r="1272" spans="1:6" hidden="1" outlineLevel="1">
      <c r="A1272" s="870" t="s">
        <v>868</v>
      </c>
      <c r="B1272" s="163">
        <v>0</v>
      </c>
      <c r="C1272" s="178">
        <v>6557.57</v>
      </c>
      <c r="D1272" s="179">
        <v>41604.160000000003</v>
      </c>
      <c r="E1272" s="145">
        <f t="shared" si="23"/>
        <v>48161.73</v>
      </c>
      <c r="F1272" s="112" t="s">
        <v>869</v>
      </c>
    </row>
    <row r="1273" spans="1:6" hidden="1" outlineLevel="1">
      <c r="A1273" s="870" t="s">
        <v>870</v>
      </c>
      <c r="B1273" s="163">
        <v>0</v>
      </c>
      <c r="C1273" s="178">
        <v>12637.05</v>
      </c>
      <c r="D1273" s="179">
        <v>157827.1</v>
      </c>
      <c r="E1273" s="145">
        <f t="shared" si="23"/>
        <v>170464.15</v>
      </c>
      <c r="F1273" s="112" t="s">
        <v>871</v>
      </c>
    </row>
    <row r="1274" spans="1:6" hidden="1" outlineLevel="1">
      <c r="A1274" s="870" t="s">
        <v>872</v>
      </c>
      <c r="B1274" s="163">
        <v>0</v>
      </c>
      <c r="C1274" s="178">
        <v>7973.96</v>
      </c>
      <c r="D1274" s="179">
        <v>9789.2099999999991</v>
      </c>
      <c r="E1274" s="145">
        <f t="shared" si="23"/>
        <v>17763.169999999998</v>
      </c>
      <c r="F1274" s="112" t="s">
        <v>873</v>
      </c>
    </row>
    <row r="1275" spans="1:6" hidden="1" outlineLevel="1">
      <c r="A1275" s="870" t="s">
        <v>874</v>
      </c>
      <c r="B1275" s="163">
        <v>0</v>
      </c>
      <c r="C1275" s="178">
        <v>58870.36</v>
      </c>
      <c r="D1275" s="179">
        <v>152662.09999999998</v>
      </c>
      <c r="E1275" s="145">
        <f t="shared" si="23"/>
        <v>211532.45999999996</v>
      </c>
      <c r="F1275" s="112" t="s">
        <v>875</v>
      </c>
    </row>
    <row r="1276" spans="1:6" hidden="1" outlineLevel="1">
      <c r="A1276" s="870" t="s">
        <v>876</v>
      </c>
      <c r="B1276" s="163">
        <v>0</v>
      </c>
      <c r="C1276" s="178">
        <v>0</v>
      </c>
      <c r="D1276" s="179">
        <v>859653.39</v>
      </c>
      <c r="E1276" s="145">
        <f t="shared" si="23"/>
        <v>859653.39</v>
      </c>
      <c r="F1276" s="112" t="s">
        <v>877</v>
      </c>
    </row>
    <row r="1277" spans="1:6" hidden="1" outlineLevel="1">
      <c r="A1277" s="870" t="s">
        <v>878</v>
      </c>
      <c r="B1277" s="163">
        <v>0</v>
      </c>
      <c r="C1277" s="178">
        <v>13787.72</v>
      </c>
      <c r="D1277" s="179">
        <v>1249.1199999999999</v>
      </c>
      <c r="E1277" s="145">
        <f t="shared" si="23"/>
        <v>15036.84</v>
      </c>
      <c r="F1277" s="112" t="s">
        <v>879</v>
      </c>
    </row>
    <row r="1278" spans="1:6" hidden="1" outlineLevel="1">
      <c r="A1278" s="870" t="s">
        <v>322</v>
      </c>
      <c r="B1278" s="163">
        <v>0</v>
      </c>
      <c r="C1278" s="178">
        <v>10397.629999999999</v>
      </c>
      <c r="D1278" s="179">
        <v>21818.92</v>
      </c>
      <c r="E1278" s="145">
        <f t="shared" si="23"/>
        <v>32216.549999999996</v>
      </c>
      <c r="F1278" s="112" t="s">
        <v>323</v>
      </c>
    </row>
    <row r="1279" spans="1:6" hidden="1" outlineLevel="1">
      <c r="A1279" s="870" t="s">
        <v>880</v>
      </c>
      <c r="B1279" s="163">
        <v>0</v>
      </c>
      <c r="C1279" s="178">
        <v>1141.51</v>
      </c>
      <c r="D1279" s="179">
        <v>74074.880000000005</v>
      </c>
      <c r="E1279" s="145">
        <f t="shared" si="23"/>
        <v>75216.39</v>
      </c>
      <c r="F1279" s="112" t="s">
        <v>881</v>
      </c>
    </row>
    <row r="1280" spans="1:6" hidden="1" outlineLevel="1">
      <c r="A1280" s="870" t="s">
        <v>882</v>
      </c>
      <c r="B1280" s="163">
        <v>0</v>
      </c>
      <c r="C1280" s="178">
        <v>27488.03</v>
      </c>
      <c r="D1280" s="179">
        <v>161145.72</v>
      </c>
      <c r="E1280" s="145">
        <f t="shared" si="23"/>
        <v>188633.75</v>
      </c>
      <c r="F1280" s="112" t="s">
        <v>883</v>
      </c>
    </row>
    <row r="1281" spans="1:6" hidden="1" outlineLevel="1">
      <c r="A1281" s="870" t="s">
        <v>884</v>
      </c>
      <c r="B1281" s="163">
        <v>0</v>
      </c>
      <c r="C1281" s="178">
        <v>16889.34</v>
      </c>
      <c r="D1281" s="179">
        <v>104816.73000000001</v>
      </c>
      <c r="E1281" s="145">
        <f t="shared" si="23"/>
        <v>121706.07</v>
      </c>
      <c r="F1281" s="112" t="s">
        <v>885</v>
      </c>
    </row>
    <row r="1282" spans="1:6" hidden="1" outlineLevel="1">
      <c r="A1282" s="870" t="s">
        <v>886</v>
      </c>
      <c r="B1282" s="163">
        <v>0</v>
      </c>
      <c r="C1282" s="178">
        <v>1628.03</v>
      </c>
      <c r="D1282" s="179">
        <v>47730.28</v>
      </c>
      <c r="E1282" s="145">
        <f t="shared" si="23"/>
        <v>49358.31</v>
      </c>
      <c r="F1282" s="112" t="s">
        <v>887</v>
      </c>
    </row>
    <row r="1283" spans="1:6" hidden="1" outlineLevel="1">
      <c r="A1283" s="870" t="s">
        <v>888</v>
      </c>
      <c r="B1283" s="163">
        <v>0</v>
      </c>
      <c r="C1283" s="178">
        <v>64974.84</v>
      </c>
      <c r="D1283" s="179">
        <v>66512.959999999992</v>
      </c>
      <c r="E1283" s="145">
        <f t="shared" si="23"/>
        <v>131487.79999999999</v>
      </c>
      <c r="F1283" s="112" t="s">
        <v>889</v>
      </c>
    </row>
    <row r="1284" spans="1:6" hidden="1" outlineLevel="1">
      <c r="A1284" s="870" t="s">
        <v>890</v>
      </c>
      <c r="B1284" s="163">
        <v>0</v>
      </c>
      <c r="C1284" s="178">
        <v>103441.69</v>
      </c>
      <c r="D1284" s="179">
        <v>112210.45</v>
      </c>
      <c r="E1284" s="145">
        <f t="shared" si="23"/>
        <v>215652.14</v>
      </c>
      <c r="F1284" s="112" t="s">
        <v>891</v>
      </c>
    </row>
    <row r="1285" spans="1:6" hidden="1" outlineLevel="1">
      <c r="A1285" s="870" t="s">
        <v>892</v>
      </c>
      <c r="B1285" s="163">
        <v>0</v>
      </c>
      <c r="C1285" s="178">
        <v>9145.93</v>
      </c>
      <c r="D1285" s="179">
        <v>0</v>
      </c>
      <c r="E1285" s="145">
        <f t="shared" si="23"/>
        <v>9145.93</v>
      </c>
      <c r="F1285" s="112" t="s">
        <v>893</v>
      </c>
    </row>
    <row r="1286" spans="1:6" hidden="1" outlineLevel="1">
      <c r="A1286" s="870" t="s">
        <v>894</v>
      </c>
      <c r="B1286" s="163">
        <v>0</v>
      </c>
      <c r="C1286" s="178">
        <v>0</v>
      </c>
      <c r="D1286" s="179">
        <v>32296.909999999993</v>
      </c>
      <c r="E1286" s="145">
        <f t="shared" si="23"/>
        <v>32296.909999999993</v>
      </c>
      <c r="F1286" s="112" t="s">
        <v>895</v>
      </c>
    </row>
    <row r="1287" spans="1:6" hidden="1" outlineLevel="1">
      <c r="A1287" s="870" t="s">
        <v>896</v>
      </c>
      <c r="B1287" s="163">
        <v>0</v>
      </c>
      <c r="C1287" s="178">
        <v>5327.04</v>
      </c>
      <c r="D1287" s="179">
        <v>32201.84</v>
      </c>
      <c r="E1287" s="145">
        <f t="shared" si="23"/>
        <v>37528.879999999997</v>
      </c>
      <c r="F1287" s="112" t="s">
        <v>897</v>
      </c>
    </row>
    <row r="1288" spans="1:6" hidden="1" outlineLevel="1">
      <c r="A1288" s="870" t="s">
        <v>898</v>
      </c>
      <c r="B1288" s="163">
        <v>0</v>
      </c>
      <c r="C1288" s="178">
        <v>8812.35</v>
      </c>
      <c r="D1288" s="179">
        <v>11192.32</v>
      </c>
      <c r="E1288" s="145">
        <f t="shared" si="23"/>
        <v>20004.669999999998</v>
      </c>
      <c r="F1288" s="112" t="s">
        <v>899</v>
      </c>
    </row>
    <row r="1289" spans="1:6" hidden="1" outlineLevel="1">
      <c r="A1289" s="870" t="s">
        <v>900</v>
      </c>
      <c r="B1289" s="163">
        <v>0</v>
      </c>
      <c r="C1289" s="178">
        <v>1059.44</v>
      </c>
      <c r="D1289" s="179">
        <v>0</v>
      </c>
      <c r="E1289" s="145">
        <f t="shared" si="23"/>
        <v>1059.44</v>
      </c>
      <c r="F1289" s="112" t="s">
        <v>901</v>
      </c>
    </row>
    <row r="1290" spans="1:6" hidden="1" outlineLevel="1">
      <c r="A1290" s="870" t="s">
        <v>902</v>
      </c>
      <c r="B1290" s="163">
        <v>0</v>
      </c>
      <c r="C1290" s="178">
        <v>21979.040000000001</v>
      </c>
      <c r="D1290" s="179">
        <v>341204.51</v>
      </c>
      <c r="E1290" s="145">
        <f t="shared" si="23"/>
        <v>363183.55</v>
      </c>
      <c r="F1290" s="112" t="s">
        <v>903</v>
      </c>
    </row>
    <row r="1291" spans="1:6" hidden="1" outlineLevel="1">
      <c r="A1291" s="870" t="s">
        <v>904</v>
      </c>
      <c r="B1291" s="163">
        <v>0</v>
      </c>
      <c r="C1291" s="178">
        <v>34977.870000000003</v>
      </c>
      <c r="D1291" s="179">
        <v>60934.11</v>
      </c>
      <c r="E1291" s="145">
        <f t="shared" si="23"/>
        <v>95911.98000000001</v>
      </c>
      <c r="F1291" s="112" t="s">
        <v>905</v>
      </c>
    </row>
    <row r="1292" spans="1:6" hidden="1" outlineLevel="1">
      <c r="A1292" s="870" t="s">
        <v>906</v>
      </c>
      <c r="B1292" s="163">
        <v>0</v>
      </c>
      <c r="C1292" s="178">
        <v>22024.29</v>
      </c>
      <c r="D1292" s="179">
        <v>9806.4399999999987</v>
      </c>
      <c r="E1292" s="145">
        <f t="shared" si="23"/>
        <v>31830.73</v>
      </c>
      <c r="F1292" s="112" t="s">
        <v>907</v>
      </c>
    </row>
    <row r="1293" spans="1:6" hidden="1" outlineLevel="1">
      <c r="A1293" s="870" t="s">
        <v>908</v>
      </c>
      <c r="B1293" s="163">
        <v>0</v>
      </c>
      <c r="C1293" s="178">
        <v>12781.94</v>
      </c>
      <c r="D1293" s="179">
        <v>96797.760000000009</v>
      </c>
      <c r="E1293" s="145">
        <f t="shared" si="23"/>
        <v>109579.70000000001</v>
      </c>
      <c r="F1293" s="112" t="s">
        <v>909</v>
      </c>
    </row>
    <row r="1294" spans="1:6" hidden="1" outlineLevel="1">
      <c r="A1294" s="870" t="s">
        <v>910</v>
      </c>
      <c r="B1294" s="163">
        <v>0</v>
      </c>
      <c r="C1294" s="178">
        <v>36080.21</v>
      </c>
      <c r="D1294" s="179">
        <v>393067.88</v>
      </c>
      <c r="E1294" s="145">
        <f t="shared" si="23"/>
        <v>429148.09</v>
      </c>
      <c r="F1294" s="112" t="s">
        <v>911</v>
      </c>
    </row>
    <row r="1295" spans="1:6" hidden="1" outlineLevel="1">
      <c r="A1295" s="870" t="s">
        <v>912</v>
      </c>
      <c r="B1295" s="163">
        <v>0</v>
      </c>
      <c r="C1295" s="178">
        <v>0</v>
      </c>
      <c r="D1295" s="179">
        <v>16120.64</v>
      </c>
      <c r="E1295" s="145">
        <f t="shared" si="23"/>
        <v>16120.64</v>
      </c>
      <c r="F1295" s="112" t="s">
        <v>913</v>
      </c>
    </row>
    <row r="1296" spans="1:6" hidden="1" outlineLevel="1">
      <c r="A1296" s="870" t="s">
        <v>914</v>
      </c>
      <c r="B1296" s="163">
        <v>0</v>
      </c>
      <c r="C1296" s="178">
        <v>2208.9</v>
      </c>
      <c r="D1296" s="179">
        <v>510190.67</v>
      </c>
      <c r="E1296" s="145">
        <f t="shared" si="23"/>
        <v>512399.57</v>
      </c>
      <c r="F1296" s="112" t="s">
        <v>915</v>
      </c>
    </row>
    <row r="1297" spans="1:6" hidden="1" outlineLevel="1">
      <c r="A1297" s="870" t="s">
        <v>916</v>
      </c>
      <c r="B1297" s="163">
        <v>0</v>
      </c>
      <c r="C1297" s="178">
        <v>0</v>
      </c>
      <c r="D1297" s="179">
        <v>11545.789999999999</v>
      </c>
      <c r="E1297" s="145">
        <f t="shared" si="23"/>
        <v>11545.789999999999</v>
      </c>
      <c r="F1297" s="112" t="s">
        <v>917</v>
      </c>
    </row>
    <row r="1298" spans="1:6" hidden="1" outlineLevel="1">
      <c r="A1298" s="870" t="s">
        <v>918</v>
      </c>
      <c r="B1298" s="163">
        <v>0</v>
      </c>
      <c r="C1298" s="178">
        <v>5389.06</v>
      </c>
      <c r="D1298" s="179">
        <v>44651.199999999997</v>
      </c>
      <c r="E1298" s="145">
        <f t="shared" si="23"/>
        <v>50040.259999999995</v>
      </c>
      <c r="F1298" s="112" t="s">
        <v>919</v>
      </c>
    </row>
    <row r="1299" spans="1:6" hidden="1" outlineLevel="1">
      <c r="A1299" s="870" t="s">
        <v>920</v>
      </c>
      <c r="B1299" s="163">
        <v>0</v>
      </c>
      <c r="C1299" s="178">
        <v>46183.27</v>
      </c>
      <c r="D1299" s="179">
        <v>201337.51</v>
      </c>
      <c r="E1299" s="145">
        <f t="shared" si="23"/>
        <v>247520.78</v>
      </c>
      <c r="F1299" s="112" t="s">
        <v>921</v>
      </c>
    </row>
    <row r="1300" spans="1:6" hidden="1" outlineLevel="1">
      <c r="A1300" s="870" t="s">
        <v>922</v>
      </c>
      <c r="B1300" s="163">
        <v>0</v>
      </c>
      <c r="C1300" s="178">
        <v>0</v>
      </c>
      <c r="D1300" s="179">
        <v>2827.08</v>
      </c>
      <c r="E1300" s="145">
        <f t="shared" si="23"/>
        <v>2827.08</v>
      </c>
      <c r="F1300" s="112" t="s">
        <v>923</v>
      </c>
    </row>
    <row r="1301" spans="1:6" hidden="1" outlineLevel="1">
      <c r="A1301" s="870" t="s">
        <v>924</v>
      </c>
      <c r="B1301" s="163">
        <v>0</v>
      </c>
      <c r="C1301" s="178">
        <v>0</v>
      </c>
      <c r="D1301" s="179">
        <v>3520</v>
      </c>
      <c r="E1301" s="145">
        <f t="shared" si="23"/>
        <v>3520</v>
      </c>
      <c r="F1301" s="112" t="s">
        <v>925</v>
      </c>
    </row>
    <row r="1302" spans="1:6" hidden="1" outlineLevel="1">
      <c r="A1302" s="870" t="s">
        <v>926</v>
      </c>
      <c r="B1302" s="163">
        <v>35506.730000000003</v>
      </c>
      <c r="C1302" s="178">
        <v>80187.289999999994</v>
      </c>
      <c r="D1302" s="179">
        <v>497614.73</v>
      </c>
      <c r="E1302" s="145">
        <f t="shared" si="23"/>
        <v>613308.75</v>
      </c>
      <c r="F1302" s="112" t="s">
        <v>927</v>
      </c>
    </row>
    <row r="1303" spans="1:6" hidden="1" outlineLevel="1">
      <c r="A1303" s="870" t="s">
        <v>928</v>
      </c>
      <c r="B1303" s="163">
        <v>0</v>
      </c>
      <c r="C1303" s="178">
        <v>7368.53</v>
      </c>
      <c r="D1303" s="179">
        <v>28892.16</v>
      </c>
      <c r="E1303" s="145">
        <f t="shared" si="23"/>
        <v>36260.69</v>
      </c>
      <c r="F1303" s="112" t="s">
        <v>929</v>
      </c>
    </row>
    <row r="1304" spans="1:6" hidden="1" outlineLevel="1">
      <c r="A1304" s="870" t="s">
        <v>930</v>
      </c>
      <c r="B1304" s="163">
        <v>0</v>
      </c>
      <c r="C1304" s="178">
        <v>15646.109999999999</v>
      </c>
      <c r="D1304" s="179">
        <v>125293.09</v>
      </c>
      <c r="E1304" s="145">
        <f t="shared" si="23"/>
        <v>140939.19999999998</v>
      </c>
      <c r="F1304" s="112" t="s">
        <v>931</v>
      </c>
    </row>
    <row r="1305" spans="1:6" hidden="1" outlineLevel="1">
      <c r="A1305" s="870" t="s">
        <v>932</v>
      </c>
      <c r="B1305" s="163">
        <v>0</v>
      </c>
      <c r="C1305" s="178">
        <v>0</v>
      </c>
      <c r="D1305" s="179">
        <v>4271.54</v>
      </c>
      <c r="E1305" s="145">
        <f t="shared" si="23"/>
        <v>4271.54</v>
      </c>
      <c r="F1305" s="112" t="s">
        <v>933</v>
      </c>
    </row>
    <row r="1306" spans="1:6" hidden="1" outlineLevel="1">
      <c r="A1306" s="870" t="s">
        <v>934</v>
      </c>
      <c r="B1306" s="163">
        <v>780815.21</v>
      </c>
      <c r="C1306" s="178">
        <v>0</v>
      </c>
      <c r="D1306" s="179">
        <v>0</v>
      </c>
      <c r="E1306" s="145">
        <f t="shared" si="23"/>
        <v>780815.21</v>
      </c>
      <c r="F1306" s="112" t="s">
        <v>935</v>
      </c>
    </row>
    <row r="1307" spans="1:6" hidden="1" outlineLevel="1">
      <c r="A1307" s="870" t="s">
        <v>936</v>
      </c>
      <c r="B1307" s="163">
        <v>0</v>
      </c>
      <c r="C1307" s="178">
        <v>123136.04000000001</v>
      </c>
      <c r="D1307" s="179">
        <v>1211256.52</v>
      </c>
      <c r="E1307" s="145">
        <f t="shared" si="23"/>
        <v>1334392.56</v>
      </c>
      <c r="F1307" s="112" t="s">
        <v>937</v>
      </c>
    </row>
    <row r="1308" spans="1:6" hidden="1" outlineLevel="1">
      <c r="A1308" s="870" t="s">
        <v>938</v>
      </c>
      <c r="B1308" s="163">
        <v>0</v>
      </c>
      <c r="C1308" s="178">
        <v>8804.2999999999993</v>
      </c>
      <c r="D1308" s="179">
        <v>144.16</v>
      </c>
      <c r="E1308" s="145">
        <f t="shared" si="23"/>
        <v>8948.4599999999991</v>
      </c>
      <c r="F1308" s="112" t="s">
        <v>939</v>
      </c>
    </row>
    <row r="1309" spans="1:6" hidden="1" outlineLevel="1">
      <c r="A1309" s="870" t="s">
        <v>940</v>
      </c>
      <c r="B1309" s="163">
        <v>0</v>
      </c>
      <c r="C1309" s="178">
        <v>4725.3100000000004</v>
      </c>
      <c r="D1309" s="179">
        <v>74769.090000000011</v>
      </c>
      <c r="E1309" s="145">
        <f t="shared" si="23"/>
        <v>79494.400000000009</v>
      </c>
      <c r="F1309" s="112" t="s">
        <v>941</v>
      </c>
    </row>
    <row r="1310" spans="1:6" hidden="1" outlineLevel="1">
      <c r="A1310" s="870" t="s">
        <v>942</v>
      </c>
      <c r="B1310" s="163">
        <v>0</v>
      </c>
      <c r="C1310" s="178">
        <v>593.15</v>
      </c>
      <c r="D1310" s="179">
        <v>7161.84</v>
      </c>
      <c r="E1310" s="145">
        <f t="shared" si="23"/>
        <v>7754.99</v>
      </c>
      <c r="F1310" s="112" t="s">
        <v>943</v>
      </c>
    </row>
    <row r="1311" spans="1:6" hidden="1" outlineLevel="1">
      <c r="A1311" s="870" t="s">
        <v>210</v>
      </c>
      <c r="B1311" s="163">
        <v>0</v>
      </c>
      <c r="C1311" s="178">
        <v>48154.559999999998</v>
      </c>
      <c r="D1311" s="179">
        <v>98054.67</v>
      </c>
      <c r="E1311" s="145">
        <f t="shared" si="23"/>
        <v>146209.22999999998</v>
      </c>
      <c r="F1311" s="112" t="s">
        <v>211</v>
      </c>
    </row>
    <row r="1312" spans="1:6" hidden="1" outlineLevel="1">
      <c r="A1312" s="870" t="s">
        <v>944</v>
      </c>
      <c r="B1312" s="163">
        <v>0</v>
      </c>
      <c r="C1312" s="178">
        <v>3.46</v>
      </c>
      <c r="D1312" s="179">
        <v>109651.43</v>
      </c>
      <c r="E1312" s="145">
        <f t="shared" si="23"/>
        <v>109654.89</v>
      </c>
      <c r="F1312" s="112" t="s">
        <v>945</v>
      </c>
    </row>
    <row r="1313" spans="1:6" hidden="1" outlineLevel="1">
      <c r="A1313" s="870" t="s">
        <v>946</v>
      </c>
      <c r="B1313" s="163">
        <v>0</v>
      </c>
      <c r="C1313" s="178">
        <v>1452.75</v>
      </c>
      <c r="D1313" s="179">
        <v>32028.16</v>
      </c>
      <c r="E1313" s="145">
        <f t="shared" si="23"/>
        <v>33480.910000000003</v>
      </c>
      <c r="F1313" s="112" t="s">
        <v>947</v>
      </c>
    </row>
    <row r="1314" spans="1:6" hidden="1" outlineLevel="1">
      <c r="A1314" s="870" t="s">
        <v>948</v>
      </c>
      <c r="B1314" s="163">
        <v>0</v>
      </c>
      <c r="C1314" s="178">
        <v>2774.9</v>
      </c>
      <c r="D1314" s="179">
        <v>0</v>
      </c>
      <c r="E1314" s="145">
        <f t="shared" si="23"/>
        <v>2774.9</v>
      </c>
      <c r="F1314" s="112" t="s">
        <v>949</v>
      </c>
    </row>
    <row r="1315" spans="1:6" hidden="1" outlineLevel="1">
      <c r="A1315" s="870" t="s">
        <v>950</v>
      </c>
      <c r="B1315" s="163">
        <v>0</v>
      </c>
      <c r="C1315" s="178">
        <v>3448.17</v>
      </c>
      <c r="D1315" s="179">
        <v>11973.929999999998</v>
      </c>
      <c r="E1315" s="145">
        <f t="shared" si="23"/>
        <v>15422.099999999999</v>
      </c>
      <c r="F1315" s="112" t="s">
        <v>951</v>
      </c>
    </row>
    <row r="1316" spans="1:6" hidden="1" outlineLevel="1">
      <c r="A1316" s="870" t="s">
        <v>952</v>
      </c>
      <c r="B1316" s="163">
        <v>0</v>
      </c>
      <c r="C1316" s="178">
        <v>16646.41</v>
      </c>
      <c r="D1316" s="179">
        <v>57167.64</v>
      </c>
      <c r="E1316" s="145">
        <f t="shared" si="23"/>
        <v>73814.05</v>
      </c>
      <c r="F1316" s="112" t="s">
        <v>953</v>
      </c>
    </row>
    <row r="1317" spans="1:6" hidden="1" outlineLevel="1">
      <c r="A1317" s="870" t="s">
        <v>954</v>
      </c>
      <c r="B1317" s="163">
        <v>0</v>
      </c>
      <c r="C1317" s="178">
        <v>10244.4</v>
      </c>
      <c r="D1317" s="179">
        <v>120953.53</v>
      </c>
      <c r="E1317" s="145">
        <f t="shared" si="23"/>
        <v>131197.93</v>
      </c>
      <c r="F1317" s="112" t="s">
        <v>955</v>
      </c>
    </row>
    <row r="1318" spans="1:6" hidden="1" outlineLevel="1">
      <c r="A1318" s="870" t="s">
        <v>956</v>
      </c>
      <c r="B1318" s="163">
        <v>0</v>
      </c>
      <c r="C1318" s="178">
        <v>25396.92</v>
      </c>
      <c r="D1318" s="179">
        <v>8769.08</v>
      </c>
      <c r="E1318" s="145">
        <f t="shared" si="23"/>
        <v>34166</v>
      </c>
      <c r="F1318" s="112" t="s">
        <v>957</v>
      </c>
    </row>
    <row r="1319" spans="1:6" hidden="1" outlineLevel="1">
      <c r="A1319" s="870" t="s">
        <v>958</v>
      </c>
      <c r="B1319" s="163">
        <v>0</v>
      </c>
      <c r="C1319" s="178">
        <v>1111.1099999999999</v>
      </c>
      <c r="D1319" s="179">
        <v>32294.45</v>
      </c>
      <c r="E1319" s="145">
        <f t="shared" si="23"/>
        <v>33405.56</v>
      </c>
      <c r="F1319" s="112" t="s">
        <v>959</v>
      </c>
    </row>
    <row r="1320" spans="1:6" hidden="1" outlineLevel="1">
      <c r="A1320" s="870" t="s">
        <v>960</v>
      </c>
      <c r="B1320" s="163">
        <v>0</v>
      </c>
      <c r="C1320" s="178">
        <v>9.1999999999999993</v>
      </c>
      <c r="D1320" s="179">
        <v>81815.010000000009</v>
      </c>
      <c r="E1320" s="145">
        <f t="shared" si="23"/>
        <v>81824.210000000006</v>
      </c>
      <c r="F1320" s="112" t="s">
        <v>961</v>
      </c>
    </row>
    <row r="1321" spans="1:6" hidden="1" outlineLevel="1">
      <c r="A1321" s="870" t="s">
        <v>962</v>
      </c>
      <c r="B1321" s="163">
        <v>0</v>
      </c>
      <c r="C1321" s="178">
        <v>9088.6299999999992</v>
      </c>
      <c r="D1321" s="179">
        <v>2301221.5099999993</v>
      </c>
      <c r="E1321" s="145">
        <f t="shared" si="23"/>
        <v>2310310.1399999992</v>
      </c>
      <c r="F1321" s="112" t="s">
        <v>963</v>
      </c>
    </row>
    <row r="1322" spans="1:6" hidden="1" outlineLevel="1">
      <c r="A1322" s="870" t="s">
        <v>964</v>
      </c>
      <c r="B1322" s="163">
        <v>0</v>
      </c>
      <c r="C1322" s="178">
        <v>8871.7999999999993</v>
      </c>
      <c r="D1322" s="179">
        <v>136335.88</v>
      </c>
      <c r="E1322" s="145">
        <f t="shared" si="23"/>
        <v>145207.67999999999</v>
      </c>
      <c r="F1322" s="112" t="s">
        <v>965</v>
      </c>
    </row>
    <row r="1323" spans="1:6" hidden="1" outlineLevel="1">
      <c r="A1323" s="870" t="s">
        <v>966</v>
      </c>
      <c r="B1323" s="163">
        <v>0</v>
      </c>
      <c r="C1323" s="178">
        <v>0</v>
      </c>
      <c r="D1323" s="179">
        <v>135.88</v>
      </c>
      <c r="E1323" s="145">
        <f t="shared" si="23"/>
        <v>135.88</v>
      </c>
      <c r="F1323" s="112" t="s">
        <v>967</v>
      </c>
    </row>
    <row r="1324" spans="1:6" hidden="1" outlineLevel="1">
      <c r="A1324" s="870" t="s">
        <v>968</v>
      </c>
      <c r="B1324" s="163">
        <v>0</v>
      </c>
      <c r="C1324" s="178">
        <v>6260.45</v>
      </c>
      <c r="D1324" s="179">
        <v>187672.96000000002</v>
      </c>
      <c r="E1324" s="145">
        <f t="shared" si="23"/>
        <v>193933.41000000003</v>
      </c>
      <c r="F1324" s="112" t="s">
        <v>969</v>
      </c>
    </row>
    <row r="1325" spans="1:6" hidden="1" outlineLevel="1">
      <c r="A1325" s="870" t="s">
        <v>970</v>
      </c>
      <c r="B1325" s="163">
        <v>0</v>
      </c>
      <c r="C1325" s="178">
        <v>2967.06</v>
      </c>
      <c r="D1325" s="179">
        <v>22375.439999999999</v>
      </c>
      <c r="E1325" s="145">
        <f t="shared" si="23"/>
        <v>25342.5</v>
      </c>
      <c r="F1325" s="112" t="s">
        <v>971</v>
      </c>
    </row>
    <row r="1326" spans="1:6" hidden="1" outlineLevel="1">
      <c r="A1326" s="870" t="s">
        <v>972</v>
      </c>
      <c r="B1326" s="163">
        <v>0</v>
      </c>
      <c r="C1326" s="178">
        <v>28913.53</v>
      </c>
      <c r="D1326" s="179">
        <v>183118.79</v>
      </c>
      <c r="E1326" s="145">
        <f t="shared" si="23"/>
        <v>212032.32</v>
      </c>
      <c r="F1326" s="112" t="s">
        <v>973</v>
      </c>
    </row>
    <row r="1327" spans="1:6" hidden="1" outlineLevel="1">
      <c r="A1327" s="870" t="s">
        <v>974</v>
      </c>
      <c r="B1327" s="163">
        <v>0</v>
      </c>
      <c r="C1327" s="178">
        <v>98433.21</v>
      </c>
      <c r="D1327" s="179">
        <v>548571.2300000001</v>
      </c>
      <c r="E1327" s="145">
        <f t="shared" si="23"/>
        <v>647004.44000000006</v>
      </c>
      <c r="F1327" s="112" t="s">
        <v>975</v>
      </c>
    </row>
    <row r="1328" spans="1:6" hidden="1" outlineLevel="1">
      <c r="A1328" s="870" t="s">
        <v>976</v>
      </c>
      <c r="B1328" s="163">
        <v>0</v>
      </c>
      <c r="C1328" s="178">
        <v>27422.69</v>
      </c>
      <c r="D1328" s="179">
        <v>9506.880000000001</v>
      </c>
      <c r="E1328" s="145">
        <f t="shared" si="23"/>
        <v>36929.57</v>
      </c>
      <c r="F1328" s="112" t="s">
        <v>977</v>
      </c>
    </row>
    <row r="1329" spans="1:6" hidden="1" outlineLevel="1">
      <c r="A1329" s="870" t="s">
        <v>978</v>
      </c>
      <c r="B1329" s="163">
        <v>0</v>
      </c>
      <c r="C1329" s="178">
        <v>10265.959999999999</v>
      </c>
      <c r="D1329" s="179">
        <v>307696.48000000004</v>
      </c>
      <c r="E1329" s="145">
        <f t="shared" si="23"/>
        <v>317962.44000000006</v>
      </c>
      <c r="F1329" s="112" t="s">
        <v>979</v>
      </c>
    </row>
    <row r="1330" spans="1:6" hidden="1" outlineLevel="1">
      <c r="A1330" s="870" t="s">
        <v>980</v>
      </c>
      <c r="B1330" s="163">
        <v>0</v>
      </c>
      <c r="C1330" s="178">
        <v>104538.12</v>
      </c>
      <c r="D1330" s="179">
        <v>453705.52</v>
      </c>
      <c r="E1330" s="145">
        <f t="shared" ref="E1330:E1393" si="24">SUM(B1330:D1330)</f>
        <v>558243.64</v>
      </c>
      <c r="F1330" s="112" t="s">
        <v>981</v>
      </c>
    </row>
    <row r="1331" spans="1:6" hidden="1" outlineLevel="1">
      <c r="A1331" s="870" t="s">
        <v>982</v>
      </c>
      <c r="B1331" s="163">
        <v>0</v>
      </c>
      <c r="C1331" s="178">
        <v>13463.8</v>
      </c>
      <c r="D1331" s="179">
        <v>21804.42</v>
      </c>
      <c r="E1331" s="145">
        <f t="shared" si="24"/>
        <v>35268.22</v>
      </c>
      <c r="F1331" s="112" t="s">
        <v>983</v>
      </c>
    </row>
    <row r="1332" spans="1:6" hidden="1" outlineLevel="1">
      <c r="A1332" s="870" t="s">
        <v>984</v>
      </c>
      <c r="B1332" s="163">
        <v>0</v>
      </c>
      <c r="C1332" s="178">
        <v>46977.36</v>
      </c>
      <c r="D1332" s="179">
        <v>176391.32</v>
      </c>
      <c r="E1332" s="145">
        <f t="shared" si="24"/>
        <v>223368.68</v>
      </c>
      <c r="F1332" s="112" t="s">
        <v>985</v>
      </c>
    </row>
    <row r="1333" spans="1:6" hidden="1" outlineLevel="1">
      <c r="A1333" s="870" t="s">
        <v>986</v>
      </c>
      <c r="B1333" s="163">
        <v>0</v>
      </c>
      <c r="C1333" s="178">
        <v>0</v>
      </c>
      <c r="D1333" s="179">
        <v>8256.32</v>
      </c>
      <c r="E1333" s="145">
        <f t="shared" si="24"/>
        <v>8256.32</v>
      </c>
      <c r="F1333" s="112" t="s">
        <v>987</v>
      </c>
    </row>
    <row r="1334" spans="1:6" hidden="1" outlineLevel="1">
      <c r="A1334" s="870" t="s">
        <v>988</v>
      </c>
      <c r="B1334" s="163">
        <v>0</v>
      </c>
      <c r="C1334" s="178">
        <v>19668.7</v>
      </c>
      <c r="D1334" s="179">
        <v>372713.31000000006</v>
      </c>
      <c r="E1334" s="145">
        <f t="shared" si="24"/>
        <v>392382.01000000007</v>
      </c>
      <c r="F1334" s="112" t="s">
        <v>989</v>
      </c>
    </row>
    <row r="1335" spans="1:6" hidden="1" outlineLevel="1">
      <c r="A1335" s="870" t="s">
        <v>990</v>
      </c>
      <c r="B1335" s="163">
        <v>0</v>
      </c>
      <c r="C1335" s="178">
        <v>4134.8100000000004</v>
      </c>
      <c r="D1335" s="179">
        <v>44649.799999999996</v>
      </c>
      <c r="E1335" s="145">
        <f t="shared" si="24"/>
        <v>48784.609999999993</v>
      </c>
      <c r="F1335" s="112" t="s">
        <v>991</v>
      </c>
    </row>
    <row r="1336" spans="1:6" hidden="1" outlineLevel="1">
      <c r="A1336" s="870" t="s">
        <v>992</v>
      </c>
      <c r="B1336" s="163">
        <v>0</v>
      </c>
      <c r="C1336" s="178">
        <v>2581.2200000000003</v>
      </c>
      <c r="D1336" s="179">
        <v>57559.71</v>
      </c>
      <c r="E1336" s="145">
        <f t="shared" si="24"/>
        <v>60140.93</v>
      </c>
      <c r="F1336" s="112" t="s">
        <v>993</v>
      </c>
    </row>
    <row r="1337" spans="1:6" hidden="1" outlineLevel="1">
      <c r="A1337" s="870" t="s">
        <v>994</v>
      </c>
      <c r="B1337" s="163">
        <v>0</v>
      </c>
      <c r="C1337" s="178">
        <v>1385.55</v>
      </c>
      <c r="D1337" s="179">
        <v>1665.44</v>
      </c>
      <c r="E1337" s="145">
        <f t="shared" si="24"/>
        <v>3050.99</v>
      </c>
      <c r="F1337" s="112" t="s">
        <v>995</v>
      </c>
    </row>
    <row r="1338" spans="1:6" hidden="1" outlineLevel="1">
      <c r="A1338" s="870" t="s">
        <v>996</v>
      </c>
      <c r="B1338" s="163">
        <v>0</v>
      </c>
      <c r="C1338" s="178">
        <v>566.26</v>
      </c>
      <c r="D1338" s="179">
        <v>510.4</v>
      </c>
      <c r="E1338" s="145">
        <f t="shared" si="24"/>
        <v>1076.6599999999999</v>
      </c>
      <c r="F1338" s="112" t="s">
        <v>997</v>
      </c>
    </row>
    <row r="1339" spans="1:6" hidden="1" outlineLevel="1">
      <c r="A1339" s="870" t="s">
        <v>998</v>
      </c>
      <c r="B1339" s="163">
        <v>0</v>
      </c>
      <c r="C1339" s="178">
        <v>0</v>
      </c>
      <c r="D1339" s="179">
        <v>49755.199999999997</v>
      </c>
      <c r="E1339" s="145">
        <f t="shared" si="24"/>
        <v>49755.199999999997</v>
      </c>
      <c r="F1339" s="112" t="s">
        <v>999</v>
      </c>
    </row>
    <row r="1340" spans="1:6" hidden="1" outlineLevel="1">
      <c r="A1340" s="870" t="s">
        <v>1000</v>
      </c>
      <c r="B1340" s="163">
        <v>0</v>
      </c>
      <c r="C1340" s="178">
        <v>0</v>
      </c>
      <c r="D1340" s="179">
        <v>12640.44</v>
      </c>
      <c r="E1340" s="145">
        <f t="shared" si="24"/>
        <v>12640.44</v>
      </c>
      <c r="F1340" s="112" t="s">
        <v>1001</v>
      </c>
    </row>
    <row r="1341" spans="1:6" hidden="1" outlineLevel="1">
      <c r="A1341" s="870" t="s">
        <v>1002</v>
      </c>
      <c r="B1341" s="163">
        <v>0</v>
      </c>
      <c r="C1341" s="178">
        <v>10835.8</v>
      </c>
      <c r="D1341" s="179">
        <v>530771.13</v>
      </c>
      <c r="E1341" s="145">
        <f t="shared" si="24"/>
        <v>541606.93000000005</v>
      </c>
      <c r="F1341" s="112" t="s">
        <v>1003</v>
      </c>
    </row>
    <row r="1342" spans="1:6" hidden="1" outlineLevel="1">
      <c r="A1342" s="870" t="s">
        <v>1004</v>
      </c>
      <c r="B1342" s="163">
        <v>0</v>
      </c>
      <c r="C1342" s="178">
        <v>8881.81</v>
      </c>
      <c r="D1342" s="179">
        <v>3008.12</v>
      </c>
      <c r="E1342" s="145">
        <f t="shared" si="24"/>
        <v>11889.93</v>
      </c>
      <c r="F1342" s="112" t="s">
        <v>1005</v>
      </c>
    </row>
    <row r="1343" spans="1:6" hidden="1" outlineLevel="1">
      <c r="A1343" s="870" t="s">
        <v>1006</v>
      </c>
      <c r="B1343" s="163">
        <v>0</v>
      </c>
      <c r="C1343" s="178">
        <v>2379.75</v>
      </c>
      <c r="D1343" s="179">
        <v>49198.820000000007</v>
      </c>
      <c r="E1343" s="145">
        <f t="shared" si="24"/>
        <v>51578.570000000007</v>
      </c>
      <c r="F1343" s="112" t="s">
        <v>1007</v>
      </c>
    </row>
    <row r="1344" spans="1:6" hidden="1" outlineLevel="1">
      <c r="A1344" s="870" t="s">
        <v>1008</v>
      </c>
      <c r="B1344" s="163">
        <v>0</v>
      </c>
      <c r="C1344" s="178">
        <v>0</v>
      </c>
      <c r="D1344" s="179">
        <v>13246.880000000001</v>
      </c>
      <c r="E1344" s="145">
        <f t="shared" si="24"/>
        <v>13246.880000000001</v>
      </c>
      <c r="F1344" s="112" t="s">
        <v>1009</v>
      </c>
    </row>
    <row r="1345" spans="1:6" hidden="1" outlineLevel="1">
      <c r="A1345" s="870" t="s">
        <v>1010</v>
      </c>
      <c r="B1345" s="163">
        <v>0</v>
      </c>
      <c r="C1345" s="178">
        <v>0</v>
      </c>
      <c r="D1345" s="179">
        <v>80812.240000000005</v>
      </c>
      <c r="E1345" s="145">
        <f t="shared" si="24"/>
        <v>80812.240000000005</v>
      </c>
      <c r="F1345" s="112" t="s">
        <v>1011</v>
      </c>
    </row>
    <row r="1346" spans="1:6" hidden="1" outlineLevel="1">
      <c r="A1346" s="870" t="s">
        <v>1012</v>
      </c>
      <c r="B1346" s="163">
        <v>0</v>
      </c>
      <c r="C1346" s="178">
        <v>0</v>
      </c>
      <c r="D1346" s="179">
        <v>12259.48</v>
      </c>
      <c r="E1346" s="145">
        <f t="shared" si="24"/>
        <v>12259.48</v>
      </c>
      <c r="F1346" s="112" t="s">
        <v>1013</v>
      </c>
    </row>
    <row r="1347" spans="1:6" hidden="1" outlineLevel="1">
      <c r="A1347" s="870" t="s">
        <v>1014</v>
      </c>
      <c r="B1347" s="163">
        <v>0</v>
      </c>
      <c r="C1347" s="178">
        <v>399.58</v>
      </c>
      <c r="D1347" s="179">
        <v>20603.239999999998</v>
      </c>
      <c r="E1347" s="145">
        <f t="shared" si="24"/>
        <v>21002.82</v>
      </c>
      <c r="F1347" s="112" t="s">
        <v>1015</v>
      </c>
    </row>
    <row r="1348" spans="1:6" hidden="1" outlineLevel="1">
      <c r="A1348" s="870" t="s">
        <v>1016</v>
      </c>
      <c r="B1348" s="163">
        <v>0</v>
      </c>
      <c r="C1348" s="178">
        <v>7366.91</v>
      </c>
      <c r="D1348" s="179">
        <v>3220.6</v>
      </c>
      <c r="E1348" s="145">
        <f t="shared" si="24"/>
        <v>10587.51</v>
      </c>
      <c r="F1348" s="112" t="s">
        <v>1017</v>
      </c>
    </row>
    <row r="1349" spans="1:6" hidden="1" outlineLevel="1">
      <c r="A1349" s="870" t="s">
        <v>1018</v>
      </c>
      <c r="B1349" s="163">
        <v>0</v>
      </c>
      <c r="C1349" s="178">
        <v>36307.68</v>
      </c>
      <c r="D1349" s="179">
        <v>75010.600000000006</v>
      </c>
      <c r="E1349" s="145">
        <f t="shared" si="24"/>
        <v>111318.28</v>
      </c>
      <c r="F1349" s="112" t="s">
        <v>1019</v>
      </c>
    </row>
    <row r="1350" spans="1:6" hidden="1" outlineLevel="1">
      <c r="A1350" s="870" t="s">
        <v>1020</v>
      </c>
      <c r="B1350" s="163">
        <v>0</v>
      </c>
      <c r="C1350" s="178">
        <v>13584.37</v>
      </c>
      <c r="D1350" s="179">
        <v>61897.520000000004</v>
      </c>
      <c r="E1350" s="145">
        <f t="shared" si="24"/>
        <v>75481.89</v>
      </c>
      <c r="F1350" s="112" t="s">
        <v>1021</v>
      </c>
    </row>
    <row r="1351" spans="1:6" hidden="1" outlineLevel="1">
      <c r="A1351" s="870" t="s">
        <v>1022</v>
      </c>
      <c r="B1351" s="163">
        <v>0</v>
      </c>
      <c r="C1351" s="178">
        <v>10868.15</v>
      </c>
      <c r="D1351" s="179">
        <v>490844.62999999995</v>
      </c>
      <c r="E1351" s="145">
        <f t="shared" si="24"/>
        <v>501712.77999999997</v>
      </c>
      <c r="F1351" s="112" t="s">
        <v>1023</v>
      </c>
    </row>
    <row r="1352" spans="1:6" hidden="1" outlineLevel="1">
      <c r="A1352" s="870" t="s">
        <v>1024</v>
      </c>
      <c r="B1352" s="163">
        <v>0</v>
      </c>
      <c r="C1352" s="178">
        <v>63645.82</v>
      </c>
      <c r="D1352" s="179">
        <v>2382385.79</v>
      </c>
      <c r="E1352" s="145">
        <f t="shared" si="24"/>
        <v>2446031.61</v>
      </c>
      <c r="F1352" s="112" t="s">
        <v>1025</v>
      </c>
    </row>
    <row r="1353" spans="1:6" hidden="1" outlineLevel="1">
      <c r="A1353" s="870" t="s">
        <v>1026</v>
      </c>
      <c r="B1353" s="163">
        <v>0</v>
      </c>
      <c r="C1353" s="178">
        <v>34117.839999999997</v>
      </c>
      <c r="D1353" s="179">
        <v>118629.95</v>
      </c>
      <c r="E1353" s="145">
        <f t="shared" si="24"/>
        <v>152747.78999999998</v>
      </c>
      <c r="F1353" s="112" t="s">
        <v>1027</v>
      </c>
    </row>
    <row r="1354" spans="1:6" hidden="1" outlineLevel="1">
      <c r="A1354" s="870" t="s">
        <v>1028</v>
      </c>
      <c r="B1354" s="163">
        <v>0</v>
      </c>
      <c r="C1354" s="178">
        <v>7277.37</v>
      </c>
      <c r="D1354" s="179">
        <v>9980.2799999999988</v>
      </c>
      <c r="E1354" s="145">
        <f t="shared" si="24"/>
        <v>17257.649999999998</v>
      </c>
      <c r="F1354" s="112" t="s">
        <v>1029</v>
      </c>
    </row>
    <row r="1355" spans="1:6" hidden="1" outlineLevel="1">
      <c r="A1355" s="870" t="s">
        <v>1030</v>
      </c>
      <c r="B1355" s="163">
        <v>0</v>
      </c>
      <c r="C1355" s="178">
        <v>85548.510000000009</v>
      </c>
      <c r="D1355" s="179">
        <v>3310562.1400000006</v>
      </c>
      <c r="E1355" s="145">
        <f t="shared" si="24"/>
        <v>3396110.6500000004</v>
      </c>
      <c r="F1355" s="112" t="s">
        <v>1031</v>
      </c>
    </row>
    <row r="1356" spans="1:6" hidden="1" outlineLevel="1">
      <c r="A1356" s="870" t="s">
        <v>1032</v>
      </c>
      <c r="B1356" s="163">
        <v>0</v>
      </c>
      <c r="C1356" s="178">
        <v>0</v>
      </c>
      <c r="D1356" s="179">
        <v>29964.570000000003</v>
      </c>
      <c r="E1356" s="145">
        <f t="shared" si="24"/>
        <v>29964.570000000003</v>
      </c>
      <c r="F1356" s="112" t="s">
        <v>1033</v>
      </c>
    </row>
    <row r="1357" spans="1:6" hidden="1" outlineLevel="1">
      <c r="A1357" s="870" t="s">
        <v>1034</v>
      </c>
      <c r="B1357" s="163">
        <v>0</v>
      </c>
      <c r="C1357" s="178">
        <v>1983.09</v>
      </c>
      <c r="D1357" s="179">
        <v>30578.560000000001</v>
      </c>
      <c r="E1357" s="145">
        <f t="shared" si="24"/>
        <v>32561.65</v>
      </c>
      <c r="F1357" s="112" t="s">
        <v>1035</v>
      </c>
    </row>
    <row r="1358" spans="1:6" hidden="1" outlineLevel="1">
      <c r="A1358" s="870" t="s">
        <v>1036</v>
      </c>
      <c r="B1358" s="163">
        <v>0</v>
      </c>
      <c r="C1358" s="178">
        <v>358.41</v>
      </c>
      <c r="D1358" s="179">
        <v>41597.839999999997</v>
      </c>
      <c r="E1358" s="145">
        <f t="shared" si="24"/>
        <v>41956.25</v>
      </c>
      <c r="F1358" s="112" t="s">
        <v>1037</v>
      </c>
    </row>
    <row r="1359" spans="1:6" hidden="1" outlineLevel="1">
      <c r="A1359" s="870" t="s">
        <v>1038</v>
      </c>
      <c r="B1359" s="163">
        <v>0</v>
      </c>
      <c r="C1359" s="178">
        <v>0</v>
      </c>
      <c r="D1359" s="179">
        <v>34631.760000000002</v>
      </c>
      <c r="E1359" s="145">
        <f t="shared" si="24"/>
        <v>34631.760000000002</v>
      </c>
      <c r="F1359" s="112" t="s">
        <v>1039</v>
      </c>
    </row>
    <row r="1360" spans="1:6" hidden="1" outlineLevel="1">
      <c r="A1360" s="870" t="s">
        <v>1040</v>
      </c>
      <c r="B1360" s="163">
        <v>0</v>
      </c>
      <c r="C1360" s="178">
        <v>9115.6299999999992</v>
      </c>
      <c r="D1360" s="179">
        <v>51153.1</v>
      </c>
      <c r="E1360" s="145">
        <f t="shared" si="24"/>
        <v>60268.729999999996</v>
      </c>
      <c r="F1360" s="112" t="s">
        <v>1041</v>
      </c>
    </row>
    <row r="1361" spans="1:6" hidden="1" outlineLevel="1">
      <c r="A1361" s="870" t="s">
        <v>1042</v>
      </c>
      <c r="B1361" s="163">
        <v>0</v>
      </c>
      <c r="C1361" s="178">
        <v>24574.23</v>
      </c>
      <c r="D1361" s="179">
        <v>3451.6400000000003</v>
      </c>
      <c r="E1361" s="145">
        <f t="shared" si="24"/>
        <v>28025.87</v>
      </c>
      <c r="F1361" s="112" t="s">
        <v>1043</v>
      </c>
    </row>
    <row r="1362" spans="1:6" hidden="1" outlineLevel="1">
      <c r="A1362" s="870" t="s">
        <v>1044</v>
      </c>
      <c r="B1362" s="163">
        <v>0</v>
      </c>
      <c r="C1362" s="178">
        <v>32182.47</v>
      </c>
      <c r="D1362" s="179">
        <v>14830.92</v>
      </c>
      <c r="E1362" s="145">
        <f t="shared" si="24"/>
        <v>47013.39</v>
      </c>
      <c r="F1362" s="112" t="s">
        <v>1045</v>
      </c>
    </row>
    <row r="1363" spans="1:6" hidden="1" outlineLevel="1">
      <c r="A1363" s="870" t="s">
        <v>1046</v>
      </c>
      <c r="B1363" s="163">
        <v>0</v>
      </c>
      <c r="C1363" s="178">
        <v>0</v>
      </c>
      <c r="D1363" s="179">
        <v>14740.64</v>
      </c>
      <c r="E1363" s="145">
        <f t="shared" si="24"/>
        <v>14740.64</v>
      </c>
      <c r="F1363" s="112" t="s">
        <v>1047</v>
      </c>
    </row>
    <row r="1364" spans="1:6" hidden="1" outlineLevel="1">
      <c r="A1364" s="870" t="s">
        <v>1048</v>
      </c>
      <c r="B1364" s="163">
        <v>0</v>
      </c>
      <c r="C1364" s="178">
        <v>0</v>
      </c>
      <c r="D1364" s="179">
        <v>1318.6</v>
      </c>
      <c r="E1364" s="145">
        <f t="shared" si="24"/>
        <v>1318.6</v>
      </c>
      <c r="F1364" s="112" t="s">
        <v>1049</v>
      </c>
    </row>
    <row r="1365" spans="1:6" hidden="1" outlineLevel="1">
      <c r="A1365" s="870" t="s">
        <v>1050</v>
      </c>
      <c r="B1365" s="163">
        <v>0</v>
      </c>
      <c r="C1365" s="178">
        <v>15087.25</v>
      </c>
      <c r="D1365" s="179">
        <v>75518.28</v>
      </c>
      <c r="E1365" s="145">
        <f t="shared" si="24"/>
        <v>90605.53</v>
      </c>
      <c r="F1365" s="112" t="s">
        <v>1051</v>
      </c>
    </row>
    <row r="1366" spans="1:6" hidden="1" outlineLevel="1">
      <c r="A1366" s="870" t="s">
        <v>1052</v>
      </c>
      <c r="B1366" s="163">
        <v>0</v>
      </c>
      <c r="C1366" s="178">
        <v>18420.53</v>
      </c>
      <c r="D1366" s="179">
        <v>83180.679999999993</v>
      </c>
      <c r="E1366" s="145">
        <f t="shared" si="24"/>
        <v>101601.20999999999</v>
      </c>
      <c r="F1366" s="112" t="s">
        <v>1053</v>
      </c>
    </row>
    <row r="1367" spans="1:6" hidden="1" outlineLevel="1">
      <c r="A1367" s="870" t="s">
        <v>1054</v>
      </c>
      <c r="B1367" s="163">
        <v>0</v>
      </c>
      <c r="C1367" s="178">
        <v>914.89</v>
      </c>
      <c r="D1367" s="179">
        <v>219004.83000000002</v>
      </c>
      <c r="E1367" s="145">
        <f t="shared" si="24"/>
        <v>219919.72000000003</v>
      </c>
      <c r="F1367" s="112" t="s">
        <v>1055</v>
      </c>
    </row>
    <row r="1368" spans="1:6" hidden="1" outlineLevel="1">
      <c r="A1368" s="870" t="s">
        <v>1056</v>
      </c>
      <c r="B1368" s="163">
        <v>0</v>
      </c>
      <c r="C1368" s="178">
        <v>3101.61</v>
      </c>
      <c r="D1368" s="179">
        <v>6878.84</v>
      </c>
      <c r="E1368" s="145">
        <f t="shared" si="24"/>
        <v>9980.4500000000007</v>
      </c>
      <c r="F1368" s="112" t="s">
        <v>1057</v>
      </c>
    </row>
    <row r="1369" spans="1:6" hidden="1" outlineLevel="1">
      <c r="A1369" s="870" t="s">
        <v>1058</v>
      </c>
      <c r="B1369" s="163">
        <v>0</v>
      </c>
      <c r="C1369" s="178">
        <v>82568.160000000003</v>
      </c>
      <c r="D1369" s="179">
        <v>155221.59999999998</v>
      </c>
      <c r="E1369" s="145">
        <f t="shared" si="24"/>
        <v>237789.75999999998</v>
      </c>
      <c r="F1369" s="112" t="s">
        <v>1059</v>
      </c>
    </row>
    <row r="1370" spans="1:6" hidden="1" outlineLevel="1">
      <c r="A1370" s="870" t="s">
        <v>1060</v>
      </c>
      <c r="B1370" s="163">
        <v>0</v>
      </c>
      <c r="C1370" s="178">
        <v>42.04</v>
      </c>
      <c r="D1370" s="179">
        <v>60611.57</v>
      </c>
      <c r="E1370" s="145">
        <f t="shared" si="24"/>
        <v>60653.61</v>
      </c>
      <c r="F1370" s="112" t="s">
        <v>1061</v>
      </c>
    </row>
    <row r="1371" spans="1:6" hidden="1" outlineLevel="1">
      <c r="A1371" s="870" t="s">
        <v>1062</v>
      </c>
      <c r="B1371" s="163">
        <v>0</v>
      </c>
      <c r="C1371" s="178">
        <v>1104.4000000000001</v>
      </c>
      <c r="D1371" s="179">
        <v>1613.76</v>
      </c>
      <c r="E1371" s="145">
        <f t="shared" si="24"/>
        <v>2718.16</v>
      </c>
      <c r="F1371" s="112" t="s">
        <v>1063</v>
      </c>
    </row>
    <row r="1372" spans="1:6" hidden="1" outlineLevel="1">
      <c r="A1372" s="870" t="s">
        <v>1064</v>
      </c>
      <c r="B1372" s="163">
        <v>0</v>
      </c>
      <c r="C1372" s="178">
        <v>16611.2</v>
      </c>
      <c r="D1372" s="179">
        <v>104797.13999999998</v>
      </c>
      <c r="E1372" s="145">
        <f t="shared" si="24"/>
        <v>121408.33999999998</v>
      </c>
      <c r="F1372" s="112" t="s">
        <v>1065</v>
      </c>
    </row>
    <row r="1373" spans="1:6" hidden="1" outlineLevel="1">
      <c r="A1373" s="870" t="s">
        <v>1066</v>
      </c>
      <c r="B1373" s="163">
        <v>0</v>
      </c>
      <c r="C1373" s="178">
        <v>1300.56</v>
      </c>
      <c r="D1373" s="179">
        <v>0</v>
      </c>
      <c r="E1373" s="145">
        <f t="shared" si="24"/>
        <v>1300.56</v>
      </c>
      <c r="F1373" s="112" t="s">
        <v>1067</v>
      </c>
    </row>
    <row r="1374" spans="1:6" hidden="1" outlineLevel="1">
      <c r="A1374" s="870" t="s">
        <v>1068</v>
      </c>
      <c r="B1374" s="163">
        <v>0</v>
      </c>
      <c r="C1374" s="178">
        <v>3834.18</v>
      </c>
      <c r="D1374" s="179">
        <v>61192.729999999996</v>
      </c>
      <c r="E1374" s="145">
        <f t="shared" si="24"/>
        <v>65026.909999999996</v>
      </c>
      <c r="F1374" s="112" t="s">
        <v>1069</v>
      </c>
    </row>
    <row r="1375" spans="1:6" hidden="1" outlineLevel="1">
      <c r="A1375" s="870" t="s">
        <v>1070</v>
      </c>
      <c r="B1375" s="163">
        <v>0</v>
      </c>
      <c r="C1375" s="178">
        <v>6696.66</v>
      </c>
      <c r="D1375" s="179">
        <v>17190.559999999998</v>
      </c>
      <c r="E1375" s="145">
        <f t="shared" si="24"/>
        <v>23887.219999999998</v>
      </c>
      <c r="F1375" s="112" t="s">
        <v>1071</v>
      </c>
    </row>
    <row r="1376" spans="1:6" hidden="1" outlineLevel="1">
      <c r="A1376" s="870" t="s">
        <v>1072</v>
      </c>
      <c r="B1376" s="163">
        <v>0</v>
      </c>
      <c r="C1376" s="178">
        <v>643.41</v>
      </c>
      <c r="D1376" s="179">
        <v>34439</v>
      </c>
      <c r="E1376" s="145">
        <f t="shared" si="24"/>
        <v>35082.410000000003</v>
      </c>
      <c r="F1376" s="112" t="s">
        <v>1073</v>
      </c>
    </row>
    <row r="1377" spans="1:6" hidden="1" outlineLevel="1">
      <c r="A1377" s="870" t="s">
        <v>1074</v>
      </c>
      <c r="B1377" s="163">
        <v>0</v>
      </c>
      <c r="C1377" s="178">
        <v>17901.259999999998</v>
      </c>
      <c r="D1377" s="179">
        <v>47213.899999999994</v>
      </c>
      <c r="E1377" s="145">
        <f t="shared" si="24"/>
        <v>65115.159999999989</v>
      </c>
      <c r="F1377" s="112" t="s">
        <v>1075</v>
      </c>
    </row>
    <row r="1378" spans="1:6" hidden="1" outlineLevel="1">
      <c r="A1378" s="870" t="s">
        <v>1076</v>
      </c>
      <c r="B1378" s="163">
        <v>0</v>
      </c>
      <c r="C1378" s="178">
        <v>23471.23</v>
      </c>
      <c r="D1378" s="179">
        <v>70145.840000000011</v>
      </c>
      <c r="E1378" s="145">
        <f t="shared" si="24"/>
        <v>93617.07</v>
      </c>
      <c r="F1378" s="112" t="s">
        <v>1077</v>
      </c>
    </row>
    <row r="1379" spans="1:6" hidden="1" outlineLevel="1">
      <c r="A1379" s="870" t="s">
        <v>1078</v>
      </c>
      <c r="B1379" s="163">
        <v>0</v>
      </c>
      <c r="C1379" s="178">
        <v>6025.28</v>
      </c>
      <c r="D1379" s="179">
        <v>69422.8</v>
      </c>
      <c r="E1379" s="145">
        <f t="shared" si="24"/>
        <v>75448.08</v>
      </c>
      <c r="F1379" s="112" t="s">
        <v>1079</v>
      </c>
    </row>
    <row r="1380" spans="1:6" hidden="1" outlineLevel="1">
      <c r="A1380" s="870" t="s">
        <v>1080</v>
      </c>
      <c r="B1380" s="163">
        <v>0</v>
      </c>
      <c r="C1380" s="178">
        <v>1447.56</v>
      </c>
      <c r="D1380" s="179">
        <v>107545.64</v>
      </c>
      <c r="E1380" s="145">
        <f t="shared" si="24"/>
        <v>108993.2</v>
      </c>
      <c r="F1380" s="112" t="s">
        <v>1081</v>
      </c>
    </row>
    <row r="1381" spans="1:6" hidden="1" outlineLevel="1">
      <c r="A1381" s="870" t="s">
        <v>1082</v>
      </c>
      <c r="B1381" s="163">
        <v>0</v>
      </c>
      <c r="C1381" s="178">
        <v>647.03</v>
      </c>
      <c r="D1381" s="179">
        <v>10129.040000000001</v>
      </c>
      <c r="E1381" s="145">
        <f t="shared" si="24"/>
        <v>10776.070000000002</v>
      </c>
      <c r="F1381" s="112" t="s">
        <v>1083</v>
      </c>
    </row>
    <row r="1382" spans="1:6" hidden="1" outlineLevel="1">
      <c r="A1382" s="870" t="s">
        <v>1084</v>
      </c>
      <c r="B1382" s="163">
        <v>0</v>
      </c>
      <c r="C1382" s="178">
        <v>26464.26</v>
      </c>
      <c r="D1382" s="179">
        <v>145414.57</v>
      </c>
      <c r="E1382" s="145">
        <f t="shared" si="24"/>
        <v>171878.83000000002</v>
      </c>
      <c r="F1382" s="112" t="s">
        <v>1085</v>
      </c>
    </row>
    <row r="1383" spans="1:6" hidden="1" outlineLevel="1">
      <c r="A1383" s="870" t="s">
        <v>1086</v>
      </c>
      <c r="B1383" s="163">
        <v>0</v>
      </c>
      <c r="C1383" s="178">
        <v>15183.11</v>
      </c>
      <c r="D1383" s="179">
        <v>154750</v>
      </c>
      <c r="E1383" s="145">
        <f t="shared" si="24"/>
        <v>169933.11</v>
      </c>
      <c r="F1383" s="112" t="s">
        <v>1087</v>
      </c>
    </row>
    <row r="1384" spans="1:6" hidden="1" outlineLevel="1">
      <c r="A1384" s="870" t="s">
        <v>1088</v>
      </c>
      <c r="B1384" s="163">
        <v>0</v>
      </c>
      <c r="C1384" s="178">
        <v>1315.71</v>
      </c>
      <c r="D1384" s="179">
        <v>181054.11</v>
      </c>
      <c r="E1384" s="145">
        <f t="shared" si="24"/>
        <v>182369.81999999998</v>
      </c>
      <c r="F1384" s="112" t="s">
        <v>1089</v>
      </c>
    </row>
    <row r="1385" spans="1:6" hidden="1" outlineLevel="1">
      <c r="A1385" s="870" t="s">
        <v>1090</v>
      </c>
      <c r="B1385" s="163">
        <v>0</v>
      </c>
      <c r="C1385" s="178">
        <v>49549.36</v>
      </c>
      <c r="D1385" s="179">
        <v>53659.45</v>
      </c>
      <c r="E1385" s="145">
        <f t="shared" si="24"/>
        <v>103208.81</v>
      </c>
      <c r="F1385" s="112" t="s">
        <v>1091</v>
      </c>
    </row>
    <row r="1386" spans="1:6" hidden="1" outlineLevel="1">
      <c r="A1386" s="870" t="s">
        <v>1092</v>
      </c>
      <c r="B1386" s="163">
        <v>0</v>
      </c>
      <c r="C1386" s="178">
        <v>14046.189999999999</v>
      </c>
      <c r="D1386" s="179">
        <v>312513.49</v>
      </c>
      <c r="E1386" s="145">
        <f t="shared" si="24"/>
        <v>326559.68</v>
      </c>
      <c r="F1386" s="112" t="s">
        <v>1093</v>
      </c>
    </row>
    <row r="1387" spans="1:6" hidden="1" outlineLevel="1">
      <c r="A1387" s="870" t="s">
        <v>1094</v>
      </c>
      <c r="B1387" s="163">
        <v>0</v>
      </c>
      <c r="C1387" s="178">
        <v>22694.89</v>
      </c>
      <c r="D1387" s="179">
        <v>28744.48</v>
      </c>
      <c r="E1387" s="145">
        <f t="shared" si="24"/>
        <v>51439.369999999995</v>
      </c>
      <c r="F1387" s="112" t="s">
        <v>1095</v>
      </c>
    </row>
    <row r="1388" spans="1:6" hidden="1" outlineLevel="1">
      <c r="A1388" s="870" t="s">
        <v>1096</v>
      </c>
      <c r="B1388" s="163">
        <v>0</v>
      </c>
      <c r="C1388" s="178">
        <v>1979.41</v>
      </c>
      <c r="D1388" s="179">
        <v>72289.08</v>
      </c>
      <c r="E1388" s="145">
        <f t="shared" si="24"/>
        <v>74268.490000000005</v>
      </c>
      <c r="F1388" s="112" t="s">
        <v>1097</v>
      </c>
    </row>
    <row r="1389" spans="1:6" hidden="1" outlineLevel="1">
      <c r="A1389" s="870" t="s">
        <v>1098</v>
      </c>
      <c r="B1389" s="163">
        <v>0</v>
      </c>
      <c r="C1389" s="178">
        <v>5813.54</v>
      </c>
      <c r="D1389" s="179">
        <v>17642.73</v>
      </c>
      <c r="E1389" s="145">
        <f t="shared" si="24"/>
        <v>23456.27</v>
      </c>
      <c r="F1389" s="112" t="s">
        <v>1099</v>
      </c>
    </row>
    <row r="1390" spans="1:6" hidden="1" outlineLevel="1">
      <c r="A1390" s="870" t="s">
        <v>1100</v>
      </c>
      <c r="B1390" s="163">
        <v>0</v>
      </c>
      <c r="C1390" s="178">
        <v>115749.59999999999</v>
      </c>
      <c r="D1390" s="179">
        <v>1422559.23</v>
      </c>
      <c r="E1390" s="145">
        <f t="shared" si="24"/>
        <v>1538308.83</v>
      </c>
      <c r="F1390" s="112" t="s">
        <v>1101</v>
      </c>
    </row>
    <row r="1391" spans="1:6" hidden="1" outlineLevel="1">
      <c r="A1391" s="870" t="s">
        <v>521</v>
      </c>
      <c r="B1391" s="163">
        <v>0</v>
      </c>
      <c r="C1391" s="178">
        <v>869.55</v>
      </c>
      <c r="D1391" s="179">
        <v>7114.37</v>
      </c>
      <c r="E1391" s="145">
        <f t="shared" si="24"/>
        <v>7983.92</v>
      </c>
      <c r="F1391" s="112" t="s">
        <v>522</v>
      </c>
    </row>
    <row r="1392" spans="1:6" hidden="1" outlineLevel="1">
      <c r="A1392" s="870" t="s">
        <v>1102</v>
      </c>
      <c r="B1392" s="163">
        <v>0</v>
      </c>
      <c r="C1392" s="178">
        <v>15467.51</v>
      </c>
      <c r="D1392" s="179">
        <v>54692.56</v>
      </c>
      <c r="E1392" s="145">
        <f t="shared" si="24"/>
        <v>70160.069999999992</v>
      </c>
      <c r="F1392" s="112" t="s">
        <v>1103</v>
      </c>
    </row>
    <row r="1393" spans="1:6" hidden="1" outlineLevel="1">
      <c r="A1393" s="870" t="s">
        <v>1104</v>
      </c>
      <c r="B1393" s="163">
        <v>0</v>
      </c>
      <c r="C1393" s="178">
        <v>7127.81</v>
      </c>
      <c r="D1393" s="179">
        <v>37191.070000000007</v>
      </c>
      <c r="E1393" s="145">
        <f t="shared" si="24"/>
        <v>44318.880000000005</v>
      </c>
      <c r="F1393" s="112" t="s">
        <v>1105</v>
      </c>
    </row>
    <row r="1394" spans="1:6" hidden="1" outlineLevel="1">
      <c r="A1394" s="870" t="s">
        <v>1106</v>
      </c>
      <c r="B1394" s="163">
        <v>0</v>
      </c>
      <c r="C1394" s="178">
        <v>606.34</v>
      </c>
      <c r="D1394" s="179">
        <v>675063.41999999993</v>
      </c>
      <c r="E1394" s="145">
        <f t="shared" ref="E1394:E1457" si="25">SUM(B1394:D1394)</f>
        <v>675669.75999999989</v>
      </c>
      <c r="F1394" s="112" t="s">
        <v>1107</v>
      </c>
    </row>
    <row r="1395" spans="1:6" hidden="1" outlineLevel="1">
      <c r="A1395" s="870" t="s">
        <v>1108</v>
      </c>
      <c r="B1395" s="163">
        <v>13657.64</v>
      </c>
      <c r="C1395" s="178">
        <v>38193.75</v>
      </c>
      <c r="D1395" s="179">
        <v>28600.920000000002</v>
      </c>
      <c r="E1395" s="145">
        <f t="shared" si="25"/>
        <v>80452.31</v>
      </c>
      <c r="F1395" s="112" t="s">
        <v>1109</v>
      </c>
    </row>
    <row r="1396" spans="1:6" hidden="1" outlineLevel="1">
      <c r="A1396" s="870" t="s">
        <v>1110</v>
      </c>
      <c r="B1396" s="163">
        <v>0</v>
      </c>
      <c r="C1396" s="178">
        <v>13785.17</v>
      </c>
      <c r="D1396" s="179">
        <v>28332.400000000001</v>
      </c>
      <c r="E1396" s="145">
        <f t="shared" si="25"/>
        <v>42117.57</v>
      </c>
      <c r="F1396" s="112" t="s">
        <v>1111</v>
      </c>
    </row>
    <row r="1397" spans="1:6" hidden="1" outlineLevel="1">
      <c r="A1397" s="870" t="s">
        <v>1112</v>
      </c>
      <c r="B1397" s="163">
        <v>0</v>
      </c>
      <c r="C1397" s="178">
        <v>19396.47</v>
      </c>
      <c r="D1397" s="179">
        <v>130749.37000000001</v>
      </c>
      <c r="E1397" s="145">
        <f t="shared" si="25"/>
        <v>150145.84000000003</v>
      </c>
      <c r="F1397" s="112" t="s">
        <v>1113</v>
      </c>
    </row>
    <row r="1398" spans="1:6" hidden="1" outlineLevel="1">
      <c r="A1398" s="870" t="s">
        <v>1114</v>
      </c>
      <c r="B1398" s="163">
        <v>0</v>
      </c>
      <c r="C1398" s="178">
        <v>46834.44</v>
      </c>
      <c r="D1398" s="179">
        <v>1237113.23</v>
      </c>
      <c r="E1398" s="145">
        <f t="shared" si="25"/>
        <v>1283947.67</v>
      </c>
      <c r="F1398" s="112" t="s">
        <v>1115</v>
      </c>
    </row>
    <row r="1399" spans="1:6" hidden="1" outlineLevel="1">
      <c r="A1399" s="870" t="s">
        <v>1116</v>
      </c>
      <c r="B1399" s="163">
        <v>0</v>
      </c>
      <c r="C1399" s="178">
        <v>7315.02</v>
      </c>
      <c r="D1399" s="179">
        <v>106270.82</v>
      </c>
      <c r="E1399" s="145">
        <f t="shared" si="25"/>
        <v>113585.84000000001</v>
      </c>
      <c r="F1399" s="112" t="s">
        <v>1117</v>
      </c>
    </row>
    <row r="1400" spans="1:6" hidden="1" outlineLevel="1">
      <c r="A1400" s="870" t="s">
        <v>1118</v>
      </c>
      <c r="B1400" s="163">
        <v>0</v>
      </c>
      <c r="C1400" s="178">
        <v>0</v>
      </c>
      <c r="D1400" s="179">
        <v>10834.08</v>
      </c>
      <c r="E1400" s="145">
        <f t="shared" si="25"/>
        <v>10834.08</v>
      </c>
      <c r="F1400" s="112" t="s">
        <v>1119</v>
      </c>
    </row>
    <row r="1401" spans="1:6" hidden="1" outlineLevel="1">
      <c r="A1401" s="870" t="s">
        <v>1120</v>
      </c>
      <c r="B1401" s="163">
        <v>0</v>
      </c>
      <c r="C1401" s="178">
        <v>5675585.4699999997</v>
      </c>
      <c r="D1401" s="179">
        <v>2062096.43</v>
      </c>
      <c r="E1401" s="145">
        <f t="shared" si="25"/>
        <v>7737681.8999999994</v>
      </c>
      <c r="F1401" s="112" t="s">
        <v>1121</v>
      </c>
    </row>
    <row r="1402" spans="1:6" hidden="1" outlineLevel="1">
      <c r="A1402" s="870" t="s">
        <v>1122</v>
      </c>
      <c r="B1402" s="163">
        <v>0</v>
      </c>
      <c r="C1402" s="178">
        <v>98501.56</v>
      </c>
      <c r="D1402" s="179">
        <v>158391.14000000001</v>
      </c>
      <c r="E1402" s="145">
        <f t="shared" si="25"/>
        <v>256892.7</v>
      </c>
      <c r="F1402" s="112" t="s">
        <v>1123</v>
      </c>
    </row>
    <row r="1403" spans="1:6" hidden="1" outlineLevel="1">
      <c r="A1403" s="870" t="s">
        <v>1124</v>
      </c>
      <c r="B1403" s="163">
        <v>0</v>
      </c>
      <c r="C1403" s="178">
        <v>1942.84</v>
      </c>
      <c r="D1403" s="179">
        <v>16093.630000000001</v>
      </c>
      <c r="E1403" s="145">
        <f t="shared" si="25"/>
        <v>18036.47</v>
      </c>
      <c r="F1403" s="112" t="s">
        <v>1125</v>
      </c>
    </row>
    <row r="1404" spans="1:6" hidden="1" outlineLevel="1">
      <c r="A1404" s="870" t="s">
        <v>1126</v>
      </c>
      <c r="B1404" s="163">
        <v>0</v>
      </c>
      <c r="C1404" s="178">
        <v>17260.440000000002</v>
      </c>
      <c r="D1404" s="179">
        <v>25650.26</v>
      </c>
      <c r="E1404" s="145">
        <f t="shared" si="25"/>
        <v>42910.7</v>
      </c>
      <c r="F1404" s="112" t="s">
        <v>1127</v>
      </c>
    </row>
    <row r="1405" spans="1:6" hidden="1" outlineLevel="1">
      <c r="A1405" s="870" t="s">
        <v>1128</v>
      </c>
      <c r="B1405" s="163">
        <v>0</v>
      </c>
      <c r="C1405" s="178">
        <v>309.13</v>
      </c>
      <c r="D1405" s="179">
        <v>46748.520000000004</v>
      </c>
      <c r="E1405" s="145">
        <f t="shared" si="25"/>
        <v>47057.65</v>
      </c>
      <c r="F1405" s="112" t="s">
        <v>1129</v>
      </c>
    </row>
    <row r="1406" spans="1:6" hidden="1" outlineLevel="1">
      <c r="A1406" s="870" t="s">
        <v>1130</v>
      </c>
      <c r="B1406" s="163">
        <v>0</v>
      </c>
      <c r="C1406" s="178">
        <v>18217.5</v>
      </c>
      <c r="D1406" s="179">
        <v>71310.880000000005</v>
      </c>
      <c r="E1406" s="145">
        <f t="shared" si="25"/>
        <v>89528.38</v>
      </c>
      <c r="F1406" s="112" t="s">
        <v>1131</v>
      </c>
    </row>
    <row r="1407" spans="1:6" hidden="1" outlineLevel="1">
      <c r="A1407" s="870" t="s">
        <v>1132</v>
      </c>
      <c r="B1407" s="163">
        <v>0</v>
      </c>
      <c r="C1407" s="178">
        <v>0</v>
      </c>
      <c r="D1407" s="179">
        <v>901.36</v>
      </c>
      <c r="E1407" s="145">
        <f t="shared" si="25"/>
        <v>901.36</v>
      </c>
      <c r="F1407" s="112" t="s">
        <v>1133</v>
      </c>
    </row>
    <row r="1408" spans="1:6" hidden="1" outlineLevel="1">
      <c r="A1408" s="870" t="s">
        <v>1134</v>
      </c>
      <c r="B1408" s="163">
        <v>0</v>
      </c>
      <c r="C1408" s="178">
        <v>21304.44</v>
      </c>
      <c r="D1408" s="179">
        <v>31121.910000000003</v>
      </c>
      <c r="E1408" s="145">
        <f t="shared" si="25"/>
        <v>52426.350000000006</v>
      </c>
      <c r="F1408" s="112" t="s">
        <v>1135</v>
      </c>
    </row>
    <row r="1409" spans="1:6" hidden="1" outlineLevel="1">
      <c r="A1409" s="870" t="s">
        <v>1136</v>
      </c>
      <c r="B1409" s="163">
        <v>0</v>
      </c>
      <c r="C1409" s="178">
        <v>789.92</v>
      </c>
      <c r="D1409" s="179">
        <v>6975.7199999999993</v>
      </c>
      <c r="E1409" s="145">
        <f t="shared" si="25"/>
        <v>7765.6399999999994</v>
      </c>
      <c r="F1409" s="112" t="s">
        <v>1137</v>
      </c>
    </row>
    <row r="1410" spans="1:6" hidden="1" outlineLevel="1">
      <c r="A1410" s="870" t="s">
        <v>1138</v>
      </c>
      <c r="B1410" s="163">
        <v>0</v>
      </c>
      <c r="C1410" s="178">
        <v>0</v>
      </c>
      <c r="D1410" s="179">
        <v>8300.630000000001</v>
      </c>
      <c r="E1410" s="145">
        <f t="shared" si="25"/>
        <v>8300.630000000001</v>
      </c>
      <c r="F1410" s="112" t="s">
        <v>1139</v>
      </c>
    </row>
    <row r="1411" spans="1:6" hidden="1" outlineLevel="1">
      <c r="A1411" s="870" t="s">
        <v>1140</v>
      </c>
      <c r="B1411" s="163">
        <v>0</v>
      </c>
      <c r="C1411" s="178">
        <v>29574.32</v>
      </c>
      <c r="D1411" s="179">
        <v>78810.64</v>
      </c>
      <c r="E1411" s="145">
        <f t="shared" si="25"/>
        <v>108384.95999999999</v>
      </c>
      <c r="F1411" s="112" t="s">
        <v>1141</v>
      </c>
    </row>
    <row r="1412" spans="1:6" hidden="1" outlineLevel="1">
      <c r="A1412" s="870" t="s">
        <v>1142</v>
      </c>
      <c r="B1412" s="163">
        <v>0</v>
      </c>
      <c r="C1412" s="178">
        <v>4200.91</v>
      </c>
      <c r="D1412" s="179">
        <v>3917.8399999999997</v>
      </c>
      <c r="E1412" s="145">
        <f t="shared" si="25"/>
        <v>8118.75</v>
      </c>
      <c r="F1412" s="112" t="s">
        <v>1143</v>
      </c>
    </row>
    <row r="1413" spans="1:6" hidden="1" outlineLevel="1">
      <c r="A1413" s="870" t="s">
        <v>1144</v>
      </c>
      <c r="B1413" s="163">
        <v>0</v>
      </c>
      <c r="C1413" s="178">
        <v>201.25</v>
      </c>
      <c r="D1413" s="179">
        <v>9585.36</v>
      </c>
      <c r="E1413" s="145">
        <f t="shared" si="25"/>
        <v>9786.61</v>
      </c>
      <c r="F1413" s="112" t="s">
        <v>1145</v>
      </c>
    </row>
    <row r="1414" spans="1:6" hidden="1" outlineLevel="1">
      <c r="A1414" s="870" t="s">
        <v>1146</v>
      </c>
      <c r="B1414" s="163">
        <v>0</v>
      </c>
      <c r="C1414" s="178">
        <v>89305.48</v>
      </c>
      <c r="D1414" s="179">
        <v>33363.339999999997</v>
      </c>
      <c r="E1414" s="145">
        <f t="shared" si="25"/>
        <v>122668.81999999999</v>
      </c>
      <c r="F1414" s="112" t="s">
        <v>1147</v>
      </c>
    </row>
    <row r="1415" spans="1:6" hidden="1" outlineLevel="1">
      <c r="A1415" s="870" t="s">
        <v>1148</v>
      </c>
      <c r="B1415" s="163">
        <v>0</v>
      </c>
      <c r="C1415" s="178">
        <v>0</v>
      </c>
      <c r="D1415" s="179">
        <v>3854.6000000000004</v>
      </c>
      <c r="E1415" s="145">
        <f t="shared" si="25"/>
        <v>3854.6000000000004</v>
      </c>
      <c r="F1415" s="112" t="s">
        <v>1149</v>
      </c>
    </row>
    <row r="1416" spans="1:6" hidden="1" outlineLevel="1">
      <c r="A1416" s="870" t="s">
        <v>1150</v>
      </c>
      <c r="B1416" s="163">
        <v>0</v>
      </c>
      <c r="C1416" s="178">
        <v>2469.94</v>
      </c>
      <c r="D1416" s="179">
        <v>20589.379999999997</v>
      </c>
      <c r="E1416" s="145">
        <f t="shared" si="25"/>
        <v>23059.319999999996</v>
      </c>
      <c r="F1416" s="112" t="s">
        <v>1151</v>
      </c>
    </row>
    <row r="1417" spans="1:6" hidden="1" outlineLevel="1">
      <c r="A1417" s="870" t="s">
        <v>1152</v>
      </c>
      <c r="B1417" s="163">
        <v>2893.33</v>
      </c>
      <c r="C1417" s="178">
        <v>36040.83</v>
      </c>
      <c r="D1417" s="179">
        <v>162890.91999999998</v>
      </c>
      <c r="E1417" s="145">
        <f t="shared" si="25"/>
        <v>201825.08</v>
      </c>
      <c r="F1417" s="112" t="s">
        <v>1153</v>
      </c>
    </row>
    <row r="1418" spans="1:6" hidden="1" outlineLevel="1">
      <c r="A1418" s="870" t="s">
        <v>1154</v>
      </c>
      <c r="B1418" s="163">
        <v>0</v>
      </c>
      <c r="C1418" s="178">
        <v>0</v>
      </c>
      <c r="D1418" s="179">
        <v>24944.99</v>
      </c>
      <c r="E1418" s="145">
        <f t="shared" si="25"/>
        <v>24944.99</v>
      </c>
      <c r="F1418" s="112" t="s">
        <v>1155</v>
      </c>
    </row>
    <row r="1419" spans="1:6" hidden="1" outlineLevel="1">
      <c r="A1419" s="870" t="s">
        <v>1156</v>
      </c>
      <c r="B1419" s="163">
        <v>0</v>
      </c>
      <c r="C1419" s="178">
        <v>5606.71</v>
      </c>
      <c r="D1419" s="179">
        <v>9789.1</v>
      </c>
      <c r="E1419" s="145">
        <f t="shared" si="25"/>
        <v>15395.810000000001</v>
      </c>
      <c r="F1419" s="112" t="s">
        <v>1157</v>
      </c>
    </row>
    <row r="1420" spans="1:6" hidden="1" outlineLevel="1">
      <c r="A1420" s="870" t="s">
        <v>1158</v>
      </c>
      <c r="B1420" s="163">
        <v>0</v>
      </c>
      <c r="C1420" s="178">
        <v>0</v>
      </c>
      <c r="D1420" s="179">
        <v>29229.52</v>
      </c>
      <c r="E1420" s="145">
        <f t="shared" si="25"/>
        <v>29229.52</v>
      </c>
      <c r="F1420" s="112" t="s">
        <v>1159</v>
      </c>
    </row>
    <row r="1421" spans="1:6" hidden="1" outlineLevel="1">
      <c r="A1421" s="870" t="s">
        <v>1160</v>
      </c>
      <c r="B1421" s="163">
        <v>0</v>
      </c>
      <c r="C1421" s="178">
        <v>2410.23</v>
      </c>
      <c r="D1421" s="179">
        <v>15096778.4</v>
      </c>
      <c r="E1421" s="145">
        <f t="shared" si="25"/>
        <v>15099188.630000001</v>
      </c>
      <c r="F1421" s="112" t="s">
        <v>1161</v>
      </c>
    </row>
    <row r="1422" spans="1:6" hidden="1" outlineLevel="1">
      <c r="A1422" s="870" t="s">
        <v>1162</v>
      </c>
      <c r="B1422" s="163">
        <v>0</v>
      </c>
      <c r="C1422" s="178">
        <v>28422.57</v>
      </c>
      <c r="D1422" s="179">
        <v>29291.200000000001</v>
      </c>
      <c r="E1422" s="145">
        <f t="shared" si="25"/>
        <v>57713.770000000004</v>
      </c>
      <c r="F1422" s="112" t="s">
        <v>1163</v>
      </c>
    </row>
    <row r="1423" spans="1:6" hidden="1" outlineLevel="1">
      <c r="A1423" s="870" t="s">
        <v>1164</v>
      </c>
      <c r="B1423" s="163">
        <v>52.44</v>
      </c>
      <c r="C1423" s="178">
        <v>26016.370000000003</v>
      </c>
      <c r="D1423" s="179">
        <v>42566.239999999998</v>
      </c>
      <c r="E1423" s="145">
        <f t="shared" si="25"/>
        <v>68635.05</v>
      </c>
      <c r="F1423" s="112" t="s">
        <v>1165</v>
      </c>
    </row>
    <row r="1424" spans="1:6" hidden="1" outlineLevel="1">
      <c r="A1424" s="870" t="s">
        <v>1166</v>
      </c>
      <c r="B1424" s="163">
        <v>0</v>
      </c>
      <c r="C1424" s="178">
        <v>0</v>
      </c>
      <c r="D1424" s="179">
        <v>0</v>
      </c>
      <c r="E1424" s="145">
        <f t="shared" si="25"/>
        <v>0</v>
      </c>
      <c r="F1424" s="112" t="s">
        <v>1167</v>
      </c>
    </row>
    <row r="1425" spans="1:6" hidden="1" outlineLevel="1">
      <c r="A1425" s="870" t="s">
        <v>1168</v>
      </c>
      <c r="B1425" s="163">
        <v>0</v>
      </c>
      <c r="C1425" s="178">
        <v>1065.6600000000001</v>
      </c>
      <c r="D1425" s="179">
        <v>17215.439999999999</v>
      </c>
      <c r="E1425" s="145">
        <f t="shared" si="25"/>
        <v>18281.099999999999</v>
      </c>
      <c r="F1425" s="112" t="s">
        <v>1169</v>
      </c>
    </row>
    <row r="1426" spans="1:6" hidden="1" outlineLevel="1">
      <c r="A1426" s="870" t="s">
        <v>1170</v>
      </c>
      <c r="B1426" s="163">
        <v>0</v>
      </c>
      <c r="C1426" s="178">
        <v>0</v>
      </c>
      <c r="D1426" s="179">
        <v>21854.78</v>
      </c>
      <c r="E1426" s="145">
        <f t="shared" si="25"/>
        <v>21854.78</v>
      </c>
      <c r="F1426" s="112" t="s">
        <v>1171</v>
      </c>
    </row>
    <row r="1427" spans="1:6" hidden="1" outlineLevel="1">
      <c r="A1427" s="870" t="s">
        <v>1172</v>
      </c>
      <c r="B1427" s="163">
        <v>0</v>
      </c>
      <c r="C1427" s="178">
        <v>0</v>
      </c>
      <c r="D1427" s="179">
        <v>8811</v>
      </c>
      <c r="E1427" s="145">
        <f t="shared" si="25"/>
        <v>8811</v>
      </c>
      <c r="F1427" s="112" t="s">
        <v>1173</v>
      </c>
    </row>
    <row r="1428" spans="1:6" hidden="1" outlineLevel="1">
      <c r="A1428" s="870" t="s">
        <v>1174</v>
      </c>
      <c r="B1428" s="163">
        <v>0</v>
      </c>
      <c r="C1428" s="178">
        <v>4740.0200000000004</v>
      </c>
      <c r="D1428" s="179">
        <v>1504937.52</v>
      </c>
      <c r="E1428" s="145">
        <f t="shared" si="25"/>
        <v>1509677.54</v>
      </c>
      <c r="F1428" s="112" t="s">
        <v>1175</v>
      </c>
    </row>
    <row r="1429" spans="1:6" hidden="1" outlineLevel="1">
      <c r="A1429" s="870" t="s">
        <v>1176</v>
      </c>
      <c r="B1429" s="163">
        <v>0</v>
      </c>
      <c r="C1429" s="178">
        <v>33057.800000000003</v>
      </c>
      <c r="D1429" s="179">
        <v>1167469.9099999999</v>
      </c>
      <c r="E1429" s="145">
        <f t="shared" si="25"/>
        <v>1200527.71</v>
      </c>
      <c r="F1429" s="112" t="s">
        <v>1177</v>
      </c>
    </row>
    <row r="1430" spans="1:6" hidden="1" outlineLevel="1">
      <c r="A1430" s="870" t="s">
        <v>1178</v>
      </c>
      <c r="B1430" s="163">
        <v>0</v>
      </c>
      <c r="C1430" s="178">
        <v>1025.03</v>
      </c>
      <c r="D1430" s="179">
        <v>6400</v>
      </c>
      <c r="E1430" s="145">
        <f t="shared" si="25"/>
        <v>7425.03</v>
      </c>
      <c r="F1430" s="112" t="s">
        <v>1179</v>
      </c>
    </row>
    <row r="1431" spans="1:6" hidden="1" outlineLevel="1">
      <c r="A1431" s="870" t="s">
        <v>1180</v>
      </c>
      <c r="B1431" s="163">
        <v>0</v>
      </c>
      <c r="C1431" s="178">
        <v>2366.7600000000002</v>
      </c>
      <c r="D1431" s="179">
        <v>35912.82</v>
      </c>
      <c r="E1431" s="145">
        <f t="shared" si="25"/>
        <v>38279.58</v>
      </c>
      <c r="F1431" s="112" t="s">
        <v>1181</v>
      </c>
    </row>
    <row r="1432" spans="1:6" hidden="1" outlineLevel="1">
      <c r="A1432" s="870" t="s">
        <v>1182</v>
      </c>
      <c r="B1432" s="163">
        <v>0</v>
      </c>
      <c r="C1432" s="178">
        <v>28015.96</v>
      </c>
      <c r="D1432" s="179">
        <v>13003.52</v>
      </c>
      <c r="E1432" s="145">
        <f t="shared" si="25"/>
        <v>41019.479999999996</v>
      </c>
      <c r="F1432" s="112" t="s">
        <v>1183</v>
      </c>
    </row>
    <row r="1433" spans="1:6" hidden="1" outlineLevel="1">
      <c r="A1433" s="870" t="s">
        <v>1184</v>
      </c>
      <c r="B1433" s="163">
        <v>0</v>
      </c>
      <c r="C1433" s="178">
        <v>22544.94</v>
      </c>
      <c r="D1433" s="179">
        <v>72022.66</v>
      </c>
      <c r="E1433" s="145">
        <f t="shared" si="25"/>
        <v>94567.6</v>
      </c>
      <c r="F1433" s="112" t="s">
        <v>1185</v>
      </c>
    </row>
    <row r="1434" spans="1:6" hidden="1" outlineLevel="1">
      <c r="A1434" s="870" t="s">
        <v>1186</v>
      </c>
      <c r="B1434" s="163">
        <v>0</v>
      </c>
      <c r="C1434" s="178">
        <v>562.20000000000005</v>
      </c>
      <c r="D1434" s="179">
        <v>85526.98</v>
      </c>
      <c r="E1434" s="145">
        <f t="shared" si="25"/>
        <v>86089.18</v>
      </c>
      <c r="F1434" s="112" t="s">
        <v>1187</v>
      </c>
    </row>
    <row r="1435" spans="1:6" hidden="1" outlineLevel="1">
      <c r="A1435" s="870" t="s">
        <v>1188</v>
      </c>
      <c r="B1435" s="163">
        <v>0</v>
      </c>
      <c r="C1435" s="178">
        <v>19805.52</v>
      </c>
      <c r="D1435" s="179">
        <v>85981.12999999999</v>
      </c>
      <c r="E1435" s="145">
        <f t="shared" si="25"/>
        <v>105786.65</v>
      </c>
      <c r="F1435" s="112" t="s">
        <v>1189</v>
      </c>
    </row>
    <row r="1436" spans="1:6" hidden="1" outlineLevel="1">
      <c r="A1436" s="870" t="s">
        <v>1190</v>
      </c>
      <c r="B1436" s="163">
        <v>0</v>
      </c>
      <c r="C1436" s="178">
        <v>394.77</v>
      </c>
      <c r="D1436" s="179">
        <v>24634.92</v>
      </c>
      <c r="E1436" s="145">
        <f t="shared" si="25"/>
        <v>25029.69</v>
      </c>
      <c r="F1436" s="112" t="s">
        <v>1191</v>
      </c>
    </row>
    <row r="1437" spans="1:6" hidden="1" outlineLevel="1">
      <c r="A1437" s="870" t="s">
        <v>1192</v>
      </c>
      <c r="B1437" s="163">
        <v>0</v>
      </c>
      <c r="C1437" s="178">
        <v>2118.4</v>
      </c>
      <c r="D1437" s="179">
        <v>5095.4800000000005</v>
      </c>
      <c r="E1437" s="145">
        <f t="shared" si="25"/>
        <v>7213.880000000001</v>
      </c>
      <c r="F1437" s="112" t="s">
        <v>1193</v>
      </c>
    </row>
    <row r="1438" spans="1:6" hidden="1" outlineLevel="1">
      <c r="A1438" s="870" t="s">
        <v>1194</v>
      </c>
      <c r="B1438" s="163">
        <v>0</v>
      </c>
      <c r="C1438" s="178">
        <v>2867.09</v>
      </c>
      <c r="D1438" s="179">
        <v>100122</v>
      </c>
      <c r="E1438" s="145">
        <f t="shared" si="25"/>
        <v>102989.09</v>
      </c>
      <c r="F1438" s="112" t="s">
        <v>1195</v>
      </c>
    </row>
    <row r="1439" spans="1:6" hidden="1" outlineLevel="1">
      <c r="A1439" s="870" t="s">
        <v>1196</v>
      </c>
      <c r="B1439" s="163">
        <v>12009.48</v>
      </c>
      <c r="C1439" s="178">
        <v>14070.16</v>
      </c>
      <c r="D1439" s="179">
        <v>114197.30000000002</v>
      </c>
      <c r="E1439" s="145">
        <f t="shared" si="25"/>
        <v>140276.94</v>
      </c>
      <c r="F1439" s="112" t="s">
        <v>1197</v>
      </c>
    </row>
    <row r="1440" spans="1:6" hidden="1" outlineLevel="1">
      <c r="A1440" s="870" t="s">
        <v>1198</v>
      </c>
      <c r="B1440" s="163">
        <v>0</v>
      </c>
      <c r="C1440" s="178">
        <v>375505.44</v>
      </c>
      <c r="D1440" s="179">
        <v>8747106.1400000006</v>
      </c>
      <c r="E1440" s="145">
        <f t="shared" si="25"/>
        <v>9122611.5800000001</v>
      </c>
      <c r="F1440" s="112" t="s">
        <v>1199</v>
      </c>
    </row>
    <row r="1441" spans="1:6" hidden="1" outlineLevel="1">
      <c r="A1441" s="870" t="s">
        <v>1200</v>
      </c>
      <c r="B1441" s="163">
        <v>0</v>
      </c>
      <c r="C1441" s="178">
        <v>12718.37</v>
      </c>
      <c r="D1441" s="179">
        <v>188505.66999999998</v>
      </c>
      <c r="E1441" s="145">
        <f t="shared" si="25"/>
        <v>201224.03999999998</v>
      </c>
      <c r="F1441" s="112" t="s">
        <v>1201</v>
      </c>
    </row>
    <row r="1442" spans="1:6" hidden="1" outlineLevel="1">
      <c r="A1442" s="870" t="s">
        <v>1202</v>
      </c>
      <c r="B1442" s="163">
        <v>0</v>
      </c>
      <c r="C1442" s="178">
        <v>24369.94</v>
      </c>
      <c r="D1442" s="179">
        <v>2128</v>
      </c>
      <c r="E1442" s="145">
        <f t="shared" si="25"/>
        <v>26497.94</v>
      </c>
      <c r="F1442" s="112" t="s">
        <v>1203</v>
      </c>
    </row>
    <row r="1443" spans="1:6" hidden="1" outlineLevel="1">
      <c r="A1443" s="870" t="s">
        <v>1204</v>
      </c>
      <c r="B1443" s="163">
        <v>0</v>
      </c>
      <c r="C1443" s="178">
        <v>326207.99</v>
      </c>
      <c r="D1443" s="179">
        <v>43176482.689999998</v>
      </c>
      <c r="E1443" s="145">
        <f t="shared" si="25"/>
        <v>43502690.68</v>
      </c>
      <c r="F1443" s="112" t="s">
        <v>1205</v>
      </c>
    </row>
    <row r="1444" spans="1:6" hidden="1" outlineLevel="1">
      <c r="A1444" s="870" t="s">
        <v>1206</v>
      </c>
      <c r="B1444" s="163">
        <v>0</v>
      </c>
      <c r="C1444" s="178">
        <v>0</v>
      </c>
      <c r="D1444" s="179">
        <v>76202.11</v>
      </c>
      <c r="E1444" s="145">
        <f t="shared" si="25"/>
        <v>76202.11</v>
      </c>
      <c r="F1444" s="112" t="s">
        <v>1207</v>
      </c>
    </row>
    <row r="1445" spans="1:6" hidden="1" outlineLevel="1">
      <c r="A1445" s="870" t="s">
        <v>1208</v>
      </c>
      <c r="B1445" s="163">
        <v>73975.5</v>
      </c>
      <c r="C1445" s="178">
        <v>0</v>
      </c>
      <c r="D1445" s="179">
        <v>881103.72</v>
      </c>
      <c r="E1445" s="145">
        <f t="shared" si="25"/>
        <v>955079.22</v>
      </c>
      <c r="F1445" s="112" t="s">
        <v>1209</v>
      </c>
    </row>
    <row r="1446" spans="1:6" hidden="1" outlineLevel="1">
      <c r="A1446" s="870" t="s">
        <v>1210</v>
      </c>
      <c r="B1446" s="163">
        <v>0</v>
      </c>
      <c r="C1446" s="178">
        <v>484608.33</v>
      </c>
      <c r="D1446" s="179">
        <v>410138.83999999997</v>
      </c>
      <c r="E1446" s="145">
        <f t="shared" si="25"/>
        <v>894747.16999999993</v>
      </c>
      <c r="F1446" s="112" t="s">
        <v>1211</v>
      </c>
    </row>
    <row r="1447" spans="1:6" hidden="1" outlineLevel="1">
      <c r="A1447" s="870" t="s">
        <v>1212</v>
      </c>
      <c r="B1447" s="163">
        <v>0</v>
      </c>
      <c r="C1447" s="178">
        <v>15070.599999999999</v>
      </c>
      <c r="D1447" s="179">
        <v>105712.17</v>
      </c>
      <c r="E1447" s="145">
        <f t="shared" si="25"/>
        <v>120782.76999999999</v>
      </c>
      <c r="F1447" s="112" t="s">
        <v>1213</v>
      </c>
    </row>
    <row r="1448" spans="1:6" hidden="1" outlineLevel="1">
      <c r="A1448" s="870" t="s">
        <v>1214</v>
      </c>
      <c r="B1448" s="163">
        <v>0</v>
      </c>
      <c r="C1448" s="178">
        <v>5290.16</v>
      </c>
      <c r="D1448" s="179">
        <v>72133.709999999992</v>
      </c>
      <c r="E1448" s="145">
        <f t="shared" si="25"/>
        <v>77423.87</v>
      </c>
      <c r="F1448" s="112" t="s">
        <v>1215</v>
      </c>
    </row>
    <row r="1449" spans="1:6" hidden="1" outlineLevel="1">
      <c r="A1449" s="870" t="s">
        <v>1216</v>
      </c>
      <c r="B1449" s="163">
        <v>0</v>
      </c>
      <c r="C1449" s="178">
        <v>11230.240000000002</v>
      </c>
      <c r="D1449" s="179">
        <v>811.28</v>
      </c>
      <c r="E1449" s="145">
        <f t="shared" si="25"/>
        <v>12041.520000000002</v>
      </c>
      <c r="F1449" s="112" t="s">
        <v>1217</v>
      </c>
    </row>
    <row r="1450" spans="1:6" hidden="1" outlineLevel="1">
      <c r="A1450" s="870" t="s">
        <v>1218</v>
      </c>
      <c r="B1450" s="163">
        <v>0</v>
      </c>
      <c r="C1450" s="178">
        <v>1175.26</v>
      </c>
      <c r="D1450" s="179">
        <v>65312.08</v>
      </c>
      <c r="E1450" s="145">
        <f t="shared" si="25"/>
        <v>66487.34</v>
      </c>
      <c r="F1450" s="112" t="s">
        <v>1219</v>
      </c>
    </row>
    <row r="1451" spans="1:6" hidden="1" outlineLevel="1">
      <c r="A1451" s="870" t="s">
        <v>1220</v>
      </c>
      <c r="B1451" s="163">
        <v>0</v>
      </c>
      <c r="C1451" s="178">
        <v>10809.73</v>
      </c>
      <c r="D1451" s="179">
        <v>28147.45</v>
      </c>
      <c r="E1451" s="145">
        <f t="shared" si="25"/>
        <v>38957.18</v>
      </c>
      <c r="F1451" s="112" t="s">
        <v>1221</v>
      </c>
    </row>
    <row r="1452" spans="1:6" hidden="1" outlineLevel="1">
      <c r="A1452" s="870" t="s">
        <v>1222</v>
      </c>
      <c r="B1452" s="163">
        <v>0</v>
      </c>
      <c r="C1452" s="178">
        <v>2255.4299999999998</v>
      </c>
      <c r="D1452" s="179">
        <v>78995.05</v>
      </c>
      <c r="E1452" s="145">
        <f t="shared" si="25"/>
        <v>81250.48</v>
      </c>
      <c r="F1452" s="112" t="s">
        <v>1223</v>
      </c>
    </row>
    <row r="1453" spans="1:6" hidden="1" outlineLevel="1">
      <c r="A1453" s="870" t="s">
        <v>1224</v>
      </c>
      <c r="B1453" s="163">
        <v>0</v>
      </c>
      <c r="C1453" s="178">
        <v>0</v>
      </c>
      <c r="D1453" s="179">
        <v>92322.44</v>
      </c>
      <c r="E1453" s="145">
        <f t="shared" si="25"/>
        <v>92322.44</v>
      </c>
      <c r="F1453" s="112" t="s">
        <v>1225</v>
      </c>
    </row>
    <row r="1454" spans="1:6" hidden="1" outlineLevel="1">
      <c r="A1454" s="870" t="s">
        <v>1226</v>
      </c>
      <c r="B1454" s="163">
        <v>0</v>
      </c>
      <c r="C1454" s="178">
        <v>19263.390000000003</v>
      </c>
      <c r="D1454" s="179">
        <v>19675.2</v>
      </c>
      <c r="E1454" s="145">
        <f t="shared" si="25"/>
        <v>38938.590000000004</v>
      </c>
      <c r="F1454" s="112" t="s">
        <v>1227</v>
      </c>
    </row>
    <row r="1455" spans="1:6" hidden="1" outlineLevel="1">
      <c r="A1455" s="870" t="s">
        <v>1228</v>
      </c>
      <c r="B1455" s="163">
        <v>0</v>
      </c>
      <c r="C1455" s="178">
        <v>96077.34</v>
      </c>
      <c r="D1455" s="179">
        <v>203745.44</v>
      </c>
      <c r="E1455" s="145">
        <f t="shared" si="25"/>
        <v>299822.78000000003</v>
      </c>
      <c r="F1455" s="112" t="s">
        <v>1229</v>
      </c>
    </row>
    <row r="1456" spans="1:6" hidden="1" outlineLevel="1">
      <c r="A1456" s="870" t="s">
        <v>1230</v>
      </c>
      <c r="B1456" s="163">
        <v>0</v>
      </c>
      <c r="C1456" s="178">
        <v>0</v>
      </c>
      <c r="D1456" s="179">
        <v>22499.84</v>
      </c>
      <c r="E1456" s="145">
        <f t="shared" si="25"/>
        <v>22499.84</v>
      </c>
      <c r="F1456" s="112" t="s">
        <v>1231</v>
      </c>
    </row>
    <row r="1457" spans="1:6" hidden="1" outlineLevel="1">
      <c r="A1457" s="870" t="s">
        <v>1232</v>
      </c>
      <c r="B1457" s="163">
        <v>0</v>
      </c>
      <c r="C1457" s="178">
        <v>0</v>
      </c>
      <c r="D1457" s="179">
        <v>8061.76</v>
      </c>
      <c r="E1457" s="145">
        <f t="shared" si="25"/>
        <v>8061.76</v>
      </c>
      <c r="F1457" s="112" t="s">
        <v>1233</v>
      </c>
    </row>
    <row r="1458" spans="1:6" hidden="1" outlineLevel="1">
      <c r="A1458" s="870" t="s">
        <v>1234</v>
      </c>
      <c r="B1458" s="163">
        <v>0</v>
      </c>
      <c r="C1458" s="178">
        <v>0</v>
      </c>
      <c r="D1458" s="179">
        <v>1867.49</v>
      </c>
      <c r="E1458" s="145">
        <f t="shared" ref="E1458:E1521" si="26">SUM(B1458:D1458)</f>
        <v>1867.49</v>
      </c>
      <c r="F1458" s="112" t="s">
        <v>1235</v>
      </c>
    </row>
    <row r="1459" spans="1:6" hidden="1" outlineLevel="1">
      <c r="A1459" s="870" t="s">
        <v>1236</v>
      </c>
      <c r="B1459" s="163">
        <v>13890.72</v>
      </c>
      <c r="C1459" s="178">
        <v>64477.1</v>
      </c>
      <c r="D1459" s="179">
        <v>18768.920000000002</v>
      </c>
      <c r="E1459" s="145">
        <f t="shared" si="26"/>
        <v>97136.739999999991</v>
      </c>
      <c r="F1459" s="112" t="s">
        <v>1237</v>
      </c>
    </row>
    <row r="1460" spans="1:6" hidden="1" outlineLevel="1">
      <c r="A1460" s="870" t="s">
        <v>1238</v>
      </c>
      <c r="B1460" s="163">
        <v>0</v>
      </c>
      <c r="C1460" s="178">
        <v>521324.76</v>
      </c>
      <c r="D1460" s="179">
        <v>24942518.370000001</v>
      </c>
      <c r="E1460" s="145">
        <f t="shared" si="26"/>
        <v>25463843.130000003</v>
      </c>
      <c r="F1460" s="112" t="s">
        <v>1239</v>
      </c>
    </row>
    <row r="1461" spans="1:6" hidden="1" outlineLevel="1">
      <c r="A1461" s="870" t="s">
        <v>1240</v>
      </c>
      <c r="B1461" s="163">
        <v>11613.24</v>
      </c>
      <c r="C1461" s="178">
        <v>2935.85</v>
      </c>
      <c r="D1461" s="179">
        <v>11151.12</v>
      </c>
      <c r="E1461" s="145">
        <f t="shared" si="26"/>
        <v>25700.21</v>
      </c>
      <c r="F1461" s="112" t="s">
        <v>1241</v>
      </c>
    </row>
    <row r="1462" spans="1:6" hidden="1" outlineLevel="1">
      <c r="A1462" s="870" t="s">
        <v>1242</v>
      </c>
      <c r="B1462" s="163">
        <v>0</v>
      </c>
      <c r="C1462" s="178">
        <v>10548.480000000001</v>
      </c>
      <c r="D1462" s="179">
        <v>34610.75</v>
      </c>
      <c r="E1462" s="145">
        <f t="shared" si="26"/>
        <v>45159.23</v>
      </c>
      <c r="F1462" s="112" t="s">
        <v>1243</v>
      </c>
    </row>
    <row r="1463" spans="1:6" hidden="1" outlineLevel="1">
      <c r="A1463" s="870" t="s">
        <v>1244</v>
      </c>
      <c r="B1463" s="163">
        <v>0</v>
      </c>
      <c r="C1463" s="178">
        <v>1872.4</v>
      </c>
      <c r="D1463" s="179">
        <v>2646.88</v>
      </c>
      <c r="E1463" s="145">
        <f t="shared" si="26"/>
        <v>4519.2800000000007</v>
      </c>
      <c r="F1463" s="112" t="s">
        <v>1245</v>
      </c>
    </row>
    <row r="1464" spans="1:6" hidden="1" outlineLevel="1">
      <c r="A1464" s="870" t="s">
        <v>1246</v>
      </c>
      <c r="B1464" s="163">
        <v>0</v>
      </c>
      <c r="C1464" s="178">
        <v>22320.87</v>
      </c>
      <c r="D1464" s="179">
        <v>570876.06999999995</v>
      </c>
      <c r="E1464" s="145">
        <f t="shared" si="26"/>
        <v>593196.93999999994</v>
      </c>
      <c r="F1464" s="112" t="s">
        <v>1247</v>
      </c>
    </row>
    <row r="1465" spans="1:6" hidden="1" outlineLevel="1">
      <c r="A1465" s="870" t="s">
        <v>1248</v>
      </c>
      <c r="B1465" s="163">
        <v>0</v>
      </c>
      <c r="C1465" s="178">
        <v>141.53</v>
      </c>
      <c r="D1465" s="179">
        <v>1855.26</v>
      </c>
      <c r="E1465" s="145">
        <f t="shared" si="26"/>
        <v>1996.79</v>
      </c>
      <c r="F1465" s="112" t="s">
        <v>1249</v>
      </c>
    </row>
    <row r="1466" spans="1:6" hidden="1" outlineLevel="1">
      <c r="A1466" s="870" t="s">
        <v>1250</v>
      </c>
      <c r="B1466" s="163">
        <v>0</v>
      </c>
      <c r="C1466" s="178">
        <v>109876.9</v>
      </c>
      <c r="D1466" s="179">
        <v>159118.09</v>
      </c>
      <c r="E1466" s="145">
        <f t="shared" si="26"/>
        <v>268994.99</v>
      </c>
      <c r="F1466" s="112" t="s">
        <v>1251</v>
      </c>
    </row>
    <row r="1467" spans="1:6" hidden="1" outlineLevel="1">
      <c r="A1467" s="870" t="s">
        <v>1252</v>
      </c>
      <c r="B1467" s="163">
        <v>0</v>
      </c>
      <c r="C1467" s="178">
        <v>8489.14</v>
      </c>
      <c r="D1467" s="179">
        <v>26472.78</v>
      </c>
      <c r="E1467" s="145">
        <f t="shared" si="26"/>
        <v>34961.919999999998</v>
      </c>
      <c r="F1467" s="112" t="s">
        <v>1253</v>
      </c>
    </row>
    <row r="1468" spans="1:6" hidden="1" outlineLevel="1">
      <c r="A1468" s="870" t="s">
        <v>1254</v>
      </c>
      <c r="B1468" s="163">
        <v>0</v>
      </c>
      <c r="C1468" s="178">
        <v>1352.23</v>
      </c>
      <c r="D1468" s="179">
        <v>39156.240000000005</v>
      </c>
      <c r="E1468" s="145">
        <f t="shared" si="26"/>
        <v>40508.470000000008</v>
      </c>
      <c r="F1468" s="112" t="s">
        <v>1255</v>
      </c>
    </row>
    <row r="1469" spans="1:6" hidden="1" outlineLevel="1">
      <c r="A1469" s="870" t="s">
        <v>1256</v>
      </c>
      <c r="B1469" s="163">
        <v>0</v>
      </c>
      <c r="C1469" s="178">
        <v>14261.38</v>
      </c>
      <c r="D1469" s="179">
        <v>0</v>
      </c>
      <c r="E1469" s="145">
        <f t="shared" si="26"/>
        <v>14261.38</v>
      </c>
      <c r="F1469" s="112" t="s">
        <v>1257</v>
      </c>
    </row>
    <row r="1470" spans="1:6" hidden="1" outlineLevel="1">
      <c r="A1470" s="870" t="s">
        <v>1258</v>
      </c>
      <c r="B1470" s="163">
        <v>0</v>
      </c>
      <c r="C1470" s="178">
        <v>0</v>
      </c>
      <c r="D1470" s="179">
        <v>8264.630000000001</v>
      </c>
      <c r="E1470" s="145">
        <f t="shared" si="26"/>
        <v>8264.630000000001</v>
      </c>
      <c r="F1470" s="112" t="s">
        <v>1259</v>
      </c>
    </row>
    <row r="1471" spans="1:6" hidden="1" outlineLevel="1">
      <c r="A1471" s="870" t="s">
        <v>1260</v>
      </c>
      <c r="B1471" s="163">
        <v>0</v>
      </c>
      <c r="C1471" s="178">
        <v>74050.13</v>
      </c>
      <c r="D1471" s="179">
        <v>298693.67</v>
      </c>
      <c r="E1471" s="145">
        <f t="shared" si="26"/>
        <v>372743.8</v>
      </c>
      <c r="F1471" s="112" t="s">
        <v>1261</v>
      </c>
    </row>
    <row r="1472" spans="1:6" hidden="1" outlineLevel="1">
      <c r="A1472" s="870" t="s">
        <v>1262</v>
      </c>
      <c r="B1472" s="163">
        <v>0</v>
      </c>
      <c r="C1472" s="178">
        <v>3992.04</v>
      </c>
      <c r="D1472" s="179">
        <v>107371.87999999999</v>
      </c>
      <c r="E1472" s="145">
        <f t="shared" si="26"/>
        <v>111363.91999999998</v>
      </c>
      <c r="F1472" s="112" t="s">
        <v>1263</v>
      </c>
    </row>
    <row r="1473" spans="1:6" hidden="1" outlineLevel="1">
      <c r="A1473" s="870" t="s">
        <v>1264</v>
      </c>
      <c r="B1473" s="163">
        <v>400.57</v>
      </c>
      <c r="C1473" s="178">
        <v>11731.59</v>
      </c>
      <c r="D1473" s="179">
        <v>2322.63</v>
      </c>
      <c r="E1473" s="145">
        <f t="shared" si="26"/>
        <v>14454.79</v>
      </c>
      <c r="F1473" s="112" t="s">
        <v>1265</v>
      </c>
    </row>
    <row r="1474" spans="1:6" hidden="1" outlineLevel="1">
      <c r="A1474" s="870" t="s">
        <v>1266</v>
      </c>
      <c r="B1474" s="163">
        <v>0</v>
      </c>
      <c r="C1474" s="178">
        <v>916.51</v>
      </c>
      <c r="D1474" s="179">
        <v>31883.21</v>
      </c>
      <c r="E1474" s="145">
        <f t="shared" si="26"/>
        <v>32799.72</v>
      </c>
      <c r="F1474" s="112" t="s">
        <v>1267</v>
      </c>
    </row>
    <row r="1475" spans="1:6" hidden="1" outlineLevel="1">
      <c r="A1475" s="870" t="s">
        <v>1268</v>
      </c>
      <c r="B1475" s="163">
        <v>0</v>
      </c>
      <c r="C1475" s="178">
        <v>107730.93</v>
      </c>
      <c r="D1475" s="179">
        <v>222510.18</v>
      </c>
      <c r="E1475" s="145">
        <f t="shared" si="26"/>
        <v>330241.11</v>
      </c>
      <c r="F1475" s="112" t="s">
        <v>1269</v>
      </c>
    </row>
    <row r="1476" spans="1:6" hidden="1" outlineLevel="1">
      <c r="A1476" s="870" t="s">
        <v>1270</v>
      </c>
      <c r="B1476" s="163">
        <v>0</v>
      </c>
      <c r="C1476" s="178">
        <v>23373.69</v>
      </c>
      <c r="D1476" s="179">
        <v>13173.76</v>
      </c>
      <c r="E1476" s="145">
        <f t="shared" si="26"/>
        <v>36547.449999999997</v>
      </c>
      <c r="F1476" s="112" t="s">
        <v>1271</v>
      </c>
    </row>
    <row r="1477" spans="1:6" hidden="1" outlineLevel="1">
      <c r="A1477" s="870" t="s">
        <v>1272</v>
      </c>
      <c r="B1477" s="163">
        <v>0</v>
      </c>
      <c r="C1477" s="178">
        <v>5327.44</v>
      </c>
      <c r="D1477" s="179">
        <v>34703.89</v>
      </c>
      <c r="E1477" s="145">
        <f t="shared" si="26"/>
        <v>40031.33</v>
      </c>
      <c r="F1477" s="112" t="s">
        <v>1273</v>
      </c>
    </row>
    <row r="1478" spans="1:6" hidden="1" outlineLevel="1">
      <c r="A1478" s="870" t="s">
        <v>1274</v>
      </c>
      <c r="B1478" s="163">
        <v>0</v>
      </c>
      <c r="C1478" s="178">
        <v>28132.55</v>
      </c>
      <c r="D1478" s="179">
        <v>516382.73</v>
      </c>
      <c r="E1478" s="145">
        <f t="shared" si="26"/>
        <v>544515.28</v>
      </c>
      <c r="F1478" s="112" t="s">
        <v>1275</v>
      </c>
    </row>
    <row r="1479" spans="1:6" hidden="1" outlineLevel="1">
      <c r="A1479" s="870" t="s">
        <v>1276</v>
      </c>
      <c r="B1479" s="163">
        <v>0</v>
      </c>
      <c r="C1479" s="178">
        <v>3361.02</v>
      </c>
      <c r="D1479" s="179">
        <v>86375.09</v>
      </c>
      <c r="E1479" s="145">
        <f t="shared" si="26"/>
        <v>89736.11</v>
      </c>
      <c r="F1479" s="112" t="s">
        <v>1277</v>
      </c>
    </row>
    <row r="1480" spans="1:6" hidden="1" outlineLevel="1">
      <c r="A1480" s="870" t="s">
        <v>1278</v>
      </c>
      <c r="B1480" s="163">
        <v>0</v>
      </c>
      <c r="C1480" s="178">
        <v>0</v>
      </c>
      <c r="D1480" s="179">
        <v>2970.12</v>
      </c>
      <c r="E1480" s="145">
        <f t="shared" si="26"/>
        <v>2970.12</v>
      </c>
      <c r="F1480" s="112" t="s">
        <v>1279</v>
      </c>
    </row>
    <row r="1481" spans="1:6" hidden="1" outlineLevel="1">
      <c r="A1481" s="870" t="s">
        <v>1280</v>
      </c>
      <c r="B1481" s="163">
        <v>0</v>
      </c>
      <c r="C1481" s="178">
        <v>2116.9300000000003</v>
      </c>
      <c r="D1481" s="179">
        <v>78204.149999999994</v>
      </c>
      <c r="E1481" s="145">
        <f t="shared" si="26"/>
        <v>80321.079999999987</v>
      </c>
      <c r="F1481" s="112" t="s">
        <v>1281</v>
      </c>
    </row>
    <row r="1482" spans="1:6" hidden="1" outlineLevel="1">
      <c r="A1482" s="870" t="s">
        <v>1282</v>
      </c>
      <c r="B1482" s="163">
        <v>0</v>
      </c>
      <c r="C1482" s="178">
        <v>73920.479999999996</v>
      </c>
      <c r="D1482" s="179">
        <v>6120180.3899999997</v>
      </c>
      <c r="E1482" s="145">
        <f t="shared" si="26"/>
        <v>6194100.8700000001</v>
      </c>
      <c r="F1482" s="112" t="s">
        <v>1283</v>
      </c>
    </row>
    <row r="1483" spans="1:6" hidden="1" outlineLevel="1">
      <c r="A1483" s="870" t="s">
        <v>1284</v>
      </c>
      <c r="B1483" s="163">
        <v>0</v>
      </c>
      <c r="C1483" s="178">
        <v>43706.44</v>
      </c>
      <c r="D1483" s="179">
        <v>76682.720000000001</v>
      </c>
      <c r="E1483" s="145">
        <f t="shared" si="26"/>
        <v>120389.16</v>
      </c>
      <c r="F1483" s="112" t="s">
        <v>1285</v>
      </c>
    </row>
    <row r="1484" spans="1:6" hidden="1" outlineLevel="1">
      <c r="A1484" s="870" t="s">
        <v>1286</v>
      </c>
      <c r="B1484" s="163">
        <v>0</v>
      </c>
      <c r="C1484" s="178">
        <v>46576.54</v>
      </c>
      <c r="D1484" s="179">
        <v>244247.48</v>
      </c>
      <c r="E1484" s="145">
        <f t="shared" si="26"/>
        <v>290824.02</v>
      </c>
      <c r="F1484" s="112" t="s">
        <v>1287</v>
      </c>
    </row>
    <row r="1485" spans="1:6" hidden="1" outlineLevel="1">
      <c r="A1485" s="870" t="s">
        <v>1288</v>
      </c>
      <c r="B1485" s="163">
        <v>0</v>
      </c>
      <c r="C1485" s="178">
        <v>41539.42</v>
      </c>
      <c r="D1485" s="179">
        <v>342631.73</v>
      </c>
      <c r="E1485" s="145">
        <f t="shared" si="26"/>
        <v>384171.14999999997</v>
      </c>
      <c r="F1485" s="112" t="s">
        <v>1289</v>
      </c>
    </row>
    <row r="1486" spans="1:6" hidden="1" outlineLevel="1">
      <c r="A1486" s="870" t="s">
        <v>1290</v>
      </c>
      <c r="B1486" s="163">
        <v>0</v>
      </c>
      <c r="C1486" s="178">
        <v>0</v>
      </c>
      <c r="D1486" s="179">
        <v>53908.59</v>
      </c>
      <c r="E1486" s="145">
        <f t="shared" si="26"/>
        <v>53908.59</v>
      </c>
      <c r="F1486" s="112" t="s">
        <v>1291</v>
      </c>
    </row>
    <row r="1487" spans="1:6" hidden="1" outlineLevel="1">
      <c r="A1487" s="870" t="s">
        <v>1292</v>
      </c>
      <c r="B1487" s="163">
        <v>0</v>
      </c>
      <c r="C1487" s="178">
        <v>4588</v>
      </c>
      <c r="D1487" s="179">
        <v>7205.92</v>
      </c>
      <c r="E1487" s="145">
        <f t="shared" si="26"/>
        <v>11793.92</v>
      </c>
      <c r="F1487" s="112" t="s">
        <v>1293</v>
      </c>
    </row>
    <row r="1488" spans="1:6" hidden="1" outlineLevel="1">
      <c r="A1488" s="870" t="s">
        <v>1294</v>
      </c>
      <c r="B1488" s="163">
        <v>0</v>
      </c>
      <c r="C1488" s="178">
        <v>0</v>
      </c>
      <c r="D1488" s="179">
        <v>30402.800000000003</v>
      </c>
      <c r="E1488" s="145">
        <f t="shared" si="26"/>
        <v>30402.800000000003</v>
      </c>
      <c r="F1488" s="112" t="s">
        <v>1295</v>
      </c>
    </row>
    <row r="1489" spans="1:6" hidden="1" outlineLevel="1">
      <c r="A1489" s="870" t="s">
        <v>1296</v>
      </c>
      <c r="B1489" s="163">
        <v>0</v>
      </c>
      <c r="C1489" s="178">
        <v>0</v>
      </c>
      <c r="D1489" s="179">
        <v>9039.44</v>
      </c>
      <c r="E1489" s="145">
        <f t="shared" si="26"/>
        <v>9039.44</v>
      </c>
      <c r="F1489" s="112" t="s">
        <v>1297</v>
      </c>
    </row>
    <row r="1490" spans="1:6" hidden="1" outlineLevel="1">
      <c r="A1490" s="870" t="s">
        <v>1298</v>
      </c>
      <c r="B1490" s="163">
        <v>0</v>
      </c>
      <c r="C1490" s="178">
        <v>0</v>
      </c>
      <c r="D1490" s="179">
        <v>1803.76</v>
      </c>
      <c r="E1490" s="145">
        <f t="shared" si="26"/>
        <v>1803.76</v>
      </c>
      <c r="F1490" s="112" t="s">
        <v>1299</v>
      </c>
    </row>
    <row r="1491" spans="1:6" hidden="1" outlineLevel="1">
      <c r="A1491" s="870" t="s">
        <v>1300</v>
      </c>
      <c r="B1491" s="163">
        <v>0</v>
      </c>
      <c r="C1491" s="178">
        <v>0</v>
      </c>
      <c r="D1491" s="179">
        <v>5697.24</v>
      </c>
      <c r="E1491" s="145">
        <f t="shared" si="26"/>
        <v>5697.24</v>
      </c>
      <c r="F1491" s="112" t="s">
        <v>1301</v>
      </c>
    </row>
    <row r="1492" spans="1:6" hidden="1" outlineLevel="1">
      <c r="A1492" s="870" t="s">
        <v>1302</v>
      </c>
      <c r="B1492" s="163">
        <v>0</v>
      </c>
      <c r="C1492" s="178">
        <v>12919.08</v>
      </c>
      <c r="D1492" s="179">
        <v>7600.2800000000007</v>
      </c>
      <c r="E1492" s="145">
        <f t="shared" si="26"/>
        <v>20519.36</v>
      </c>
      <c r="F1492" s="112" t="s">
        <v>1303</v>
      </c>
    </row>
    <row r="1493" spans="1:6" hidden="1" outlineLevel="1">
      <c r="A1493" s="870" t="s">
        <v>1304</v>
      </c>
      <c r="B1493" s="163">
        <v>0</v>
      </c>
      <c r="C1493" s="178">
        <v>10675.23</v>
      </c>
      <c r="D1493" s="179">
        <v>311322.92000000004</v>
      </c>
      <c r="E1493" s="145">
        <f t="shared" si="26"/>
        <v>321998.15000000002</v>
      </c>
      <c r="F1493" s="112" t="s">
        <v>1305</v>
      </c>
    </row>
    <row r="1494" spans="1:6" hidden="1" outlineLevel="1">
      <c r="A1494" s="870" t="s">
        <v>1306</v>
      </c>
      <c r="B1494" s="163">
        <v>0</v>
      </c>
      <c r="C1494" s="178">
        <v>5699.61</v>
      </c>
      <c r="D1494" s="179">
        <v>41511.03</v>
      </c>
      <c r="E1494" s="145">
        <f t="shared" si="26"/>
        <v>47210.64</v>
      </c>
      <c r="F1494" s="112" t="s">
        <v>1307</v>
      </c>
    </row>
    <row r="1495" spans="1:6" hidden="1" outlineLevel="1">
      <c r="A1495" s="870" t="s">
        <v>1308</v>
      </c>
      <c r="B1495" s="163">
        <v>0</v>
      </c>
      <c r="C1495" s="178">
        <v>0</v>
      </c>
      <c r="D1495" s="179">
        <v>25778.37</v>
      </c>
      <c r="E1495" s="145">
        <f t="shared" si="26"/>
        <v>25778.37</v>
      </c>
      <c r="F1495" s="112" t="s">
        <v>1309</v>
      </c>
    </row>
    <row r="1496" spans="1:6" hidden="1" outlineLevel="1">
      <c r="A1496" s="870" t="s">
        <v>1310</v>
      </c>
      <c r="B1496" s="163">
        <v>22893.360000000001</v>
      </c>
      <c r="C1496" s="178">
        <v>22782.22</v>
      </c>
      <c r="D1496" s="179">
        <v>96528.040000000008</v>
      </c>
      <c r="E1496" s="145">
        <f t="shared" si="26"/>
        <v>142203.62</v>
      </c>
      <c r="F1496" s="112" t="s">
        <v>1311</v>
      </c>
    </row>
    <row r="1497" spans="1:6" hidden="1" outlineLevel="1">
      <c r="A1497" s="870" t="s">
        <v>1312</v>
      </c>
      <c r="B1497" s="163">
        <v>0</v>
      </c>
      <c r="C1497" s="178">
        <v>4007.56</v>
      </c>
      <c r="D1497" s="179">
        <v>15058.04</v>
      </c>
      <c r="E1497" s="145">
        <f t="shared" si="26"/>
        <v>19065.600000000002</v>
      </c>
      <c r="F1497" s="112" t="s">
        <v>1313</v>
      </c>
    </row>
    <row r="1498" spans="1:6" hidden="1" outlineLevel="1">
      <c r="A1498" s="870" t="s">
        <v>1314</v>
      </c>
      <c r="B1498" s="163">
        <v>0</v>
      </c>
      <c r="C1498" s="178">
        <v>11721.41</v>
      </c>
      <c r="D1498" s="179">
        <v>133021.25</v>
      </c>
      <c r="E1498" s="145">
        <f t="shared" si="26"/>
        <v>144742.66</v>
      </c>
      <c r="F1498" s="112" t="s">
        <v>1315</v>
      </c>
    </row>
    <row r="1499" spans="1:6" hidden="1" outlineLevel="1">
      <c r="A1499" s="870" t="s">
        <v>1316</v>
      </c>
      <c r="B1499" s="163">
        <v>0</v>
      </c>
      <c r="C1499" s="178">
        <v>92411.47</v>
      </c>
      <c r="D1499" s="179">
        <v>176096.47999999998</v>
      </c>
      <c r="E1499" s="145">
        <f t="shared" si="26"/>
        <v>268507.94999999995</v>
      </c>
      <c r="F1499" s="112" t="s">
        <v>1317</v>
      </c>
    </row>
    <row r="1500" spans="1:6" hidden="1" outlineLevel="1">
      <c r="A1500" s="870" t="s">
        <v>1318</v>
      </c>
      <c r="B1500" s="163">
        <v>0</v>
      </c>
      <c r="C1500" s="178">
        <v>10225.5</v>
      </c>
      <c r="D1500" s="179">
        <v>56043.53</v>
      </c>
      <c r="E1500" s="145">
        <f t="shared" si="26"/>
        <v>66269.03</v>
      </c>
      <c r="F1500" s="112" t="s">
        <v>1319</v>
      </c>
    </row>
    <row r="1501" spans="1:6" hidden="1" outlineLevel="1">
      <c r="A1501" s="870" t="s">
        <v>1320</v>
      </c>
      <c r="B1501" s="163">
        <v>0</v>
      </c>
      <c r="C1501" s="178">
        <v>209477.56000000003</v>
      </c>
      <c r="D1501" s="179">
        <v>74591.399999999994</v>
      </c>
      <c r="E1501" s="145">
        <f t="shared" si="26"/>
        <v>284068.96000000002</v>
      </c>
      <c r="F1501" s="112" t="s">
        <v>1321</v>
      </c>
    </row>
    <row r="1502" spans="1:6" hidden="1" outlineLevel="1">
      <c r="A1502" s="870" t="s">
        <v>1322</v>
      </c>
      <c r="B1502" s="163">
        <v>0</v>
      </c>
      <c r="C1502" s="178">
        <v>3523.31</v>
      </c>
      <c r="D1502" s="179">
        <v>38308.18</v>
      </c>
      <c r="E1502" s="145">
        <f t="shared" si="26"/>
        <v>41831.49</v>
      </c>
      <c r="F1502" s="112" t="s">
        <v>1323</v>
      </c>
    </row>
    <row r="1503" spans="1:6" hidden="1" outlineLevel="1">
      <c r="A1503" s="870" t="s">
        <v>1324</v>
      </c>
      <c r="B1503" s="163">
        <v>0</v>
      </c>
      <c r="C1503" s="178">
        <v>8456.7000000000007</v>
      </c>
      <c r="D1503" s="179">
        <v>0</v>
      </c>
      <c r="E1503" s="145">
        <f t="shared" si="26"/>
        <v>8456.7000000000007</v>
      </c>
      <c r="F1503" s="112" t="s">
        <v>1325</v>
      </c>
    </row>
    <row r="1504" spans="1:6" hidden="1" outlineLevel="1">
      <c r="A1504" s="870" t="s">
        <v>1326</v>
      </c>
      <c r="B1504" s="163">
        <v>0</v>
      </c>
      <c r="C1504" s="178">
        <v>0</v>
      </c>
      <c r="D1504" s="179">
        <v>2017279.77</v>
      </c>
      <c r="E1504" s="145">
        <f t="shared" si="26"/>
        <v>2017279.77</v>
      </c>
      <c r="F1504" s="112" t="s">
        <v>1327</v>
      </c>
    </row>
    <row r="1505" spans="1:6" hidden="1" outlineLevel="1">
      <c r="A1505" s="870" t="s">
        <v>1328</v>
      </c>
      <c r="B1505" s="163">
        <v>0</v>
      </c>
      <c r="C1505" s="178">
        <v>47457.15</v>
      </c>
      <c r="D1505" s="179">
        <v>857262.42999999993</v>
      </c>
      <c r="E1505" s="145">
        <f t="shared" si="26"/>
        <v>904719.58</v>
      </c>
      <c r="F1505" s="112" t="s">
        <v>1329</v>
      </c>
    </row>
    <row r="1506" spans="1:6" hidden="1" outlineLevel="1">
      <c r="A1506" s="870" t="s">
        <v>1330</v>
      </c>
      <c r="B1506" s="163">
        <v>0</v>
      </c>
      <c r="C1506" s="178">
        <v>0</v>
      </c>
      <c r="D1506" s="179">
        <v>17552420</v>
      </c>
      <c r="E1506" s="145">
        <f t="shared" si="26"/>
        <v>17552420</v>
      </c>
      <c r="F1506" s="112" t="s">
        <v>1331</v>
      </c>
    </row>
    <row r="1507" spans="1:6" hidden="1" outlineLevel="1">
      <c r="A1507" s="870" t="s">
        <v>1332</v>
      </c>
      <c r="B1507" s="163">
        <v>0</v>
      </c>
      <c r="C1507" s="178">
        <v>181828.41</v>
      </c>
      <c r="D1507" s="179">
        <v>2333980.1400000006</v>
      </c>
      <c r="E1507" s="145">
        <f t="shared" si="26"/>
        <v>2515808.5500000007</v>
      </c>
      <c r="F1507" s="112" t="s">
        <v>1333</v>
      </c>
    </row>
    <row r="1508" spans="1:6" hidden="1" outlineLevel="1">
      <c r="A1508" s="870" t="s">
        <v>499</v>
      </c>
      <c r="B1508" s="163">
        <v>0</v>
      </c>
      <c r="C1508" s="178">
        <v>7667.32</v>
      </c>
      <c r="D1508" s="179">
        <v>33218.160000000003</v>
      </c>
      <c r="E1508" s="145">
        <f t="shared" si="26"/>
        <v>40885.480000000003</v>
      </c>
      <c r="F1508" s="112" t="s">
        <v>500</v>
      </c>
    </row>
    <row r="1509" spans="1:6" hidden="1" outlineLevel="1">
      <c r="A1509" s="870" t="s">
        <v>1334</v>
      </c>
      <c r="B1509" s="163">
        <v>0</v>
      </c>
      <c r="C1509" s="178">
        <v>54376.55</v>
      </c>
      <c r="D1509" s="179">
        <v>198275.77000000002</v>
      </c>
      <c r="E1509" s="145">
        <f t="shared" si="26"/>
        <v>252652.32</v>
      </c>
      <c r="F1509" s="112" t="s">
        <v>1335</v>
      </c>
    </row>
    <row r="1510" spans="1:6" hidden="1" outlineLevel="1">
      <c r="A1510" s="870" t="s">
        <v>1336</v>
      </c>
      <c r="B1510" s="163">
        <v>0</v>
      </c>
      <c r="C1510" s="178">
        <v>4453.3599999999997</v>
      </c>
      <c r="D1510" s="179">
        <v>67881.680000000008</v>
      </c>
      <c r="E1510" s="145">
        <f t="shared" si="26"/>
        <v>72335.040000000008</v>
      </c>
      <c r="F1510" s="112" t="s">
        <v>1337</v>
      </c>
    </row>
    <row r="1511" spans="1:6" hidden="1" outlineLevel="1">
      <c r="A1511" s="870" t="s">
        <v>748</v>
      </c>
      <c r="B1511" s="163">
        <v>0</v>
      </c>
      <c r="C1511" s="178">
        <v>42928.76</v>
      </c>
      <c r="D1511" s="179">
        <v>7844.24</v>
      </c>
      <c r="E1511" s="145">
        <f t="shared" si="26"/>
        <v>50773</v>
      </c>
      <c r="F1511" s="112" t="s">
        <v>1338</v>
      </c>
    </row>
    <row r="1512" spans="1:6" hidden="1" outlineLevel="1">
      <c r="A1512" s="870" t="s">
        <v>1339</v>
      </c>
      <c r="B1512" s="163">
        <v>0</v>
      </c>
      <c r="C1512" s="178">
        <v>1444.74</v>
      </c>
      <c r="D1512" s="179">
        <v>18007.199999999997</v>
      </c>
      <c r="E1512" s="145">
        <f t="shared" si="26"/>
        <v>19451.939999999999</v>
      </c>
      <c r="F1512" s="112" t="s">
        <v>1340</v>
      </c>
    </row>
    <row r="1513" spans="1:6" hidden="1" outlineLevel="1">
      <c r="A1513" s="870" t="s">
        <v>1341</v>
      </c>
      <c r="B1513" s="163">
        <v>0</v>
      </c>
      <c r="C1513" s="178">
        <v>17688.150000000001</v>
      </c>
      <c r="D1513" s="179">
        <v>93803.01999999999</v>
      </c>
      <c r="E1513" s="145">
        <f t="shared" si="26"/>
        <v>111491.16999999998</v>
      </c>
      <c r="F1513" s="112" t="s">
        <v>1342</v>
      </c>
    </row>
    <row r="1514" spans="1:6" hidden="1" outlineLevel="1">
      <c r="A1514" s="870" t="s">
        <v>1343</v>
      </c>
      <c r="B1514" s="163">
        <v>0</v>
      </c>
      <c r="C1514" s="178">
        <v>5223.45</v>
      </c>
      <c r="D1514" s="179">
        <v>15600.48</v>
      </c>
      <c r="E1514" s="145">
        <f t="shared" si="26"/>
        <v>20823.93</v>
      </c>
      <c r="F1514" s="112" t="s">
        <v>1344</v>
      </c>
    </row>
    <row r="1515" spans="1:6" hidden="1" outlineLevel="1">
      <c r="A1515" s="870" t="s">
        <v>1345</v>
      </c>
      <c r="B1515" s="163">
        <v>0</v>
      </c>
      <c r="C1515" s="178">
        <v>9628.18</v>
      </c>
      <c r="D1515" s="179">
        <v>17216</v>
      </c>
      <c r="E1515" s="145">
        <f t="shared" si="26"/>
        <v>26844.18</v>
      </c>
      <c r="F1515" s="112" t="s">
        <v>1346</v>
      </c>
    </row>
    <row r="1516" spans="1:6" hidden="1" outlineLevel="1">
      <c r="A1516" s="870" t="s">
        <v>1347</v>
      </c>
      <c r="B1516" s="163">
        <v>0</v>
      </c>
      <c r="C1516" s="178">
        <v>21129.62</v>
      </c>
      <c r="D1516" s="179">
        <v>19501.72</v>
      </c>
      <c r="E1516" s="145">
        <f t="shared" si="26"/>
        <v>40631.339999999997</v>
      </c>
      <c r="F1516" s="112" t="s">
        <v>1348</v>
      </c>
    </row>
    <row r="1517" spans="1:6" hidden="1" outlineLevel="1">
      <c r="A1517" s="870" t="s">
        <v>1349</v>
      </c>
      <c r="B1517" s="163">
        <v>0</v>
      </c>
      <c r="C1517" s="178">
        <v>0</v>
      </c>
      <c r="D1517" s="179">
        <v>2438.71</v>
      </c>
      <c r="E1517" s="145">
        <f t="shared" si="26"/>
        <v>2438.71</v>
      </c>
      <c r="F1517" s="112" t="s">
        <v>1350</v>
      </c>
    </row>
    <row r="1518" spans="1:6" hidden="1" outlineLevel="1">
      <c r="A1518" s="870" t="s">
        <v>1351</v>
      </c>
      <c r="B1518" s="163">
        <v>0</v>
      </c>
      <c r="C1518" s="178">
        <v>20514.28</v>
      </c>
      <c r="D1518" s="179">
        <v>566882.1100000001</v>
      </c>
      <c r="E1518" s="145">
        <f t="shared" si="26"/>
        <v>587396.39000000013</v>
      </c>
      <c r="F1518" s="112" t="s">
        <v>1352</v>
      </c>
    </row>
    <row r="1519" spans="1:6" hidden="1" outlineLevel="1">
      <c r="A1519" s="870" t="s">
        <v>1353</v>
      </c>
      <c r="B1519" s="163">
        <v>0</v>
      </c>
      <c r="C1519" s="178">
        <v>2483.37</v>
      </c>
      <c r="D1519" s="179">
        <v>13207.62</v>
      </c>
      <c r="E1519" s="145">
        <f t="shared" si="26"/>
        <v>15690.990000000002</v>
      </c>
      <c r="F1519" s="112" t="s">
        <v>1354</v>
      </c>
    </row>
    <row r="1520" spans="1:6" hidden="1" outlineLevel="1">
      <c r="A1520" s="870" t="s">
        <v>1355</v>
      </c>
      <c r="B1520" s="163">
        <v>0</v>
      </c>
      <c r="C1520" s="178">
        <v>16210.31</v>
      </c>
      <c r="D1520" s="179">
        <v>14214.17</v>
      </c>
      <c r="E1520" s="145">
        <f t="shared" si="26"/>
        <v>30424.48</v>
      </c>
      <c r="F1520" s="112" t="s">
        <v>1356</v>
      </c>
    </row>
    <row r="1521" spans="1:6" hidden="1" outlineLevel="1">
      <c r="A1521" s="870" t="s">
        <v>1357</v>
      </c>
      <c r="B1521" s="163">
        <v>0</v>
      </c>
      <c r="C1521" s="178">
        <v>6356.69</v>
      </c>
      <c r="D1521" s="179">
        <v>38826.51</v>
      </c>
      <c r="E1521" s="145">
        <f t="shared" si="26"/>
        <v>45183.200000000004</v>
      </c>
      <c r="F1521" s="112" t="s">
        <v>1358</v>
      </c>
    </row>
    <row r="1522" spans="1:6" hidden="1" outlineLevel="1">
      <c r="A1522" s="870" t="s">
        <v>1359</v>
      </c>
      <c r="B1522" s="163">
        <v>0</v>
      </c>
      <c r="C1522" s="178">
        <v>0</v>
      </c>
      <c r="D1522" s="179">
        <v>17011.28</v>
      </c>
      <c r="E1522" s="145">
        <f t="shared" ref="E1522:E1585" si="27">SUM(B1522:D1522)</f>
        <v>17011.28</v>
      </c>
      <c r="F1522" s="112" t="s">
        <v>1360</v>
      </c>
    </row>
    <row r="1523" spans="1:6" hidden="1" outlineLevel="1">
      <c r="A1523" s="870" t="s">
        <v>1361</v>
      </c>
      <c r="B1523" s="163">
        <v>0</v>
      </c>
      <c r="C1523" s="178">
        <v>47695.11</v>
      </c>
      <c r="D1523" s="179">
        <v>170711.41</v>
      </c>
      <c r="E1523" s="145">
        <f t="shared" si="27"/>
        <v>218406.52000000002</v>
      </c>
      <c r="F1523" s="112" t="s">
        <v>1362</v>
      </c>
    </row>
    <row r="1524" spans="1:6" hidden="1" outlineLevel="1">
      <c r="A1524" s="870" t="s">
        <v>1363</v>
      </c>
      <c r="B1524" s="163">
        <v>0</v>
      </c>
      <c r="C1524" s="178">
        <v>2370.7199999999998</v>
      </c>
      <c r="D1524" s="179">
        <v>26897.87</v>
      </c>
      <c r="E1524" s="145">
        <f t="shared" si="27"/>
        <v>29268.59</v>
      </c>
      <c r="F1524" s="112" t="s">
        <v>1364</v>
      </c>
    </row>
    <row r="1525" spans="1:6" hidden="1" outlineLevel="1">
      <c r="A1525" s="870" t="s">
        <v>1365</v>
      </c>
      <c r="B1525" s="163">
        <v>11992.4</v>
      </c>
      <c r="C1525" s="178">
        <v>7539.05</v>
      </c>
      <c r="D1525" s="179">
        <v>0</v>
      </c>
      <c r="E1525" s="145">
        <f t="shared" si="27"/>
        <v>19531.45</v>
      </c>
      <c r="F1525" s="112" t="s">
        <v>1366</v>
      </c>
    </row>
    <row r="1526" spans="1:6" hidden="1" outlineLevel="1">
      <c r="A1526" s="870" t="s">
        <v>1367</v>
      </c>
      <c r="B1526" s="163">
        <v>0</v>
      </c>
      <c r="C1526" s="178">
        <v>1116.19</v>
      </c>
      <c r="D1526" s="179">
        <v>2850.8</v>
      </c>
      <c r="E1526" s="145">
        <f t="shared" si="27"/>
        <v>3966.9900000000002</v>
      </c>
      <c r="F1526" s="112" t="s">
        <v>1368</v>
      </c>
    </row>
    <row r="1527" spans="1:6" hidden="1" outlineLevel="1">
      <c r="A1527" s="870" t="s">
        <v>1369</v>
      </c>
      <c r="B1527" s="163">
        <v>1022.82</v>
      </c>
      <c r="C1527" s="178">
        <v>614.74</v>
      </c>
      <c r="D1527" s="179">
        <v>0</v>
      </c>
      <c r="E1527" s="145">
        <f t="shared" si="27"/>
        <v>1637.56</v>
      </c>
      <c r="F1527" s="112" t="s">
        <v>1370</v>
      </c>
    </row>
    <row r="1528" spans="1:6" hidden="1" outlineLevel="1">
      <c r="A1528" s="870" t="s">
        <v>409</v>
      </c>
      <c r="B1528" s="163">
        <v>0</v>
      </c>
      <c r="C1528" s="178">
        <v>2631.26</v>
      </c>
      <c r="D1528" s="179">
        <v>6227.4</v>
      </c>
      <c r="E1528" s="145">
        <f t="shared" si="27"/>
        <v>8858.66</v>
      </c>
      <c r="F1528" s="112" t="s">
        <v>410</v>
      </c>
    </row>
    <row r="1529" spans="1:6" hidden="1" outlineLevel="1">
      <c r="A1529" s="870" t="s">
        <v>1371</v>
      </c>
      <c r="B1529" s="163">
        <v>0</v>
      </c>
      <c r="C1529" s="178">
        <v>3306.05</v>
      </c>
      <c r="D1529" s="179">
        <v>10250.64</v>
      </c>
      <c r="E1529" s="145">
        <f t="shared" si="27"/>
        <v>13556.689999999999</v>
      </c>
      <c r="F1529" s="112" t="s">
        <v>1372</v>
      </c>
    </row>
    <row r="1530" spans="1:6" hidden="1" outlineLevel="1">
      <c r="A1530" s="870" t="s">
        <v>1373</v>
      </c>
      <c r="B1530" s="163">
        <v>0</v>
      </c>
      <c r="C1530" s="178">
        <v>0</v>
      </c>
      <c r="D1530" s="179">
        <v>4800</v>
      </c>
      <c r="E1530" s="145">
        <f t="shared" si="27"/>
        <v>4800</v>
      </c>
      <c r="F1530" s="112" t="s">
        <v>1374</v>
      </c>
    </row>
    <row r="1531" spans="1:6" hidden="1" outlineLevel="1">
      <c r="A1531" s="870" t="s">
        <v>1375</v>
      </c>
      <c r="B1531" s="163">
        <v>0</v>
      </c>
      <c r="C1531" s="178">
        <v>37407.800000000003</v>
      </c>
      <c r="D1531" s="179">
        <v>120247.59999999999</v>
      </c>
      <c r="E1531" s="145">
        <f t="shared" si="27"/>
        <v>157655.4</v>
      </c>
      <c r="F1531" s="112" t="s">
        <v>1376</v>
      </c>
    </row>
    <row r="1532" spans="1:6" hidden="1" outlineLevel="1">
      <c r="A1532" s="870" t="s">
        <v>86</v>
      </c>
      <c r="B1532" s="163">
        <v>0</v>
      </c>
      <c r="C1532" s="178">
        <v>0</v>
      </c>
      <c r="D1532" s="179">
        <v>26191.89</v>
      </c>
      <c r="E1532" s="145">
        <f t="shared" si="27"/>
        <v>26191.89</v>
      </c>
      <c r="F1532" s="112" t="s">
        <v>87</v>
      </c>
    </row>
    <row r="1533" spans="1:6" hidden="1" outlineLevel="1">
      <c r="A1533" s="870" t="s">
        <v>1377</v>
      </c>
      <c r="B1533" s="163">
        <v>0</v>
      </c>
      <c r="C1533" s="178">
        <v>11541.15</v>
      </c>
      <c r="D1533" s="179">
        <v>0</v>
      </c>
      <c r="E1533" s="145">
        <f t="shared" si="27"/>
        <v>11541.15</v>
      </c>
      <c r="F1533" s="112" t="s">
        <v>1378</v>
      </c>
    </row>
    <row r="1534" spans="1:6" hidden="1" outlineLevel="1">
      <c r="A1534" s="870" t="s">
        <v>1379</v>
      </c>
      <c r="B1534" s="163">
        <v>0</v>
      </c>
      <c r="C1534" s="178">
        <v>0</v>
      </c>
      <c r="D1534" s="179">
        <v>1597.76</v>
      </c>
      <c r="E1534" s="145">
        <f t="shared" si="27"/>
        <v>1597.76</v>
      </c>
      <c r="F1534" s="112" t="s">
        <v>1380</v>
      </c>
    </row>
    <row r="1535" spans="1:6" hidden="1" outlineLevel="1">
      <c r="A1535" s="870" t="s">
        <v>1381</v>
      </c>
      <c r="B1535" s="163">
        <v>0</v>
      </c>
      <c r="C1535" s="178">
        <v>2402.09</v>
      </c>
      <c r="D1535" s="179">
        <v>2329.64</v>
      </c>
      <c r="E1535" s="145">
        <f t="shared" si="27"/>
        <v>4731.7299999999996</v>
      </c>
      <c r="F1535" s="112" t="s">
        <v>1382</v>
      </c>
    </row>
    <row r="1536" spans="1:6" hidden="1" outlineLevel="1">
      <c r="A1536" s="870" t="s">
        <v>1383</v>
      </c>
      <c r="B1536" s="163">
        <v>0</v>
      </c>
      <c r="C1536" s="178">
        <v>2295.29</v>
      </c>
      <c r="D1536" s="179">
        <v>102993.27</v>
      </c>
      <c r="E1536" s="145">
        <f t="shared" si="27"/>
        <v>105288.56</v>
      </c>
      <c r="F1536" s="112" t="s">
        <v>1384</v>
      </c>
    </row>
    <row r="1537" spans="1:6" hidden="1" outlineLevel="1">
      <c r="A1537" s="870" t="s">
        <v>1385</v>
      </c>
      <c r="B1537" s="163">
        <v>0</v>
      </c>
      <c r="C1537" s="178">
        <v>5289.73</v>
      </c>
      <c r="D1537" s="179">
        <v>407641.1</v>
      </c>
      <c r="E1537" s="145">
        <f t="shared" si="27"/>
        <v>412930.82999999996</v>
      </c>
      <c r="F1537" s="112" t="s">
        <v>1386</v>
      </c>
    </row>
    <row r="1538" spans="1:6" hidden="1" outlineLevel="1">
      <c r="A1538" s="870" t="s">
        <v>1387</v>
      </c>
      <c r="B1538" s="163">
        <v>0</v>
      </c>
      <c r="C1538" s="178">
        <v>3958.55</v>
      </c>
      <c r="D1538" s="179">
        <v>13208.05</v>
      </c>
      <c r="E1538" s="145">
        <f t="shared" si="27"/>
        <v>17166.599999999999</v>
      </c>
      <c r="F1538" s="112" t="s">
        <v>1388</v>
      </c>
    </row>
    <row r="1539" spans="1:6" hidden="1" outlineLevel="1">
      <c r="A1539" s="870" t="s">
        <v>1389</v>
      </c>
      <c r="B1539" s="163">
        <v>0</v>
      </c>
      <c r="C1539" s="178">
        <v>33034.75</v>
      </c>
      <c r="D1539" s="179">
        <v>50152.92</v>
      </c>
      <c r="E1539" s="145">
        <f t="shared" si="27"/>
        <v>83187.67</v>
      </c>
      <c r="F1539" s="112" t="s">
        <v>1390</v>
      </c>
    </row>
    <row r="1540" spans="1:6" hidden="1" outlineLevel="1">
      <c r="A1540" s="870" t="s">
        <v>1391</v>
      </c>
      <c r="B1540" s="163">
        <v>0</v>
      </c>
      <c r="C1540" s="178">
        <v>24813.879999999997</v>
      </c>
      <c r="D1540" s="179">
        <v>20298.64</v>
      </c>
      <c r="E1540" s="145">
        <f t="shared" si="27"/>
        <v>45112.52</v>
      </c>
      <c r="F1540" s="112" t="s">
        <v>1392</v>
      </c>
    </row>
    <row r="1541" spans="1:6" hidden="1" outlineLevel="1">
      <c r="A1541" s="870" t="s">
        <v>194</v>
      </c>
      <c r="B1541" s="163">
        <v>297.45999999999998</v>
      </c>
      <c r="C1541" s="178">
        <v>297193.19</v>
      </c>
      <c r="D1541" s="179">
        <v>492805.51</v>
      </c>
      <c r="E1541" s="145">
        <f t="shared" si="27"/>
        <v>790296.16</v>
      </c>
      <c r="F1541" s="112" t="s">
        <v>195</v>
      </c>
    </row>
    <row r="1542" spans="1:6" hidden="1" outlineLevel="1">
      <c r="A1542" s="870" t="s">
        <v>1393</v>
      </c>
      <c r="B1542" s="163">
        <v>0</v>
      </c>
      <c r="C1542" s="178">
        <v>0</v>
      </c>
      <c r="D1542" s="179">
        <v>23947.82</v>
      </c>
      <c r="E1542" s="145">
        <f t="shared" si="27"/>
        <v>23947.82</v>
      </c>
      <c r="F1542" s="112" t="s">
        <v>1394</v>
      </c>
    </row>
    <row r="1543" spans="1:6" hidden="1" outlineLevel="1">
      <c r="A1543" s="870" t="s">
        <v>1395</v>
      </c>
      <c r="B1543" s="163">
        <v>0</v>
      </c>
      <c r="C1543" s="178">
        <v>246828.85</v>
      </c>
      <c r="D1543" s="179">
        <v>5159146.4000000004</v>
      </c>
      <c r="E1543" s="145">
        <f t="shared" si="27"/>
        <v>5405975.25</v>
      </c>
      <c r="F1543" s="112" t="s">
        <v>1396</v>
      </c>
    </row>
    <row r="1544" spans="1:6" hidden="1" outlineLevel="1">
      <c r="A1544" s="870" t="s">
        <v>1397</v>
      </c>
      <c r="B1544" s="163">
        <v>0</v>
      </c>
      <c r="C1544" s="178">
        <v>21023.53</v>
      </c>
      <c r="D1544" s="179">
        <v>361483.92</v>
      </c>
      <c r="E1544" s="145">
        <f t="shared" si="27"/>
        <v>382507.44999999995</v>
      </c>
      <c r="F1544" s="112" t="s">
        <v>1398</v>
      </c>
    </row>
    <row r="1545" spans="1:6" hidden="1" outlineLevel="1">
      <c r="A1545" s="870" t="s">
        <v>1399</v>
      </c>
      <c r="B1545" s="163">
        <v>0</v>
      </c>
      <c r="C1545" s="178">
        <v>93136.569999999992</v>
      </c>
      <c r="D1545" s="179">
        <v>489161.77999999997</v>
      </c>
      <c r="E1545" s="145">
        <f t="shared" si="27"/>
        <v>582298.35</v>
      </c>
      <c r="F1545" s="112" t="s">
        <v>1400</v>
      </c>
    </row>
    <row r="1546" spans="1:6" hidden="1" outlineLevel="1">
      <c r="A1546" s="870" t="s">
        <v>1401</v>
      </c>
      <c r="B1546" s="163">
        <v>4203.84</v>
      </c>
      <c r="C1546" s="178">
        <v>1011142.57</v>
      </c>
      <c r="D1546" s="179">
        <v>22080805.359999999</v>
      </c>
      <c r="E1546" s="145">
        <f t="shared" si="27"/>
        <v>23096151.77</v>
      </c>
      <c r="F1546" s="112" t="s">
        <v>1402</v>
      </c>
    </row>
    <row r="1547" spans="1:6" hidden="1" outlineLevel="1">
      <c r="A1547" s="870" t="s">
        <v>1403</v>
      </c>
      <c r="B1547" s="163">
        <v>0</v>
      </c>
      <c r="C1547" s="178">
        <v>4354.08</v>
      </c>
      <c r="D1547" s="179">
        <v>7436.64</v>
      </c>
      <c r="E1547" s="145">
        <f t="shared" si="27"/>
        <v>11790.720000000001</v>
      </c>
      <c r="F1547" s="112" t="s">
        <v>1404</v>
      </c>
    </row>
    <row r="1548" spans="1:6" hidden="1" outlineLevel="1">
      <c r="A1548" s="870" t="s">
        <v>1405</v>
      </c>
      <c r="B1548" s="163">
        <v>2680.9</v>
      </c>
      <c r="C1548" s="178">
        <v>1263992.67</v>
      </c>
      <c r="D1548" s="179">
        <v>14231601.93</v>
      </c>
      <c r="E1548" s="145">
        <f t="shared" si="27"/>
        <v>15498275.5</v>
      </c>
      <c r="F1548" s="112" t="s">
        <v>1406</v>
      </c>
    </row>
    <row r="1549" spans="1:6" hidden="1" outlineLevel="1">
      <c r="A1549" s="870" t="s">
        <v>1407</v>
      </c>
      <c r="B1549" s="163">
        <v>0</v>
      </c>
      <c r="C1549" s="178">
        <v>1215249.3</v>
      </c>
      <c r="D1549" s="179">
        <v>2450897.77</v>
      </c>
      <c r="E1549" s="145">
        <f t="shared" si="27"/>
        <v>3666147.0700000003</v>
      </c>
      <c r="F1549" s="112" t="s">
        <v>1408</v>
      </c>
    </row>
    <row r="1550" spans="1:6" hidden="1" outlineLevel="1">
      <c r="A1550" s="870" t="s">
        <v>1409</v>
      </c>
      <c r="B1550" s="163">
        <v>0</v>
      </c>
      <c r="C1550" s="178">
        <v>37286.630000000005</v>
      </c>
      <c r="D1550" s="179">
        <v>337133.93</v>
      </c>
      <c r="E1550" s="145">
        <f t="shared" si="27"/>
        <v>374420.56</v>
      </c>
      <c r="F1550" s="112" t="s">
        <v>1410</v>
      </c>
    </row>
    <row r="1551" spans="1:6" hidden="1" outlineLevel="1">
      <c r="A1551" s="870" t="s">
        <v>509</v>
      </c>
      <c r="B1551" s="163">
        <v>0</v>
      </c>
      <c r="C1551" s="178">
        <v>1087290.27</v>
      </c>
      <c r="D1551" s="179">
        <v>1759674.9100000001</v>
      </c>
      <c r="E1551" s="145">
        <f t="shared" si="27"/>
        <v>2846965.18</v>
      </c>
      <c r="F1551" s="112" t="s">
        <v>510</v>
      </c>
    </row>
    <row r="1552" spans="1:6" hidden="1" outlineLevel="1">
      <c r="A1552" s="870" t="s">
        <v>1411</v>
      </c>
      <c r="B1552" s="163">
        <v>0</v>
      </c>
      <c r="C1552" s="178">
        <v>5652.32</v>
      </c>
      <c r="D1552" s="179">
        <v>36684.840000000004</v>
      </c>
      <c r="E1552" s="145">
        <f t="shared" si="27"/>
        <v>42337.16</v>
      </c>
      <c r="F1552" s="112" t="s">
        <v>1412</v>
      </c>
    </row>
    <row r="1553" spans="1:6" hidden="1" outlineLevel="1">
      <c r="A1553" s="870" t="s">
        <v>1413</v>
      </c>
      <c r="B1553" s="163">
        <v>0</v>
      </c>
      <c r="C1553" s="178">
        <v>169552.65999999997</v>
      </c>
      <c r="D1553" s="179">
        <v>18008441.810000002</v>
      </c>
      <c r="E1553" s="145">
        <f t="shared" si="27"/>
        <v>18177994.470000003</v>
      </c>
      <c r="F1553" s="112" t="s">
        <v>1414</v>
      </c>
    </row>
    <row r="1554" spans="1:6" hidden="1" outlineLevel="1">
      <c r="A1554" s="870" t="s">
        <v>388</v>
      </c>
      <c r="B1554" s="163">
        <v>2691.17</v>
      </c>
      <c r="C1554" s="178">
        <v>527162.54</v>
      </c>
      <c r="D1554" s="179">
        <v>1944357.28</v>
      </c>
      <c r="E1554" s="145">
        <f t="shared" si="27"/>
        <v>2474210.9900000002</v>
      </c>
      <c r="F1554" s="112" t="s">
        <v>389</v>
      </c>
    </row>
    <row r="1555" spans="1:6" hidden="1" outlineLevel="1">
      <c r="A1555" s="870" t="s">
        <v>1415</v>
      </c>
      <c r="B1555" s="163">
        <v>0</v>
      </c>
      <c r="C1555" s="178">
        <v>10385.219999999999</v>
      </c>
      <c r="D1555" s="179">
        <v>84742.07</v>
      </c>
      <c r="E1555" s="145">
        <f t="shared" si="27"/>
        <v>95127.290000000008</v>
      </c>
      <c r="F1555" s="112" t="s">
        <v>1416</v>
      </c>
    </row>
    <row r="1556" spans="1:6" hidden="1" outlineLevel="1">
      <c r="A1556" s="870" t="s">
        <v>1417</v>
      </c>
      <c r="B1556" s="163">
        <v>0</v>
      </c>
      <c r="C1556" s="178">
        <v>7130.0599999999995</v>
      </c>
      <c r="D1556" s="179">
        <v>5171.76</v>
      </c>
      <c r="E1556" s="145">
        <f t="shared" si="27"/>
        <v>12301.82</v>
      </c>
      <c r="F1556" s="112" t="s">
        <v>1418</v>
      </c>
    </row>
    <row r="1557" spans="1:6" hidden="1" outlineLevel="1">
      <c r="A1557" s="870" t="s">
        <v>1419</v>
      </c>
      <c r="B1557" s="163">
        <v>0</v>
      </c>
      <c r="C1557" s="178">
        <v>0</v>
      </c>
      <c r="D1557" s="179">
        <v>22944.52</v>
      </c>
      <c r="E1557" s="145">
        <f t="shared" si="27"/>
        <v>22944.52</v>
      </c>
      <c r="F1557" s="112" t="s">
        <v>1420</v>
      </c>
    </row>
    <row r="1558" spans="1:6" hidden="1" outlineLevel="1">
      <c r="A1558" s="870" t="s">
        <v>1421</v>
      </c>
      <c r="B1558" s="163">
        <v>0</v>
      </c>
      <c r="C1558" s="178">
        <v>0</v>
      </c>
      <c r="D1558" s="179">
        <v>1941.15</v>
      </c>
      <c r="E1558" s="145">
        <f t="shared" si="27"/>
        <v>1941.15</v>
      </c>
      <c r="F1558" s="112" t="s">
        <v>1422</v>
      </c>
    </row>
    <row r="1559" spans="1:6" hidden="1" outlineLevel="1">
      <c r="A1559" s="870" t="s">
        <v>1423</v>
      </c>
      <c r="B1559" s="163">
        <v>0</v>
      </c>
      <c r="C1559" s="178">
        <v>4819.99</v>
      </c>
      <c r="D1559" s="179">
        <v>91986.37</v>
      </c>
      <c r="E1559" s="145">
        <f t="shared" si="27"/>
        <v>96806.36</v>
      </c>
      <c r="F1559" s="112" t="s">
        <v>1424</v>
      </c>
    </row>
    <row r="1560" spans="1:6" hidden="1" outlineLevel="1">
      <c r="A1560" s="870" t="s">
        <v>1425</v>
      </c>
      <c r="B1560" s="163">
        <v>0</v>
      </c>
      <c r="C1560" s="178">
        <v>40723.75</v>
      </c>
      <c r="D1560" s="179">
        <v>441580.50000000006</v>
      </c>
      <c r="E1560" s="145">
        <f t="shared" si="27"/>
        <v>482304.25000000006</v>
      </c>
      <c r="F1560" s="112" t="s">
        <v>1426</v>
      </c>
    </row>
    <row r="1561" spans="1:6" hidden="1" outlineLevel="1">
      <c r="A1561" s="870" t="s">
        <v>429</v>
      </c>
      <c r="B1561" s="163">
        <v>0</v>
      </c>
      <c r="C1561" s="178">
        <v>0</v>
      </c>
      <c r="D1561" s="179">
        <v>8244.08</v>
      </c>
      <c r="E1561" s="145">
        <f t="shared" si="27"/>
        <v>8244.08</v>
      </c>
      <c r="F1561" s="112" t="s">
        <v>430</v>
      </c>
    </row>
    <row r="1562" spans="1:6" hidden="1" outlineLevel="1">
      <c r="A1562" s="870" t="s">
        <v>1427</v>
      </c>
      <c r="B1562" s="163">
        <v>0</v>
      </c>
      <c r="C1562" s="178">
        <v>0</v>
      </c>
      <c r="D1562" s="179">
        <v>7959925.4800000004</v>
      </c>
      <c r="E1562" s="145">
        <f t="shared" si="27"/>
        <v>7959925.4800000004</v>
      </c>
      <c r="F1562" s="112" t="s">
        <v>1428</v>
      </c>
    </row>
    <row r="1563" spans="1:6" hidden="1" outlineLevel="1">
      <c r="A1563" s="870" t="s">
        <v>1429</v>
      </c>
      <c r="B1563" s="163">
        <v>0</v>
      </c>
      <c r="C1563" s="178">
        <v>663.16</v>
      </c>
      <c r="D1563" s="179">
        <v>6958.61</v>
      </c>
      <c r="E1563" s="145">
        <f t="shared" si="27"/>
        <v>7621.7699999999995</v>
      </c>
      <c r="F1563" s="112" t="s">
        <v>1430</v>
      </c>
    </row>
    <row r="1564" spans="1:6" hidden="1" outlineLevel="1">
      <c r="A1564" s="870" t="s">
        <v>1431</v>
      </c>
      <c r="B1564" s="163">
        <v>0</v>
      </c>
      <c r="C1564" s="178">
        <v>649.20000000000005</v>
      </c>
      <c r="D1564" s="179">
        <v>6186.12</v>
      </c>
      <c r="E1564" s="145">
        <f t="shared" si="27"/>
        <v>6835.32</v>
      </c>
      <c r="F1564" s="112" t="s">
        <v>1432</v>
      </c>
    </row>
    <row r="1565" spans="1:6" hidden="1" outlineLevel="1">
      <c r="A1565" s="870" t="s">
        <v>1433</v>
      </c>
      <c r="B1565" s="163">
        <v>5890.77</v>
      </c>
      <c r="C1565" s="178">
        <v>21848.09</v>
      </c>
      <c r="D1565" s="179">
        <v>121005.32</v>
      </c>
      <c r="E1565" s="145">
        <f t="shared" si="27"/>
        <v>148744.18</v>
      </c>
      <c r="F1565" s="112" t="s">
        <v>1434</v>
      </c>
    </row>
    <row r="1566" spans="1:6" hidden="1" outlineLevel="1">
      <c r="A1566" s="870" t="s">
        <v>1435</v>
      </c>
      <c r="B1566" s="163">
        <v>0</v>
      </c>
      <c r="C1566" s="178">
        <v>3348.09</v>
      </c>
      <c r="D1566" s="179">
        <v>83141.95</v>
      </c>
      <c r="E1566" s="145">
        <f t="shared" si="27"/>
        <v>86490.04</v>
      </c>
      <c r="F1566" s="112" t="s">
        <v>1436</v>
      </c>
    </row>
    <row r="1567" spans="1:6" hidden="1" outlineLevel="1">
      <c r="A1567" s="870" t="s">
        <v>664</v>
      </c>
      <c r="B1567" s="163">
        <v>0</v>
      </c>
      <c r="C1567" s="178">
        <v>831.41</v>
      </c>
      <c r="D1567" s="179">
        <v>77.89</v>
      </c>
      <c r="E1567" s="145">
        <f t="shared" si="27"/>
        <v>909.3</v>
      </c>
      <c r="F1567" s="112" t="s">
        <v>665</v>
      </c>
    </row>
    <row r="1568" spans="1:6" hidden="1" outlineLevel="1">
      <c r="A1568" s="870" t="s">
        <v>469</v>
      </c>
      <c r="B1568" s="163">
        <v>0</v>
      </c>
      <c r="C1568" s="178">
        <v>35583.56</v>
      </c>
      <c r="D1568" s="179">
        <v>59934.48</v>
      </c>
      <c r="E1568" s="145">
        <f t="shared" si="27"/>
        <v>95518.040000000008</v>
      </c>
      <c r="F1568" s="112" t="s">
        <v>1437</v>
      </c>
    </row>
    <row r="1569" spans="1:6" hidden="1" outlineLevel="1">
      <c r="A1569" s="870" t="s">
        <v>1438</v>
      </c>
      <c r="B1569" s="163">
        <v>0</v>
      </c>
      <c r="C1569" s="178">
        <v>16763.849999999999</v>
      </c>
      <c r="D1569" s="179">
        <v>90857.65</v>
      </c>
      <c r="E1569" s="145">
        <f t="shared" si="27"/>
        <v>107621.5</v>
      </c>
      <c r="F1569" s="112" t="s">
        <v>1439</v>
      </c>
    </row>
    <row r="1570" spans="1:6" hidden="1" outlineLevel="1">
      <c r="A1570" s="870" t="s">
        <v>1440</v>
      </c>
      <c r="B1570" s="163">
        <v>0</v>
      </c>
      <c r="C1570" s="178">
        <v>0</v>
      </c>
      <c r="D1570" s="179">
        <v>1710.36</v>
      </c>
      <c r="E1570" s="145">
        <f t="shared" si="27"/>
        <v>1710.36</v>
      </c>
      <c r="F1570" s="112" t="s">
        <v>1441</v>
      </c>
    </row>
    <row r="1571" spans="1:6" hidden="1" outlineLevel="1">
      <c r="A1571" s="870" t="s">
        <v>1442</v>
      </c>
      <c r="B1571" s="163">
        <v>0</v>
      </c>
      <c r="C1571" s="178">
        <v>31986.14</v>
      </c>
      <c r="D1571" s="179">
        <v>150643.54</v>
      </c>
      <c r="E1571" s="145">
        <f t="shared" si="27"/>
        <v>182629.68</v>
      </c>
      <c r="F1571" s="112" t="s">
        <v>1443</v>
      </c>
    </row>
    <row r="1572" spans="1:6" hidden="1" outlineLevel="1">
      <c r="A1572" s="870" t="s">
        <v>1444</v>
      </c>
      <c r="B1572" s="163">
        <v>0</v>
      </c>
      <c r="C1572" s="178">
        <v>9021.35</v>
      </c>
      <c r="D1572" s="179">
        <v>271140.33</v>
      </c>
      <c r="E1572" s="145">
        <f t="shared" si="27"/>
        <v>280161.68</v>
      </c>
      <c r="F1572" s="112" t="s">
        <v>1445</v>
      </c>
    </row>
    <row r="1573" spans="1:6" hidden="1" outlineLevel="1">
      <c r="A1573" s="870" t="s">
        <v>1446</v>
      </c>
      <c r="B1573" s="163">
        <v>0</v>
      </c>
      <c r="C1573" s="178">
        <v>7326.7</v>
      </c>
      <c r="D1573" s="179">
        <v>88306.549999999988</v>
      </c>
      <c r="E1573" s="145">
        <f t="shared" si="27"/>
        <v>95633.249999999985</v>
      </c>
      <c r="F1573" s="112" t="s">
        <v>1447</v>
      </c>
    </row>
    <row r="1574" spans="1:6" hidden="1" outlineLevel="1">
      <c r="A1574" s="870" t="s">
        <v>1448</v>
      </c>
      <c r="B1574" s="163">
        <v>0</v>
      </c>
      <c r="C1574" s="178">
        <v>3562.54</v>
      </c>
      <c r="D1574" s="179">
        <v>4142.5599999999995</v>
      </c>
      <c r="E1574" s="145">
        <f t="shared" si="27"/>
        <v>7705.0999999999995</v>
      </c>
      <c r="F1574" s="112" t="s">
        <v>1449</v>
      </c>
    </row>
    <row r="1575" spans="1:6" hidden="1" outlineLevel="1">
      <c r="A1575" s="870" t="s">
        <v>1450</v>
      </c>
      <c r="B1575" s="163">
        <v>0</v>
      </c>
      <c r="C1575" s="178">
        <v>18935.59</v>
      </c>
      <c r="D1575" s="179">
        <v>1165.8399999999999</v>
      </c>
      <c r="E1575" s="145">
        <f t="shared" si="27"/>
        <v>20101.43</v>
      </c>
      <c r="F1575" s="112" t="s">
        <v>1451</v>
      </c>
    </row>
    <row r="1576" spans="1:6" hidden="1" outlineLevel="1">
      <c r="A1576" s="870" t="s">
        <v>1452</v>
      </c>
      <c r="B1576" s="163">
        <v>0</v>
      </c>
      <c r="C1576" s="178">
        <v>0</v>
      </c>
      <c r="D1576" s="179">
        <v>7948398.8399999999</v>
      </c>
      <c r="E1576" s="145">
        <f t="shared" si="27"/>
        <v>7948398.8399999999</v>
      </c>
      <c r="F1576" s="112" t="s">
        <v>1453</v>
      </c>
    </row>
    <row r="1577" spans="1:6" hidden="1" outlineLevel="1">
      <c r="A1577" s="870" t="s">
        <v>1454</v>
      </c>
      <c r="B1577" s="163">
        <v>0</v>
      </c>
      <c r="C1577" s="178">
        <v>0</v>
      </c>
      <c r="D1577" s="179">
        <v>9384.44</v>
      </c>
      <c r="E1577" s="145">
        <f t="shared" si="27"/>
        <v>9384.44</v>
      </c>
      <c r="F1577" s="112" t="s">
        <v>1455</v>
      </c>
    </row>
    <row r="1578" spans="1:6" hidden="1" outlineLevel="1">
      <c r="A1578" s="870" t="s">
        <v>1456</v>
      </c>
      <c r="B1578" s="163">
        <v>0</v>
      </c>
      <c r="C1578" s="178">
        <v>15470.220000000001</v>
      </c>
      <c r="D1578" s="179">
        <v>61643.28</v>
      </c>
      <c r="E1578" s="145">
        <f t="shared" si="27"/>
        <v>77113.5</v>
      </c>
      <c r="F1578" s="112" t="s">
        <v>1457</v>
      </c>
    </row>
    <row r="1579" spans="1:6" hidden="1" outlineLevel="1">
      <c r="A1579" s="870" t="s">
        <v>1458</v>
      </c>
      <c r="B1579" s="163">
        <v>0</v>
      </c>
      <c r="C1579" s="178">
        <v>16549.240000000002</v>
      </c>
      <c r="D1579" s="179">
        <v>17390.2</v>
      </c>
      <c r="E1579" s="145">
        <f t="shared" si="27"/>
        <v>33939.440000000002</v>
      </c>
      <c r="F1579" s="112" t="s">
        <v>1459</v>
      </c>
    </row>
    <row r="1580" spans="1:6" hidden="1" outlineLevel="1">
      <c r="A1580" s="870" t="s">
        <v>1460</v>
      </c>
      <c r="B1580" s="163">
        <v>0</v>
      </c>
      <c r="C1580" s="178">
        <v>0</v>
      </c>
      <c r="D1580" s="179">
        <v>400916.41</v>
      </c>
      <c r="E1580" s="145">
        <f t="shared" si="27"/>
        <v>400916.41</v>
      </c>
      <c r="F1580" s="112" t="s">
        <v>1461</v>
      </c>
    </row>
    <row r="1581" spans="1:6" hidden="1" outlineLevel="1">
      <c r="A1581" s="870" t="s">
        <v>1462</v>
      </c>
      <c r="B1581" s="163">
        <v>0</v>
      </c>
      <c r="C1581" s="178">
        <v>25411.84</v>
      </c>
      <c r="D1581" s="179">
        <v>156794.91999999998</v>
      </c>
      <c r="E1581" s="145">
        <f t="shared" si="27"/>
        <v>182206.75999999998</v>
      </c>
      <c r="F1581" s="112" t="s">
        <v>1463</v>
      </c>
    </row>
    <row r="1582" spans="1:6" hidden="1" outlineLevel="1">
      <c r="A1582" s="870" t="s">
        <v>1464</v>
      </c>
      <c r="B1582" s="163">
        <v>0</v>
      </c>
      <c r="C1582" s="178">
        <v>0</v>
      </c>
      <c r="D1582" s="179">
        <v>68970.62</v>
      </c>
      <c r="E1582" s="145">
        <f t="shared" si="27"/>
        <v>68970.62</v>
      </c>
      <c r="F1582" s="112" t="s">
        <v>1465</v>
      </c>
    </row>
    <row r="1583" spans="1:6" hidden="1" outlineLevel="1">
      <c r="A1583" s="870" t="s">
        <v>1466</v>
      </c>
      <c r="B1583" s="163">
        <v>0</v>
      </c>
      <c r="C1583" s="178">
        <v>1103.42</v>
      </c>
      <c r="D1583" s="179">
        <v>41780.409999999996</v>
      </c>
      <c r="E1583" s="145">
        <f t="shared" si="27"/>
        <v>42883.829999999994</v>
      </c>
      <c r="F1583" s="112" t="s">
        <v>1467</v>
      </c>
    </row>
    <row r="1584" spans="1:6" hidden="1" outlineLevel="1">
      <c r="A1584" s="870" t="s">
        <v>1468</v>
      </c>
      <c r="B1584" s="163">
        <v>0</v>
      </c>
      <c r="C1584" s="178">
        <v>987.65000000000009</v>
      </c>
      <c r="D1584" s="179">
        <v>23005.21</v>
      </c>
      <c r="E1584" s="145">
        <f t="shared" si="27"/>
        <v>23992.86</v>
      </c>
      <c r="F1584" s="112" t="s">
        <v>1469</v>
      </c>
    </row>
    <row r="1585" spans="1:6" hidden="1" outlineLevel="1">
      <c r="A1585" s="870" t="s">
        <v>1470</v>
      </c>
      <c r="B1585" s="163">
        <v>0</v>
      </c>
      <c r="C1585" s="178">
        <v>3260.63</v>
      </c>
      <c r="D1585" s="179">
        <v>13702.39</v>
      </c>
      <c r="E1585" s="145">
        <f t="shared" si="27"/>
        <v>16963.02</v>
      </c>
      <c r="F1585" s="112" t="s">
        <v>1471</v>
      </c>
    </row>
    <row r="1586" spans="1:6" hidden="1" outlineLevel="1">
      <c r="A1586" s="870" t="s">
        <v>1472</v>
      </c>
      <c r="B1586" s="163">
        <v>0</v>
      </c>
      <c r="C1586" s="178">
        <v>61.13</v>
      </c>
      <c r="D1586" s="179">
        <v>1507.56</v>
      </c>
      <c r="E1586" s="145">
        <f t="shared" ref="E1586:E1593" si="28">SUM(B1586:D1586)</f>
        <v>1568.69</v>
      </c>
      <c r="F1586" s="112" t="s">
        <v>1473</v>
      </c>
    </row>
    <row r="1587" spans="1:6" hidden="1" outlineLevel="1">
      <c r="A1587" s="870" t="s">
        <v>724</v>
      </c>
      <c r="B1587" s="163">
        <v>37912.15</v>
      </c>
      <c r="C1587" s="178">
        <v>190821.48</v>
      </c>
      <c r="D1587" s="179">
        <v>1100725.3600000001</v>
      </c>
      <c r="E1587" s="145">
        <f t="shared" si="28"/>
        <v>1329458.9900000002</v>
      </c>
      <c r="F1587" s="112" t="s">
        <v>725</v>
      </c>
    </row>
    <row r="1588" spans="1:6" hidden="1" outlineLevel="1">
      <c r="A1588" s="870" t="s">
        <v>1474</v>
      </c>
      <c r="B1588" s="163">
        <v>0</v>
      </c>
      <c r="C1588" s="178">
        <v>11591.85</v>
      </c>
      <c r="D1588" s="179">
        <v>26040.28</v>
      </c>
      <c r="E1588" s="145">
        <f t="shared" si="28"/>
        <v>37632.129999999997</v>
      </c>
      <c r="F1588" s="112" t="s">
        <v>1475</v>
      </c>
    </row>
    <row r="1589" spans="1:6" hidden="1" outlineLevel="1">
      <c r="A1589" s="870" t="s">
        <v>1476</v>
      </c>
      <c r="B1589" s="163">
        <v>0</v>
      </c>
      <c r="C1589" s="178">
        <v>28354.2</v>
      </c>
      <c r="D1589" s="179">
        <v>4798860.2200000007</v>
      </c>
      <c r="E1589" s="145">
        <f t="shared" si="28"/>
        <v>4827214.4200000009</v>
      </c>
      <c r="F1589" s="112" t="s">
        <v>1477</v>
      </c>
    </row>
    <row r="1590" spans="1:6" hidden="1" outlineLevel="1">
      <c r="A1590" s="870" t="s">
        <v>1478</v>
      </c>
      <c r="B1590" s="163">
        <v>0</v>
      </c>
      <c r="C1590" s="178">
        <v>17112.02</v>
      </c>
      <c r="D1590" s="179">
        <v>124657.92</v>
      </c>
      <c r="E1590" s="145">
        <f t="shared" si="28"/>
        <v>141769.94</v>
      </c>
      <c r="F1590" s="112" t="s">
        <v>1479</v>
      </c>
    </row>
    <row r="1591" spans="1:6" hidden="1" outlineLevel="1">
      <c r="A1591" s="870" t="s">
        <v>1480</v>
      </c>
      <c r="B1591" s="163">
        <v>0</v>
      </c>
      <c r="C1591" s="178">
        <v>25221.200000000001</v>
      </c>
      <c r="D1591" s="179">
        <v>87390.489999999991</v>
      </c>
      <c r="E1591" s="145">
        <f t="shared" si="28"/>
        <v>112611.68999999999</v>
      </c>
      <c r="F1591" s="112" t="s">
        <v>1481</v>
      </c>
    </row>
    <row r="1592" spans="1:6" hidden="1" outlineLevel="1">
      <c r="A1592" s="870" t="s">
        <v>1482</v>
      </c>
      <c r="B1592" s="163">
        <v>0</v>
      </c>
      <c r="C1592" s="178">
        <v>26452.42</v>
      </c>
      <c r="D1592" s="179">
        <v>40503.72</v>
      </c>
      <c r="E1592" s="145">
        <f t="shared" si="28"/>
        <v>66956.14</v>
      </c>
      <c r="F1592" s="112" t="s">
        <v>1483</v>
      </c>
    </row>
    <row r="1593" spans="1:6" hidden="1" outlineLevel="1">
      <c r="A1593" s="870" t="s">
        <v>1484</v>
      </c>
      <c r="B1593" s="163">
        <v>0</v>
      </c>
      <c r="C1593" s="178">
        <v>24362.69</v>
      </c>
      <c r="D1593" s="179">
        <v>146231.44</v>
      </c>
      <c r="E1593" s="145">
        <f t="shared" si="28"/>
        <v>170594.13</v>
      </c>
      <c r="F1593" s="112" t="s">
        <v>1485</v>
      </c>
    </row>
    <row r="1594" spans="1:6" hidden="1" outlineLevel="1">
      <c r="A1594" s="870"/>
      <c r="B1594" s="163"/>
      <c r="C1594" s="178"/>
      <c r="D1594" s="179"/>
      <c r="E1594" s="145"/>
      <c r="F1594" s="112"/>
    </row>
    <row r="1595" spans="1:6" ht="13.5" collapsed="1" thickBot="1">
      <c r="A1595" s="1111" t="s">
        <v>1486</v>
      </c>
      <c r="B1595" s="180">
        <f>SUM(B1596:B1719)</f>
        <v>159252.46</v>
      </c>
      <c r="C1595" s="181">
        <f>SUM(C1596:C1719)</f>
        <v>20598528.379999995</v>
      </c>
      <c r="D1595" s="182">
        <f>SUM(D1596:D1719)</f>
        <v>58171775.109999985</v>
      </c>
      <c r="E1595" s="183">
        <f t="shared" si="18"/>
        <v>78929555.949999988</v>
      </c>
      <c r="F1595" s="112"/>
    </row>
    <row r="1596" spans="1:6" hidden="1" outlineLevel="1">
      <c r="A1596" s="870" t="s">
        <v>1487</v>
      </c>
      <c r="B1596" s="163">
        <v>0</v>
      </c>
      <c r="C1596" s="178">
        <v>8278.49</v>
      </c>
      <c r="D1596" s="179">
        <v>366506.22</v>
      </c>
      <c r="E1596" s="144">
        <f t="shared" si="18"/>
        <v>374784.70999999996</v>
      </c>
      <c r="F1596" s="8" t="s">
        <v>1488</v>
      </c>
    </row>
    <row r="1597" spans="1:6" hidden="1" outlineLevel="1">
      <c r="A1597" s="870" t="s">
        <v>1489</v>
      </c>
      <c r="B1597" s="163">
        <v>12356.2</v>
      </c>
      <c r="C1597" s="178">
        <v>56482.89</v>
      </c>
      <c r="D1597" s="179">
        <v>381077.09</v>
      </c>
      <c r="E1597" s="748">
        <f t="shared" ref="E1597:E1660" si="29">SUM(B1597:D1597)</f>
        <v>449916.18000000005</v>
      </c>
      <c r="F1597" s="8" t="s">
        <v>1490</v>
      </c>
    </row>
    <row r="1598" spans="1:6" hidden="1" outlineLevel="1">
      <c r="A1598" s="870" t="s">
        <v>1491</v>
      </c>
      <c r="B1598" s="163">
        <v>0</v>
      </c>
      <c r="C1598" s="178">
        <v>249851.02</v>
      </c>
      <c r="D1598" s="179">
        <v>1389967.3600000001</v>
      </c>
      <c r="E1598" s="748">
        <f t="shared" si="29"/>
        <v>1639818.3800000001</v>
      </c>
      <c r="F1598" s="8" t="s">
        <v>1492</v>
      </c>
    </row>
    <row r="1599" spans="1:6" hidden="1" outlineLevel="1">
      <c r="A1599" s="870" t="s">
        <v>1493</v>
      </c>
      <c r="B1599" s="163">
        <v>0</v>
      </c>
      <c r="C1599" s="178">
        <v>80457.34</v>
      </c>
      <c r="D1599" s="179">
        <v>154425.26</v>
      </c>
      <c r="E1599" s="748">
        <f t="shared" si="29"/>
        <v>234882.6</v>
      </c>
      <c r="F1599" s="8" t="s">
        <v>1494</v>
      </c>
    </row>
    <row r="1600" spans="1:6" hidden="1" outlineLevel="1">
      <c r="A1600" s="870" t="s">
        <v>429</v>
      </c>
      <c r="B1600" s="163">
        <v>0</v>
      </c>
      <c r="C1600" s="178">
        <v>0</v>
      </c>
      <c r="D1600" s="179">
        <v>64000</v>
      </c>
      <c r="E1600" s="748">
        <f t="shared" si="29"/>
        <v>64000</v>
      </c>
      <c r="F1600" s="8" t="s">
        <v>430</v>
      </c>
    </row>
    <row r="1601" spans="1:6" hidden="1" outlineLevel="1">
      <c r="A1601" s="870" t="s">
        <v>1495</v>
      </c>
      <c r="B1601" s="163">
        <v>0</v>
      </c>
      <c r="C1601" s="178">
        <v>30555.57</v>
      </c>
      <c r="D1601" s="179">
        <v>315981.21999999997</v>
      </c>
      <c r="E1601" s="748">
        <f t="shared" si="29"/>
        <v>346536.79</v>
      </c>
      <c r="F1601" s="8" t="s">
        <v>1496</v>
      </c>
    </row>
    <row r="1602" spans="1:6" hidden="1" outlineLevel="1">
      <c r="A1602" s="870" t="s">
        <v>1497</v>
      </c>
      <c r="B1602" s="163">
        <v>0</v>
      </c>
      <c r="C1602" s="178">
        <v>91298.31</v>
      </c>
      <c r="D1602" s="179">
        <v>65470.36</v>
      </c>
      <c r="E1602" s="748">
        <f t="shared" si="29"/>
        <v>156768.66999999998</v>
      </c>
      <c r="F1602" s="8" t="s">
        <v>1498</v>
      </c>
    </row>
    <row r="1603" spans="1:6" hidden="1" outlineLevel="1">
      <c r="A1603" s="870" t="s">
        <v>1499</v>
      </c>
      <c r="B1603" s="163">
        <v>876.31</v>
      </c>
      <c r="C1603" s="178">
        <v>0</v>
      </c>
      <c r="D1603" s="179">
        <v>7314.76</v>
      </c>
      <c r="E1603" s="748">
        <f t="shared" si="29"/>
        <v>8191.07</v>
      </c>
      <c r="F1603" s="8" t="s">
        <v>1500</v>
      </c>
    </row>
    <row r="1604" spans="1:6" hidden="1" outlineLevel="1">
      <c r="A1604" s="870" t="s">
        <v>1501</v>
      </c>
      <c r="B1604" s="163">
        <v>48.6</v>
      </c>
      <c r="C1604" s="178">
        <v>4089.74</v>
      </c>
      <c r="D1604" s="179">
        <v>0</v>
      </c>
      <c r="E1604" s="748">
        <f t="shared" si="29"/>
        <v>4138.34</v>
      </c>
      <c r="F1604" s="8" t="s">
        <v>1502</v>
      </c>
    </row>
    <row r="1605" spans="1:6" hidden="1" outlineLevel="1">
      <c r="A1605" s="870" t="s">
        <v>1503</v>
      </c>
      <c r="B1605" s="163">
        <v>0</v>
      </c>
      <c r="C1605" s="178">
        <v>17639.95</v>
      </c>
      <c r="D1605" s="179">
        <v>53742.07</v>
      </c>
      <c r="E1605" s="748">
        <f t="shared" si="29"/>
        <v>71382.02</v>
      </c>
      <c r="F1605" s="8" t="s">
        <v>1504</v>
      </c>
    </row>
    <row r="1606" spans="1:6" hidden="1" outlineLevel="1">
      <c r="A1606" s="870" t="s">
        <v>1505</v>
      </c>
      <c r="B1606" s="163">
        <v>0</v>
      </c>
      <c r="C1606" s="178">
        <v>16373.42</v>
      </c>
      <c r="D1606" s="179">
        <v>64618.41</v>
      </c>
      <c r="E1606" s="748">
        <f t="shared" si="29"/>
        <v>80991.83</v>
      </c>
      <c r="F1606" s="8" t="s">
        <v>1506</v>
      </c>
    </row>
    <row r="1607" spans="1:6" hidden="1" outlineLevel="1">
      <c r="A1607" s="870" t="s">
        <v>1507</v>
      </c>
      <c r="B1607" s="163">
        <v>0</v>
      </c>
      <c r="C1607" s="178">
        <v>5339.18</v>
      </c>
      <c r="D1607" s="179">
        <v>19881.439999999999</v>
      </c>
      <c r="E1607" s="748">
        <f t="shared" si="29"/>
        <v>25220.62</v>
      </c>
      <c r="F1607" s="8" t="s">
        <v>1508</v>
      </c>
    </row>
    <row r="1608" spans="1:6" hidden="1" outlineLevel="1">
      <c r="A1608" s="870" t="s">
        <v>1509</v>
      </c>
      <c r="B1608" s="163">
        <v>0</v>
      </c>
      <c r="C1608" s="178">
        <v>2840.84</v>
      </c>
      <c r="D1608" s="179">
        <v>78248.44</v>
      </c>
      <c r="E1608" s="748">
        <f t="shared" si="29"/>
        <v>81089.279999999999</v>
      </c>
      <c r="F1608" s="8" t="s">
        <v>1510</v>
      </c>
    </row>
    <row r="1609" spans="1:6" hidden="1" outlineLevel="1">
      <c r="A1609" s="870" t="s">
        <v>1511</v>
      </c>
      <c r="B1609" s="163">
        <v>0</v>
      </c>
      <c r="C1609" s="178">
        <v>13957.6</v>
      </c>
      <c r="D1609" s="179">
        <v>343.2</v>
      </c>
      <c r="E1609" s="748">
        <f t="shared" si="29"/>
        <v>14300.800000000001</v>
      </c>
      <c r="F1609" s="8" t="s">
        <v>1512</v>
      </c>
    </row>
    <row r="1610" spans="1:6" hidden="1" outlineLevel="1">
      <c r="A1610" s="870" t="s">
        <v>1513</v>
      </c>
      <c r="B1610" s="163">
        <v>0</v>
      </c>
      <c r="C1610" s="178">
        <v>45644.87</v>
      </c>
      <c r="D1610" s="179">
        <v>187941.3</v>
      </c>
      <c r="E1610" s="748">
        <f t="shared" si="29"/>
        <v>233586.16999999998</v>
      </c>
      <c r="F1610" s="8" t="s">
        <v>1514</v>
      </c>
    </row>
    <row r="1611" spans="1:6" hidden="1" outlineLevel="1">
      <c r="A1611" s="870" t="s">
        <v>1515</v>
      </c>
      <c r="B1611" s="163">
        <v>0</v>
      </c>
      <c r="C1611" s="178">
        <v>10307.51</v>
      </c>
      <c r="D1611" s="179">
        <v>143537.12</v>
      </c>
      <c r="E1611" s="748">
        <f t="shared" si="29"/>
        <v>153844.63</v>
      </c>
      <c r="F1611" s="8" t="s">
        <v>1516</v>
      </c>
    </row>
    <row r="1612" spans="1:6" hidden="1" outlineLevel="1">
      <c r="A1612" s="870" t="s">
        <v>1517</v>
      </c>
      <c r="B1612" s="163">
        <v>0</v>
      </c>
      <c r="C1612" s="178">
        <v>42020.97</v>
      </c>
      <c r="D1612" s="179">
        <v>282476.84999999998</v>
      </c>
      <c r="E1612" s="748">
        <f t="shared" si="29"/>
        <v>324497.81999999995</v>
      </c>
      <c r="F1612" s="8" t="s">
        <v>1518</v>
      </c>
    </row>
    <row r="1613" spans="1:6" hidden="1" outlineLevel="1">
      <c r="A1613" s="870" t="s">
        <v>1519</v>
      </c>
      <c r="B1613" s="163">
        <v>0</v>
      </c>
      <c r="C1613" s="178">
        <v>265.08999999999997</v>
      </c>
      <c r="D1613" s="179">
        <v>3224.64</v>
      </c>
      <c r="E1613" s="748">
        <f t="shared" si="29"/>
        <v>3489.73</v>
      </c>
      <c r="F1613" s="8" t="s">
        <v>1520</v>
      </c>
    </row>
    <row r="1614" spans="1:6" hidden="1" outlineLevel="1">
      <c r="A1614" s="870" t="s">
        <v>1521</v>
      </c>
      <c r="B1614" s="163">
        <v>0</v>
      </c>
      <c r="C1614" s="178">
        <v>55293.23</v>
      </c>
      <c r="D1614" s="179">
        <v>143211.19</v>
      </c>
      <c r="E1614" s="748">
        <f t="shared" si="29"/>
        <v>198504.42</v>
      </c>
      <c r="F1614" s="8" t="s">
        <v>1522</v>
      </c>
    </row>
    <row r="1615" spans="1:6" hidden="1" outlineLevel="1">
      <c r="A1615" s="870" t="s">
        <v>1523</v>
      </c>
      <c r="B1615" s="163">
        <v>0</v>
      </c>
      <c r="C1615" s="178">
        <v>13532.14</v>
      </c>
      <c r="D1615" s="179">
        <v>70152.259999999995</v>
      </c>
      <c r="E1615" s="748">
        <f t="shared" si="29"/>
        <v>83684.399999999994</v>
      </c>
      <c r="F1615" s="8" t="s">
        <v>1524</v>
      </c>
    </row>
    <row r="1616" spans="1:6" hidden="1" outlineLevel="1">
      <c r="A1616" s="870" t="s">
        <v>1525</v>
      </c>
      <c r="B1616" s="163">
        <v>0</v>
      </c>
      <c r="C1616" s="178">
        <v>15078.86</v>
      </c>
      <c r="D1616" s="179">
        <v>141459.60999999999</v>
      </c>
      <c r="E1616" s="748">
        <f t="shared" si="29"/>
        <v>156538.46999999997</v>
      </c>
      <c r="F1616" s="8" t="s">
        <v>1526</v>
      </c>
    </row>
    <row r="1617" spans="1:6" hidden="1" outlineLevel="1">
      <c r="A1617" s="870" t="s">
        <v>1527</v>
      </c>
      <c r="B1617" s="163">
        <v>0</v>
      </c>
      <c r="C1617" s="178">
        <v>3571.78</v>
      </c>
      <c r="D1617" s="179">
        <v>28800</v>
      </c>
      <c r="E1617" s="748">
        <f t="shared" si="29"/>
        <v>32371.78</v>
      </c>
      <c r="F1617" s="8" t="s">
        <v>1528</v>
      </c>
    </row>
    <row r="1618" spans="1:6" hidden="1" outlineLevel="1">
      <c r="A1618" s="870" t="s">
        <v>1529</v>
      </c>
      <c r="B1618" s="163">
        <v>0</v>
      </c>
      <c r="C1618" s="178">
        <v>26990.38</v>
      </c>
      <c r="D1618" s="179">
        <v>392940.92</v>
      </c>
      <c r="E1618" s="748">
        <f t="shared" si="29"/>
        <v>419931.3</v>
      </c>
      <c r="F1618" s="8" t="s">
        <v>1530</v>
      </c>
    </row>
    <row r="1619" spans="1:6" hidden="1" outlineLevel="1">
      <c r="A1619" s="870" t="s">
        <v>1531</v>
      </c>
      <c r="B1619" s="163">
        <v>0</v>
      </c>
      <c r="C1619" s="178">
        <v>0.05</v>
      </c>
      <c r="D1619" s="179">
        <v>28721.279999999999</v>
      </c>
      <c r="E1619" s="748">
        <f t="shared" si="29"/>
        <v>28721.329999999998</v>
      </c>
      <c r="F1619" s="8" t="s">
        <v>1532</v>
      </c>
    </row>
    <row r="1620" spans="1:6" hidden="1" outlineLevel="1">
      <c r="A1620" s="870" t="s">
        <v>1533</v>
      </c>
      <c r="B1620" s="163">
        <v>0</v>
      </c>
      <c r="C1620" s="178">
        <v>211636.82</v>
      </c>
      <c r="D1620" s="179">
        <v>811166.64</v>
      </c>
      <c r="E1620" s="748">
        <f t="shared" si="29"/>
        <v>1022803.46</v>
      </c>
      <c r="F1620" s="8" t="s">
        <v>1534</v>
      </c>
    </row>
    <row r="1621" spans="1:6" hidden="1" outlineLevel="1">
      <c r="A1621" s="870" t="s">
        <v>1535</v>
      </c>
      <c r="B1621" s="163">
        <v>0</v>
      </c>
      <c r="C1621" s="178">
        <v>3267.21</v>
      </c>
      <c r="D1621" s="179">
        <v>14023.96</v>
      </c>
      <c r="E1621" s="748">
        <f t="shared" si="29"/>
        <v>17291.169999999998</v>
      </c>
      <c r="F1621" s="8" t="s">
        <v>1536</v>
      </c>
    </row>
    <row r="1622" spans="1:6" hidden="1" outlineLevel="1">
      <c r="A1622" s="870" t="s">
        <v>1537</v>
      </c>
      <c r="B1622" s="163">
        <v>0</v>
      </c>
      <c r="C1622" s="178">
        <v>38981.760000000002</v>
      </c>
      <c r="D1622" s="179">
        <v>221011.27</v>
      </c>
      <c r="E1622" s="748">
        <f t="shared" si="29"/>
        <v>259993.03</v>
      </c>
      <c r="F1622" s="8" t="s">
        <v>1538</v>
      </c>
    </row>
    <row r="1623" spans="1:6" hidden="1" outlineLevel="1">
      <c r="A1623" s="870" t="s">
        <v>1539</v>
      </c>
      <c r="B1623" s="163">
        <v>0</v>
      </c>
      <c r="C1623" s="178">
        <v>4846.38</v>
      </c>
      <c r="D1623" s="179">
        <v>59494.16</v>
      </c>
      <c r="E1623" s="748">
        <f t="shared" si="29"/>
        <v>64340.54</v>
      </c>
      <c r="F1623" s="8" t="s">
        <v>1540</v>
      </c>
    </row>
    <row r="1624" spans="1:6" hidden="1" outlineLevel="1">
      <c r="A1624" s="870" t="s">
        <v>1541</v>
      </c>
      <c r="B1624" s="163">
        <v>0</v>
      </c>
      <c r="C1624" s="178">
        <v>4285.05</v>
      </c>
      <c r="D1624" s="179">
        <v>66476.649999999994</v>
      </c>
      <c r="E1624" s="748">
        <f t="shared" si="29"/>
        <v>70761.7</v>
      </c>
      <c r="F1624" s="8" t="s">
        <v>1542</v>
      </c>
    </row>
    <row r="1625" spans="1:6" hidden="1" outlineLevel="1">
      <c r="A1625" s="870" t="s">
        <v>1543</v>
      </c>
      <c r="B1625" s="163">
        <v>0</v>
      </c>
      <c r="C1625" s="178">
        <v>325.95</v>
      </c>
      <c r="D1625" s="179">
        <v>0</v>
      </c>
      <c r="E1625" s="748">
        <f t="shared" si="29"/>
        <v>325.95</v>
      </c>
      <c r="F1625" s="8" t="s">
        <v>1544</v>
      </c>
    </row>
    <row r="1626" spans="1:6" hidden="1" outlineLevel="1">
      <c r="A1626" s="870" t="s">
        <v>1545</v>
      </c>
      <c r="B1626" s="163">
        <v>0</v>
      </c>
      <c r="C1626" s="178">
        <v>0</v>
      </c>
      <c r="D1626" s="179">
        <v>10686.64</v>
      </c>
      <c r="E1626" s="748">
        <f t="shared" si="29"/>
        <v>10686.64</v>
      </c>
      <c r="F1626" s="8" t="s">
        <v>1546</v>
      </c>
    </row>
    <row r="1627" spans="1:6" hidden="1" outlineLevel="1">
      <c r="A1627" s="870" t="s">
        <v>86</v>
      </c>
      <c r="B1627" s="163">
        <v>0</v>
      </c>
      <c r="C1627" s="178">
        <v>0</v>
      </c>
      <c r="D1627" s="179">
        <v>17379.3</v>
      </c>
      <c r="E1627" s="748">
        <f t="shared" si="29"/>
        <v>17379.3</v>
      </c>
      <c r="F1627" s="8" t="s">
        <v>87</v>
      </c>
    </row>
    <row r="1628" spans="1:6" hidden="1" outlineLevel="1">
      <c r="A1628" s="870" t="s">
        <v>1547</v>
      </c>
      <c r="B1628" s="163">
        <v>0</v>
      </c>
      <c r="C1628" s="178">
        <v>1377.66</v>
      </c>
      <c r="D1628" s="179">
        <v>0</v>
      </c>
      <c r="E1628" s="748">
        <f t="shared" si="29"/>
        <v>1377.66</v>
      </c>
      <c r="F1628" s="8" t="s">
        <v>1548</v>
      </c>
    </row>
    <row r="1629" spans="1:6" hidden="1" outlineLevel="1">
      <c r="A1629" s="870" t="s">
        <v>1549</v>
      </c>
      <c r="B1629" s="163">
        <v>0</v>
      </c>
      <c r="C1629" s="178">
        <v>4719.68</v>
      </c>
      <c r="D1629" s="179">
        <v>0</v>
      </c>
      <c r="E1629" s="748">
        <f t="shared" si="29"/>
        <v>4719.68</v>
      </c>
      <c r="F1629" s="8" t="s">
        <v>1550</v>
      </c>
    </row>
    <row r="1630" spans="1:6" hidden="1" outlineLevel="1">
      <c r="A1630" s="870" t="s">
        <v>1551</v>
      </c>
      <c r="B1630" s="163">
        <v>0</v>
      </c>
      <c r="C1630" s="178">
        <v>884831.32</v>
      </c>
      <c r="D1630" s="179">
        <v>64664.68</v>
      </c>
      <c r="E1630" s="748">
        <f t="shared" si="29"/>
        <v>949496</v>
      </c>
      <c r="F1630" s="8" t="s">
        <v>1552</v>
      </c>
    </row>
    <row r="1631" spans="1:6" hidden="1" outlineLevel="1">
      <c r="A1631" s="870" t="s">
        <v>1553</v>
      </c>
      <c r="B1631" s="163">
        <v>0</v>
      </c>
      <c r="C1631" s="178">
        <v>797599.81</v>
      </c>
      <c r="D1631" s="179">
        <v>0</v>
      </c>
      <c r="E1631" s="748">
        <f t="shared" si="29"/>
        <v>797599.81</v>
      </c>
      <c r="F1631" s="8" t="s">
        <v>1554</v>
      </c>
    </row>
    <row r="1632" spans="1:6" hidden="1" outlineLevel="1">
      <c r="A1632" s="870" t="s">
        <v>1555</v>
      </c>
      <c r="B1632" s="163">
        <v>0</v>
      </c>
      <c r="C1632" s="178">
        <v>270.99</v>
      </c>
      <c r="D1632" s="179">
        <v>0</v>
      </c>
      <c r="E1632" s="748">
        <f t="shared" si="29"/>
        <v>270.99</v>
      </c>
      <c r="F1632" s="8" t="s">
        <v>1556</v>
      </c>
    </row>
    <row r="1633" spans="1:6" hidden="1" outlineLevel="1">
      <c r="A1633" s="870" t="s">
        <v>1557</v>
      </c>
      <c r="B1633" s="163">
        <v>0</v>
      </c>
      <c r="C1633" s="178">
        <v>0</v>
      </c>
      <c r="D1633" s="179">
        <v>1895.04</v>
      </c>
      <c r="E1633" s="748">
        <f t="shared" si="29"/>
        <v>1895.04</v>
      </c>
      <c r="F1633" s="8" t="s">
        <v>1558</v>
      </c>
    </row>
    <row r="1634" spans="1:6" hidden="1" outlineLevel="1">
      <c r="A1634" s="870" t="s">
        <v>1559</v>
      </c>
      <c r="B1634" s="163">
        <v>101880.26</v>
      </c>
      <c r="C1634" s="178">
        <v>555279.1</v>
      </c>
      <c r="D1634" s="179">
        <v>695179.89</v>
      </c>
      <c r="E1634" s="748">
        <f t="shared" si="29"/>
        <v>1352339.25</v>
      </c>
      <c r="F1634" s="8" t="s">
        <v>1560</v>
      </c>
    </row>
    <row r="1635" spans="1:6" hidden="1" outlineLevel="1">
      <c r="A1635" s="870" t="s">
        <v>1561</v>
      </c>
      <c r="B1635" s="163">
        <v>0</v>
      </c>
      <c r="C1635" s="178">
        <v>438762.04</v>
      </c>
      <c r="D1635" s="179">
        <v>2796362.72</v>
      </c>
      <c r="E1635" s="748">
        <f t="shared" si="29"/>
        <v>3235124.7600000002</v>
      </c>
      <c r="F1635" s="8" t="s">
        <v>1562</v>
      </c>
    </row>
    <row r="1636" spans="1:6" hidden="1" outlineLevel="1">
      <c r="A1636" s="870" t="s">
        <v>1413</v>
      </c>
      <c r="B1636" s="163">
        <v>0</v>
      </c>
      <c r="C1636" s="178">
        <v>5640.14</v>
      </c>
      <c r="D1636" s="179">
        <v>65072.88</v>
      </c>
      <c r="E1636" s="748">
        <f t="shared" si="29"/>
        <v>70713.02</v>
      </c>
      <c r="F1636" s="8" t="s">
        <v>1414</v>
      </c>
    </row>
    <row r="1637" spans="1:6" hidden="1" outlineLevel="1">
      <c r="A1637" s="870" t="s">
        <v>1563</v>
      </c>
      <c r="B1637" s="163">
        <v>0</v>
      </c>
      <c r="C1637" s="178">
        <v>1085.3499999999999</v>
      </c>
      <c r="D1637" s="179">
        <v>3091.28</v>
      </c>
      <c r="E1637" s="748">
        <f t="shared" si="29"/>
        <v>4176.63</v>
      </c>
      <c r="F1637" s="8" t="s">
        <v>1564</v>
      </c>
    </row>
    <row r="1638" spans="1:6" hidden="1" outlineLevel="1">
      <c r="A1638" s="870" t="s">
        <v>613</v>
      </c>
      <c r="B1638" s="163">
        <v>1796.33</v>
      </c>
      <c r="C1638" s="178">
        <v>1407618.14</v>
      </c>
      <c r="D1638" s="179">
        <v>17238714.719999999</v>
      </c>
      <c r="E1638" s="748">
        <f t="shared" si="29"/>
        <v>18648129.189999998</v>
      </c>
      <c r="F1638" s="8" t="s">
        <v>614</v>
      </c>
    </row>
    <row r="1639" spans="1:6" hidden="1" outlineLevel="1">
      <c r="A1639" s="870" t="s">
        <v>1565</v>
      </c>
      <c r="B1639" s="163">
        <v>0</v>
      </c>
      <c r="C1639" s="178">
        <v>36247.730000000003</v>
      </c>
      <c r="D1639" s="179">
        <v>189129.96</v>
      </c>
      <c r="E1639" s="748">
        <f t="shared" si="29"/>
        <v>225377.69</v>
      </c>
      <c r="F1639" s="8" t="s">
        <v>1566</v>
      </c>
    </row>
    <row r="1640" spans="1:6" hidden="1" outlineLevel="1">
      <c r="A1640" s="870" t="s">
        <v>1567</v>
      </c>
      <c r="B1640" s="163">
        <v>0</v>
      </c>
      <c r="C1640" s="178">
        <v>2546.54</v>
      </c>
      <c r="D1640" s="179">
        <v>37325.919999999998</v>
      </c>
      <c r="E1640" s="748">
        <f t="shared" si="29"/>
        <v>39872.46</v>
      </c>
      <c r="F1640" s="8" t="s">
        <v>1568</v>
      </c>
    </row>
    <row r="1641" spans="1:6" hidden="1" outlineLevel="1">
      <c r="A1641" s="870" t="s">
        <v>1569</v>
      </c>
      <c r="B1641" s="163">
        <v>0</v>
      </c>
      <c r="C1641" s="178">
        <v>176851.47</v>
      </c>
      <c r="D1641" s="179">
        <v>943290.74</v>
      </c>
      <c r="E1641" s="748">
        <f t="shared" si="29"/>
        <v>1120142.21</v>
      </c>
      <c r="F1641" s="8" t="s">
        <v>1570</v>
      </c>
    </row>
    <row r="1642" spans="1:6" hidden="1" outlineLevel="1">
      <c r="A1642" s="870" t="s">
        <v>1571</v>
      </c>
      <c r="B1642" s="163">
        <v>0</v>
      </c>
      <c r="C1642" s="178">
        <v>144634.64000000001</v>
      </c>
      <c r="D1642" s="179">
        <v>142661.49</v>
      </c>
      <c r="E1642" s="748">
        <f t="shared" si="29"/>
        <v>287296.13</v>
      </c>
      <c r="F1642" s="8" t="s">
        <v>1572</v>
      </c>
    </row>
    <row r="1643" spans="1:6" hidden="1" outlineLevel="1">
      <c r="A1643" s="870" t="s">
        <v>1573</v>
      </c>
      <c r="B1643" s="163">
        <v>0</v>
      </c>
      <c r="C1643" s="178">
        <v>0</v>
      </c>
      <c r="D1643" s="179">
        <v>7986.8</v>
      </c>
      <c r="E1643" s="748">
        <f t="shared" si="29"/>
        <v>7986.8</v>
      </c>
      <c r="F1643" s="8" t="s">
        <v>1574</v>
      </c>
    </row>
    <row r="1644" spans="1:6" hidden="1" outlineLevel="1">
      <c r="A1644" s="870" t="s">
        <v>1575</v>
      </c>
      <c r="B1644" s="163">
        <v>0</v>
      </c>
      <c r="C1644" s="178">
        <v>383.08</v>
      </c>
      <c r="D1644" s="179">
        <v>55785.05</v>
      </c>
      <c r="E1644" s="748">
        <f t="shared" si="29"/>
        <v>56168.130000000005</v>
      </c>
      <c r="F1644" s="8" t="s">
        <v>1576</v>
      </c>
    </row>
    <row r="1645" spans="1:6" hidden="1" outlineLevel="1">
      <c r="A1645" s="870" t="s">
        <v>1577</v>
      </c>
      <c r="B1645" s="163">
        <v>0</v>
      </c>
      <c r="C1645" s="178">
        <v>12647.32</v>
      </c>
      <c r="D1645" s="179">
        <v>91777.8</v>
      </c>
      <c r="E1645" s="748">
        <f t="shared" si="29"/>
        <v>104425.12</v>
      </c>
      <c r="F1645" s="8" t="s">
        <v>1578</v>
      </c>
    </row>
    <row r="1646" spans="1:6" hidden="1" outlineLevel="1">
      <c r="A1646" s="870" t="s">
        <v>1579</v>
      </c>
      <c r="B1646" s="163">
        <v>0</v>
      </c>
      <c r="C1646" s="178">
        <v>24649.27</v>
      </c>
      <c r="D1646" s="179">
        <v>209730.5</v>
      </c>
      <c r="E1646" s="748">
        <f t="shared" si="29"/>
        <v>234379.77</v>
      </c>
      <c r="F1646" s="8" t="s">
        <v>1580</v>
      </c>
    </row>
    <row r="1647" spans="1:6" hidden="1" outlineLevel="1">
      <c r="A1647" s="870" t="s">
        <v>1581</v>
      </c>
      <c r="B1647" s="163">
        <v>4609.91</v>
      </c>
      <c r="C1647" s="178">
        <v>77480.91</v>
      </c>
      <c r="D1647" s="179">
        <v>722276.25</v>
      </c>
      <c r="E1647" s="748">
        <f t="shared" si="29"/>
        <v>804367.07000000007</v>
      </c>
      <c r="F1647" s="8" t="s">
        <v>1582</v>
      </c>
    </row>
    <row r="1648" spans="1:6" hidden="1" outlineLevel="1">
      <c r="A1648" s="870" t="s">
        <v>1583</v>
      </c>
      <c r="B1648" s="163">
        <v>0</v>
      </c>
      <c r="C1648" s="178">
        <v>15177.76</v>
      </c>
      <c r="D1648" s="179">
        <v>109773.44</v>
      </c>
      <c r="E1648" s="748">
        <f t="shared" si="29"/>
        <v>124951.2</v>
      </c>
      <c r="F1648" s="8" t="s">
        <v>1584</v>
      </c>
    </row>
    <row r="1649" spans="1:6" hidden="1" outlineLevel="1">
      <c r="A1649" s="870" t="s">
        <v>1585</v>
      </c>
      <c r="B1649" s="163">
        <v>0</v>
      </c>
      <c r="C1649" s="178">
        <v>28746.45</v>
      </c>
      <c r="D1649" s="179">
        <v>129528.72</v>
      </c>
      <c r="E1649" s="748">
        <f t="shared" si="29"/>
        <v>158275.17000000001</v>
      </c>
      <c r="F1649" s="8" t="s">
        <v>1586</v>
      </c>
    </row>
    <row r="1650" spans="1:6" hidden="1" outlineLevel="1">
      <c r="A1650" s="870" t="s">
        <v>1587</v>
      </c>
      <c r="B1650" s="163">
        <v>0</v>
      </c>
      <c r="C1650" s="178">
        <v>65363.99</v>
      </c>
      <c r="D1650" s="179">
        <v>330867.28999999998</v>
      </c>
      <c r="E1650" s="748">
        <f t="shared" si="29"/>
        <v>396231.27999999997</v>
      </c>
      <c r="F1650" s="8" t="s">
        <v>1588</v>
      </c>
    </row>
    <row r="1651" spans="1:6" hidden="1" outlineLevel="1">
      <c r="A1651" s="870" t="s">
        <v>1589</v>
      </c>
      <c r="B1651" s="163">
        <v>0</v>
      </c>
      <c r="C1651" s="178">
        <v>3423.91</v>
      </c>
      <c r="D1651" s="179">
        <v>33438.449999999997</v>
      </c>
      <c r="E1651" s="748">
        <f t="shared" si="29"/>
        <v>36862.36</v>
      </c>
      <c r="F1651" s="8" t="s">
        <v>1590</v>
      </c>
    </row>
    <row r="1652" spans="1:6" hidden="1" outlineLevel="1">
      <c r="A1652" s="870" t="s">
        <v>1591</v>
      </c>
      <c r="B1652" s="163">
        <v>0</v>
      </c>
      <c r="C1652" s="178">
        <v>2158.54</v>
      </c>
      <c r="D1652" s="179">
        <v>172892.02</v>
      </c>
      <c r="E1652" s="748">
        <f t="shared" si="29"/>
        <v>175050.56</v>
      </c>
      <c r="F1652" s="8" t="s">
        <v>1592</v>
      </c>
    </row>
    <row r="1653" spans="1:6" hidden="1" outlineLevel="1">
      <c r="A1653" s="870" t="s">
        <v>1593</v>
      </c>
      <c r="B1653" s="163">
        <v>0</v>
      </c>
      <c r="C1653" s="178">
        <v>21901.95</v>
      </c>
      <c r="D1653" s="179">
        <v>67568.72</v>
      </c>
      <c r="E1653" s="748">
        <f t="shared" si="29"/>
        <v>89470.67</v>
      </c>
      <c r="F1653" s="8" t="s">
        <v>1594</v>
      </c>
    </row>
    <row r="1654" spans="1:6" hidden="1" outlineLevel="1">
      <c r="A1654" s="870" t="s">
        <v>1595</v>
      </c>
      <c r="B1654" s="163">
        <v>0</v>
      </c>
      <c r="C1654" s="178">
        <v>686.26</v>
      </c>
      <c r="D1654" s="179">
        <v>45110.6</v>
      </c>
      <c r="E1654" s="748">
        <f t="shared" si="29"/>
        <v>45796.86</v>
      </c>
      <c r="F1654" s="8" t="s">
        <v>1596</v>
      </c>
    </row>
    <row r="1655" spans="1:6" hidden="1" outlineLevel="1">
      <c r="A1655" s="870" t="s">
        <v>1597</v>
      </c>
      <c r="B1655" s="163">
        <v>0</v>
      </c>
      <c r="C1655" s="178">
        <v>48137.55</v>
      </c>
      <c r="D1655" s="179">
        <v>156782.16</v>
      </c>
      <c r="E1655" s="748">
        <f t="shared" si="29"/>
        <v>204919.71000000002</v>
      </c>
      <c r="F1655" s="8" t="s">
        <v>1598</v>
      </c>
    </row>
    <row r="1656" spans="1:6" hidden="1" outlineLevel="1">
      <c r="A1656" s="870" t="s">
        <v>1599</v>
      </c>
      <c r="B1656" s="163">
        <v>1233.55</v>
      </c>
      <c r="C1656" s="178">
        <v>21973.51</v>
      </c>
      <c r="D1656" s="179">
        <v>241002.37</v>
      </c>
      <c r="E1656" s="748">
        <f t="shared" si="29"/>
        <v>264209.43</v>
      </c>
      <c r="F1656" s="8" t="s">
        <v>1600</v>
      </c>
    </row>
    <row r="1657" spans="1:6" hidden="1" outlineLevel="1">
      <c r="A1657" s="870" t="s">
        <v>1601</v>
      </c>
      <c r="B1657" s="163">
        <v>0</v>
      </c>
      <c r="C1657" s="178">
        <v>11748.36</v>
      </c>
      <c r="D1657" s="179">
        <v>914813.04</v>
      </c>
      <c r="E1657" s="748">
        <f t="shared" si="29"/>
        <v>926561.4</v>
      </c>
      <c r="F1657" s="8" t="s">
        <v>1602</v>
      </c>
    </row>
    <row r="1658" spans="1:6" hidden="1" outlineLevel="1">
      <c r="A1658" s="870" t="s">
        <v>1603</v>
      </c>
      <c r="B1658" s="163">
        <v>0</v>
      </c>
      <c r="C1658" s="178">
        <v>3221.06</v>
      </c>
      <c r="D1658" s="179">
        <v>74191.56</v>
      </c>
      <c r="E1658" s="748">
        <f t="shared" si="29"/>
        <v>77412.62</v>
      </c>
      <c r="F1658" s="8" t="s">
        <v>1604</v>
      </c>
    </row>
    <row r="1659" spans="1:6" hidden="1" outlineLevel="1">
      <c r="A1659" s="870" t="s">
        <v>1605</v>
      </c>
      <c r="B1659" s="163">
        <v>0</v>
      </c>
      <c r="C1659" s="178">
        <v>74.06</v>
      </c>
      <c r="D1659" s="179">
        <v>34321.699999999997</v>
      </c>
      <c r="E1659" s="748">
        <f t="shared" si="29"/>
        <v>34395.759999999995</v>
      </c>
      <c r="F1659" s="8" t="s">
        <v>1606</v>
      </c>
    </row>
    <row r="1660" spans="1:6" hidden="1" outlineLevel="1">
      <c r="A1660" s="870" t="s">
        <v>1607</v>
      </c>
      <c r="B1660" s="163">
        <v>0</v>
      </c>
      <c r="C1660" s="178">
        <v>0</v>
      </c>
      <c r="D1660" s="179">
        <v>39653.480000000003</v>
      </c>
      <c r="E1660" s="748">
        <f t="shared" si="29"/>
        <v>39653.480000000003</v>
      </c>
      <c r="F1660" s="8" t="s">
        <v>1608</v>
      </c>
    </row>
    <row r="1661" spans="1:6" hidden="1" outlineLevel="1">
      <c r="A1661" s="870" t="s">
        <v>1609</v>
      </c>
      <c r="B1661" s="163">
        <v>0</v>
      </c>
      <c r="C1661" s="178">
        <v>24959.52</v>
      </c>
      <c r="D1661" s="179">
        <v>583718.79</v>
      </c>
      <c r="E1661" s="748">
        <f t="shared" ref="E1661:E1719" si="30">SUM(B1661:D1661)</f>
        <v>608678.31000000006</v>
      </c>
      <c r="F1661" s="8" t="s">
        <v>1610</v>
      </c>
    </row>
    <row r="1662" spans="1:6" hidden="1" outlineLevel="1">
      <c r="A1662" s="870" t="s">
        <v>1611</v>
      </c>
      <c r="B1662" s="163">
        <v>0</v>
      </c>
      <c r="C1662" s="178">
        <v>1865.42</v>
      </c>
      <c r="D1662" s="179">
        <v>117870.96</v>
      </c>
      <c r="E1662" s="748">
        <f t="shared" si="30"/>
        <v>119736.38</v>
      </c>
      <c r="F1662" s="8" t="s">
        <v>1612</v>
      </c>
    </row>
    <row r="1663" spans="1:6" hidden="1" outlineLevel="1">
      <c r="A1663" s="870" t="s">
        <v>1613</v>
      </c>
      <c r="B1663" s="163">
        <v>0</v>
      </c>
      <c r="C1663" s="178">
        <v>0</v>
      </c>
      <c r="D1663" s="179">
        <v>26874.11</v>
      </c>
      <c r="E1663" s="748">
        <f t="shared" si="30"/>
        <v>26874.11</v>
      </c>
      <c r="F1663" s="8" t="s">
        <v>1614</v>
      </c>
    </row>
    <row r="1664" spans="1:6" hidden="1" outlineLevel="1">
      <c r="A1664" s="870" t="s">
        <v>1615</v>
      </c>
      <c r="B1664" s="163">
        <v>0</v>
      </c>
      <c r="C1664" s="178">
        <v>8541.7800000000007</v>
      </c>
      <c r="D1664" s="179">
        <v>311869.38</v>
      </c>
      <c r="E1664" s="748">
        <f t="shared" si="30"/>
        <v>320411.16000000003</v>
      </c>
      <c r="F1664" s="8" t="s">
        <v>1616</v>
      </c>
    </row>
    <row r="1665" spans="1:6" hidden="1" outlineLevel="1">
      <c r="A1665" s="870" t="s">
        <v>1617</v>
      </c>
      <c r="B1665" s="163">
        <v>0</v>
      </c>
      <c r="C1665" s="178">
        <v>4263.63</v>
      </c>
      <c r="D1665" s="179">
        <v>25550.44</v>
      </c>
      <c r="E1665" s="748">
        <f t="shared" si="30"/>
        <v>29814.07</v>
      </c>
      <c r="F1665" s="8" t="s">
        <v>1618</v>
      </c>
    </row>
    <row r="1666" spans="1:6" hidden="1" outlineLevel="1">
      <c r="A1666" s="870" t="s">
        <v>1619</v>
      </c>
      <c r="B1666" s="163">
        <v>0</v>
      </c>
      <c r="C1666" s="178">
        <v>13650.02</v>
      </c>
      <c r="D1666" s="179">
        <v>876623.23</v>
      </c>
      <c r="E1666" s="748">
        <f t="shared" si="30"/>
        <v>890273.25</v>
      </c>
      <c r="F1666" s="8" t="s">
        <v>1620</v>
      </c>
    </row>
    <row r="1667" spans="1:6" hidden="1" outlineLevel="1">
      <c r="A1667" s="870" t="s">
        <v>1621</v>
      </c>
      <c r="B1667" s="163">
        <v>6849.65</v>
      </c>
      <c r="C1667" s="178">
        <v>28610.720000000001</v>
      </c>
      <c r="D1667" s="179">
        <v>261796.4</v>
      </c>
      <c r="E1667" s="748">
        <f t="shared" si="30"/>
        <v>297256.77</v>
      </c>
      <c r="F1667" s="8" t="s">
        <v>1622</v>
      </c>
    </row>
    <row r="1668" spans="1:6" hidden="1" outlineLevel="1">
      <c r="A1668" s="870" t="s">
        <v>1623</v>
      </c>
      <c r="B1668" s="163">
        <v>0</v>
      </c>
      <c r="C1668" s="178">
        <v>35687.33</v>
      </c>
      <c r="D1668" s="179">
        <v>74625.820000000007</v>
      </c>
      <c r="E1668" s="748">
        <f t="shared" si="30"/>
        <v>110313.15000000001</v>
      </c>
      <c r="F1668" s="8" t="s">
        <v>1624</v>
      </c>
    </row>
    <row r="1669" spans="1:6" hidden="1" outlineLevel="1">
      <c r="A1669" s="870" t="s">
        <v>1625</v>
      </c>
      <c r="B1669" s="163">
        <v>0</v>
      </c>
      <c r="C1669" s="178">
        <v>11311.06</v>
      </c>
      <c r="D1669" s="179">
        <v>41601.360000000001</v>
      </c>
      <c r="E1669" s="748">
        <f t="shared" si="30"/>
        <v>52912.42</v>
      </c>
      <c r="F1669" s="8" t="s">
        <v>1626</v>
      </c>
    </row>
    <row r="1670" spans="1:6" hidden="1" outlineLevel="1">
      <c r="A1670" s="870" t="s">
        <v>1627</v>
      </c>
      <c r="B1670" s="163">
        <v>0</v>
      </c>
      <c r="C1670" s="178">
        <v>4368.47</v>
      </c>
      <c r="D1670" s="179">
        <v>60677.14</v>
      </c>
      <c r="E1670" s="748">
        <f t="shared" si="30"/>
        <v>65045.61</v>
      </c>
      <c r="F1670" s="8" t="s">
        <v>1628</v>
      </c>
    </row>
    <row r="1671" spans="1:6" hidden="1" outlineLevel="1">
      <c r="A1671" s="870" t="s">
        <v>1629</v>
      </c>
      <c r="B1671" s="163">
        <v>0</v>
      </c>
      <c r="C1671" s="178">
        <v>22769.45</v>
      </c>
      <c r="D1671" s="179">
        <v>135541.56</v>
      </c>
      <c r="E1671" s="748">
        <f t="shared" si="30"/>
        <v>158311.01</v>
      </c>
      <c r="F1671" s="8" t="s">
        <v>1630</v>
      </c>
    </row>
    <row r="1672" spans="1:6" hidden="1" outlineLevel="1">
      <c r="A1672" s="870" t="s">
        <v>1631</v>
      </c>
      <c r="B1672" s="163">
        <v>0</v>
      </c>
      <c r="C1672" s="178">
        <v>0</v>
      </c>
      <c r="D1672" s="179">
        <v>76927.12</v>
      </c>
      <c r="E1672" s="748">
        <f t="shared" si="30"/>
        <v>76927.12</v>
      </c>
      <c r="F1672" s="8" t="s">
        <v>1632</v>
      </c>
    </row>
    <row r="1673" spans="1:6" hidden="1" outlineLevel="1">
      <c r="A1673" s="870" t="s">
        <v>1633</v>
      </c>
      <c r="B1673" s="163">
        <v>0</v>
      </c>
      <c r="C1673" s="178">
        <v>28961.69</v>
      </c>
      <c r="D1673" s="179">
        <v>2009424.93</v>
      </c>
      <c r="E1673" s="748">
        <f t="shared" si="30"/>
        <v>2038386.6199999999</v>
      </c>
      <c r="F1673" s="8" t="s">
        <v>1634</v>
      </c>
    </row>
    <row r="1674" spans="1:6" hidden="1" outlineLevel="1">
      <c r="A1674" s="870" t="s">
        <v>1635</v>
      </c>
      <c r="B1674" s="163">
        <v>26377.27</v>
      </c>
      <c r="C1674" s="178">
        <v>121998.33</v>
      </c>
      <c r="D1674" s="179">
        <v>851649.09</v>
      </c>
      <c r="E1674" s="748">
        <f t="shared" si="30"/>
        <v>1000024.69</v>
      </c>
      <c r="F1674" s="8" t="s">
        <v>1636</v>
      </c>
    </row>
    <row r="1675" spans="1:6" hidden="1" outlineLevel="1">
      <c r="A1675" s="870" t="s">
        <v>1637</v>
      </c>
      <c r="B1675" s="163">
        <v>0</v>
      </c>
      <c r="C1675" s="178">
        <v>14353.27</v>
      </c>
      <c r="D1675" s="179">
        <v>5232.99</v>
      </c>
      <c r="E1675" s="748">
        <f t="shared" si="30"/>
        <v>19586.260000000002</v>
      </c>
      <c r="F1675" s="8" t="s">
        <v>1638</v>
      </c>
    </row>
    <row r="1676" spans="1:6" hidden="1" outlineLevel="1">
      <c r="A1676" s="870" t="s">
        <v>767</v>
      </c>
      <c r="B1676" s="163">
        <v>0</v>
      </c>
      <c r="C1676" s="178">
        <v>29147.06</v>
      </c>
      <c r="D1676" s="179">
        <v>327447.55</v>
      </c>
      <c r="E1676" s="748">
        <f t="shared" si="30"/>
        <v>356594.61</v>
      </c>
      <c r="F1676" s="8" t="s">
        <v>768</v>
      </c>
    </row>
    <row r="1677" spans="1:6" hidden="1" outlineLevel="1">
      <c r="A1677" s="870" t="s">
        <v>1639</v>
      </c>
      <c r="B1677" s="163">
        <v>0</v>
      </c>
      <c r="C1677" s="178">
        <v>5615.42</v>
      </c>
      <c r="D1677" s="179">
        <v>66300.929999999993</v>
      </c>
      <c r="E1677" s="748">
        <f t="shared" si="30"/>
        <v>71916.349999999991</v>
      </c>
      <c r="F1677" s="8" t="s">
        <v>1640</v>
      </c>
    </row>
    <row r="1678" spans="1:6" hidden="1" outlineLevel="1">
      <c r="A1678" s="870" t="s">
        <v>1641</v>
      </c>
      <c r="B1678" s="163">
        <v>0</v>
      </c>
      <c r="C1678" s="178">
        <v>24116.32</v>
      </c>
      <c r="D1678" s="179">
        <v>143352.32999999999</v>
      </c>
      <c r="E1678" s="748">
        <f t="shared" si="30"/>
        <v>167468.65</v>
      </c>
      <c r="F1678" s="8" t="s">
        <v>1642</v>
      </c>
    </row>
    <row r="1679" spans="1:6" hidden="1" outlineLevel="1">
      <c r="A1679" s="870" t="s">
        <v>1643</v>
      </c>
      <c r="B1679" s="163">
        <v>0</v>
      </c>
      <c r="C1679" s="178">
        <v>5905.08</v>
      </c>
      <c r="D1679" s="179">
        <v>135415.07999999999</v>
      </c>
      <c r="E1679" s="748">
        <f t="shared" si="30"/>
        <v>141320.15999999997</v>
      </c>
      <c r="F1679" s="8" t="s">
        <v>1644</v>
      </c>
    </row>
    <row r="1680" spans="1:6" hidden="1" outlineLevel="1">
      <c r="A1680" s="870" t="s">
        <v>1645</v>
      </c>
      <c r="B1680" s="163">
        <v>0</v>
      </c>
      <c r="C1680" s="178">
        <v>0</v>
      </c>
      <c r="D1680" s="179">
        <v>85253.29</v>
      </c>
      <c r="E1680" s="748">
        <f t="shared" si="30"/>
        <v>85253.29</v>
      </c>
      <c r="F1680" s="8" t="s">
        <v>1646</v>
      </c>
    </row>
    <row r="1681" spans="1:6" hidden="1" outlineLevel="1">
      <c r="A1681" s="870" t="s">
        <v>1647</v>
      </c>
      <c r="B1681" s="163">
        <v>0</v>
      </c>
      <c r="C1681" s="178">
        <v>2185.16</v>
      </c>
      <c r="D1681" s="179">
        <v>40205.79</v>
      </c>
      <c r="E1681" s="748">
        <f t="shared" si="30"/>
        <v>42390.95</v>
      </c>
      <c r="F1681" s="8" t="s">
        <v>1648</v>
      </c>
    </row>
    <row r="1682" spans="1:6" hidden="1" outlineLevel="1">
      <c r="A1682" s="870" t="s">
        <v>1649</v>
      </c>
      <c r="B1682" s="163">
        <v>0</v>
      </c>
      <c r="C1682" s="178">
        <v>570.04999999999995</v>
      </c>
      <c r="D1682" s="179">
        <v>32432.6</v>
      </c>
      <c r="E1682" s="748">
        <f t="shared" si="30"/>
        <v>33002.65</v>
      </c>
      <c r="F1682" s="8" t="s">
        <v>1650</v>
      </c>
    </row>
    <row r="1683" spans="1:6" hidden="1" outlineLevel="1">
      <c r="A1683" s="870" t="s">
        <v>1651</v>
      </c>
      <c r="B1683" s="163">
        <v>0</v>
      </c>
      <c r="C1683" s="178">
        <v>28489.55</v>
      </c>
      <c r="D1683" s="179">
        <v>337934.46</v>
      </c>
      <c r="E1683" s="748">
        <f t="shared" si="30"/>
        <v>366424.01</v>
      </c>
      <c r="F1683" s="8" t="s">
        <v>1652</v>
      </c>
    </row>
    <row r="1684" spans="1:6" hidden="1" outlineLevel="1">
      <c r="A1684" s="870" t="s">
        <v>1653</v>
      </c>
      <c r="B1684" s="163">
        <v>0</v>
      </c>
      <c r="C1684" s="178">
        <v>6474.96</v>
      </c>
      <c r="D1684" s="179">
        <v>117308</v>
      </c>
      <c r="E1684" s="748">
        <f t="shared" si="30"/>
        <v>123782.96</v>
      </c>
      <c r="F1684" s="8" t="s">
        <v>1654</v>
      </c>
    </row>
    <row r="1685" spans="1:6" hidden="1" outlineLevel="1">
      <c r="A1685" s="870" t="s">
        <v>1655</v>
      </c>
      <c r="B1685" s="163">
        <v>0</v>
      </c>
      <c r="C1685" s="178">
        <v>18192.04</v>
      </c>
      <c r="D1685" s="179">
        <v>129477.16</v>
      </c>
      <c r="E1685" s="748">
        <f t="shared" si="30"/>
        <v>147669.20000000001</v>
      </c>
      <c r="F1685" s="8" t="s">
        <v>1656</v>
      </c>
    </row>
    <row r="1686" spans="1:6" hidden="1" outlineLevel="1">
      <c r="A1686" s="870" t="s">
        <v>1657</v>
      </c>
      <c r="B1686" s="163">
        <v>0</v>
      </c>
      <c r="C1686" s="178">
        <v>58108.03</v>
      </c>
      <c r="D1686" s="179">
        <v>536037.4</v>
      </c>
      <c r="E1686" s="748">
        <f t="shared" si="30"/>
        <v>594145.43000000005</v>
      </c>
      <c r="F1686" s="8" t="s">
        <v>1658</v>
      </c>
    </row>
    <row r="1687" spans="1:6" hidden="1" outlineLevel="1">
      <c r="A1687" s="870" t="s">
        <v>1659</v>
      </c>
      <c r="B1687" s="163">
        <v>54.32</v>
      </c>
      <c r="C1687" s="178">
        <v>0</v>
      </c>
      <c r="D1687" s="179">
        <v>2771.32</v>
      </c>
      <c r="E1687" s="748">
        <f t="shared" si="30"/>
        <v>2825.6400000000003</v>
      </c>
      <c r="F1687" s="8" t="s">
        <v>1660</v>
      </c>
    </row>
    <row r="1688" spans="1:6" hidden="1" outlineLevel="1">
      <c r="A1688" s="870" t="s">
        <v>1661</v>
      </c>
      <c r="B1688" s="163">
        <v>0</v>
      </c>
      <c r="C1688" s="178">
        <v>30866.75</v>
      </c>
      <c r="D1688" s="179">
        <v>53411.91</v>
      </c>
      <c r="E1688" s="748">
        <f t="shared" si="30"/>
        <v>84278.66</v>
      </c>
      <c r="F1688" s="8" t="s">
        <v>1662</v>
      </c>
    </row>
    <row r="1689" spans="1:6" hidden="1" outlineLevel="1">
      <c r="A1689" s="870" t="s">
        <v>1663</v>
      </c>
      <c r="B1689" s="163">
        <v>0</v>
      </c>
      <c r="C1689" s="178">
        <v>69870.63</v>
      </c>
      <c r="D1689" s="179">
        <v>80542.06</v>
      </c>
      <c r="E1689" s="748">
        <f t="shared" si="30"/>
        <v>150412.69</v>
      </c>
      <c r="F1689" s="8" t="s">
        <v>1664</v>
      </c>
    </row>
    <row r="1690" spans="1:6" hidden="1" outlineLevel="1">
      <c r="A1690" s="870" t="s">
        <v>789</v>
      </c>
      <c r="B1690" s="163">
        <v>0</v>
      </c>
      <c r="C1690" s="178">
        <v>5361.08</v>
      </c>
      <c r="D1690" s="179">
        <v>1791658.18</v>
      </c>
      <c r="E1690" s="748">
        <f t="shared" si="30"/>
        <v>1797019.26</v>
      </c>
      <c r="F1690" s="8" t="s">
        <v>790</v>
      </c>
    </row>
    <row r="1691" spans="1:6" hidden="1" outlineLevel="1">
      <c r="A1691" s="870" t="s">
        <v>1665</v>
      </c>
      <c r="B1691" s="163">
        <v>0</v>
      </c>
      <c r="C1691" s="178">
        <v>6104.04</v>
      </c>
      <c r="D1691" s="179">
        <v>161084.51</v>
      </c>
      <c r="E1691" s="748">
        <f t="shared" si="30"/>
        <v>167188.55000000002</v>
      </c>
      <c r="F1691" s="8" t="s">
        <v>1666</v>
      </c>
    </row>
    <row r="1692" spans="1:6" hidden="1" outlineLevel="1">
      <c r="A1692" s="870" t="s">
        <v>1667</v>
      </c>
      <c r="B1692" s="163">
        <v>0</v>
      </c>
      <c r="C1692" s="178">
        <v>23702.55</v>
      </c>
      <c r="D1692" s="179">
        <v>518365.48</v>
      </c>
      <c r="E1692" s="748">
        <f t="shared" si="30"/>
        <v>542068.03</v>
      </c>
      <c r="F1692" s="8" t="s">
        <v>1668</v>
      </c>
    </row>
    <row r="1693" spans="1:6" hidden="1" outlineLevel="1">
      <c r="A1693" s="870" t="s">
        <v>1669</v>
      </c>
      <c r="B1693" s="163">
        <v>0</v>
      </c>
      <c r="C1693" s="178">
        <v>5847.02</v>
      </c>
      <c r="D1693" s="179">
        <v>2716.2</v>
      </c>
      <c r="E1693" s="748">
        <f t="shared" si="30"/>
        <v>8563.2200000000012</v>
      </c>
      <c r="F1693" s="8" t="s">
        <v>1670</v>
      </c>
    </row>
    <row r="1694" spans="1:6" hidden="1" outlineLevel="1">
      <c r="A1694" s="870" t="s">
        <v>1671</v>
      </c>
      <c r="B1694" s="163">
        <v>3170.06</v>
      </c>
      <c r="C1694" s="178">
        <v>64081.62</v>
      </c>
      <c r="D1694" s="179">
        <v>1075267.8500000001</v>
      </c>
      <c r="E1694" s="748">
        <f t="shared" si="30"/>
        <v>1142519.53</v>
      </c>
      <c r="F1694" s="8" t="s">
        <v>1672</v>
      </c>
    </row>
    <row r="1695" spans="1:6" hidden="1" outlineLevel="1">
      <c r="A1695" s="870" t="s">
        <v>1673</v>
      </c>
      <c r="B1695" s="163">
        <v>0</v>
      </c>
      <c r="C1695" s="178">
        <v>25644.11</v>
      </c>
      <c r="D1695" s="179">
        <v>222736.92</v>
      </c>
      <c r="E1695" s="748">
        <f t="shared" si="30"/>
        <v>248381.03000000003</v>
      </c>
      <c r="F1695" s="8" t="s">
        <v>1674</v>
      </c>
    </row>
    <row r="1696" spans="1:6" hidden="1" outlineLevel="1">
      <c r="A1696" s="870" t="s">
        <v>543</v>
      </c>
      <c r="B1696" s="163">
        <v>0</v>
      </c>
      <c r="C1696" s="178">
        <v>155051.18</v>
      </c>
      <c r="D1696" s="179">
        <v>3165525.04</v>
      </c>
      <c r="E1696" s="748">
        <f t="shared" si="30"/>
        <v>3320576.22</v>
      </c>
      <c r="F1696" s="8" t="s">
        <v>544</v>
      </c>
    </row>
    <row r="1697" spans="1:6" hidden="1" outlineLevel="1">
      <c r="A1697" s="870" t="s">
        <v>1675</v>
      </c>
      <c r="B1697" s="163">
        <v>0</v>
      </c>
      <c r="C1697" s="178">
        <v>48.91</v>
      </c>
      <c r="D1697" s="179">
        <v>401050.64</v>
      </c>
      <c r="E1697" s="748">
        <f t="shared" si="30"/>
        <v>401099.55</v>
      </c>
      <c r="F1697" s="8" t="s">
        <v>1676</v>
      </c>
    </row>
    <row r="1698" spans="1:6" hidden="1" outlineLevel="1">
      <c r="A1698" s="870" t="s">
        <v>1677</v>
      </c>
      <c r="B1698" s="163">
        <v>0</v>
      </c>
      <c r="C1698" s="178">
        <v>76412.36</v>
      </c>
      <c r="D1698" s="179">
        <v>624793.09</v>
      </c>
      <c r="E1698" s="748">
        <f t="shared" si="30"/>
        <v>701205.45</v>
      </c>
      <c r="F1698" s="8" t="s">
        <v>1678</v>
      </c>
    </row>
    <row r="1699" spans="1:6" hidden="1" outlineLevel="1">
      <c r="A1699" s="870" t="s">
        <v>1679</v>
      </c>
      <c r="B1699" s="163">
        <v>0</v>
      </c>
      <c r="C1699" s="178">
        <v>31967.83</v>
      </c>
      <c r="D1699" s="179">
        <v>133464.15</v>
      </c>
      <c r="E1699" s="748">
        <f t="shared" si="30"/>
        <v>165431.97999999998</v>
      </c>
      <c r="F1699" s="8" t="s">
        <v>1680</v>
      </c>
    </row>
    <row r="1700" spans="1:6" hidden="1" outlineLevel="1">
      <c r="A1700" s="870" t="s">
        <v>1681</v>
      </c>
      <c r="B1700" s="163">
        <v>0</v>
      </c>
      <c r="C1700" s="178">
        <v>30582.45</v>
      </c>
      <c r="D1700" s="179">
        <v>134321.09</v>
      </c>
      <c r="E1700" s="748">
        <f t="shared" si="30"/>
        <v>164903.54</v>
      </c>
      <c r="F1700" s="8" t="s">
        <v>1682</v>
      </c>
    </row>
    <row r="1701" spans="1:6" hidden="1" outlineLevel="1">
      <c r="A1701" s="870" t="s">
        <v>1683</v>
      </c>
      <c r="B1701" s="163">
        <v>0</v>
      </c>
      <c r="C1701" s="178">
        <v>15517.29</v>
      </c>
      <c r="D1701" s="179">
        <v>52277.98</v>
      </c>
      <c r="E1701" s="748">
        <f t="shared" si="30"/>
        <v>67795.27</v>
      </c>
      <c r="F1701" s="8" t="s">
        <v>1684</v>
      </c>
    </row>
    <row r="1702" spans="1:6" hidden="1" outlineLevel="1">
      <c r="A1702" s="870" t="s">
        <v>1685</v>
      </c>
      <c r="B1702" s="163">
        <v>0</v>
      </c>
      <c r="C1702" s="178">
        <v>0</v>
      </c>
      <c r="D1702" s="179">
        <v>11547.52</v>
      </c>
      <c r="E1702" s="748">
        <f t="shared" si="30"/>
        <v>11547.52</v>
      </c>
      <c r="F1702" s="8" t="s">
        <v>1686</v>
      </c>
    </row>
    <row r="1703" spans="1:6" hidden="1" outlineLevel="1">
      <c r="A1703" s="870" t="s">
        <v>1687</v>
      </c>
      <c r="B1703" s="163">
        <v>0</v>
      </c>
      <c r="C1703" s="178">
        <v>11.79</v>
      </c>
      <c r="D1703" s="179">
        <v>75002.16</v>
      </c>
      <c r="E1703" s="748">
        <f t="shared" si="30"/>
        <v>75013.95</v>
      </c>
      <c r="F1703" s="8" t="s">
        <v>1688</v>
      </c>
    </row>
    <row r="1704" spans="1:6" hidden="1" outlineLevel="1">
      <c r="A1704" s="870" t="s">
        <v>1132</v>
      </c>
      <c r="B1704" s="163">
        <v>0</v>
      </c>
      <c r="C1704" s="178">
        <v>7292.9</v>
      </c>
      <c r="D1704" s="179">
        <v>26868.84</v>
      </c>
      <c r="E1704" s="748">
        <f t="shared" si="30"/>
        <v>34161.74</v>
      </c>
      <c r="F1704" s="8" t="s">
        <v>1133</v>
      </c>
    </row>
    <row r="1705" spans="1:6" hidden="1" outlineLevel="1">
      <c r="A1705" s="870" t="s">
        <v>1689</v>
      </c>
      <c r="B1705" s="163">
        <v>0</v>
      </c>
      <c r="C1705" s="178">
        <v>24958</v>
      </c>
      <c r="D1705" s="179">
        <v>88602.76</v>
      </c>
      <c r="E1705" s="748">
        <f t="shared" si="30"/>
        <v>113560.76</v>
      </c>
      <c r="F1705" s="8" t="s">
        <v>1690</v>
      </c>
    </row>
    <row r="1706" spans="1:6" hidden="1" outlineLevel="1">
      <c r="A1706" s="870" t="s">
        <v>1691</v>
      </c>
      <c r="B1706" s="163">
        <v>0</v>
      </c>
      <c r="C1706" s="178">
        <v>26586.73</v>
      </c>
      <c r="D1706" s="179">
        <v>57554.2</v>
      </c>
      <c r="E1706" s="748">
        <f t="shared" si="30"/>
        <v>84140.93</v>
      </c>
      <c r="F1706" s="8" t="s">
        <v>1692</v>
      </c>
    </row>
    <row r="1707" spans="1:6" hidden="1" outlineLevel="1">
      <c r="A1707" s="870" t="s">
        <v>1693</v>
      </c>
      <c r="B1707" s="163">
        <v>0</v>
      </c>
      <c r="C1707" s="178">
        <v>46055.199999999997</v>
      </c>
      <c r="D1707" s="179">
        <v>77532.44</v>
      </c>
      <c r="E1707" s="748">
        <f t="shared" si="30"/>
        <v>123587.64</v>
      </c>
      <c r="F1707" s="8" t="s">
        <v>1694</v>
      </c>
    </row>
    <row r="1708" spans="1:6" hidden="1" outlineLevel="1">
      <c r="A1708" s="870" t="s">
        <v>1695</v>
      </c>
      <c r="B1708" s="163">
        <v>0</v>
      </c>
      <c r="C1708" s="178">
        <v>471012.61</v>
      </c>
      <c r="D1708" s="179">
        <v>3250957</v>
      </c>
      <c r="E1708" s="748">
        <f t="shared" si="30"/>
        <v>3721969.61</v>
      </c>
      <c r="F1708" s="8" t="s">
        <v>1696</v>
      </c>
    </row>
    <row r="1709" spans="1:6" hidden="1" outlineLevel="1">
      <c r="A1709" s="870" t="s">
        <v>1697</v>
      </c>
      <c r="B1709" s="163">
        <v>0</v>
      </c>
      <c r="C1709" s="178">
        <v>52000.51</v>
      </c>
      <c r="D1709" s="179">
        <v>361709.53</v>
      </c>
      <c r="E1709" s="748">
        <f t="shared" si="30"/>
        <v>413710.04000000004</v>
      </c>
      <c r="F1709" s="8" t="s">
        <v>1698</v>
      </c>
    </row>
    <row r="1710" spans="1:6" hidden="1" outlineLevel="1">
      <c r="A1710" s="870" t="s">
        <v>1699</v>
      </c>
      <c r="B1710" s="163">
        <v>0</v>
      </c>
      <c r="C1710" s="178">
        <v>70380.850000000006</v>
      </c>
      <c r="D1710" s="179">
        <v>4917128.46</v>
      </c>
      <c r="E1710" s="748">
        <f t="shared" si="30"/>
        <v>4987509.3099999996</v>
      </c>
      <c r="F1710" s="8" t="s">
        <v>1700</v>
      </c>
    </row>
    <row r="1711" spans="1:6" hidden="1" outlineLevel="1">
      <c r="A1711" s="870" t="s">
        <v>449</v>
      </c>
      <c r="B1711" s="163">
        <v>0</v>
      </c>
      <c r="C1711" s="178">
        <v>20739.78</v>
      </c>
      <c r="D1711" s="179">
        <v>48854.12</v>
      </c>
      <c r="E1711" s="748">
        <f t="shared" si="30"/>
        <v>69593.899999999994</v>
      </c>
      <c r="F1711" s="8" t="s">
        <v>450</v>
      </c>
    </row>
    <row r="1712" spans="1:6" hidden="1" outlineLevel="1">
      <c r="A1712" s="870" t="s">
        <v>1701</v>
      </c>
      <c r="B1712" s="163">
        <v>0</v>
      </c>
      <c r="C1712" s="178">
        <v>0</v>
      </c>
      <c r="D1712" s="179">
        <v>4939.2</v>
      </c>
      <c r="E1712" s="748">
        <f t="shared" si="30"/>
        <v>4939.2</v>
      </c>
      <c r="F1712" s="8" t="s">
        <v>1702</v>
      </c>
    </row>
    <row r="1713" spans="1:7" hidden="1" outlineLevel="1">
      <c r="A1713" s="870" t="s">
        <v>837</v>
      </c>
      <c r="B1713" s="163">
        <v>0</v>
      </c>
      <c r="C1713" s="178">
        <v>0</v>
      </c>
      <c r="D1713" s="179">
        <v>82035.08</v>
      </c>
      <c r="E1713" s="748">
        <f t="shared" si="30"/>
        <v>82035.08</v>
      </c>
      <c r="F1713" s="8" t="s">
        <v>838</v>
      </c>
    </row>
    <row r="1714" spans="1:7" hidden="1" outlineLevel="1">
      <c r="A1714" s="870" t="s">
        <v>1703</v>
      </c>
      <c r="B1714" s="163">
        <v>0</v>
      </c>
      <c r="C1714" s="178">
        <v>12834500.109999999</v>
      </c>
      <c r="D1714" s="179">
        <v>0</v>
      </c>
      <c r="E1714" s="748">
        <f t="shared" si="30"/>
        <v>12834500.109999999</v>
      </c>
      <c r="F1714" s="8" t="s">
        <v>1704</v>
      </c>
    </row>
    <row r="1715" spans="1:7" hidden="1" outlineLevel="1">
      <c r="A1715" s="870" t="s">
        <v>1705</v>
      </c>
      <c r="B1715" s="163">
        <v>0</v>
      </c>
      <c r="C1715" s="178">
        <v>71072.479999999996</v>
      </c>
      <c r="D1715" s="179">
        <v>230684.66</v>
      </c>
      <c r="E1715" s="748">
        <f t="shared" si="30"/>
        <v>301757.14</v>
      </c>
      <c r="F1715" s="8" t="s">
        <v>1706</v>
      </c>
    </row>
    <row r="1716" spans="1:7" hidden="1" outlineLevel="1">
      <c r="A1716" s="870" t="s">
        <v>1707</v>
      </c>
      <c r="B1716" s="163">
        <v>0</v>
      </c>
      <c r="C1716" s="178">
        <v>3292.15</v>
      </c>
      <c r="D1716" s="179">
        <v>0</v>
      </c>
      <c r="E1716" s="748">
        <f t="shared" si="30"/>
        <v>3292.15</v>
      </c>
      <c r="F1716" s="8" t="s">
        <v>1708</v>
      </c>
    </row>
    <row r="1717" spans="1:7" hidden="1" outlineLevel="1">
      <c r="A1717" s="870" t="s">
        <v>1709</v>
      </c>
      <c r="B1717" s="163">
        <v>0</v>
      </c>
      <c r="C1717" s="178">
        <v>62324.11</v>
      </c>
      <c r="D1717" s="179">
        <v>1875519.22</v>
      </c>
      <c r="E1717" s="748">
        <f t="shared" si="30"/>
        <v>1937843.33</v>
      </c>
      <c r="F1717" s="8" t="s">
        <v>1710</v>
      </c>
    </row>
    <row r="1718" spans="1:7" hidden="1" outlineLevel="1">
      <c r="A1718" s="1117" t="s">
        <v>1711</v>
      </c>
      <c r="B1718" s="163">
        <v>0</v>
      </c>
      <c r="C1718" s="178">
        <v>0</v>
      </c>
      <c r="D1718" s="179">
        <v>22954.400000000001</v>
      </c>
      <c r="E1718" s="748"/>
      <c r="F1718" s="8" t="s">
        <v>1712</v>
      </c>
    </row>
    <row r="1719" spans="1:7" ht="13.5" hidden="1" outlineLevel="1" thickBot="1">
      <c r="A1719" s="870" t="s">
        <v>1713</v>
      </c>
      <c r="B1719" s="163">
        <v>0</v>
      </c>
      <c r="C1719" s="178">
        <v>18647.990000000002</v>
      </c>
      <c r="D1719" s="179">
        <v>9582.2999999999993</v>
      </c>
      <c r="E1719" s="748">
        <f t="shared" si="30"/>
        <v>28230.29</v>
      </c>
      <c r="F1719" s="8" t="s">
        <v>1714</v>
      </c>
    </row>
    <row r="1720" spans="1:7" ht="13.5" collapsed="1" thickBot="1">
      <c r="A1720" s="1113" t="s">
        <v>1715</v>
      </c>
      <c r="B1720" s="356">
        <f>B1595+B1265+B1028+B868</f>
        <v>3400006.7199999997</v>
      </c>
      <c r="C1720" s="489">
        <f>C1595+C1265+C1028+C868</f>
        <v>61536216.579999998</v>
      </c>
      <c r="D1720" s="489">
        <f>D1595+D1265+D1028+D868</f>
        <v>802117314.97000003</v>
      </c>
      <c r="E1720" s="490">
        <f>E1595+E1265+E1028+E868</f>
        <v>867053538.26999998</v>
      </c>
      <c r="F1720" s="112"/>
    </row>
    <row r="1721" spans="1:7">
      <c r="A1721" s="1114" t="s">
        <v>1716</v>
      </c>
      <c r="B1721" s="1115">
        <f>B1720/$E1720</f>
        <v>3.9213342313139145E-3</v>
      </c>
      <c r="C1721" s="1115">
        <f>C1720/$E1720</f>
        <v>7.097164576801214E-2</v>
      </c>
      <c r="D1721" s="1115">
        <f>D1720/$E1720</f>
        <v>0.92510702000067402</v>
      </c>
      <c r="E1721" s="115">
        <f>SUM(B1721:D1721)</f>
        <v>1</v>
      </c>
      <c r="F1721" s="112"/>
    </row>
    <row r="1722" spans="1:7">
      <c r="B1722" s="104"/>
      <c r="C1722" s="104"/>
      <c r="D1722" s="104"/>
      <c r="E1722" s="268"/>
      <c r="F1722" s="112"/>
      <c r="G1722" s="4"/>
    </row>
    <row r="1723" spans="1:7">
      <c r="C1723" s="98"/>
      <c r="D1723" s="98"/>
      <c r="F1723" s="112"/>
    </row>
    <row r="1724" spans="1:7" ht="27" customHeight="1">
      <c r="B1724" s="103"/>
      <c r="C1724" s="103"/>
      <c r="D1724" s="103"/>
      <c r="E1724" s="269"/>
      <c r="F1724" s="112"/>
    </row>
    <row r="1725" spans="1:7">
      <c r="F1725" s="112"/>
    </row>
    <row r="1726" spans="1:7">
      <c r="F1726" s="112"/>
    </row>
    <row r="1727" spans="1:7">
      <c r="F1727" s="112"/>
    </row>
    <row r="1728" spans="1:7">
      <c r="C1728" s="96"/>
      <c r="D1728" s="127"/>
      <c r="F1728" s="112"/>
    </row>
    <row r="1729" spans="3:6">
      <c r="C1729" s="96"/>
      <c r="F1729" s="112"/>
    </row>
    <row r="1730" spans="3:6">
      <c r="D1730" s="127"/>
      <c r="F1730" s="112"/>
    </row>
    <row r="1731" spans="3:6">
      <c r="F1731" s="112"/>
    </row>
    <row r="1732" spans="3:6">
      <c r="F1732" s="112"/>
    </row>
    <row r="1733" spans="3:6">
      <c r="F1733" s="112"/>
    </row>
    <row r="1734" spans="3:6">
      <c r="F1734" s="112"/>
    </row>
    <row r="1735" spans="3:6">
      <c r="F1735" s="112"/>
    </row>
    <row r="1736" spans="3:6">
      <c r="F1736" s="112"/>
    </row>
    <row r="1737" spans="3:6">
      <c r="F1737" s="112"/>
    </row>
    <row r="1738" spans="3:6">
      <c r="F1738" s="112"/>
    </row>
    <row r="1739" spans="3:6">
      <c r="F1739" s="112"/>
    </row>
    <row r="1740" spans="3:6">
      <c r="F1740" s="112"/>
    </row>
    <row r="1741" spans="3:6">
      <c r="F1741" s="112"/>
    </row>
    <row r="1742" spans="3:6">
      <c r="F1742" s="112"/>
    </row>
    <row r="1743" spans="3:6">
      <c r="F1743" s="112"/>
    </row>
    <row r="1744" spans="3:6">
      <c r="F1744" s="112"/>
    </row>
    <row r="1745" spans="6:6">
      <c r="F1745" s="112"/>
    </row>
    <row r="1746" spans="6:6">
      <c r="F1746" s="112"/>
    </row>
    <row r="1747" spans="6:6">
      <c r="F1747" s="112"/>
    </row>
    <row r="1748" spans="6:6">
      <c r="F1748" s="112"/>
    </row>
    <row r="1749" spans="6:6">
      <c r="F1749" s="112"/>
    </row>
    <row r="1750" spans="6:6">
      <c r="F1750" s="112"/>
    </row>
    <row r="1751" spans="6:6">
      <c r="F1751" s="112"/>
    </row>
    <row r="1752" spans="6:6">
      <c r="F1752" s="112"/>
    </row>
    <row r="1753" spans="6:6">
      <c r="F1753" s="112"/>
    </row>
    <row r="1754" spans="6:6">
      <c r="F1754" s="112"/>
    </row>
    <row r="1755" spans="6:6">
      <c r="F1755" s="112"/>
    </row>
    <row r="1756" spans="6:6">
      <c r="F1756" s="112"/>
    </row>
    <row r="1757" spans="6:6">
      <c r="F1757" s="112"/>
    </row>
    <row r="1758" spans="6:6">
      <c r="F1758" s="112"/>
    </row>
    <row r="1759" spans="6:6">
      <c r="F1759" s="112"/>
    </row>
    <row r="1760" spans="6:6">
      <c r="F1760" s="112"/>
    </row>
    <row r="1761" spans="6:6">
      <c r="F1761" s="112"/>
    </row>
    <row r="1762" spans="6:6">
      <c r="F1762" s="112"/>
    </row>
    <row r="1763" spans="6:6">
      <c r="F1763" s="112"/>
    </row>
    <row r="1764" spans="6:6">
      <c r="F1764" s="112"/>
    </row>
    <row r="1765" spans="6:6">
      <c r="F1765" s="112"/>
    </row>
    <row r="1766" spans="6:6">
      <c r="F1766" s="112"/>
    </row>
    <row r="1767" spans="6:6">
      <c r="F1767" s="112"/>
    </row>
    <row r="1768" spans="6:6">
      <c r="F1768" s="112"/>
    </row>
  </sheetData>
  <sortState xmlns:xlrd2="http://schemas.microsoft.com/office/spreadsheetml/2017/richdata2" ref="A1029:F1264">
    <sortCondition ref="A1029:A1264"/>
  </sortState>
  <pageMargins left="0.23622047244094491" right="0.23622047244094491" top="0.78740157480314965" bottom="0.74803149606299213" header="0.31496062992125984" footer="0.31496062992125984"/>
  <pageSetup paperSize="9" scale="63" orientation="landscape" r:id="rId1"/>
  <headerFooter scaleWithDoc="0">
    <oddHeader>&amp;L&amp;G</oddHeader>
    <oddFooter>&amp;R&amp;UAnlage 1a&amp;U
Seite &amp;P</oddFooter>
  </headerFooter>
  <customProperties>
    <customPr name="EpmWorksheetKeyString_GUID" r:id="rId2"/>
  </customProperties>
  <ignoredErrors>
    <ignoredError sqref="E1720 E860" formula="1"/>
  </ignoredErrors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"/>
  <dimension ref="A1:I144"/>
  <sheetViews>
    <sheetView view="pageLayout" zoomScaleNormal="100" workbookViewId="0">
      <selection activeCell="A120" sqref="A120"/>
    </sheetView>
  </sheetViews>
  <sheetFormatPr baseColWidth="10" defaultColWidth="8.140625" defaultRowHeight="12.75" outlineLevelRow="1"/>
  <cols>
    <col min="1" max="1" width="30" customWidth="1"/>
    <col min="2" max="4" width="35.85546875" customWidth="1"/>
    <col min="7" max="7" width="12" customWidth="1"/>
    <col min="9" max="9" width="10.42578125" bestFit="1" customWidth="1"/>
  </cols>
  <sheetData>
    <row r="1" spans="1:9">
      <c r="A1" s="13" t="str">
        <f>'Anlage 1a_Zuschlagszahlungen_NB'!A1</f>
        <v>Förderwirksame KWK-Strommengen und Zuschlagszahlungen für das Kalenderjahr 2024 auf Basis der Prüfungsvermerke der ÜNB:</v>
      </c>
      <c r="D1" s="29"/>
      <c r="G1" s="29"/>
      <c r="I1" s="21"/>
    </row>
    <row r="3" spans="1:9" s="8" customFormat="1">
      <c r="A3" s="13" t="s">
        <v>1723</v>
      </c>
      <c r="D3" s="578">
        <f>'Anlage 1a_Zuschlagszahlungen_NB'!E1</f>
        <v>45915</v>
      </c>
    </row>
    <row r="4" spans="1:9">
      <c r="A4" s="45" t="s">
        <v>1724</v>
      </c>
    </row>
    <row r="5" spans="1:9" ht="13.5" thickBot="1">
      <c r="A5" s="45"/>
    </row>
    <row r="6" spans="1:9">
      <c r="A6" s="542"/>
      <c r="B6" s="273" t="s">
        <v>1725</v>
      </c>
      <c r="C6" s="118" t="s">
        <v>1726</v>
      </c>
      <c r="D6" s="273" t="s">
        <v>1727</v>
      </c>
    </row>
    <row r="7" spans="1:9" ht="94.5" customHeight="1">
      <c r="A7" s="656"/>
      <c r="B7" s="488" t="s">
        <v>1728</v>
      </c>
      <c r="C7" s="488" t="s">
        <v>1729</v>
      </c>
      <c r="D7" s="488" t="s">
        <v>1730</v>
      </c>
    </row>
    <row r="8" spans="1:9" s="8" customFormat="1" ht="13.5" thickBot="1">
      <c r="A8" s="657"/>
      <c r="B8" s="534" t="s">
        <v>1722</v>
      </c>
      <c r="C8" s="534" t="s">
        <v>1722</v>
      </c>
      <c r="D8" s="534" t="s">
        <v>1722</v>
      </c>
      <c r="E8" s="23"/>
      <c r="F8" s="23"/>
      <c r="G8" s="23"/>
      <c r="H8" s="23"/>
      <c r="I8" s="23"/>
    </row>
    <row r="9" spans="1:9">
      <c r="A9" s="1110" t="s">
        <v>85</v>
      </c>
      <c r="B9" s="160">
        <f>SUM(B10:B28)</f>
        <v>-709111.7300000001</v>
      </c>
      <c r="C9" s="160">
        <f>SUM(C10:C28)</f>
        <v>-13420.5</v>
      </c>
      <c r="D9" s="160">
        <f>SUM(D10:D28)</f>
        <v>0</v>
      </c>
      <c r="E9" s="24"/>
      <c r="F9" s="24"/>
      <c r="G9" s="24"/>
      <c r="H9" s="24"/>
      <c r="I9" s="24"/>
    </row>
    <row r="10" spans="1:9" hidden="1" outlineLevel="1">
      <c r="A10" s="1110" t="s">
        <v>114</v>
      </c>
      <c r="B10" s="157">
        <v>-544589.23</v>
      </c>
      <c r="C10" s="157">
        <v>0</v>
      </c>
      <c r="D10" s="480">
        <v>0</v>
      </c>
      <c r="E10" s="24" t="s">
        <v>115</v>
      </c>
      <c r="F10" s="24"/>
      <c r="G10" s="24"/>
      <c r="H10" s="24"/>
      <c r="I10" s="24"/>
    </row>
    <row r="11" spans="1:9" hidden="1" outlineLevel="1">
      <c r="A11" s="1110" t="s">
        <v>138</v>
      </c>
      <c r="B11" s="157">
        <v>-2725.4</v>
      </c>
      <c r="C11" s="157">
        <v>0</v>
      </c>
      <c r="D11" s="480">
        <v>0</v>
      </c>
      <c r="E11" s="24" t="s">
        <v>139</v>
      </c>
      <c r="F11" s="24"/>
      <c r="G11" s="24"/>
      <c r="H11" s="24"/>
      <c r="I11" s="24"/>
    </row>
    <row r="12" spans="1:9" hidden="1" outlineLevel="1">
      <c r="A12" s="1111" t="s">
        <v>144</v>
      </c>
      <c r="B12" s="158">
        <v>-30.53</v>
      </c>
      <c r="C12" s="158">
        <v>0</v>
      </c>
      <c r="D12" s="481">
        <v>0</v>
      </c>
      <c r="E12" s="24" t="s">
        <v>145</v>
      </c>
      <c r="F12" s="24"/>
      <c r="G12" s="24"/>
      <c r="H12" s="24"/>
      <c r="I12" s="24"/>
    </row>
    <row r="13" spans="1:9" hidden="1" outlineLevel="1">
      <c r="A13" s="1111" t="s">
        <v>146</v>
      </c>
      <c r="B13" s="158">
        <v>-13862.38</v>
      </c>
      <c r="C13" s="158">
        <v>0</v>
      </c>
      <c r="D13" s="481">
        <v>0</v>
      </c>
      <c r="E13" s="24" t="s">
        <v>147</v>
      </c>
      <c r="F13" s="24"/>
      <c r="G13" s="24"/>
      <c r="H13" s="24"/>
      <c r="I13" s="24"/>
    </row>
    <row r="14" spans="1:9" hidden="1" outlineLevel="1">
      <c r="A14" s="1111" t="s">
        <v>196</v>
      </c>
      <c r="B14" s="158">
        <v>-5469.11</v>
      </c>
      <c r="C14" s="158">
        <v>0</v>
      </c>
      <c r="D14" s="481">
        <v>0</v>
      </c>
      <c r="E14" s="24" t="s">
        <v>197</v>
      </c>
      <c r="F14" s="24"/>
      <c r="G14" s="24"/>
      <c r="H14" s="24"/>
      <c r="I14" s="24"/>
    </row>
    <row r="15" spans="1:9" hidden="1" outlineLevel="1">
      <c r="A15" s="1111" t="s">
        <v>228</v>
      </c>
      <c r="B15" s="158">
        <v>-61383.93</v>
      </c>
      <c r="C15" s="158">
        <v>-6000</v>
      </c>
      <c r="D15" s="481">
        <v>0</v>
      </c>
      <c r="E15" s="24" t="s">
        <v>229</v>
      </c>
      <c r="F15" s="24"/>
      <c r="G15" s="24"/>
      <c r="H15" s="24"/>
      <c r="I15" s="24"/>
    </row>
    <row r="16" spans="1:9" hidden="1" outlineLevel="1">
      <c r="A16" s="1110" t="s">
        <v>242</v>
      </c>
      <c r="B16" s="157">
        <v>-150.41</v>
      </c>
      <c r="C16" s="157">
        <v>0</v>
      </c>
      <c r="D16" s="480">
        <v>0</v>
      </c>
      <c r="E16" s="24" t="s">
        <v>243</v>
      </c>
      <c r="F16" s="24"/>
      <c r="G16" s="24"/>
      <c r="H16" s="24"/>
      <c r="I16" s="24"/>
    </row>
    <row r="17" spans="1:9" hidden="1" outlineLevel="1">
      <c r="A17" s="1110" t="s">
        <v>268</v>
      </c>
      <c r="B17" s="157">
        <v>-257.72000000000003</v>
      </c>
      <c r="C17" s="157">
        <v>0</v>
      </c>
      <c r="D17" s="480">
        <v>0</v>
      </c>
      <c r="E17" s="24" t="s">
        <v>269</v>
      </c>
      <c r="F17" s="24"/>
      <c r="G17" s="24"/>
      <c r="H17" s="24"/>
      <c r="I17" s="24"/>
    </row>
    <row r="18" spans="1:9" hidden="1" outlineLevel="1">
      <c r="A18" s="1111" t="s">
        <v>308</v>
      </c>
      <c r="B18" s="158">
        <v>-981.71</v>
      </c>
      <c r="C18" s="158">
        <v>0</v>
      </c>
      <c r="D18" s="481">
        <v>0</v>
      </c>
      <c r="E18" s="24" t="s">
        <v>309</v>
      </c>
      <c r="F18" s="24"/>
      <c r="G18" s="24"/>
      <c r="H18" s="24"/>
      <c r="I18" s="24"/>
    </row>
    <row r="19" spans="1:9" hidden="1" outlineLevel="1">
      <c r="A19" s="1111" t="s">
        <v>310</v>
      </c>
      <c r="B19" s="158">
        <v>-244.48000000000002</v>
      </c>
      <c r="C19" s="158">
        <v>-1476</v>
      </c>
      <c r="D19" s="481">
        <v>0</v>
      </c>
      <c r="E19" s="24" t="s">
        <v>311</v>
      </c>
      <c r="F19" s="24"/>
      <c r="G19" s="24"/>
      <c r="H19" s="24"/>
      <c r="I19" s="24"/>
    </row>
    <row r="20" spans="1:9" hidden="1" outlineLevel="1">
      <c r="A20" s="1111" t="s">
        <v>312</v>
      </c>
      <c r="B20" s="158">
        <v>-77.47</v>
      </c>
      <c r="C20" s="158">
        <v>0</v>
      </c>
      <c r="D20" s="481">
        <v>0</v>
      </c>
      <c r="E20" s="24" t="s">
        <v>313</v>
      </c>
      <c r="F20" s="24"/>
      <c r="G20" s="24"/>
      <c r="H20" s="24"/>
      <c r="I20" s="24"/>
    </row>
    <row r="21" spans="1:9" hidden="1" outlineLevel="1">
      <c r="A21" s="1111" t="s">
        <v>326</v>
      </c>
      <c r="B21" s="158">
        <v>-35833.53</v>
      </c>
      <c r="C21" s="158">
        <v>0</v>
      </c>
      <c r="D21" s="481">
        <v>0</v>
      </c>
      <c r="E21" s="24" t="s">
        <v>327</v>
      </c>
      <c r="F21" s="24"/>
      <c r="G21" s="24"/>
      <c r="H21" s="24"/>
      <c r="I21" s="24"/>
    </row>
    <row r="22" spans="1:9" hidden="1" outlineLevel="1">
      <c r="A22" s="1111" t="s">
        <v>344</v>
      </c>
      <c r="B22" s="158">
        <v>-935.15</v>
      </c>
      <c r="C22" s="158">
        <v>0</v>
      </c>
      <c r="D22" s="481">
        <v>0</v>
      </c>
      <c r="E22" s="24" t="s">
        <v>345</v>
      </c>
      <c r="F22" s="24"/>
      <c r="G22" s="24"/>
      <c r="H22" s="24"/>
      <c r="I22" s="24"/>
    </row>
    <row r="23" spans="1:9" hidden="1" outlineLevel="1">
      <c r="A23" s="1111" t="s">
        <v>346</v>
      </c>
      <c r="B23" s="158">
        <v>-5077.2700000000004</v>
      </c>
      <c r="C23" s="158">
        <v>0</v>
      </c>
      <c r="D23" s="481">
        <v>0</v>
      </c>
      <c r="E23" s="24" t="s">
        <v>347</v>
      </c>
      <c r="F23" s="24"/>
      <c r="G23" s="24"/>
      <c r="H23" s="24"/>
      <c r="I23" s="24"/>
    </row>
    <row r="24" spans="1:9" hidden="1" outlineLevel="1">
      <c r="A24" s="1111" t="s">
        <v>352</v>
      </c>
      <c r="B24" s="158">
        <v>-2214.31</v>
      </c>
      <c r="C24" s="158">
        <v>0</v>
      </c>
      <c r="D24" s="481">
        <v>0</v>
      </c>
      <c r="E24" s="24" t="s">
        <v>353</v>
      </c>
      <c r="F24" s="24"/>
      <c r="G24" s="24"/>
      <c r="H24" s="24"/>
      <c r="I24" s="24"/>
    </row>
    <row r="25" spans="1:9" hidden="1" outlineLevel="1">
      <c r="A25" s="1111" t="s">
        <v>362</v>
      </c>
      <c r="B25" s="158">
        <v>-11994.86</v>
      </c>
      <c r="C25" s="158">
        <v>0</v>
      </c>
      <c r="D25" s="481">
        <v>0</v>
      </c>
      <c r="E25" s="24" t="s">
        <v>363</v>
      </c>
      <c r="F25" s="24"/>
      <c r="G25" s="24"/>
      <c r="H25" s="24"/>
      <c r="I25" s="24"/>
    </row>
    <row r="26" spans="1:9" hidden="1" outlineLevel="1">
      <c r="A26" s="1111" t="s">
        <v>380</v>
      </c>
      <c r="B26" s="158">
        <v>0</v>
      </c>
      <c r="C26" s="158">
        <v>55.5</v>
      </c>
      <c r="D26" s="481">
        <v>0</v>
      </c>
      <c r="E26" s="24" t="s">
        <v>381</v>
      </c>
      <c r="F26" s="24"/>
      <c r="G26" s="24"/>
      <c r="H26" s="24"/>
      <c r="I26" s="24"/>
    </row>
    <row r="27" spans="1:9" hidden="1" outlineLevel="1">
      <c r="A27" s="1111" t="s">
        <v>388</v>
      </c>
      <c r="B27" s="158">
        <v>-15663.24</v>
      </c>
      <c r="C27" s="158">
        <v>-6000</v>
      </c>
      <c r="D27" s="481">
        <v>0</v>
      </c>
      <c r="E27" s="24" t="s">
        <v>389</v>
      </c>
      <c r="F27" s="24"/>
      <c r="G27" s="24"/>
      <c r="H27" s="24"/>
      <c r="I27" s="24"/>
    </row>
    <row r="28" spans="1:9" hidden="1" outlineLevel="1">
      <c r="A28" s="1111" t="s">
        <v>398</v>
      </c>
      <c r="B28" s="158">
        <v>-7621</v>
      </c>
      <c r="C28" s="158">
        <v>0</v>
      </c>
      <c r="D28" s="481">
        <v>0</v>
      </c>
      <c r="E28" s="24" t="s">
        <v>399</v>
      </c>
      <c r="F28" s="24"/>
      <c r="G28" s="24"/>
      <c r="H28" s="24"/>
      <c r="I28" s="24"/>
    </row>
    <row r="29" spans="1:9" collapsed="1">
      <c r="A29" s="1111" t="s">
        <v>404</v>
      </c>
      <c r="B29" s="477">
        <f>SUM(B30:B57)</f>
        <v>-1208139.6100000001</v>
      </c>
      <c r="C29" s="160">
        <f>SUM(C30:C57)</f>
        <v>3860.5</v>
      </c>
      <c r="D29" s="160">
        <f>SUM(D30:D57)</f>
        <v>0</v>
      </c>
      <c r="E29" s="24"/>
      <c r="F29" s="24"/>
      <c r="G29" s="24"/>
      <c r="H29" s="24"/>
      <c r="I29" s="24"/>
    </row>
    <row r="30" spans="1:9" hidden="1" outlineLevel="1">
      <c r="A30" s="1111" t="s">
        <v>409</v>
      </c>
      <c r="B30" s="158">
        <v>-1052.83</v>
      </c>
      <c r="C30" s="158">
        <v>0</v>
      </c>
      <c r="D30" s="481">
        <v>0</v>
      </c>
      <c r="E30" s="92" t="s">
        <v>410</v>
      </c>
      <c r="F30" s="24"/>
      <c r="G30" s="24"/>
      <c r="H30" s="24"/>
      <c r="I30" s="24"/>
    </row>
    <row r="31" spans="1:9" hidden="1" outlineLevel="1">
      <c r="A31" s="1111" t="s">
        <v>411</v>
      </c>
      <c r="B31" s="158">
        <v>-1107.77</v>
      </c>
      <c r="C31" s="158">
        <v>0</v>
      </c>
      <c r="D31" s="481">
        <v>0</v>
      </c>
      <c r="E31" s="92" t="s">
        <v>412</v>
      </c>
      <c r="F31" s="24"/>
      <c r="G31" s="24"/>
      <c r="H31" s="24"/>
      <c r="I31" s="24"/>
    </row>
    <row r="32" spans="1:9" hidden="1" outlineLevel="1">
      <c r="A32" s="1111" t="s">
        <v>413</v>
      </c>
      <c r="B32" s="158">
        <v>-139.97</v>
      </c>
      <c r="C32" s="158">
        <v>0</v>
      </c>
      <c r="D32" s="481">
        <v>0</v>
      </c>
      <c r="E32" s="92" t="s">
        <v>414</v>
      </c>
      <c r="F32" s="24"/>
      <c r="G32" s="24"/>
      <c r="H32" s="24"/>
      <c r="I32" s="24"/>
    </row>
    <row r="33" spans="1:9" hidden="1" outlineLevel="1">
      <c r="A33" s="1111" t="s">
        <v>417</v>
      </c>
      <c r="B33" s="158">
        <v>-11507.46</v>
      </c>
      <c r="C33" s="158">
        <v>0</v>
      </c>
      <c r="D33" s="481">
        <v>0</v>
      </c>
      <c r="E33" s="92" t="s">
        <v>418</v>
      </c>
      <c r="F33" s="24"/>
      <c r="G33" s="24"/>
      <c r="H33" s="24"/>
      <c r="I33" s="24"/>
    </row>
    <row r="34" spans="1:9" hidden="1" outlineLevel="1">
      <c r="A34" s="1111" t="s">
        <v>419</v>
      </c>
      <c r="B34" s="158">
        <v>-879246.98</v>
      </c>
      <c r="C34" s="158">
        <v>0</v>
      </c>
      <c r="D34" s="481">
        <v>0</v>
      </c>
      <c r="E34" s="92" t="s">
        <v>420</v>
      </c>
      <c r="F34" s="24"/>
      <c r="G34" s="24"/>
      <c r="H34" s="24"/>
      <c r="I34" s="24"/>
    </row>
    <row r="35" spans="1:9" hidden="1" outlineLevel="1">
      <c r="A35" s="1111" t="s">
        <v>449</v>
      </c>
      <c r="B35" s="158">
        <v>-6189.79</v>
      </c>
      <c r="C35" s="158">
        <v>-4800</v>
      </c>
      <c r="D35" s="481">
        <v>0</v>
      </c>
      <c r="E35" s="92" t="s">
        <v>450</v>
      </c>
      <c r="F35" s="24"/>
      <c r="G35" s="24"/>
      <c r="H35" s="24"/>
      <c r="I35" s="24"/>
    </row>
    <row r="36" spans="1:9" hidden="1" outlineLevel="1">
      <c r="A36" s="1111" t="s">
        <v>459</v>
      </c>
      <c r="B36" s="158">
        <v>-910.55</v>
      </c>
      <c r="C36" s="158">
        <v>0</v>
      </c>
      <c r="D36" s="481">
        <v>0</v>
      </c>
      <c r="E36" s="92" t="s">
        <v>460</v>
      </c>
      <c r="F36" s="24"/>
      <c r="G36" s="24"/>
      <c r="H36" s="24"/>
      <c r="I36" s="24"/>
    </row>
    <row r="37" spans="1:9" hidden="1" outlineLevel="1">
      <c r="A37" s="1111" t="s">
        <v>463</v>
      </c>
      <c r="B37" s="158">
        <v>-185255.92</v>
      </c>
      <c r="C37" s="158">
        <v>0</v>
      </c>
      <c r="D37" s="481">
        <v>0</v>
      </c>
      <c r="E37" s="92" t="s">
        <v>464</v>
      </c>
      <c r="F37" s="24"/>
      <c r="G37" s="24"/>
      <c r="H37" s="24"/>
      <c r="I37" s="24"/>
    </row>
    <row r="38" spans="1:9" hidden="1" outlineLevel="1">
      <c r="A38" s="1111" t="s">
        <v>469</v>
      </c>
      <c r="B38" s="158">
        <v>-1885.5</v>
      </c>
      <c r="C38" s="158">
        <v>5660.5</v>
      </c>
      <c r="D38" s="481">
        <v>0</v>
      </c>
      <c r="E38" s="92" t="s">
        <v>470</v>
      </c>
      <c r="F38" s="24"/>
      <c r="G38" s="24"/>
      <c r="H38" s="24"/>
      <c r="I38" s="24"/>
    </row>
    <row r="39" spans="1:9" hidden="1" outlineLevel="1">
      <c r="A39" s="1111" t="s">
        <v>483</v>
      </c>
      <c r="B39" s="158">
        <v>-1204.32</v>
      </c>
      <c r="C39" s="158">
        <v>0</v>
      </c>
      <c r="D39" s="481">
        <v>0</v>
      </c>
      <c r="E39" s="92" t="s">
        <v>484</v>
      </c>
      <c r="F39" s="24"/>
      <c r="G39" s="24"/>
      <c r="H39" s="24"/>
      <c r="I39" s="24"/>
    </row>
    <row r="40" spans="1:9" hidden="1" outlineLevel="1">
      <c r="A40" s="1111" t="s">
        <v>503</v>
      </c>
      <c r="B40" s="158">
        <v>-1976</v>
      </c>
      <c r="C40" s="158">
        <v>0</v>
      </c>
      <c r="D40" s="481">
        <v>0</v>
      </c>
      <c r="E40" s="92" t="s">
        <v>504</v>
      </c>
      <c r="F40" s="24"/>
      <c r="G40" s="24"/>
      <c r="H40" s="24"/>
      <c r="I40" s="24"/>
    </row>
    <row r="41" spans="1:9" hidden="1" outlineLevel="1">
      <c r="A41" s="1111" t="s">
        <v>505</v>
      </c>
      <c r="B41" s="158">
        <v>-24.39</v>
      </c>
      <c r="C41" s="158">
        <v>0</v>
      </c>
      <c r="D41" s="481">
        <v>0</v>
      </c>
      <c r="E41" s="92" t="s">
        <v>506</v>
      </c>
      <c r="F41" s="24"/>
      <c r="G41" s="24"/>
      <c r="H41" s="24"/>
      <c r="I41" s="24"/>
    </row>
    <row r="42" spans="1:9" hidden="1" outlineLevel="1">
      <c r="A42" s="1111" t="s">
        <v>539</v>
      </c>
      <c r="B42" s="158">
        <v>-215.42</v>
      </c>
      <c r="C42" s="158">
        <v>0</v>
      </c>
      <c r="D42" s="481">
        <v>0</v>
      </c>
      <c r="E42" s="92" t="s">
        <v>540</v>
      </c>
      <c r="F42" s="24"/>
      <c r="G42" s="24"/>
      <c r="H42" s="24"/>
      <c r="I42" s="24"/>
    </row>
    <row r="43" spans="1:9" hidden="1" outlineLevel="1">
      <c r="A43" s="1111" t="s">
        <v>547</v>
      </c>
      <c r="B43" s="158">
        <v>-393.36</v>
      </c>
      <c r="C43" s="158">
        <v>0</v>
      </c>
      <c r="D43" s="481">
        <v>0</v>
      </c>
      <c r="E43" s="92" t="s">
        <v>548</v>
      </c>
      <c r="F43" s="24"/>
      <c r="G43" s="24"/>
      <c r="H43" s="24"/>
      <c r="I43" s="24"/>
    </row>
    <row r="44" spans="1:9" hidden="1" outlineLevel="1">
      <c r="A44" s="1111" t="s">
        <v>573</v>
      </c>
      <c r="B44" s="158">
        <v>-320.51</v>
      </c>
      <c r="C44" s="158">
        <v>0</v>
      </c>
      <c r="D44" s="481">
        <v>0</v>
      </c>
      <c r="E44" s="92" t="s">
        <v>574</v>
      </c>
      <c r="F44" s="24"/>
      <c r="G44" s="24"/>
      <c r="H44" s="24"/>
      <c r="I44" s="24"/>
    </row>
    <row r="45" spans="1:9" hidden="1" outlineLevel="1">
      <c r="A45" s="1111" t="s">
        <v>581</v>
      </c>
      <c r="B45" s="158">
        <v>-0.45</v>
      </c>
      <c r="C45" s="158">
        <v>0</v>
      </c>
      <c r="D45" s="481">
        <v>0</v>
      </c>
      <c r="E45" s="92" t="s">
        <v>582</v>
      </c>
      <c r="F45" s="24"/>
      <c r="G45" s="24"/>
      <c r="H45" s="24"/>
      <c r="I45" s="24"/>
    </row>
    <row r="46" spans="1:9" hidden="1" outlineLevel="1">
      <c r="A46" s="1111" t="s">
        <v>589</v>
      </c>
      <c r="B46" s="158">
        <v>-282.29000000000002</v>
      </c>
      <c r="C46" s="158">
        <v>0</v>
      </c>
      <c r="D46" s="481">
        <v>0</v>
      </c>
      <c r="E46" s="92" t="s">
        <v>590</v>
      </c>
      <c r="F46" s="24"/>
      <c r="G46" s="24"/>
      <c r="H46" s="24"/>
      <c r="I46" s="24"/>
    </row>
    <row r="47" spans="1:9" hidden="1" outlineLevel="1">
      <c r="A47" s="1111" t="s">
        <v>611</v>
      </c>
      <c r="B47" s="158">
        <v>-27.08</v>
      </c>
      <c r="C47" s="158">
        <v>0</v>
      </c>
      <c r="D47" s="481">
        <v>0</v>
      </c>
      <c r="E47" s="92" t="s">
        <v>612</v>
      </c>
      <c r="F47" s="24"/>
      <c r="G47" s="24"/>
      <c r="H47" s="24"/>
      <c r="I47" s="24"/>
    </row>
    <row r="48" spans="1:9" hidden="1" outlineLevel="1">
      <c r="A48" s="1111" t="s">
        <v>660</v>
      </c>
      <c r="B48" s="158">
        <v>0</v>
      </c>
      <c r="C48" s="158">
        <v>3000</v>
      </c>
      <c r="D48" s="481">
        <v>0</v>
      </c>
      <c r="E48" s="92" t="s">
        <v>661</v>
      </c>
      <c r="F48" s="24"/>
      <c r="G48" s="24"/>
      <c r="H48" s="24"/>
      <c r="I48" s="24"/>
    </row>
    <row r="49" spans="1:9" hidden="1" outlineLevel="1">
      <c r="A49" s="1111" t="s">
        <v>662</v>
      </c>
      <c r="B49" s="158">
        <v>-25623</v>
      </c>
      <c r="C49" s="158">
        <v>0</v>
      </c>
      <c r="D49" s="481">
        <v>0</v>
      </c>
      <c r="E49" s="92" t="s">
        <v>663</v>
      </c>
      <c r="F49" s="24"/>
      <c r="G49" s="24"/>
      <c r="H49" s="24"/>
      <c r="I49" s="24"/>
    </row>
    <row r="50" spans="1:9" hidden="1" outlineLevel="1">
      <c r="A50" s="1111" t="s">
        <v>676</v>
      </c>
      <c r="B50" s="158">
        <v>-1078.9100000000001</v>
      </c>
      <c r="C50" s="158">
        <v>0</v>
      </c>
      <c r="D50" s="481">
        <v>0</v>
      </c>
      <c r="E50" s="92" t="s">
        <v>677</v>
      </c>
      <c r="F50" s="24"/>
      <c r="G50" s="24"/>
      <c r="H50" s="24"/>
      <c r="I50" s="24"/>
    </row>
    <row r="51" spans="1:9" hidden="1" outlineLevel="1">
      <c r="A51" s="1111" t="s">
        <v>700</v>
      </c>
      <c r="B51" s="158">
        <v>-409.65</v>
      </c>
      <c r="C51" s="158">
        <v>0</v>
      </c>
      <c r="D51" s="481">
        <v>0</v>
      </c>
      <c r="E51" s="92" t="s">
        <v>701</v>
      </c>
      <c r="F51" s="24"/>
      <c r="G51" s="24"/>
      <c r="H51" s="24"/>
      <c r="I51" s="24"/>
    </row>
    <row r="52" spans="1:9" hidden="1" outlineLevel="1">
      <c r="A52" s="1111" t="s">
        <v>708</v>
      </c>
      <c r="B52" s="158">
        <v>-22323.24</v>
      </c>
      <c r="C52" s="158">
        <v>0</v>
      </c>
      <c r="D52" s="481">
        <v>0</v>
      </c>
      <c r="E52" s="92" t="s">
        <v>709</v>
      </c>
      <c r="F52" s="24"/>
      <c r="G52" s="24"/>
      <c r="H52" s="24"/>
      <c r="I52" s="24"/>
    </row>
    <row r="53" spans="1:9" hidden="1" outlineLevel="1">
      <c r="A53" s="1111" t="s">
        <v>710</v>
      </c>
      <c r="B53" s="158">
        <v>-207.97</v>
      </c>
      <c r="C53" s="158">
        <v>0</v>
      </c>
      <c r="D53" s="481">
        <v>0</v>
      </c>
      <c r="E53" s="92" t="s">
        <v>711</v>
      </c>
      <c r="F53" s="24"/>
      <c r="G53" s="24"/>
      <c r="H53" s="24"/>
      <c r="I53" s="24"/>
    </row>
    <row r="54" spans="1:9" hidden="1" outlineLevel="1">
      <c r="A54" s="1111" t="s">
        <v>734</v>
      </c>
      <c r="B54" s="158">
        <v>-57657.26</v>
      </c>
      <c r="C54" s="158">
        <v>0</v>
      </c>
      <c r="D54" s="481">
        <v>0</v>
      </c>
      <c r="E54" s="92" t="s">
        <v>735</v>
      </c>
      <c r="F54" s="24"/>
      <c r="G54" s="24"/>
      <c r="H54" s="24"/>
      <c r="I54" s="24"/>
    </row>
    <row r="55" spans="1:9" hidden="1" outlineLevel="1">
      <c r="A55" s="1111" t="s">
        <v>742</v>
      </c>
      <c r="B55" s="158">
        <v>-42.12</v>
      </c>
      <c r="C55" s="158">
        <v>0</v>
      </c>
      <c r="D55" s="481">
        <v>0</v>
      </c>
      <c r="E55" s="92" t="s">
        <v>743</v>
      </c>
      <c r="F55" s="24"/>
      <c r="G55" s="24"/>
      <c r="H55" s="24"/>
      <c r="I55" s="24"/>
    </row>
    <row r="56" spans="1:9" hidden="1" outlineLevel="1">
      <c r="A56" s="1111" t="s">
        <v>777</v>
      </c>
      <c r="B56" s="158">
        <v>-429.25</v>
      </c>
      <c r="C56" s="158">
        <v>0</v>
      </c>
      <c r="D56" s="481">
        <v>0</v>
      </c>
      <c r="E56" s="92" t="s">
        <v>778</v>
      </c>
      <c r="F56" s="24"/>
      <c r="G56" s="24"/>
      <c r="H56" s="24"/>
      <c r="I56" s="24"/>
    </row>
    <row r="57" spans="1:9" hidden="1" outlineLevel="1">
      <c r="A57" s="1111" t="s">
        <v>811</v>
      </c>
      <c r="B57" s="158">
        <v>-8627.6200000000008</v>
      </c>
      <c r="C57" s="158">
        <v>0</v>
      </c>
      <c r="D57" s="481">
        <v>0</v>
      </c>
      <c r="E57" s="92" t="s">
        <v>812</v>
      </c>
      <c r="F57" s="24"/>
      <c r="G57" s="24"/>
      <c r="H57" s="24"/>
      <c r="I57" s="24"/>
    </row>
    <row r="58" spans="1:9" collapsed="1">
      <c r="A58" s="1110" t="s">
        <v>855</v>
      </c>
      <c r="B58" s="478">
        <f>SUM(B59:B93)</f>
        <v>-422545.87999999989</v>
      </c>
      <c r="C58" s="162">
        <f>SUM(C59:C93)</f>
        <v>-111253.28</v>
      </c>
      <c r="D58" s="162">
        <f>SUM(D59:D93)</f>
        <v>32521597.740000002</v>
      </c>
      <c r="E58" s="24"/>
      <c r="F58" s="24"/>
      <c r="G58" s="24"/>
      <c r="H58" s="24"/>
      <c r="I58" s="24"/>
    </row>
    <row r="59" spans="1:9" hidden="1" outlineLevel="1">
      <c r="A59" s="870" t="s">
        <v>904</v>
      </c>
      <c r="B59" s="164">
        <v>-390.91</v>
      </c>
      <c r="C59" s="164">
        <v>0</v>
      </c>
      <c r="D59" s="482">
        <v>0</v>
      </c>
      <c r="E59" s="105"/>
      <c r="F59" s="106"/>
      <c r="G59" s="106"/>
      <c r="H59" s="106"/>
      <c r="I59" s="106"/>
    </row>
    <row r="60" spans="1:9" hidden="1" outlineLevel="1">
      <c r="A60" s="870" t="s">
        <v>974</v>
      </c>
      <c r="B60" s="164">
        <v>-264.08</v>
      </c>
      <c r="C60" s="164">
        <v>0</v>
      </c>
      <c r="D60" s="482">
        <v>0</v>
      </c>
      <c r="E60" s="105"/>
      <c r="F60" s="106"/>
      <c r="G60" s="106"/>
      <c r="H60" s="106"/>
      <c r="I60" s="106"/>
    </row>
    <row r="61" spans="1:9" hidden="1" outlineLevel="1">
      <c r="A61" s="870" t="s">
        <v>980</v>
      </c>
      <c r="B61" s="164">
        <v>-108.19</v>
      </c>
      <c r="C61" s="164">
        <v>0</v>
      </c>
      <c r="D61" s="482">
        <v>0</v>
      </c>
      <c r="E61" s="105"/>
      <c r="F61" s="106"/>
      <c r="G61" s="106"/>
      <c r="H61" s="106"/>
      <c r="I61" s="106"/>
    </row>
    <row r="62" spans="1:9" hidden="1" outlineLevel="1">
      <c r="A62" s="870" t="s">
        <v>1028</v>
      </c>
      <c r="B62" s="164">
        <v>-443.06</v>
      </c>
      <c r="C62" s="164">
        <v>0</v>
      </c>
      <c r="D62" s="482">
        <v>0</v>
      </c>
      <c r="E62" s="105"/>
      <c r="F62" s="106"/>
      <c r="G62" s="106"/>
      <c r="H62" s="106"/>
      <c r="I62" s="106"/>
    </row>
    <row r="63" spans="1:9" hidden="1" outlineLevel="1">
      <c r="A63" s="870" t="s">
        <v>1064</v>
      </c>
      <c r="B63" s="164">
        <v>0</v>
      </c>
      <c r="C63" s="164">
        <v>2.72</v>
      </c>
      <c r="D63" s="482">
        <v>0</v>
      </c>
      <c r="E63" s="105"/>
      <c r="F63" s="106"/>
      <c r="G63" s="106"/>
      <c r="H63" s="106"/>
      <c r="I63" s="106"/>
    </row>
    <row r="64" spans="1:9" hidden="1" outlineLevel="1">
      <c r="A64" s="870" t="s">
        <v>1120</v>
      </c>
      <c r="B64" s="164">
        <v>-163.31</v>
      </c>
      <c r="C64" s="164">
        <v>0</v>
      </c>
      <c r="D64" s="482">
        <v>0</v>
      </c>
      <c r="E64" s="105"/>
      <c r="F64" s="106"/>
      <c r="G64" s="106"/>
      <c r="H64" s="106"/>
      <c r="I64" s="106"/>
    </row>
    <row r="65" spans="1:9" hidden="1" outlineLevel="1">
      <c r="A65" s="870" t="s">
        <v>1160</v>
      </c>
      <c r="B65" s="164">
        <v>0</v>
      </c>
      <c r="C65" s="164">
        <v>0</v>
      </c>
      <c r="D65" s="482">
        <v>9090000</v>
      </c>
      <c r="E65" s="105"/>
      <c r="F65" s="106"/>
      <c r="G65" s="106"/>
      <c r="H65" s="106"/>
      <c r="I65" s="106"/>
    </row>
    <row r="66" spans="1:9" hidden="1" outlineLevel="1">
      <c r="A66" s="870" t="s">
        <v>1176</v>
      </c>
      <c r="B66" s="164">
        <v>-893.75</v>
      </c>
      <c r="C66" s="164">
        <v>0</v>
      </c>
      <c r="D66" s="482">
        <v>0</v>
      </c>
      <c r="E66" s="105"/>
      <c r="F66" s="106"/>
      <c r="G66" s="106"/>
      <c r="H66" s="106"/>
      <c r="I66" s="106"/>
    </row>
    <row r="67" spans="1:9" hidden="1" outlineLevel="1">
      <c r="A67" s="870" t="s">
        <v>1196</v>
      </c>
      <c r="B67" s="164">
        <v>-2104.35</v>
      </c>
      <c r="C67" s="164">
        <v>0</v>
      </c>
      <c r="D67" s="482">
        <v>0</v>
      </c>
      <c r="E67" s="105"/>
      <c r="F67" s="106"/>
      <c r="G67" s="106"/>
      <c r="H67" s="106"/>
      <c r="I67" s="106"/>
    </row>
    <row r="68" spans="1:9" hidden="1" outlineLevel="1">
      <c r="A68" s="870" t="s">
        <v>1204</v>
      </c>
      <c r="B68" s="164">
        <v>0</v>
      </c>
      <c r="C68" s="164">
        <v>0</v>
      </c>
      <c r="D68" s="482">
        <v>13577542.23</v>
      </c>
      <c r="E68" s="105"/>
      <c r="F68" s="106"/>
      <c r="G68" s="106"/>
      <c r="H68" s="106"/>
      <c r="I68" s="106"/>
    </row>
    <row r="69" spans="1:9" hidden="1" outlineLevel="1">
      <c r="A69" s="870" t="s">
        <v>1210</v>
      </c>
      <c r="B69" s="164">
        <v>-1281.5899999999999</v>
      </c>
      <c r="C69" s="164">
        <v>0</v>
      </c>
      <c r="D69" s="482">
        <v>0</v>
      </c>
      <c r="E69" s="105"/>
      <c r="F69" s="106"/>
      <c r="G69" s="106"/>
      <c r="H69" s="106"/>
      <c r="I69" s="106"/>
    </row>
    <row r="70" spans="1:9" hidden="1" outlineLevel="1">
      <c r="A70" s="870" t="s">
        <v>1238</v>
      </c>
      <c r="B70" s="164">
        <v>-129391.44</v>
      </c>
      <c r="C70" s="164">
        <v>0</v>
      </c>
      <c r="D70" s="482">
        <v>0</v>
      </c>
      <c r="E70" s="105"/>
      <c r="F70" s="106"/>
      <c r="G70" s="106"/>
      <c r="H70" s="106"/>
      <c r="I70" s="106"/>
    </row>
    <row r="71" spans="1:9" hidden="1" outlineLevel="1">
      <c r="A71" s="870" t="s">
        <v>1250</v>
      </c>
      <c r="B71" s="164">
        <v>-633.02</v>
      </c>
      <c r="C71" s="164">
        <v>0</v>
      </c>
      <c r="D71" s="482">
        <v>0</v>
      </c>
      <c r="E71" s="105"/>
      <c r="F71" s="106"/>
      <c r="G71" s="106"/>
      <c r="H71" s="106"/>
      <c r="I71" s="106"/>
    </row>
    <row r="72" spans="1:9" hidden="1" outlineLevel="1">
      <c r="A72" s="870" t="s">
        <v>1288</v>
      </c>
      <c r="B72" s="164">
        <v>-1619.33</v>
      </c>
      <c r="C72" s="164">
        <v>0</v>
      </c>
      <c r="D72" s="482">
        <v>0</v>
      </c>
      <c r="E72" s="105"/>
      <c r="F72" s="106"/>
      <c r="G72" s="106"/>
      <c r="H72" s="106"/>
      <c r="I72" s="106"/>
    </row>
    <row r="73" spans="1:9" hidden="1" outlineLevel="1">
      <c r="A73" s="870" t="s">
        <v>1320</v>
      </c>
      <c r="B73" s="164">
        <v>-80401.990000000005</v>
      </c>
      <c r="C73" s="164">
        <v>0</v>
      </c>
      <c r="D73" s="482">
        <v>0</v>
      </c>
      <c r="E73" s="105"/>
      <c r="F73" s="106"/>
      <c r="G73" s="106"/>
      <c r="H73" s="106"/>
      <c r="I73" s="106"/>
    </row>
    <row r="74" spans="1:9" hidden="1" outlineLevel="1">
      <c r="A74" s="870" t="s">
        <v>1330</v>
      </c>
      <c r="B74" s="164">
        <v>0</v>
      </c>
      <c r="C74" s="164">
        <v>0</v>
      </c>
      <c r="D74" s="482">
        <v>9852750</v>
      </c>
      <c r="E74" s="105"/>
      <c r="F74" s="106"/>
      <c r="G74" s="106"/>
      <c r="H74" s="106"/>
      <c r="I74" s="106"/>
    </row>
    <row r="75" spans="1:9" hidden="1" outlineLevel="1">
      <c r="A75" s="870" t="s">
        <v>499</v>
      </c>
      <c r="B75" s="164">
        <v>0</v>
      </c>
      <c r="C75" s="164">
        <v>0</v>
      </c>
      <c r="D75" s="482">
        <v>1305.51</v>
      </c>
      <c r="E75" s="105"/>
      <c r="F75" s="106"/>
      <c r="G75" s="106"/>
      <c r="H75" s="106"/>
      <c r="I75" s="106"/>
    </row>
    <row r="76" spans="1:9" hidden="1" outlineLevel="1">
      <c r="A76" s="870" t="s">
        <v>1355</v>
      </c>
      <c r="B76" s="164">
        <v>-1168.1500000000001</v>
      </c>
      <c r="C76" s="164">
        <v>0</v>
      </c>
      <c r="D76" s="482">
        <v>0</v>
      </c>
      <c r="E76" s="105"/>
      <c r="F76" s="106"/>
      <c r="G76" s="106"/>
      <c r="H76" s="106"/>
      <c r="I76" s="106"/>
    </row>
    <row r="77" spans="1:9" hidden="1" outlineLevel="1">
      <c r="A77" s="870" t="s">
        <v>1385</v>
      </c>
      <c r="B77" s="164">
        <v>-435.55</v>
      </c>
      <c r="C77" s="164">
        <v>0</v>
      </c>
      <c r="D77" s="482">
        <v>0</v>
      </c>
      <c r="E77" s="105"/>
      <c r="F77" s="106"/>
      <c r="G77" s="106"/>
      <c r="H77" s="106"/>
      <c r="I77" s="106"/>
    </row>
    <row r="78" spans="1:9" hidden="1" outlineLevel="1">
      <c r="A78" s="870" t="s">
        <v>1397</v>
      </c>
      <c r="B78" s="164">
        <v>-768.69</v>
      </c>
      <c r="C78" s="164">
        <v>0</v>
      </c>
      <c r="D78" s="482">
        <v>0</v>
      </c>
      <c r="E78" s="105"/>
      <c r="F78" s="106"/>
      <c r="G78" s="106"/>
      <c r="H78" s="106"/>
      <c r="I78" s="106"/>
    </row>
    <row r="79" spans="1:9" hidden="1" outlineLevel="1">
      <c r="A79" s="870" t="s">
        <v>1401</v>
      </c>
      <c r="B79" s="164">
        <v>-4482.12</v>
      </c>
      <c r="C79" s="164">
        <v>5490</v>
      </c>
      <c r="D79" s="482">
        <v>0</v>
      </c>
      <c r="E79" s="105"/>
      <c r="F79" s="106"/>
      <c r="G79" s="106"/>
      <c r="H79" s="106"/>
      <c r="I79" s="106"/>
    </row>
    <row r="80" spans="1:9" hidden="1" outlineLevel="1">
      <c r="A80" s="870" t="s">
        <v>1405</v>
      </c>
      <c r="B80" s="164">
        <v>-68401.61</v>
      </c>
      <c r="C80" s="164">
        <v>-116496</v>
      </c>
      <c r="D80" s="482">
        <v>0</v>
      </c>
      <c r="E80" s="105"/>
      <c r="F80" s="106"/>
      <c r="G80" s="106"/>
      <c r="H80" s="106"/>
      <c r="I80" s="106"/>
    </row>
    <row r="81" spans="1:9" hidden="1" outlineLevel="1">
      <c r="A81" s="870" t="s">
        <v>1407</v>
      </c>
      <c r="B81" s="164">
        <v>-39226.32</v>
      </c>
      <c r="C81" s="164">
        <v>0</v>
      </c>
      <c r="D81" s="482">
        <v>0</v>
      </c>
      <c r="E81" s="105"/>
      <c r="F81" s="106"/>
      <c r="G81" s="106"/>
      <c r="H81" s="106"/>
      <c r="I81" s="106"/>
    </row>
    <row r="82" spans="1:9" hidden="1" outlineLevel="1">
      <c r="A82" s="870" t="s">
        <v>509</v>
      </c>
      <c r="B82" s="164">
        <v>-4048.87</v>
      </c>
      <c r="C82" s="164">
        <v>0</v>
      </c>
      <c r="D82" s="482">
        <v>0</v>
      </c>
      <c r="E82" s="105"/>
      <c r="F82" s="106"/>
      <c r="G82" s="106"/>
      <c r="H82" s="106"/>
      <c r="I82" s="106"/>
    </row>
    <row r="83" spans="1:9" hidden="1" outlineLevel="1">
      <c r="A83" s="870" t="s">
        <v>1413</v>
      </c>
      <c r="B83" s="164">
        <v>-41130.35</v>
      </c>
      <c r="C83" s="164">
        <v>0</v>
      </c>
      <c r="D83" s="482">
        <v>0</v>
      </c>
      <c r="E83" s="105"/>
      <c r="F83" s="106"/>
      <c r="G83" s="106"/>
      <c r="H83" s="106"/>
      <c r="I83" s="106"/>
    </row>
    <row r="84" spans="1:9" hidden="1" outlineLevel="1">
      <c r="A84" s="870" t="s">
        <v>388</v>
      </c>
      <c r="B84" s="164">
        <v>-32248.47</v>
      </c>
      <c r="C84" s="164">
        <v>-250</v>
      </c>
      <c r="D84" s="482">
        <v>0</v>
      </c>
      <c r="E84" s="105"/>
      <c r="F84" s="106"/>
      <c r="G84" s="106"/>
      <c r="H84" s="106"/>
      <c r="I84" s="106"/>
    </row>
    <row r="85" spans="1:9" hidden="1" outlineLevel="1">
      <c r="A85" s="870" t="s">
        <v>1417</v>
      </c>
      <c r="B85" s="164">
        <v>-2115.6799999999998</v>
      </c>
      <c r="C85" s="164">
        <v>0</v>
      </c>
      <c r="D85" s="482">
        <v>0</v>
      </c>
      <c r="E85" s="105"/>
      <c r="F85" s="106"/>
      <c r="G85" s="106"/>
      <c r="H85" s="106"/>
      <c r="I85" s="106"/>
    </row>
    <row r="86" spans="1:9" hidden="1" outlineLevel="1">
      <c r="A86" s="870" t="s">
        <v>1419</v>
      </c>
      <c r="B86" s="164">
        <v>-1589.72</v>
      </c>
      <c r="C86" s="164">
        <v>0</v>
      </c>
      <c r="D86" s="482">
        <v>0</v>
      </c>
      <c r="E86" s="105"/>
      <c r="F86" s="106"/>
      <c r="G86" s="106"/>
      <c r="H86" s="106"/>
      <c r="I86" s="106"/>
    </row>
    <row r="87" spans="1:9" hidden="1" outlineLevel="1">
      <c r="A87" s="870" t="s">
        <v>1423</v>
      </c>
      <c r="B87" s="164">
        <v>-2106.4</v>
      </c>
      <c r="C87" s="164">
        <v>0</v>
      </c>
      <c r="D87" s="482">
        <v>0</v>
      </c>
      <c r="E87" s="105"/>
      <c r="F87" s="106"/>
      <c r="G87" s="106"/>
      <c r="H87" s="106"/>
      <c r="I87" s="106"/>
    </row>
    <row r="88" spans="1:9" hidden="1" outlineLevel="1">
      <c r="A88" s="870" t="s">
        <v>1429</v>
      </c>
      <c r="B88" s="164">
        <v>-4.24</v>
      </c>
      <c r="C88" s="164">
        <v>0</v>
      </c>
      <c r="D88" s="482">
        <v>0</v>
      </c>
      <c r="E88" s="105"/>
      <c r="F88" s="106"/>
      <c r="G88" s="106"/>
      <c r="H88" s="106"/>
      <c r="I88" s="106"/>
    </row>
    <row r="89" spans="1:9" hidden="1" outlineLevel="1">
      <c r="A89" s="870" t="s">
        <v>469</v>
      </c>
      <c r="B89" s="164">
        <v>-1345.89</v>
      </c>
      <c r="C89" s="164">
        <v>0</v>
      </c>
      <c r="D89" s="482">
        <v>0</v>
      </c>
      <c r="E89" s="105"/>
      <c r="F89" s="106"/>
      <c r="G89" s="106"/>
      <c r="H89" s="106"/>
      <c r="I89" s="106"/>
    </row>
    <row r="90" spans="1:9" hidden="1" outlineLevel="1">
      <c r="A90" s="870" t="s">
        <v>1438</v>
      </c>
      <c r="B90" s="164">
        <v>-308.62</v>
      </c>
      <c r="C90" s="164">
        <v>0</v>
      </c>
      <c r="D90" s="482">
        <v>0</v>
      </c>
      <c r="E90" s="105"/>
      <c r="F90" s="106"/>
      <c r="G90" s="106"/>
      <c r="H90" s="106"/>
      <c r="I90" s="106"/>
    </row>
    <row r="91" spans="1:9" hidden="1" outlineLevel="1">
      <c r="A91" s="870" t="s">
        <v>1456</v>
      </c>
      <c r="B91" s="164">
        <v>-4927.8</v>
      </c>
      <c r="C91" s="164">
        <v>0</v>
      </c>
      <c r="D91" s="482">
        <v>0</v>
      </c>
      <c r="E91" s="105"/>
      <c r="F91" s="106"/>
      <c r="G91" s="106"/>
      <c r="H91" s="106"/>
      <c r="I91" s="106"/>
    </row>
    <row r="92" spans="1:9" hidden="1" outlineLevel="1">
      <c r="A92" s="870" t="s">
        <v>1462</v>
      </c>
      <c r="B92" s="164">
        <v>-220.1</v>
      </c>
      <c r="C92" s="164">
        <v>0</v>
      </c>
      <c r="D92" s="482">
        <v>0</v>
      </c>
      <c r="E92" s="105"/>
      <c r="F92" s="106"/>
      <c r="G92" s="106"/>
      <c r="H92" s="106"/>
      <c r="I92" s="106"/>
    </row>
    <row r="93" spans="1:9" hidden="1" outlineLevel="1">
      <c r="A93" s="870" t="s">
        <v>724</v>
      </c>
      <c r="B93" s="164">
        <v>-322.27999999999997</v>
      </c>
      <c r="C93" s="164">
        <v>0</v>
      </c>
      <c r="D93" s="482">
        <v>0</v>
      </c>
      <c r="E93" s="105"/>
      <c r="F93" s="106"/>
      <c r="G93" s="106"/>
      <c r="H93" s="106"/>
      <c r="I93" s="106"/>
    </row>
    <row r="94" spans="1:9" ht="13.5" collapsed="1" thickBot="1">
      <c r="A94" s="1111" t="s">
        <v>1486</v>
      </c>
      <c r="B94" s="479">
        <f>SUM(B95:B116)</f>
        <v>-206173.83000000002</v>
      </c>
      <c r="C94" s="479">
        <f>SUM(C95:C116)</f>
        <v>0</v>
      </c>
      <c r="D94" s="483">
        <f>SUM(D95:D116)</f>
        <v>0</v>
      </c>
      <c r="E94" s="24"/>
      <c r="F94" s="24"/>
      <c r="G94" s="24"/>
      <c r="H94" s="24"/>
      <c r="I94" s="24"/>
    </row>
    <row r="95" spans="1:9" hidden="1" outlineLevel="1">
      <c r="A95" s="870" t="s">
        <v>1493</v>
      </c>
      <c r="B95" s="164">
        <v>-207.26</v>
      </c>
      <c r="C95" s="164">
        <v>0</v>
      </c>
      <c r="D95" s="165">
        <v>0</v>
      </c>
      <c r="E95" s="24" t="s">
        <v>1494</v>
      </c>
      <c r="F95" s="24"/>
      <c r="G95" s="24"/>
      <c r="H95" s="24"/>
      <c r="I95" s="24"/>
    </row>
    <row r="96" spans="1:9" hidden="1" outlineLevel="1">
      <c r="A96" s="870" t="s">
        <v>1501</v>
      </c>
      <c r="B96" s="164">
        <v>-66.48</v>
      </c>
      <c r="C96" s="164">
        <v>0</v>
      </c>
      <c r="D96" s="165">
        <v>0</v>
      </c>
      <c r="E96" s="24" t="s">
        <v>1502</v>
      </c>
      <c r="F96" s="24"/>
      <c r="G96" s="24"/>
      <c r="H96" s="24"/>
      <c r="I96" s="24"/>
    </row>
    <row r="97" spans="1:9" hidden="1" outlineLevel="1">
      <c r="A97" s="870" t="s">
        <v>1529</v>
      </c>
      <c r="B97" s="164">
        <v>-24.68</v>
      </c>
      <c r="C97" s="164">
        <v>0</v>
      </c>
      <c r="D97" s="165">
        <v>0</v>
      </c>
      <c r="E97" s="24" t="s">
        <v>1530</v>
      </c>
      <c r="F97" s="24"/>
      <c r="G97" s="24"/>
      <c r="H97" s="24"/>
      <c r="I97" s="24"/>
    </row>
    <row r="98" spans="1:9" hidden="1" outlineLevel="1">
      <c r="A98" s="870" t="s">
        <v>1535</v>
      </c>
      <c r="B98" s="164">
        <v>-484.44</v>
      </c>
      <c r="C98" s="164">
        <v>0</v>
      </c>
      <c r="D98" s="165">
        <v>0</v>
      </c>
      <c r="E98" s="24" t="s">
        <v>1536</v>
      </c>
      <c r="F98" s="24"/>
      <c r="G98" s="24"/>
      <c r="H98" s="24"/>
      <c r="I98" s="24"/>
    </row>
    <row r="99" spans="1:9" hidden="1" outlineLevel="1">
      <c r="A99" s="870" t="s">
        <v>86</v>
      </c>
      <c r="B99" s="164">
        <v>-3391.41</v>
      </c>
      <c r="C99" s="164">
        <v>0</v>
      </c>
      <c r="D99" s="165">
        <v>0</v>
      </c>
      <c r="E99" s="24" t="s">
        <v>87</v>
      </c>
      <c r="F99" s="24"/>
      <c r="G99" s="24"/>
      <c r="H99" s="24"/>
      <c r="I99" s="24"/>
    </row>
    <row r="100" spans="1:9" hidden="1" outlineLevel="1">
      <c r="A100" s="870" t="s">
        <v>1413</v>
      </c>
      <c r="B100" s="164">
        <v>-1941.82</v>
      </c>
      <c r="C100" s="164">
        <v>0</v>
      </c>
      <c r="D100" s="165">
        <v>0</v>
      </c>
      <c r="E100" s="24" t="s">
        <v>1414</v>
      </c>
      <c r="F100" s="24"/>
      <c r="G100" s="24"/>
      <c r="H100" s="24"/>
      <c r="I100" s="24"/>
    </row>
    <row r="101" spans="1:9" hidden="1" outlineLevel="1">
      <c r="A101" s="870" t="s">
        <v>613</v>
      </c>
      <c r="B101" s="164">
        <v>-7680.2</v>
      </c>
      <c r="C101" s="164">
        <v>0</v>
      </c>
      <c r="D101" s="165">
        <v>0</v>
      </c>
      <c r="E101" s="24" t="s">
        <v>614</v>
      </c>
      <c r="F101" s="24"/>
      <c r="G101" s="24"/>
      <c r="H101" s="24"/>
      <c r="I101" s="24"/>
    </row>
    <row r="102" spans="1:9" hidden="1" outlineLevel="1">
      <c r="A102" s="870" t="s">
        <v>1569</v>
      </c>
      <c r="B102" s="164">
        <v>-1109.25</v>
      </c>
      <c r="C102" s="164">
        <v>0</v>
      </c>
      <c r="D102" s="165">
        <v>0</v>
      </c>
      <c r="E102" s="24" t="s">
        <v>1570</v>
      </c>
      <c r="F102" s="24"/>
      <c r="G102" s="24"/>
      <c r="H102" s="24"/>
      <c r="I102" s="24"/>
    </row>
    <row r="103" spans="1:9" hidden="1" outlineLevel="1">
      <c r="A103" s="870" t="s">
        <v>1579</v>
      </c>
      <c r="B103" s="164">
        <v>-1717.83</v>
      </c>
      <c r="C103" s="164">
        <v>0</v>
      </c>
      <c r="D103" s="165">
        <v>0</v>
      </c>
      <c r="E103" s="24" t="s">
        <v>1580</v>
      </c>
      <c r="F103" s="24"/>
      <c r="G103" s="24"/>
      <c r="H103" s="24"/>
      <c r="I103" s="24"/>
    </row>
    <row r="104" spans="1:9" hidden="1" outlineLevel="1">
      <c r="A104" s="870" t="s">
        <v>1581</v>
      </c>
      <c r="B104" s="164">
        <v>-148.44999999999999</v>
      </c>
      <c r="C104" s="164">
        <v>0</v>
      </c>
      <c r="D104" s="165">
        <v>0</v>
      </c>
      <c r="E104" s="24" t="s">
        <v>1582</v>
      </c>
      <c r="F104" s="24"/>
      <c r="G104" s="24"/>
      <c r="H104" s="24"/>
      <c r="I104" s="24"/>
    </row>
    <row r="105" spans="1:9" hidden="1" outlineLevel="1">
      <c r="A105" s="870" t="s">
        <v>1591</v>
      </c>
      <c r="B105" s="164">
        <v>-777.76</v>
      </c>
      <c r="C105" s="164">
        <v>0</v>
      </c>
      <c r="D105" s="165">
        <v>0</v>
      </c>
      <c r="E105" s="24" t="s">
        <v>1592</v>
      </c>
      <c r="F105" s="24"/>
      <c r="G105" s="24"/>
      <c r="H105" s="24"/>
      <c r="I105" s="24"/>
    </row>
    <row r="106" spans="1:9" hidden="1" outlineLevel="1">
      <c r="A106" s="870" t="s">
        <v>1605</v>
      </c>
      <c r="B106" s="164">
        <v>-184.29</v>
      </c>
      <c r="C106" s="164">
        <v>0</v>
      </c>
      <c r="D106" s="165">
        <v>0</v>
      </c>
      <c r="E106" s="24" t="s">
        <v>1606</v>
      </c>
      <c r="F106" s="24"/>
      <c r="G106" s="24"/>
      <c r="H106" s="24"/>
      <c r="I106" s="24"/>
    </row>
    <row r="107" spans="1:9" hidden="1" outlineLevel="1">
      <c r="A107" s="870" t="s">
        <v>1619</v>
      </c>
      <c r="B107" s="164">
        <v>-294</v>
      </c>
      <c r="C107" s="164">
        <v>0</v>
      </c>
      <c r="D107" s="165">
        <v>0</v>
      </c>
      <c r="E107" s="24" t="s">
        <v>1620</v>
      </c>
      <c r="F107" s="24"/>
      <c r="G107" s="24"/>
      <c r="H107" s="24"/>
      <c r="I107" s="24"/>
    </row>
    <row r="108" spans="1:9" hidden="1" outlineLevel="1">
      <c r="A108" s="870" t="s">
        <v>1633</v>
      </c>
      <c r="B108" s="164">
        <v>-160734.53</v>
      </c>
      <c r="C108" s="164">
        <v>0</v>
      </c>
      <c r="D108" s="165">
        <v>0</v>
      </c>
      <c r="E108" s="24" t="s">
        <v>1634</v>
      </c>
      <c r="F108" s="24"/>
      <c r="G108" s="24"/>
      <c r="H108" s="24"/>
      <c r="I108" s="24"/>
    </row>
    <row r="109" spans="1:9" hidden="1" outlineLevel="1">
      <c r="A109" s="870" t="s">
        <v>1661</v>
      </c>
      <c r="B109" s="164">
        <v>-18134.54</v>
      </c>
      <c r="C109" s="164">
        <v>0</v>
      </c>
      <c r="D109" s="165">
        <v>0</v>
      </c>
      <c r="E109" s="24" t="s">
        <v>1662</v>
      </c>
      <c r="F109" s="24"/>
      <c r="G109" s="24"/>
      <c r="H109" s="24"/>
      <c r="I109" s="24"/>
    </row>
    <row r="110" spans="1:9" hidden="1" outlineLevel="1">
      <c r="A110" s="870" t="s">
        <v>1663</v>
      </c>
      <c r="B110" s="164">
        <v>-2388.3200000000002</v>
      </c>
      <c r="C110" s="164">
        <v>0</v>
      </c>
      <c r="D110" s="165">
        <v>0</v>
      </c>
      <c r="E110" s="24" t="s">
        <v>1664</v>
      </c>
      <c r="F110" s="24"/>
      <c r="G110" s="24"/>
      <c r="H110" s="24"/>
      <c r="I110" s="24"/>
    </row>
    <row r="111" spans="1:9" hidden="1" outlineLevel="1">
      <c r="A111" s="870" t="s">
        <v>1671</v>
      </c>
      <c r="B111" s="164">
        <v>-747.99</v>
      </c>
      <c r="C111" s="164">
        <v>0</v>
      </c>
      <c r="D111" s="165">
        <v>0</v>
      </c>
      <c r="E111" s="24" t="s">
        <v>1672</v>
      </c>
      <c r="F111" s="24"/>
      <c r="G111" s="24"/>
      <c r="H111" s="24"/>
      <c r="I111" s="24"/>
    </row>
    <row r="112" spans="1:9" hidden="1" outlineLevel="1">
      <c r="A112" s="870" t="s">
        <v>1681</v>
      </c>
      <c r="B112" s="164">
        <v>-3581.41</v>
      </c>
      <c r="C112" s="164">
        <v>0</v>
      </c>
      <c r="D112" s="165">
        <v>0</v>
      </c>
      <c r="E112" s="24" t="s">
        <v>1682</v>
      </c>
      <c r="F112" s="24"/>
      <c r="G112" s="24"/>
      <c r="H112" s="24"/>
      <c r="I112" s="24"/>
    </row>
    <row r="113" spans="1:9" hidden="1" outlineLevel="1">
      <c r="A113" s="870" t="s">
        <v>1699</v>
      </c>
      <c r="B113" s="164">
        <v>-1422</v>
      </c>
      <c r="C113" s="164">
        <v>0</v>
      </c>
      <c r="D113" s="165">
        <v>0</v>
      </c>
      <c r="E113" s="24" t="s">
        <v>1700</v>
      </c>
      <c r="F113" s="24"/>
      <c r="G113" s="24"/>
      <c r="H113" s="24"/>
      <c r="I113" s="24"/>
    </row>
    <row r="114" spans="1:9" hidden="1" outlineLevel="1">
      <c r="A114" s="870" t="s">
        <v>449</v>
      </c>
      <c r="B114" s="164">
        <v>-13.78</v>
      </c>
      <c r="C114" s="164">
        <v>0</v>
      </c>
      <c r="D114" s="165">
        <v>0</v>
      </c>
      <c r="E114" s="24" t="s">
        <v>450</v>
      </c>
      <c r="F114" s="24"/>
      <c r="G114" s="24"/>
      <c r="H114" s="24"/>
      <c r="I114" s="24"/>
    </row>
    <row r="115" spans="1:9" hidden="1" outlineLevel="1">
      <c r="A115" s="870" t="s">
        <v>1701</v>
      </c>
      <c r="B115" s="164">
        <v>-386.35</v>
      </c>
      <c r="C115" s="164">
        <v>0</v>
      </c>
      <c r="D115" s="165">
        <v>0</v>
      </c>
      <c r="E115" s="24" t="s">
        <v>1702</v>
      </c>
      <c r="F115" s="24"/>
      <c r="G115" s="24"/>
      <c r="H115" s="24"/>
      <c r="I115" s="24"/>
    </row>
    <row r="116" spans="1:9" ht="13.5" hidden="1" outlineLevel="1" thickBot="1">
      <c r="A116" s="870" t="s">
        <v>1705</v>
      </c>
      <c r="B116" s="164">
        <v>-737.04</v>
      </c>
      <c r="C116" s="164">
        <v>0</v>
      </c>
      <c r="D116" s="165">
        <v>0</v>
      </c>
      <c r="E116" s="24" t="s">
        <v>1706</v>
      </c>
      <c r="F116" s="24"/>
      <c r="G116" s="24"/>
      <c r="H116" s="24"/>
      <c r="I116" s="24"/>
    </row>
    <row r="117" spans="1:9" ht="13.5" collapsed="1" thickBot="1">
      <c r="A117" s="1113" t="s">
        <v>1715</v>
      </c>
      <c r="B117" s="357">
        <f>B9+B29+B58+B94</f>
        <v>-2545971.0500000003</v>
      </c>
      <c r="C117" s="357">
        <f>C9+C29+C58+C94</f>
        <v>-120813.28</v>
      </c>
      <c r="D117" s="358">
        <f>D9+D29+D58+D94</f>
        <v>32521597.740000002</v>
      </c>
      <c r="E117" s="24"/>
      <c r="F117" s="24"/>
      <c r="G117" s="24"/>
      <c r="H117" s="24"/>
      <c r="I117" s="24"/>
    </row>
    <row r="118" spans="1:9">
      <c r="A118" s="22"/>
      <c r="B118" s="23"/>
      <c r="E118" s="23"/>
      <c r="F118" s="23"/>
      <c r="G118" s="24"/>
      <c r="H118" s="23"/>
      <c r="I118" s="24"/>
    </row>
    <row r="119" spans="1:9">
      <c r="A119" s="22"/>
      <c r="B119" s="23"/>
      <c r="C119" s="23"/>
      <c r="D119" s="23"/>
      <c r="E119" s="23"/>
      <c r="F119" s="23"/>
      <c r="G119" s="24"/>
    </row>
    <row r="120" spans="1:9">
      <c r="A120" s="13"/>
      <c r="E120" s="23"/>
      <c r="F120" s="23"/>
      <c r="G120" s="23"/>
      <c r="H120" s="23"/>
      <c r="I120" s="23"/>
    </row>
    <row r="121" spans="1:9">
      <c r="A121" s="13"/>
      <c r="E121" s="23"/>
      <c r="F121" s="23"/>
      <c r="G121" s="23"/>
      <c r="H121" s="23"/>
      <c r="I121" s="23"/>
    </row>
    <row r="122" spans="1:9">
      <c r="E122" s="23"/>
      <c r="F122" s="23"/>
      <c r="G122" s="23"/>
      <c r="H122" s="23"/>
      <c r="I122" s="23"/>
    </row>
    <row r="123" spans="1:9">
      <c r="A123" s="19"/>
      <c r="E123" s="23"/>
      <c r="F123" s="23"/>
      <c r="G123" s="23"/>
      <c r="H123" s="23"/>
      <c r="I123" s="23"/>
    </row>
    <row r="124" spans="1:9">
      <c r="A124" s="19"/>
      <c r="E124" s="23"/>
      <c r="F124" s="23"/>
      <c r="G124" s="23"/>
      <c r="H124" s="23"/>
      <c r="I124" s="23"/>
    </row>
    <row r="125" spans="1:9">
      <c r="A125" s="19"/>
      <c r="E125" s="23"/>
      <c r="F125" s="23"/>
      <c r="G125" s="23"/>
      <c r="H125" s="23"/>
      <c r="I125" s="23"/>
    </row>
    <row r="126" spans="1:9">
      <c r="A126" s="8"/>
      <c r="E126" s="23"/>
      <c r="F126" s="23"/>
      <c r="G126" s="23"/>
      <c r="H126" s="23"/>
      <c r="I126" s="23"/>
    </row>
    <row r="127" spans="1:9">
      <c r="A127" s="16"/>
      <c r="E127" s="23"/>
      <c r="F127" s="23"/>
      <c r="G127" s="23"/>
      <c r="H127" s="23"/>
      <c r="I127" s="23"/>
    </row>
    <row r="128" spans="1:9">
      <c r="A128" s="8"/>
      <c r="E128" s="23"/>
      <c r="F128" s="23"/>
      <c r="G128" s="23"/>
      <c r="H128" s="23"/>
      <c r="I128" s="23"/>
    </row>
    <row r="129" spans="1:9">
      <c r="A129" s="2"/>
      <c r="E129" s="23"/>
      <c r="F129" s="23"/>
      <c r="G129" s="23"/>
      <c r="H129" s="23"/>
      <c r="I129" s="23"/>
    </row>
    <row r="130" spans="1:9">
      <c r="A130" s="22"/>
      <c r="B130" s="23"/>
      <c r="E130" s="23"/>
      <c r="F130" s="23"/>
      <c r="G130" s="23"/>
      <c r="H130" s="23"/>
      <c r="I130" s="23"/>
    </row>
    <row r="131" spans="1:9">
      <c r="A131" s="22"/>
      <c r="B131" s="23"/>
      <c r="C131" s="23"/>
      <c r="D131" s="23"/>
      <c r="E131" s="23"/>
      <c r="F131" s="23"/>
      <c r="G131" s="24"/>
    </row>
    <row r="132" spans="1:9">
      <c r="A132" s="13"/>
      <c r="C132" s="23"/>
      <c r="D132" s="23"/>
      <c r="E132" s="23"/>
      <c r="F132" s="23"/>
      <c r="G132" s="24"/>
    </row>
    <row r="133" spans="1:9">
      <c r="A133" s="45"/>
      <c r="C133" s="25"/>
      <c r="D133" s="25"/>
      <c r="E133" s="25"/>
      <c r="F133" s="25"/>
      <c r="G133" s="25"/>
    </row>
    <row r="134" spans="1:9">
      <c r="C134" s="51"/>
      <c r="D134" s="23"/>
      <c r="E134" s="23"/>
      <c r="F134" s="23"/>
      <c r="G134" s="24"/>
    </row>
    <row r="135" spans="1:9">
      <c r="A135" s="19"/>
      <c r="C135" s="52"/>
      <c r="D135" s="23"/>
      <c r="E135" s="23"/>
      <c r="F135" s="23"/>
      <c r="G135" s="24"/>
    </row>
    <row r="136" spans="1:9">
      <c r="A136" s="19"/>
      <c r="C136" s="52"/>
      <c r="D136" s="23"/>
      <c r="E136" s="23"/>
      <c r="F136" s="23"/>
      <c r="G136" s="24"/>
    </row>
    <row r="137" spans="1:9">
      <c r="A137" s="19"/>
      <c r="C137" s="52"/>
      <c r="D137" s="23"/>
      <c r="E137" s="23"/>
      <c r="F137" s="23"/>
      <c r="G137" s="24"/>
    </row>
    <row r="138" spans="1:9">
      <c r="A138" s="8"/>
      <c r="C138" s="52"/>
      <c r="D138" s="3"/>
      <c r="E138" s="3"/>
      <c r="F138" s="3"/>
      <c r="G138" s="3"/>
    </row>
    <row r="139" spans="1:9">
      <c r="A139" s="16"/>
      <c r="C139" s="52"/>
      <c r="D139" s="25"/>
      <c r="E139" s="25"/>
      <c r="F139" s="25"/>
      <c r="G139" s="25"/>
    </row>
    <row r="140" spans="1:9">
      <c r="A140" s="8"/>
      <c r="C140" s="52"/>
      <c r="D140" s="25"/>
      <c r="E140" s="25"/>
      <c r="F140" s="25"/>
      <c r="G140" s="25"/>
    </row>
    <row r="141" spans="1:9">
      <c r="A141" s="2"/>
      <c r="C141" s="53"/>
      <c r="D141" s="26"/>
      <c r="E141" s="26"/>
      <c r="F141" s="26"/>
      <c r="G141" s="25"/>
    </row>
    <row r="142" spans="1:9">
      <c r="B142" s="25"/>
      <c r="C142" s="25"/>
      <c r="D142" s="25"/>
      <c r="E142" s="25"/>
      <c r="F142" s="25"/>
      <c r="G142" s="25"/>
    </row>
    <row r="143" spans="1:9">
      <c r="A143" s="2"/>
      <c r="B143" s="2"/>
      <c r="C143" s="2"/>
      <c r="D143" s="2"/>
      <c r="E143" s="2"/>
      <c r="F143" s="2"/>
      <c r="G143" s="2"/>
    </row>
    <row r="144" spans="1:9">
      <c r="A144" s="22"/>
      <c r="B144" s="23"/>
      <c r="C144" s="23"/>
      <c r="D144" s="23"/>
      <c r="E144" s="23"/>
      <c r="F144" s="23"/>
      <c r="G144" s="24"/>
    </row>
  </sheetData>
  <sortState xmlns:xlrd2="http://schemas.microsoft.com/office/spreadsheetml/2017/richdata2" ref="A30:E57">
    <sortCondition ref="A30:A57"/>
  </sortState>
  <pageMargins left="0.98425196850393704" right="0.78740157480314965" top="1.1023622047244095" bottom="0.74803149606299213" header="0.31496062992125984" footer="0.31496062992125984"/>
  <pageSetup paperSize="9" scale="91" orientation="landscape" r:id="rId1"/>
  <headerFooter scaleWithDoc="0">
    <oddHeader>&amp;L&amp;G</oddHeader>
    <oddFooter>&amp;R&amp;UAnlage 1b&amp;U
Seite 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48649-FDE4-470D-BC27-12B9031A845C}">
  <sheetPr codeName="Tabelle3">
    <pageSetUpPr fitToPage="1"/>
  </sheetPr>
  <dimension ref="A2:Q697"/>
  <sheetViews>
    <sheetView view="pageLayout" zoomScaleNormal="100" workbookViewId="0">
      <selection activeCell="A3" sqref="A3:L3"/>
    </sheetView>
  </sheetViews>
  <sheetFormatPr baseColWidth="10" defaultColWidth="8.85546875" defaultRowHeight="12.75" outlineLevelRow="1"/>
  <cols>
    <col min="1" max="1" width="20" customWidth="1"/>
    <col min="2" max="2" width="7.140625" customWidth="1"/>
    <col min="3" max="3" width="8.5703125" customWidth="1"/>
    <col min="4" max="4" width="14.42578125" style="185" customWidth="1"/>
    <col min="5" max="7" width="13.140625" style="185" customWidth="1"/>
    <col min="8" max="8" width="17.85546875" style="185" customWidth="1"/>
    <col min="9" max="9" width="13.140625" style="185" customWidth="1"/>
    <col min="10" max="10" width="10.85546875" style="185" customWidth="1"/>
    <col min="11" max="11" width="12.42578125" style="185" customWidth="1"/>
    <col min="12" max="12" width="15" style="185" bestFit="1" customWidth="1"/>
    <col min="13" max="13" width="11.140625" customWidth="1"/>
    <col min="14" max="14" width="69.42578125" customWidth="1"/>
    <col min="15" max="15" width="25.5703125" customWidth="1"/>
  </cols>
  <sheetData>
    <row r="2" spans="1:15" s="8" customFormat="1">
      <c r="A2" s="11" t="str">
        <f>"Nachträgliche Korrekturen nach § 20 Abs. 1 EnFG auf Basis der Prüfungsvermerke der ÜNB für die Abrechnung des Kalenderjahres "&amp;Hinweise!$B$3</f>
        <v>Nachträgliche Korrekturen nach § 20 Abs. 1 EnFG auf Basis der Prüfungsvermerke der ÜNB für die Abrechnung des Kalenderjahres 2024</v>
      </c>
      <c r="B2" s="2"/>
      <c r="C2" s="2"/>
      <c r="D2" s="187"/>
      <c r="E2" s="187"/>
      <c r="F2" s="187"/>
      <c r="G2" s="187"/>
      <c r="H2" s="187"/>
      <c r="I2" s="187"/>
      <c r="J2" s="187"/>
      <c r="K2" s="187"/>
      <c r="L2" s="626">
        <f>'Anlage 1a_Zuschlagszahlungen_NB'!E1</f>
        <v>45915</v>
      </c>
    </row>
    <row r="3" spans="1:15" s="8" customFormat="1">
      <c r="A3" s="1152" t="s">
        <v>1731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2"/>
      <c r="L3" s="1152"/>
    </row>
    <row r="4" spans="1:15">
      <c r="A4" s="414" t="s">
        <v>1732</v>
      </c>
      <c r="B4" s="2"/>
      <c r="C4" s="2"/>
      <c r="D4" s="187"/>
      <c r="E4" s="187"/>
      <c r="F4" s="187"/>
      <c r="G4" s="187"/>
      <c r="H4" s="187"/>
      <c r="I4" s="187"/>
      <c r="J4" s="187"/>
      <c r="K4" s="187"/>
      <c r="L4" s="186"/>
    </row>
    <row r="5" spans="1:15">
      <c r="A5" s="16"/>
      <c r="B5" s="2"/>
      <c r="C5" s="2"/>
      <c r="D5" s="187"/>
      <c r="E5" s="187"/>
      <c r="F5" s="187"/>
      <c r="G5" s="187"/>
      <c r="H5" s="187"/>
      <c r="I5" s="187"/>
      <c r="J5" s="187"/>
      <c r="K5" s="187"/>
      <c r="L5" s="186"/>
    </row>
    <row r="6" spans="1:15">
      <c r="A6" s="16"/>
      <c r="B6" s="2"/>
      <c r="C6" s="2"/>
      <c r="D6" s="187"/>
      <c r="E6" s="187"/>
      <c r="F6" s="187"/>
      <c r="G6" s="187"/>
      <c r="H6" s="187"/>
      <c r="I6" s="187"/>
      <c r="J6" s="187"/>
      <c r="K6" s="187"/>
      <c r="L6" s="186"/>
    </row>
    <row r="7" spans="1:15" ht="13.5" thickBot="1">
      <c r="A7" s="11"/>
      <c r="B7" s="2"/>
      <c r="C7" s="2"/>
      <c r="D7" s="187"/>
      <c r="E7" s="187"/>
      <c r="F7" s="187"/>
      <c r="G7" s="187"/>
      <c r="H7" s="187"/>
      <c r="I7" s="187"/>
      <c r="J7" s="187"/>
      <c r="K7" s="187"/>
      <c r="L7" s="186"/>
    </row>
    <row r="8" spans="1:15" ht="43.5" customHeight="1" thickBot="1">
      <c r="A8" s="8"/>
      <c r="B8" s="2"/>
      <c r="C8" s="2"/>
      <c r="D8" s="1153" t="s">
        <v>1733</v>
      </c>
      <c r="E8" s="1154"/>
      <c r="F8" s="1155" t="s">
        <v>1734</v>
      </c>
      <c r="G8" s="1154"/>
      <c r="H8" s="1153" t="s">
        <v>1735</v>
      </c>
      <c r="I8" s="1154"/>
      <c r="J8" s="1158" t="s">
        <v>1736</v>
      </c>
      <c r="K8" s="1158" t="s">
        <v>1737</v>
      </c>
      <c r="L8" s="1156" t="s">
        <v>1715</v>
      </c>
    </row>
    <row r="9" spans="1:15" ht="51">
      <c r="A9" s="1127"/>
      <c r="B9" s="1128" t="s">
        <v>1738</v>
      </c>
      <c r="C9" s="1129" t="s">
        <v>1739</v>
      </c>
      <c r="D9" s="496" t="s">
        <v>1740</v>
      </c>
      <c r="E9" s="497" t="s">
        <v>1741</v>
      </c>
      <c r="F9" s="498" t="s">
        <v>1740</v>
      </c>
      <c r="G9" s="499" t="s">
        <v>1741</v>
      </c>
      <c r="H9" s="498" t="s">
        <v>1740</v>
      </c>
      <c r="I9" s="499" t="s">
        <v>1741</v>
      </c>
      <c r="J9" s="1159"/>
      <c r="K9" s="1159"/>
      <c r="L9" s="1157"/>
    </row>
    <row r="10" spans="1:15" s="597" customFormat="1" ht="19.5" customHeight="1" thickBot="1">
      <c r="A10" s="1130"/>
      <c r="B10" s="655"/>
      <c r="C10" s="1131"/>
      <c r="D10" s="532" t="s">
        <v>84</v>
      </c>
      <c r="E10" s="627" t="s">
        <v>1722</v>
      </c>
      <c r="F10" s="532" t="s">
        <v>84</v>
      </c>
      <c r="G10" s="627" t="s">
        <v>1722</v>
      </c>
      <c r="H10" s="532" t="s">
        <v>84</v>
      </c>
      <c r="I10" s="627" t="s">
        <v>1722</v>
      </c>
      <c r="J10" s="628" t="s">
        <v>1722</v>
      </c>
      <c r="K10" s="628" t="s">
        <v>1722</v>
      </c>
      <c r="L10" s="628" t="s">
        <v>1722</v>
      </c>
    </row>
    <row r="11" spans="1:15" ht="25.5">
      <c r="A11" s="139" t="s">
        <v>85</v>
      </c>
      <c r="B11" s="69"/>
      <c r="C11" s="1132"/>
      <c r="D11" s="189">
        <f>SUM(D12:D78)</f>
        <v>2127971</v>
      </c>
      <c r="E11" s="188">
        <f t="shared" ref="E11:K11" si="0">SUM(E12:E78)</f>
        <v>108739.34</v>
      </c>
      <c r="F11" s="189">
        <f t="shared" si="0"/>
        <v>17524966</v>
      </c>
      <c r="G11" s="188">
        <f t="shared" si="0"/>
        <v>841096.81000000029</v>
      </c>
      <c r="H11" s="189">
        <f t="shared" si="0"/>
        <v>212289503</v>
      </c>
      <c r="I11" s="188">
        <f t="shared" si="0"/>
        <v>8324597.9400000013</v>
      </c>
      <c r="J11" s="190">
        <f t="shared" si="0"/>
        <v>-31127.56</v>
      </c>
      <c r="K11" s="191">
        <f t="shared" si="0"/>
        <v>0</v>
      </c>
      <c r="L11" s="191">
        <f>E11+G11+I11+J11+K11</f>
        <v>9243306.5300000012</v>
      </c>
      <c r="M11" s="5"/>
      <c r="N11" s="44"/>
    </row>
    <row r="12" spans="1:15" hidden="1" outlineLevel="1">
      <c r="A12" s="140" t="s">
        <v>318</v>
      </c>
      <c r="B12" s="14">
        <v>7</v>
      </c>
      <c r="C12" s="141">
        <v>2019</v>
      </c>
      <c r="D12" s="193">
        <v>0</v>
      </c>
      <c r="E12" s="192">
        <v>0</v>
      </c>
      <c r="F12" s="193">
        <v>0</v>
      </c>
      <c r="G12" s="192">
        <v>0</v>
      </c>
      <c r="H12" s="193">
        <v>30199</v>
      </c>
      <c r="I12" s="192">
        <v>1534.8400000000001</v>
      </c>
      <c r="J12" s="194">
        <v>0</v>
      </c>
      <c r="K12" s="195">
        <v>0</v>
      </c>
      <c r="L12" s="196">
        <f t="shared" ref="L12:L60" si="1">E12+G12+I12+J12+K12</f>
        <v>1534.8400000000001</v>
      </c>
      <c r="M12" s="5" t="s">
        <v>319</v>
      </c>
      <c r="O12" t="str">
        <f>$A$11</f>
        <v>Regelzone 50Hertz (gesamt)</v>
      </c>
    </row>
    <row r="13" spans="1:15" hidden="1" outlineLevel="1">
      <c r="A13" s="140" t="s">
        <v>388</v>
      </c>
      <c r="B13" s="14">
        <v>1</v>
      </c>
      <c r="C13" s="141">
        <v>2020</v>
      </c>
      <c r="D13" s="193">
        <v>-54057</v>
      </c>
      <c r="E13" s="192">
        <v>-2762.32</v>
      </c>
      <c r="F13" s="193">
        <v>-43811</v>
      </c>
      <c r="G13" s="192">
        <v>-2370.23</v>
      </c>
      <c r="H13" s="193">
        <v>-30982</v>
      </c>
      <c r="I13" s="192">
        <v>-2032.8000000000002</v>
      </c>
      <c r="J13" s="194">
        <v>0</v>
      </c>
      <c r="K13" s="195">
        <v>0</v>
      </c>
      <c r="L13" s="196">
        <f t="shared" ref="L13:L45" si="2">E13+G13+I13+J13+K13</f>
        <v>-7165.35</v>
      </c>
      <c r="M13" s="5" t="s">
        <v>389</v>
      </c>
      <c r="O13" t="str">
        <f t="shared" ref="O13:O78" si="3">$A$11</f>
        <v>Regelzone 50Hertz (gesamt)</v>
      </c>
    </row>
    <row r="14" spans="1:15" hidden="1" outlineLevel="1">
      <c r="A14" s="140" t="s">
        <v>238</v>
      </c>
      <c r="B14" s="14">
        <v>7</v>
      </c>
      <c r="C14" s="141">
        <v>2020</v>
      </c>
      <c r="D14" s="193">
        <v>0</v>
      </c>
      <c r="E14" s="192">
        <v>0</v>
      </c>
      <c r="F14" s="193">
        <v>42619</v>
      </c>
      <c r="G14" s="192">
        <v>2133.9900000000002</v>
      </c>
      <c r="H14" s="193">
        <v>1386</v>
      </c>
      <c r="I14" s="192">
        <v>103.04</v>
      </c>
      <c r="J14" s="194">
        <v>0</v>
      </c>
      <c r="K14" s="195">
        <v>0</v>
      </c>
      <c r="L14" s="196">
        <f t="shared" si="2"/>
        <v>2237.0300000000002</v>
      </c>
      <c r="M14" s="5" t="s">
        <v>239</v>
      </c>
      <c r="O14" t="str">
        <f t="shared" si="3"/>
        <v>Regelzone 50Hertz (gesamt)</v>
      </c>
    </row>
    <row r="15" spans="1:15" hidden="1" outlineLevel="1">
      <c r="A15" s="140" t="s">
        <v>318</v>
      </c>
      <c r="B15" s="14">
        <v>7</v>
      </c>
      <c r="C15" s="141">
        <v>2020</v>
      </c>
      <c r="D15" s="193">
        <v>0</v>
      </c>
      <c r="E15" s="192">
        <v>0</v>
      </c>
      <c r="F15" s="193">
        <v>0</v>
      </c>
      <c r="G15" s="192">
        <v>0</v>
      </c>
      <c r="H15" s="193">
        <v>109661</v>
      </c>
      <c r="I15" s="192">
        <v>6035.4</v>
      </c>
      <c r="J15" s="194">
        <v>0</v>
      </c>
      <c r="K15" s="195">
        <v>0</v>
      </c>
      <c r="L15" s="196">
        <f t="shared" si="2"/>
        <v>6035.4</v>
      </c>
      <c r="M15" s="5" t="s">
        <v>319</v>
      </c>
      <c r="O15" t="str">
        <f t="shared" si="3"/>
        <v>Regelzone 50Hertz (gesamt)</v>
      </c>
    </row>
    <row r="16" spans="1:15" hidden="1" outlineLevel="1">
      <c r="A16" s="140" t="s">
        <v>352</v>
      </c>
      <c r="B16" s="14">
        <v>7</v>
      </c>
      <c r="C16" s="141">
        <v>2020</v>
      </c>
      <c r="D16" s="193">
        <v>4431</v>
      </c>
      <c r="E16" s="192">
        <v>226.42</v>
      </c>
      <c r="F16" s="193">
        <v>15041</v>
      </c>
      <c r="G16" s="192">
        <v>813.72</v>
      </c>
      <c r="H16" s="193">
        <v>1155795</v>
      </c>
      <c r="I16" s="192">
        <v>87861.030000000013</v>
      </c>
      <c r="J16" s="194">
        <v>-38.75</v>
      </c>
      <c r="K16" s="195">
        <v>0</v>
      </c>
      <c r="L16" s="196">
        <f t="shared" ref="L16:L18" si="4">E16+G16+I16+J16+K16</f>
        <v>88862.420000000013</v>
      </c>
      <c r="M16" s="5" t="s">
        <v>353</v>
      </c>
      <c r="O16" t="str">
        <f t="shared" si="3"/>
        <v>Regelzone 50Hertz (gesamt)</v>
      </c>
    </row>
    <row r="17" spans="1:15" hidden="1" outlineLevel="1">
      <c r="A17" s="140" t="s">
        <v>388</v>
      </c>
      <c r="B17" s="14">
        <v>7</v>
      </c>
      <c r="C17" s="141">
        <v>2020</v>
      </c>
      <c r="D17" s="193">
        <v>19161</v>
      </c>
      <c r="E17" s="192">
        <v>979.13</v>
      </c>
      <c r="F17" s="193">
        <v>150898</v>
      </c>
      <c r="G17" s="192">
        <v>8163.59</v>
      </c>
      <c r="H17" s="193">
        <v>3518297</v>
      </c>
      <c r="I17" s="192">
        <v>187693.93999999997</v>
      </c>
      <c r="J17" s="194">
        <v>-1750.5400000000002</v>
      </c>
      <c r="K17" s="195">
        <v>0</v>
      </c>
      <c r="L17" s="196">
        <f t="shared" si="4"/>
        <v>195086.11999999997</v>
      </c>
      <c r="M17" s="5" t="s">
        <v>389</v>
      </c>
      <c r="O17" t="str">
        <f t="shared" si="3"/>
        <v>Regelzone 50Hertz (gesamt)</v>
      </c>
    </row>
    <row r="18" spans="1:15" hidden="1" outlineLevel="1">
      <c r="A18" s="140" t="s">
        <v>310</v>
      </c>
      <c r="B18" s="14">
        <v>1</v>
      </c>
      <c r="C18" s="141">
        <v>2021</v>
      </c>
      <c r="D18" s="193">
        <v>-45443</v>
      </c>
      <c r="E18" s="192">
        <v>-2322.14</v>
      </c>
      <c r="F18" s="193">
        <v>-125021</v>
      </c>
      <c r="G18" s="192">
        <v>-5447.6799999999994</v>
      </c>
      <c r="H18" s="193">
        <v>-260844</v>
      </c>
      <c r="I18" s="192">
        <v>-19123.810000000001</v>
      </c>
      <c r="J18" s="194">
        <v>47.27</v>
      </c>
      <c r="K18" s="195">
        <v>0</v>
      </c>
      <c r="L18" s="196">
        <f t="shared" si="4"/>
        <v>-26846.36</v>
      </c>
      <c r="M18" s="5" t="s">
        <v>311</v>
      </c>
      <c r="O18" t="str">
        <f t="shared" si="3"/>
        <v>Regelzone 50Hertz (gesamt)</v>
      </c>
    </row>
    <row r="19" spans="1:15" hidden="1" outlineLevel="1">
      <c r="A19" s="140" t="s">
        <v>316</v>
      </c>
      <c r="B19" s="14">
        <v>1</v>
      </c>
      <c r="C19" s="141">
        <v>2021</v>
      </c>
      <c r="D19" s="193">
        <v>0</v>
      </c>
      <c r="E19" s="192">
        <v>0</v>
      </c>
      <c r="F19" s="193">
        <v>0</v>
      </c>
      <c r="G19" s="192">
        <v>0</v>
      </c>
      <c r="H19" s="193">
        <v>-29396</v>
      </c>
      <c r="I19" s="192">
        <v>-1776.43</v>
      </c>
      <c r="J19" s="194">
        <v>0</v>
      </c>
      <c r="K19" s="195">
        <v>0</v>
      </c>
      <c r="L19" s="196">
        <f t="shared" si="2"/>
        <v>-1776.43</v>
      </c>
      <c r="M19" s="5" t="s">
        <v>317</v>
      </c>
      <c r="O19" t="str">
        <f t="shared" si="3"/>
        <v>Regelzone 50Hertz (gesamt)</v>
      </c>
    </row>
    <row r="20" spans="1:15" hidden="1" outlineLevel="1">
      <c r="A20" s="140" t="s">
        <v>352</v>
      </c>
      <c r="B20" s="14">
        <v>1</v>
      </c>
      <c r="C20" s="141">
        <v>2021</v>
      </c>
      <c r="D20" s="193">
        <v>-10403</v>
      </c>
      <c r="E20" s="192">
        <v>-531.57999999999993</v>
      </c>
      <c r="F20" s="193">
        <v>-17685423</v>
      </c>
      <c r="G20" s="192">
        <v>-534590.40000000014</v>
      </c>
      <c r="H20" s="193">
        <v>-460671</v>
      </c>
      <c r="I20" s="192">
        <v>-2330289.9300000002</v>
      </c>
      <c r="J20" s="194">
        <v>-2440.86</v>
      </c>
      <c r="K20" s="195">
        <v>0</v>
      </c>
      <c r="L20" s="196">
        <f t="shared" si="2"/>
        <v>-2867852.77</v>
      </c>
      <c r="M20" s="5" t="s">
        <v>353</v>
      </c>
      <c r="O20" t="str">
        <f t="shared" si="3"/>
        <v>Regelzone 50Hertz (gesamt)</v>
      </c>
    </row>
    <row r="21" spans="1:15" hidden="1" outlineLevel="1">
      <c r="A21" s="140" t="s">
        <v>388</v>
      </c>
      <c r="B21" s="14">
        <v>1</v>
      </c>
      <c r="C21" s="141">
        <v>2021</v>
      </c>
      <c r="D21" s="193">
        <v>-29031</v>
      </c>
      <c r="E21" s="192">
        <v>-1483.48</v>
      </c>
      <c r="F21" s="193">
        <v>-94705</v>
      </c>
      <c r="G21" s="192">
        <v>-5060.4900000000007</v>
      </c>
      <c r="H21" s="193">
        <v>42986</v>
      </c>
      <c r="I21" s="192">
        <v>1682.2800000000002</v>
      </c>
      <c r="J21" s="194">
        <v>0</v>
      </c>
      <c r="K21" s="195">
        <v>0</v>
      </c>
      <c r="L21" s="196">
        <f t="shared" si="2"/>
        <v>-4861.6900000000005</v>
      </c>
      <c r="M21" s="5" t="s">
        <v>389</v>
      </c>
      <c r="O21" t="str">
        <f t="shared" si="3"/>
        <v>Regelzone 50Hertz (gesamt)</v>
      </c>
    </row>
    <row r="22" spans="1:15" hidden="1" outlineLevel="1">
      <c r="A22" s="140" t="s">
        <v>238</v>
      </c>
      <c r="B22" s="14">
        <v>7</v>
      </c>
      <c r="C22" s="141">
        <v>2021</v>
      </c>
      <c r="D22" s="193">
        <v>0</v>
      </c>
      <c r="E22" s="192">
        <v>0</v>
      </c>
      <c r="F22" s="193">
        <v>0</v>
      </c>
      <c r="G22" s="192">
        <v>0</v>
      </c>
      <c r="H22" s="193">
        <v>21432</v>
      </c>
      <c r="I22" s="192">
        <v>1570.6000000000001</v>
      </c>
      <c r="J22" s="194">
        <v>0</v>
      </c>
      <c r="K22" s="195">
        <v>0</v>
      </c>
      <c r="L22" s="196">
        <f t="shared" si="2"/>
        <v>1570.6000000000001</v>
      </c>
      <c r="M22" s="5" t="s">
        <v>239</v>
      </c>
      <c r="O22" t="str">
        <f t="shared" si="3"/>
        <v>Regelzone 50Hertz (gesamt)</v>
      </c>
    </row>
    <row r="23" spans="1:15" hidden="1" outlineLevel="1">
      <c r="A23" s="140" t="s">
        <v>252</v>
      </c>
      <c r="B23" s="14">
        <v>7</v>
      </c>
      <c r="C23" s="141">
        <v>2021</v>
      </c>
      <c r="D23" s="193">
        <v>0</v>
      </c>
      <c r="E23" s="192">
        <v>0</v>
      </c>
      <c r="F23" s="193">
        <v>5294</v>
      </c>
      <c r="G23" s="192">
        <v>286.41000000000003</v>
      </c>
      <c r="H23" s="193">
        <v>93757</v>
      </c>
      <c r="I23" s="192">
        <v>5986.0400000000009</v>
      </c>
      <c r="J23" s="194">
        <v>0</v>
      </c>
      <c r="K23" s="195">
        <v>0</v>
      </c>
      <c r="L23" s="196">
        <f t="shared" si="2"/>
        <v>6272.4500000000007</v>
      </c>
      <c r="M23" s="5" t="s">
        <v>253</v>
      </c>
      <c r="O23" t="str">
        <f t="shared" si="3"/>
        <v>Regelzone 50Hertz (gesamt)</v>
      </c>
    </row>
    <row r="24" spans="1:15" hidden="1" outlineLevel="1">
      <c r="A24" s="140" t="s">
        <v>310</v>
      </c>
      <c r="B24" s="14">
        <v>7</v>
      </c>
      <c r="C24" s="141">
        <v>2021</v>
      </c>
      <c r="D24" s="193">
        <v>365772</v>
      </c>
      <c r="E24" s="192">
        <v>18690.95</v>
      </c>
      <c r="F24" s="193">
        <v>863739</v>
      </c>
      <c r="G24" s="192">
        <v>46728.279999999992</v>
      </c>
      <c r="H24" s="193">
        <v>1506788</v>
      </c>
      <c r="I24" s="192">
        <v>174751.55000000002</v>
      </c>
      <c r="J24" s="194">
        <v>-842.76</v>
      </c>
      <c r="K24" s="195">
        <v>0</v>
      </c>
      <c r="L24" s="196">
        <f t="shared" si="2"/>
        <v>239328.02000000002</v>
      </c>
      <c r="M24" s="5" t="s">
        <v>311</v>
      </c>
      <c r="O24" t="str">
        <f t="shared" si="3"/>
        <v>Regelzone 50Hertz (gesamt)</v>
      </c>
    </row>
    <row r="25" spans="1:15" hidden="1" outlineLevel="1">
      <c r="A25" s="140" t="s">
        <v>316</v>
      </c>
      <c r="B25" s="14">
        <v>7</v>
      </c>
      <c r="C25" s="141">
        <v>2021</v>
      </c>
      <c r="D25" s="193">
        <v>0</v>
      </c>
      <c r="E25" s="192">
        <v>0</v>
      </c>
      <c r="F25" s="193">
        <v>5252</v>
      </c>
      <c r="G25" s="192">
        <v>284.13</v>
      </c>
      <c r="H25" s="193">
        <v>0</v>
      </c>
      <c r="I25" s="192">
        <v>0</v>
      </c>
      <c r="J25" s="194">
        <v>0</v>
      </c>
      <c r="K25" s="195">
        <v>0</v>
      </c>
      <c r="L25" s="196">
        <f t="shared" si="2"/>
        <v>284.13</v>
      </c>
      <c r="M25" s="5" t="s">
        <v>317</v>
      </c>
      <c r="O25" t="str">
        <f t="shared" si="3"/>
        <v>Regelzone 50Hertz (gesamt)</v>
      </c>
    </row>
    <row r="26" spans="1:15" hidden="1" outlineLevel="1">
      <c r="A26" s="140" t="s">
        <v>318</v>
      </c>
      <c r="B26" s="14">
        <v>7</v>
      </c>
      <c r="C26" s="141">
        <v>2021</v>
      </c>
      <c r="D26" s="193">
        <v>0</v>
      </c>
      <c r="E26" s="192">
        <v>0</v>
      </c>
      <c r="F26" s="193">
        <v>0</v>
      </c>
      <c r="G26" s="192">
        <v>0</v>
      </c>
      <c r="H26" s="193">
        <v>233537</v>
      </c>
      <c r="I26" s="192">
        <v>16004.84</v>
      </c>
      <c r="J26" s="194">
        <v>0</v>
      </c>
      <c r="K26" s="195">
        <v>0</v>
      </c>
      <c r="L26" s="196">
        <f t="shared" si="2"/>
        <v>16004.84</v>
      </c>
      <c r="M26" s="5" t="s">
        <v>319</v>
      </c>
      <c r="O26" t="str">
        <f t="shared" si="3"/>
        <v>Regelzone 50Hertz (gesamt)</v>
      </c>
    </row>
    <row r="27" spans="1:15" hidden="1" outlineLevel="1">
      <c r="A27" s="140" t="s">
        <v>352</v>
      </c>
      <c r="B27" s="14">
        <v>7</v>
      </c>
      <c r="C27" s="141">
        <v>2021</v>
      </c>
      <c r="D27" s="193">
        <v>1648468</v>
      </c>
      <c r="E27" s="192">
        <v>84236.699999999983</v>
      </c>
      <c r="F27" s="193">
        <v>21814777</v>
      </c>
      <c r="G27" s="192">
        <v>725428.91000000038</v>
      </c>
      <c r="H27" s="193">
        <v>25630499</v>
      </c>
      <c r="I27" s="192">
        <v>1713414.8300000003</v>
      </c>
      <c r="J27" s="194">
        <v>-1124.8900000000001</v>
      </c>
      <c r="K27" s="195">
        <v>0</v>
      </c>
      <c r="L27" s="196">
        <f t="shared" si="2"/>
        <v>2521955.5500000003</v>
      </c>
      <c r="M27" s="5" t="s">
        <v>353</v>
      </c>
      <c r="O27" t="str">
        <f t="shared" si="3"/>
        <v>Regelzone 50Hertz (gesamt)</v>
      </c>
    </row>
    <row r="28" spans="1:15" hidden="1" outlineLevel="1">
      <c r="A28" s="140" t="s">
        <v>388</v>
      </c>
      <c r="B28" s="14">
        <v>7</v>
      </c>
      <c r="C28" s="141">
        <v>2021</v>
      </c>
      <c r="D28" s="193">
        <v>72604</v>
      </c>
      <c r="E28" s="192">
        <v>3710.07</v>
      </c>
      <c r="F28" s="193">
        <v>437353</v>
      </c>
      <c r="G28" s="192">
        <v>23660.780000000002</v>
      </c>
      <c r="H28" s="193">
        <v>634116</v>
      </c>
      <c r="I28" s="192">
        <v>57644.840000000011</v>
      </c>
      <c r="J28" s="194">
        <v>32.869999999999976</v>
      </c>
      <c r="K28" s="195">
        <v>0</v>
      </c>
      <c r="L28" s="196">
        <f t="shared" si="2"/>
        <v>85048.560000000012</v>
      </c>
      <c r="M28" s="5" t="s">
        <v>389</v>
      </c>
      <c r="O28" t="str">
        <f t="shared" si="3"/>
        <v>Regelzone 50Hertz (gesamt)</v>
      </c>
    </row>
    <row r="29" spans="1:15" hidden="1" outlineLevel="1">
      <c r="A29" s="140" t="s">
        <v>114</v>
      </c>
      <c r="B29" s="14">
        <v>1</v>
      </c>
      <c r="C29" s="141">
        <v>2022</v>
      </c>
      <c r="D29" s="193">
        <v>0</v>
      </c>
      <c r="E29" s="192">
        <v>0</v>
      </c>
      <c r="F29" s="193">
        <v>-304703</v>
      </c>
      <c r="G29" s="192">
        <v>-16484.43</v>
      </c>
      <c r="H29" s="193">
        <v>-599474</v>
      </c>
      <c r="I29" s="192">
        <v>-61729.680000000029</v>
      </c>
      <c r="J29" s="194">
        <v>0</v>
      </c>
      <c r="K29" s="195">
        <v>0</v>
      </c>
      <c r="L29" s="196">
        <f t="shared" si="2"/>
        <v>-78214.11000000003</v>
      </c>
      <c r="M29" s="5" t="s">
        <v>115</v>
      </c>
      <c r="O29" t="str">
        <f t="shared" si="3"/>
        <v>Regelzone 50Hertz (gesamt)</v>
      </c>
    </row>
    <row r="30" spans="1:15" hidden="1" outlineLevel="1">
      <c r="A30" s="140" t="s">
        <v>238</v>
      </c>
      <c r="B30" s="14">
        <v>1</v>
      </c>
      <c r="C30" s="141">
        <v>2022</v>
      </c>
      <c r="D30" s="193">
        <v>-428</v>
      </c>
      <c r="E30" s="192">
        <v>-21.87</v>
      </c>
      <c r="F30" s="193">
        <v>0</v>
      </c>
      <c r="G30" s="192">
        <v>0</v>
      </c>
      <c r="H30" s="193">
        <v>0</v>
      </c>
      <c r="I30" s="192">
        <v>0</v>
      </c>
      <c r="J30" s="194">
        <v>0</v>
      </c>
      <c r="K30" s="195">
        <v>0</v>
      </c>
      <c r="L30" s="196">
        <f t="shared" si="2"/>
        <v>-21.87</v>
      </c>
      <c r="M30" s="5" t="s">
        <v>239</v>
      </c>
      <c r="O30" t="str">
        <f t="shared" si="3"/>
        <v>Regelzone 50Hertz (gesamt)</v>
      </c>
    </row>
    <row r="31" spans="1:15" hidden="1" outlineLevel="1">
      <c r="A31" s="140" t="s">
        <v>310</v>
      </c>
      <c r="B31" s="14">
        <v>1</v>
      </c>
      <c r="C31" s="141">
        <v>2022</v>
      </c>
      <c r="D31" s="193">
        <v>0</v>
      </c>
      <c r="E31" s="192">
        <v>0</v>
      </c>
      <c r="F31" s="193">
        <v>-1003334</v>
      </c>
      <c r="G31" s="192">
        <v>-45011.43</v>
      </c>
      <c r="H31" s="193">
        <v>-450079</v>
      </c>
      <c r="I31" s="192">
        <v>-21184.17</v>
      </c>
      <c r="J31" s="194">
        <v>0</v>
      </c>
      <c r="K31" s="195">
        <v>0</v>
      </c>
      <c r="L31" s="196">
        <f t="shared" si="2"/>
        <v>-66195.600000000006</v>
      </c>
      <c r="M31" s="5" t="s">
        <v>311</v>
      </c>
      <c r="O31" t="str">
        <f t="shared" si="3"/>
        <v>Regelzone 50Hertz (gesamt)</v>
      </c>
    </row>
    <row r="32" spans="1:15" hidden="1" outlineLevel="1">
      <c r="A32" s="140" t="s">
        <v>316</v>
      </c>
      <c r="B32" s="14">
        <v>1</v>
      </c>
      <c r="C32" s="141">
        <v>2022</v>
      </c>
      <c r="D32" s="193">
        <v>0</v>
      </c>
      <c r="E32" s="192">
        <v>0</v>
      </c>
      <c r="F32" s="193">
        <v>-412587</v>
      </c>
      <c r="G32" s="192">
        <v>-18581.150000000001</v>
      </c>
      <c r="H32" s="193">
        <v>-224610</v>
      </c>
      <c r="I32" s="192">
        <v>-12353.750000000002</v>
      </c>
      <c r="J32" s="194">
        <v>0</v>
      </c>
      <c r="K32" s="195">
        <v>0</v>
      </c>
      <c r="L32" s="196">
        <f t="shared" si="2"/>
        <v>-30934.9</v>
      </c>
      <c r="M32" s="5" t="s">
        <v>317</v>
      </c>
      <c r="O32" t="str">
        <f t="shared" si="3"/>
        <v>Regelzone 50Hertz (gesamt)</v>
      </c>
    </row>
    <row r="33" spans="1:15" hidden="1" outlineLevel="1">
      <c r="A33" s="140" t="s">
        <v>318</v>
      </c>
      <c r="B33" s="14">
        <v>1</v>
      </c>
      <c r="C33" s="141">
        <v>2022</v>
      </c>
      <c r="D33" s="193">
        <v>0</v>
      </c>
      <c r="E33" s="192">
        <v>0</v>
      </c>
      <c r="F33" s="193">
        <v>0</v>
      </c>
      <c r="G33" s="192">
        <v>0</v>
      </c>
      <c r="H33" s="193">
        <v>-29173</v>
      </c>
      <c r="I33" s="192">
        <v>-1166.92</v>
      </c>
      <c r="J33" s="194">
        <v>0</v>
      </c>
      <c r="K33" s="195">
        <v>0</v>
      </c>
      <c r="L33" s="196">
        <f t="shared" si="2"/>
        <v>-1166.92</v>
      </c>
      <c r="M33" s="5" t="s">
        <v>319</v>
      </c>
      <c r="O33" t="str">
        <f t="shared" si="3"/>
        <v>Regelzone 50Hertz (gesamt)</v>
      </c>
    </row>
    <row r="34" spans="1:15" hidden="1" outlineLevel="1">
      <c r="A34" s="140" t="s">
        <v>94</v>
      </c>
      <c r="B34" s="14">
        <v>7</v>
      </c>
      <c r="C34" s="141">
        <v>2022</v>
      </c>
      <c r="D34" s="193">
        <v>0</v>
      </c>
      <c r="E34" s="192">
        <v>0</v>
      </c>
      <c r="F34" s="193">
        <v>0</v>
      </c>
      <c r="G34" s="192">
        <v>0</v>
      </c>
      <c r="H34" s="193">
        <v>1023243</v>
      </c>
      <c r="I34" s="192">
        <v>48607.61</v>
      </c>
      <c r="J34" s="194">
        <v>0</v>
      </c>
      <c r="K34" s="195">
        <v>0</v>
      </c>
      <c r="L34" s="196">
        <f t="shared" si="2"/>
        <v>48607.61</v>
      </c>
      <c r="M34" s="5" t="s">
        <v>95</v>
      </c>
      <c r="O34" t="str">
        <f t="shared" si="3"/>
        <v>Regelzone 50Hertz (gesamt)</v>
      </c>
    </row>
    <row r="35" spans="1:15" hidden="1" outlineLevel="1">
      <c r="A35" s="140" t="s">
        <v>114</v>
      </c>
      <c r="B35" s="14">
        <v>7</v>
      </c>
      <c r="C35" s="141">
        <v>2022</v>
      </c>
      <c r="D35" s="193">
        <v>27382</v>
      </c>
      <c r="E35" s="192">
        <v>1399.23</v>
      </c>
      <c r="F35" s="193">
        <v>5755399</v>
      </c>
      <c r="G35" s="192">
        <v>250958.66999999993</v>
      </c>
      <c r="H35" s="193">
        <v>18187003</v>
      </c>
      <c r="I35" s="192">
        <v>1085021.3800000001</v>
      </c>
      <c r="J35" s="194">
        <v>-12036.37</v>
      </c>
      <c r="K35" s="195">
        <v>0</v>
      </c>
      <c r="L35" s="196">
        <f t="shared" si="2"/>
        <v>1325342.9099999999</v>
      </c>
      <c r="M35" s="5" t="s">
        <v>115</v>
      </c>
      <c r="O35" t="str">
        <f t="shared" si="3"/>
        <v>Regelzone 50Hertz (gesamt)</v>
      </c>
    </row>
    <row r="36" spans="1:15" hidden="1" outlineLevel="1">
      <c r="A36" s="140" t="s">
        <v>126</v>
      </c>
      <c r="B36" s="14">
        <v>7</v>
      </c>
      <c r="C36" s="141">
        <v>2022</v>
      </c>
      <c r="D36" s="193">
        <v>0</v>
      </c>
      <c r="E36" s="192">
        <v>0</v>
      </c>
      <c r="F36" s="193">
        <v>0</v>
      </c>
      <c r="G36" s="192">
        <v>0</v>
      </c>
      <c r="H36" s="193">
        <v>-2</v>
      </c>
      <c r="I36" s="192">
        <v>15603.420000000004</v>
      </c>
      <c r="J36" s="194">
        <v>0</v>
      </c>
      <c r="K36" s="195">
        <v>0</v>
      </c>
      <c r="L36" s="196">
        <f t="shared" si="2"/>
        <v>15603.420000000004</v>
      </c>
      <c r="M36" s="5" t="s">
        <v>127</v>
      </c>
      <c r="O36" t="str">
        <f t="shared" si="3"/>
        <v>Regelzone 50Hertz (gesamt)</v>
      </c>
    </row>
    <row r="37" spans="1:15" hidden="1" outlineLevel="1">
      <c r="A37" s="140" t="s">
        <v>136</v>
      </c>
      <c r="B37" s="14">
        <v>7</v>
      </c>
      <c r="C37" s="141">
        <v>2022</v>
      </c>
      <c r="D37" s="193">
        <v>0</v>
      </c>
      <c r="E37" s="192">
        <v>0</v>
      </c>
      <c r="F37" s="193">
        <v>39805</v>
      </c>
      <c r="G37" s="192">
        <v>2153.4499999999998</v>
      </c>
      <c r="H37" s="193">
        <v>0</v>
      </c>
      <c r="I37" s="192">
        <v>0</v>
      </c>
      <c r="J37" s="194">
        <v>0</v>
      </c>
      <c r="K37" s="195">
        <v>0</v>
      </c>
      <c r="L37" s="196">
        <f t="shared" si="2"/>
        <v>2153.4499999999998</v>
      </c>
      <c r="M37" s="5" t="s">
        <v>137</v>
      </c>
      <c r="O37" t="str">
        <f t="shared" si="3"/>
        <v>Regelzone 50Hertz (gesamt)</v>
      </c>
    </row>
    <row r="38" spans="1:15" hidden="1" outlineLevel="1">
      <c r="A38" s="140" t="s">
        <v>238</v>
      </c>
      <c r="B38" s="14">
        <v>7</v>
      </c>
      <c r="C38" s="141">
        <v>2022</v>
      </c>
      <c r="D38" s="193">
        <v>-15610</v>
      </c>
      <c r="E38" s="192">
        <v>-797.67</v>
      </c>
      <c r="F38" s="193">
        <v>0</v>
      </c>
      <c r="G38" s="192">
        <v>0</v>
      </c>
      <c r="H38" s="193">
        <v>15610</v>
      </c>
      <c r="I38" s="192">
        <v>1167.1999999999998</v>
      </c>
      <c r="J38" s="194">
        <v>0</v>
      </c>
      <c r="K38" s="195">
        <v>0</v>
      </c>
      <c r="L38" s="196">
        <f t="shared" si="2"/>
        <v>369.52999999999986</v>
      </c>
      <c r="M38" s="5" t="s">
        <v>239</v>
      </c>
      <c r="O38" t="str">
        <f t="shared" si="3"/>
        <v>Regelzone 50Hertz (gesamt)</v>
      </c>
    </row>
    <row r="39" spans="1:15" hidden="1" outlineLevel="1">
      <c r="A39" s="140" t="s">
        <v>250</v>
      </c>
      <c r="B39" s="14">
        <v>7</v>
      </c>
      <c r="C39" s="141">
        <v>2022</v>
      </c>
      <c r="D39" s="193">
        <v>0</v>
      </c>
      <c r="E39" s="192">
        <v>0</v>
      </c>
      <c r="F39" s="193">
        <v>0</v>
      </c>
      <c r="G39" s="192">
        <v>0</v>
      </c>
      <c r="H39" s="193">
        <v>6159484</v>
      </c>
      <c r="I39" s="192">
        <v>210768.39</v>
      </c>
      <c r="J39" s="194">
        <v>0</v>
      </c>
      <c r="K39" s="195">
        <v>0</v>
      </c>
      <c r="L39" s="196">
        <f t="shared" si="2"/>
        <v>210768.39</v>
      </c>
      <c r="M39" s="5" t="s">
        <v>251</v>
      </c>
      <c r="O39" t="str">
        <f t="shared" si="3"/>
        <v>Regelzone 50Hertz (gesamt)</v>
      </c>
    </row>
    <row r="40" spans="1:15" hidden="1" outlineLevel="1">
      <c r="A40" s="140" t="s">
        <v>252</v>
      </c>
      <c r="B40" s="14">
        <v>7</v>
      </c>
      <c r="C40" s="141">
        <v>2022</v>
      </c>
      <c r="D40" s="193">
        <v>0</v>
      </c>
      <c r="E40" s="192">
        <v>0</v>
      </c>
      <c r="F40" s="193">
        <v>33906</v>
      </c>
      <c r="G40" s="192">
        <v>1834.3200000000002</v>
      </c>
      <c r="H40" s="193">
        <v>164987</v>
      </c>
      <c r="I40" s="192">
        <v>23537.919999999998</v>
      </c>
      <c r="J40" s="194">
        <v>0</v>
      </c>
      <c r="K40" s="195">
        <v>0</v>
      </c>
      <c r="L40" s="196">
        <f t="shared" si="2"/>
        <v>25372.239999999998</v>
      </c>
      <c r="M40" s="5" t="s">
        <v>253</v>
      </c>
      <c r="O40" t="str">
        <f t="shared" si="3"/>
        <v>Regelzone 50Hertz (gesamt)</v>
      </c>
    </row>
    <row r="41" spans="1:15" hidden="1" outlineLevel="1">
      <c r="A41" s="140" t="s">
        <v>280</v>
      </c>
      <c r="B41" s="14">
        <v>7</v>
      </c>
      <c r="C41" s="141">
        <v>2022</v>
      </c>
      <c r="D41" s="193">
        <v>0</v>
      </c>
      <c r="E41" s="192">
        <v>0</v>
      </c>
      <c r="F41" s="193">
        <v>0</v>
      </c>
      <c r="G41" s="192">
        <v>0</v>
      </c>
      <c r="H41" s="193">
        <v>24102</v>
      </c>
      <c r="I41" s="192">
        <v>2030.9599999999998</v>
      </c>
      <c r="J41" s="194">
        <v>0</v>
      </c>
      <c r="K41" s="195">
        <v>0</v>
      </c>
      <c r="L41" s="196">
        <f t="shared" si="2"/>
        <v>2030.9599999999998</v>
      </c>
      <c r="M41" s="5" t="s">
        <v>281</v>
      </c>
      <c r="O41" t="str">
        <f t="shared" si="3"/>
        <v>Regelzone 50Hertz (gesamt)</v>
      </c>
    </row>
    <row r="42" spans="1:15" hidden="1" outlineLevel="1">
      <c r="A42" s="140" t="s">
        <v>310</v>
      </c>
      <c r="B42" s="14">
        <v>7</v>
      </c>
      <c r="C42" s="141">
        <v>2022</v>
      </c>
      <c r="D42" s="193">
        <v>98887</v>
      </c>
      <c r="E42" s="192">
        <v>5053.13</v>
      </c>
      <c r="F42" s="193">
        <v>1053770</v>
      </c>
      <c r="G42" s="192">
        <v>57008.94999999999</v>
      </c>
      <c r="H42" s="193">
        <v>6408206</v>
      </c>
      <c r="I42" s="192">
        <v>542830.88000000012</v>
      </c>
      <c r="J42" s="194">
        <v>-1433.25</v>
      </c>
      <c r="K42" s="195">
        <v>0</v>
      </c>
      <c r="L42" s="196">
        <f t="shared" si="2"/>
        <v>603459.71000000008</v>
      </c>
      <c r="M42" s="5" t="s">
        <v>311</v>
      </c>
      <c r="O42" t="str">
        <f t="shared" si="3"/>
        <v>Regelzone 50Hertz (gesamt)</v>
      </c>
    </row>
    <row r="43" spans="1:15" hidden="1" outlineLevel="1">
      <c r="A43" s="140" t="s">
        <v>312</v>
      </c>
      <c r="B43" s="14">
        <v>7</v>
      </c>
      <c r="C43" s="141">
        <v>2022</v>
      </c>
      <c r="D43" s="193">
        <v>7141</v>
      </c>
      <c r="E43" s="192">
        <v>364.90999999999997</v>
      </c>
      <c r="F43" s="193">
        <v>814463</v>
      </c>
      <c r="G43" s="192">
        <v>39664.230000000003</v>
      </c>
      <c r="H43" s="193">
        <v>669045</v>
      </c>
      <c r="I43" s="192">
        <v>51178.869999999995</v>
      </c>
      <c r="J43" s="194">
        <v>-94.99</v>
      </c>
      <c r="K43" s="195">
        <v>0</v>
      </c>
      <c r="L43" s="196">
        <f t="shared" si="2"/>
        <v>91113.02</v>
      </c>
      <c r="M43" s="5" t="s">
        <v>313</v>
      </c>
      <c r="O43" t="str">
        <f t="shared" si="3"/>
        <v>Regelzone 50Hertz (gesamt)</v>
      </c>
    </row>
    <row r="44" spans="1:15" hidden="1" outlineLevel="1">
      <c r="A44" s="140" t="s">
        <v>316</v>
      </c>
      <c r="B44" s="14">
        <v>7</v>
      </c>
      <c r="C44" s="141">
        <v>2022</v>
      </c>
      <c r="D44" s="193">
        <v>0</v>
      </c>
      <c r="E44" s="192">
        <v>0</v>
      </c>
      <c r="F44" s="193">
        <v>14166</v>
      </c>
      <c r="G44" s="192">
        <v>766.38</v>
      </c>
      <c r="H44" s="193">
        <v>206656</v>
      </c>
      <c r="I44" s="192">
        <v>10223.56</v>
      </c>
      <c r="J44" s="194">
        <v>0</v>
      </c>
      <c r="K44" s="195">
        <v>0</v>
      </c>
      <c r="L44" s="196">
        <f t="shared" si="2"/>
        <v>10989.939999999999</v>
      </c>
      <c r="M44" s="5" t="s">
        <v>317</v>
      </c>
      <c r="O44" t="str">
        <f t="shared" si="3"/>
        <v>Regelzone 50Hertz (gesamt)</v>
      </c>
    </row>
    <row r="45" spans="1:15" hidden="1" outlineLevel="1">
      <c r="A45" s="140" t="s">
        <v>318</v>
      </c>
      <c r="B45" s="14">
        <v>7</v>
      </c>
      <c r="C45" s="141">
        <v>2022</v>
      </c>
      <c r="D45" s="193">
        <v>0</v>
      </c>
      <c r="E45" s="192">
        <v>0</v>
      </c>
      <c r="F45" s="193">
        <v>0</v>
      </c>
      <c r="G45" s="192">
        <v>0</v>
      </c>
      <c r="H45" s="193">
        <v>203159</v>
      </c>
      <c r="I45" s="192">
        <v>16717.280000000002</v>
      </c>
      <c r="J45" s="194">
        <v>0</v>
      </c>
      <c r="K45" s="195">
        <v>0</v>
      </c>
      <c r="L45" s="196">
        <f t="shared" si="2"/>
        <v>16717.280000000002</v>
      </c>
      <c r="M45" s="5" t="s">
        <v>319</v>
      </c>
      <c r="O45" t="str">
        <f t="shared" si="3"/>
        <v>Regelzone 50Hertz (gesamt)</v>
      </c>
    </row>
    <row r="46" spans="1:15" hidden="1" outlineLevel="1">
      <c r="A46" s="140" t="s">
        <v>358</v>
      </c>
      <c r="B46" s="14">
        <v>7</v>
      </c>
      <c r="C46" s="141">
        <v>2022</v>
      </c>
      <c r="D46" s="193">
        <v>39097</v>
      </c>
      <c r="E46" s="192">
        <v>1997.86</v>
      </c>
      <c r="F46" s="193">
        <v>174818</v>
      </c>
      <c r="G46" s="192">
        <v>9457.65</v>
      </c>
      <c r="H46" s="193">
        <v>364377</v>
      </c>
      <c r="I46" s="192">
        <v>28066.680000000008</v>
      </c>
      <c r="J46" s="194">
        <v>0</v>
      </c>
      <c r="K46" s="195">
        <v>0</v>
      </c>
      <c r="L46" s="196">
        <f t="shared" si="1"/>
        <v>39522.19000000001</v>
      </c>
      <c r="M46" s="5" t="s">
        <v>359</v>
      </c>
      <c r="O46" t="str">
        <f t="shared" si="3"/>
        <v>Regelzone 50Hertz (gesamt)</v>
      </c>
    </row>
    <row r="47" spans="1:15" hidden="1" outlineLevel="1">
      <c r="A47" s="140" t="s">
        <v>114</v>
      </c>
      <c r="B47" s="14">
        <v>1</v>
      </c>
      <c r="C47" s="141">
        <v>2023</v>
      </c>
      <c r="D47" s="193">
        <v>0</v>
      </c>
      <c r="E47" s="192">
        <v>0</v>
      </c>
      <c r="F47" s="193">
        <v>-34609</v>
      </c>
      <c r="G47" s="192">
        <v>-1872.35</v>
      </c>
      <c r="H47" s="193">
        <v>-69669</v>
      </c>
      <c r="I47" s="192">
        <v>-9296.56</v>
      </c>
      <c r="J47" s="194">
        <v>0</v>
      </c>
      <c r="K47" s="195">
        <v>0</v>
      </c>
      <c r="L47" s="196">
        <f t="shared" si="1"/>
        <v>-11168.91</v>
      </c>
      <c r="M47" s="5" t="s">
        <v>115</v>
      </c>
      <c r="O47" t="str">
        <f t="shared" si="3"/>
        <v>Regelzone 50Hertz (gesamt)</v>
      </c>
    </row>
    <row r="48" spans="1:15" hidden="1" outlineLevel="1">
      <c r="A48" s="140" t="s">
        <v>238</v>
      </c>
      <c r="B48" s="14">
        <v>1</v>
      </c>
      <c r="C48" s="141">
        <v>2023</v>
      </c>
      <c r="D48" s="193">
        <v>0</v>
      </c>
      <c r="E48" s="192">
        <v>0</v>
      </c>
      <c r="F48" s="193">
        <v>-86171</v>
      </c>
      <c r="G48" s="192">
        <v>-4661.8499999999995</v>
      </c>
      <c r="H48" s="193">
        <v>0</v>
      </c>
      <c r="I48" s="192">
        <v>0</v>
      </c>
      <c r="J48" s="194">
        <v>0</v>
      </c>
      <c r="K48" s="195">
        <v>0</v>
      </c>
      <c r="L48" s="196">
        <f t="shared" si="1"/>
        <v>-4661.8499999999995</v>
      </c>
      <c r="M48" s="5" t="s">
        <v>239</v>
      </c>
      <c r="O48" t="str">
        <f t="shared" si="3"/>
        <v>Regelzone 50Hertz (gesamt)</v>
      </c>
    </row>
    <row r="49" spans="1:15" hidden="1" outlineLevel="1">
      <c r="A49" s="140" t="s">
        <v>268</v>
      </c>
      <c r="B49" s="14">
        <v>1</v>
      </c>
      <c r="C49" s="141">
        <v>2023</v>
      </c>
      <c r="D49" s="193">
        <v>0</v>
      </c>
      <c r="E49" s="192">
        <v>0</v>
      </c>
      <c r="F49" s="193">
        <v>0</v>
      </c>
      <c r="G49" s="192">
        <v>0</v>
      </c>
      <c r="H49" s="193">
        <v>-18438</v>
      </c>
      <c r="I49" s="192">
        <v>-544.87999999999988</v>
      </c>
      <c r="J49" s="194">
        <v>0</v>
      </c>
      <c r="K49" s="195">
        <v>0</v>
      </c>
      <c r="L49" s="196">
        <f t="shared" si="1"/>
        <v>-544.87999999999988</v>
      </c>
      <c r="M49" s="5" t="s">
        <v>269</v>
      </c>
      <c r="O49" t="str">
        <f t="shared" si="3"/>
        <v>Regelzone 50Hertz (gesamt)</v>
      </c>
    </row>
    <row r="50" spans="1:15" hidden="1" outlineLevel="1">
      <c r="A50" s="140" t="s">
        <v>310</v>
      </c>
      <c r="B50" s="14">
        <v>1</v>
      </c>
      <c r="C50" s="141">
        <v>2023</v>
      </c>
      <c r="D50" s="193">
        <v>0</v>
      </c>
      <c r="E50" s="192">
        <v>0</v>
      </c>
      <c r="F50" s="193">
        <v>-490047</v>
      </c>
      <c r="G50" s="192">
        <v>-26511.530000000002</v>
      </c>
      <c r="H50" s="193">
        <v>-1548546</v>
      </c>
      <c r="I50" s="192">
        <v>-86669.64</v>
      </c>
      <c r="J50" s="194">
        <v>0</v>
      </c>
      <c r="K50" s="195">
        <v>0</v>
      </c>
      <c r="L50" s="196">
        <f t="shared" si="1"/>
        <v>-113181.17</v>
      </c>
      <c r="M50" s="5" t="s">
        <v>311</v>
      </c>
      <c r="O50" t="str">
        <f t="shared" si="3"/>
        <v>Regelzone 50Hertz (gesamt)</v>
      </c>
    </row>
    <row r="51" spans="1:15" hidden="1" outlineLevel="1">
      <c r="A51" s="140" t="s">
        <v>316</v>
      </c>
      <c r="B51" s="14">
        <v>1</v>
      </c>
      <c r="C51" s="141">
        <v>2023</v>
      </c>
      <c r="D51" s="193">
        <v>0</v>
      </c>
      <c r="E51" s="192">
        <v>0</v>
      </c>
      <c r="F51" s="193">
        <v>-281230</v>
      </c>
      <c r="G51" s="192">
        <v>-15214.539999999999</v>
      </c>
      <c r="H51" s="193">
        <v>0</v>
      </c>
      <c r="I51" s="192">
        <v>-21.76</v>
      </c>
      <c r="J51" s="194">
        <v>0</v>
      </c>
      <c r="K51" s="195">
        <v>0</v>
      </c>
      <c r="L51" s="196">
        <f t="shared" si="1"/>
        <v>-15236.3</v>
      </c>
      <c r="M51" s="5" t="s">
        <v>317</v>
      </c>
      <c r="O51" t="str">
        <f t="shared" si="3"/>
        <v>Regelzone 50Hertz (gesamt)</v>
      </c>
    </row>
    <row r="52" spans="1:15" hidden="1" outlineLevel="1">
      <c r="A52" s="140" t="s">
        <v>318</v>
      </c>
      <c r="B52" s="14">
        <v>1</v>
      </c>
      <c r="C52" s="141">
        <v>2023</v>
      </c>
      <c r="D52" s="193">
        <v>0</v>
      </c>
      <c r="E52" s="192">
        <v>0</v>
      </c>
      <c r="F52" s="193">
        <v>0</v>
      </c>
      <c r="G52" s="192">
        <v>0</v>
      </c>
      <c r="H52" s="193">
        <v>-129653</v>
      </c>
      <c r="I52" s="192">
        <v>-7531.4800000000005</v>
      </c>
      <c r="J52" s="194">
        <v>0</v>
      </c>
      <c r="K52" s="195">
        <v>0</v>
      </c>
      <c r="L52" s="196">
        <f t="shared" si="1"/>
        <v>-7531.4800000000005</v>
      </c>
      <c r="M52" s="5" t="s">
        <v>319</v>
      </c>
      <c r="O52" t="str">
        <f t="shared" si="3"/>
        <v>Regelzone 50Hertz (gesamt)</v>
      </c>
    </row>
    <row r="53" spans="1:15" hidden="1" outlineLevel="1">
      <c r="A53" s="140" t="s">
        <v>354</v>
      </c>
      <c r="B53" s="14">
        <v>1</v>
      </c>
      <c r="C53" s="141">
        <v>2023</v>
      </c>
      <c r="D53" s="193">
        <v>0</v>
      </c>
      <c r="E53" s="192">
        <v>0</v>
      </c>
      <c r="F53" s="193">
        <v>0</v>
      </c>
      <c r="G53" s="192">
        <v>0</v>
      </c>
      <c r="H53" s="193">
        <v>-12190</v>
      </c>
      <c r="I53" s="192">
        <v>-1076.4000000000001</v>
      </c>
      <c r="J53" s="194">
        <v>0</v>
      </c>
      <c r="K53" s="195">
        <v>0</v>
      </c>
      <c r="L53" s="196">
        <f t="shared" si="1"/>
        <v>-1076.4000000000001</v>
      </c>
      <c r="M53" s="5" t="s">
        <v>355</v>
      </c>
      <c r="O53" t="str">
        <f t="shared" si="3"/>
        <v>Regelzone 50Hertz (gesamt)</v>
      </c>
    </row>
    <row r="54" spans="1:15" hidden="1" outlineLevel="1">
      <c r="A54" s="140" t="s">
        <v>94</v>
      </c>
      <c r="B54" s="14">
        <v>7</v>
      </c>
      <c r="C54" s="141">
        <v>2023</v>
      </c>
      <c r="D54" s="193">
        <v>0</v>
      </c>
      <c r="E54" s="192">
        <v>0</v>
      </c>
      <c r="F54" s="193">
        <v>0</v>
      </c>
      <c r="G54" s="192">
        <v>0</v>
      </c>
      <c r="H54" s="193">
        <v>3090600</v>
      </c>
      <c r="I54" s="192">
        <v>146814.34000000003</v>
      </c>
      <c r="J54" s="194">
        <v>0</v>
      </c>
      <c r="K54" s="195">
        <v>0</v>
      </c>
      <c r="L54" s="196">
        <f t="shared" si="1"/>
        <v>146814.34000000003</v>
      </c>
      <c r="M54" s="5" t="s">
        <v>95</v>
      </c>
      <c r="O54" t="str">
        <f t="shared" si="3"/>
        <v>Regelzone 50Hertz (gesamt)</v>
      </c>
    </row>
    <row r="55" spans="1:15" hidden="1" outlineLevel="1">
      <c r="A55" s="140" t="s">
        <v>114</v>
      </c>
      <c r="B55" s="14">
        <v>7</v>
      </c>
      <c r="C55" s="141">
        <v>2023</v>
      </c>
      <c r="D55" s="193">
        <v>0</v>
      </c>
      <c r="E55" s="192">
        <v>0</v>
      </c>
      <c r="F55" s="193">
        <v>1263611</v>
      </c>
      <c r="G55" s="192">
        <v>56983.040000000001</v>
      </c>
      <c r="H55" s="193">
        <v>35374241</v>
      </c>
      <c r="I55" s="192">
        <v>1345692.15</v>
      </c>
      <c r="J55" s="194">
        <v>-995.13</v>
      </c>
      <c r="K55" s="195">
        <v>0</v>
      </c>
      <c r="L55" s="196">
        <f t="shared" si="1"/>
        <v>1401680.06</v>
      </c>
      <c r="M55" s="5" t="s">
        <v>115</v>
      </c>
      <c r="O55" t="str">
        <f t="shared" si="3"/>
        <v>Regelzone 50Hertz (gesamt)</v>
      </c>
    </row>
    <row r="56" spans="1:15" hidden="1" outlineLevel="1">
      <c r="A56" s="140" t="s">
        <v>126</v>
      </c>
      <c r="B56" s="14">
        <v>7</v>
      </c>
      <c r="C56" s="141">
        <v>2023</v>
      </c>
      <c r="D56" s="193">
        <v>0</v>
      </c>
      <c r="E56" s="192">
        <v>0</v>
      </c>
      <c r="F56" s="193">
        <v>0</v>
      </c>
      <c r="G56" s="192">
        <v>0</v>
      </c>
      <c r="H56" s="193">
        <v>0</v>
      </c>
      <c r="I56" s="192">
        <v>14000</v>
      </c>
      <c r="J56" s="194">
        <v>0</v>
      </c>
      <c r="K56" s="195">
        <v>0</v>
      </c>
      <c r="L56" s="196">
        <f t="shared" si="1"/>
        <v>14000</v>
      </c>
      <c r="M56" s="5" t="s">
        <v>127</v>
      </c>
      <c r="O56" t="str">
        <f t="shared" si="3"/>
        <v>Regelzone 50Hertz (gesamt)</v>
      </c>
    </row>
    <row r="57" spans="1:15" hidden="1" outlineLevel="1">
      <c r="A57" s="140" t="s">
        <v>166</v>
      </c>
      <c r="B57" s="14">
        <v>7</v>
      </c>
      <c r="C57" s="141">
        <v>2023</v>
      </c>
      <c r="D57" s="193">
        <v>0</v>
      </c>
      <c r="E57" s="192">
        <v>0</v>
      </c>
      <c r="F57" s="193">
        <v>0</v>
      </c>
      <c r="G57" s="192">
        <v>0</v>
      </c>
      <c r="H57" s="193">
        <v>50342</v>
      </c>
      <c r="I57" s="192">
        <v>3837.3599999999997</v>
      </c>
      <c r="J57" s="194">
        <v>0</v>
      </c>
      <c r="K57" s="195">
        <v>0</v>
      </c>
      <c r="L57" s="196">
        <f t="shared" si="1"/>
        <v>3837.3599999999997</v>
      </c>
      <c r="M57" s="5" t="s">
        <v>167</v>
      </c>
      <c r="O57" t="str">
        <f t="shared" si="3"/>
        <v>Regelzone 50Hertz (gesamt)</v>
      </c>
    </row>
    <row r="58" spans="1:15" hidden="1" outlineLevel="1">
      <c r="A58" s="140" t="s">
        <v>176</v>
      </c>
      <c r="B58" s="14">
        <v>7</v>
      </c>
      <c r="C58" s="141">
        <v>2023</v>
      </c>
      <c r="D58" s="193">
        <v>0</v>
      </c>
      <c r="E58" s="192">
        <v>0</v>
      </c>
      <c r="F58" s="193">
        <v>0</v>
      </c>
      <c r="G58" s="192">
        <v>0</v>
      </c>
      <c r="H58" s="193">
        <v>2917</v>
      </c>
      <c r="I58" s="192">
        <v>379.52</v>
      </c>
      <c r="J58" s="194">
        <v>0</v>
      </c>
      <c r="K58" s="195">
        <v>0</v>
      </c>
      <c r="L58" s="196">
        <f t="shared" si="1"/>
        <v>379.52</v>
      </c>
      <c r="M58" s="5" t="s">
        <v>177</v>
      </c>
      <c r="O58" t="str">
        <f t="shared" si="3"/>
        <v>Regelzone 50Hertz (gesamt)</v>
      </c>
    </row>
    <row r="59" spans="1:15" hidden="1" outlineLevel="1">
      <c r="A59" s="140" t="s">
        <v>180</v>
      </c>
      <c r="B59" s="14">
        <v>7</v>
      </c>
      <c r="C59" s="141">
        <v>2023</v>
      </c>
      <c r="D59" s="193">
        <v>0</v>
      </c>
      <c r="E59" s="192">
        <v>0</v>
      </c>
      <c r="F59" s="193">
        <v>0</v>
      </c>
      <c r="G59" s="192">
        <v>0</v>
      </c>
      <c r="H59" s="193">
        <v>-1567134</v>
      </c>
      <c r="I59" s="192">
        <v>-98729.44</v>
      </c>
      <c r="J59" s="194">
        <v>0</v>
      </c>
      <c r="K59" s="195">
        <v>0</v>
      </c>
      <c r="L59" s="196">
        <f t="shared" si="1"/>
        <v>-98729.44</v>
      </c>
      <c r="M59" s="5" t="s">
        <v>181</v>
      </c>
      <c r="O59" t="str">
        <f t="shared" si="3"/>
        <v>Regelzone 50Hertz (gesamt)</v>
      </c>
    </row>
    <row r="60" spans="1:15" hidden="1" outlineLevel="1">
      <c r="A60" s="140" t="s">
        <v>202</v>
      </c>
      <c r="B60" s="14">
        <v>7</v>
      </c>
      <c r="C60" s="141">
        <v>2023</v>
      </c>
      <c r="D60" s="193">
        <v>0</v>
      </c>
      <c r="E60" s="192">
        <v>0</v>
      </c>
      <c r="F60" s="193">
        <v>0</v>
      </c>
      <c r="G60" s="192">
        <v>0</v>
      </c>
      <c r="H60" s="193">
        <v>12681</v>
      </c>
      <c r="I60" s="192">
        <v>1182.8800000000001</v>
      </c>
      <c r="J60" s="194">
        <v>0</v>
      </c>
      <c r="K60" s="195">
        <v>0</v>
      </c>
      <c r="L60" s="196">
        <f t="shared" si="1"/>
        <v>1182.8800000000001</v>
      </c>
      <c r="M60" s="5" t="s">
        <v>203</v>
      </c>
      <c r="O60" t="str">
        <f t="shared" si="3"/>
        <v>Regelzone 50Hertz (gesamt)</v>
      </c>
    </row>
    <row r="61" spans="1:15" hidden="1" outlineLevel="1">
      <c r="A61" s="140" t="s">
        <v>230</v>
      </c>
      <c r="B61" s="14">
        <v>7</v>
      </c>
      <c r="C61" s="141">
        <v>2023</v>
      </c>
      <c r="D61" s="193">
        <v>0</v>
      </c>
      <c r="E61" s="192">
        <v>0</v>
      </c>
      <c r="F61" s="193">
        <v>0</v>
      </c>
      <c r="G61" s="192">
        <v>0</v>
      </c>
      <c r="H61" s="193">
        <v>0</v>
      </c>
      <c r="I61" s="192">
        <v>1022.0799999999999</v>
      </c>
      <c r="J61" s="194">
        <v>0</v>
      </c>
      <c r="K61" s="195">
        <v>0</v>
      </c>
      <c r="L61" s="196">
        <f t="shared" ref="L61:L68" si="5">E61+G61+I61+J61+K61</f>
        <v>1022.0799999999999</v>
      </c>
      <c r="M61" s="5" t="s">
        <v>231</v>
      </c>
      <c r="O61" t="str">
        <f t="shared" si="3"/>
        <v>Regelzone 50Hertz (gesamt)</v>
      </c>
    </row>
    <row r="62" spans="1:15" hidden="1" outlineLevel="1">
      <c r="A62" s="140" t="s">
        <v>238</v>
      </c>
      <c r="B62" s="14">
        <v>7</v>
      </c>
      <c r="C62" s="141">
        <v>2023</v>
      </c>
      <c r="D62" s="193">
        <v>0</v>
      </c>
      <c r="E62" s="192">
        <v>0</v>
      </c>
      <c r="F62" s="193">
        <v>0</v>
      </c>
      <c r="G62" s="192">
        <v>0</v>
      </c>
      <c r="H62" s="193">
        <v>5890055</v>
      </c>
      <c r="I62" s="192">
        <v>388269</v>
      </c>
      <c r="J62" s="194">
        <v>-6806.62</v>
      </c>
      <c r="K62" s="195">
        <v>0</v>
      </c>
      <c r="L62" s="196">
        <f t="shared" si="5"/>
        <v>381462.38</v>
      </c>
      <c r="M62" s="5" t="s">
        <v>239</v>
      </c>
      <c r="O62" t="str">
        <f t="shared" si="3"/>
        <v>Regelzone 50Hertz (gesamt)</v>
      </c>
    </row>
    <row r="63" spans="1:15" hidden="1" outlineLevel="1">
      <c r="A63" s="140" t="s">
        <v>250</v>
      </c>
      <c r="B63" s="14">
        <v>7</v>
      </c>
      <c r="C63" s="141">
        <v>2023</v>
      </c>
      <c r="D63" s="193">
        <v>0</v>
      </c>
      <c r="E63" s="192">
        <v>0</v>
      </c>
      <c r="F63" s="193">
        <v>1575077</v>
      </c>
      <c r="G63" s="192">
        <v>75623.679999999978</v>
      </c>
      <c r="H63" s="193">
        <v>2294247</v>
      </c>
      <c r="I63" s="192">
        <v>225691.30999999997</v>
      </c>
      <c r="J63" s="194">
        <v>0</v>
      </c>
      <c r="K63" s="195">
        <v>0</v>
      </c>
      <c r="L63" s="196">
        <f t="shared" si="5"/>
        <v>301314.98999999993</v>
      </c>
      <c r="M63" s="5" t="s">
        <v>251</v>
      </c>
      <c r="O63" t="str">
        <f t="shared" si="3"/>
        <v>Regelzone 50Hertz (gesamt)</v>
      </c>
    </row>
    <row r="64" spans="1:15" hidden="1" outlineLevel="1">
      <c r="A64" s="140" t="s">
        <v>252</v>
      </c>
      <c r="B64" s="14">
        <v>7</v>
      </c>
      <c r="C64" s="141">
        <v>2023</v>
      </c>
      <c r="D64" s="193">
        <v>0</v>
      </c>
      <c r="E64" s="192">
        <v>0</v>
      </c>
      <c r="F64" s="193">
        <v>43164</v>
      </c>
      <c r="G64" s="192">
        <v>2335.1800000000003</v>
      </c>
      <c r="H64" s="193">
        <v>528101</v>
      </c>
      <c r="I64" s="192">
        <v>49304.679999999993</v>
      </c>
      <c r="J64" s="194">
        <v>0</v>
      </c>
      <c r="K64" s="195">
        <v>0</v>
      </c>
      <c r="L64" s="196">
        <f t="shared" si="5"/>
        <v>51639.859999999993</v>
      </c>
      <c r="M64" s="5" t="s">
        <v>253</v>
      </c>
      <c r="O64" t="str">
        <f t="shared" si="3"/>
        <v>Regelzone 50Hertz (gesamt)</v>
      </c>
    </row>
    <row r="65" spans="1:17" hidden="1" outlineLevel="1">
      <c r="A65" s="140" t="s">
        <v>264</v>
      </c>
      <c r="B65" s="14">
        <v>7</v>
      </c>
      <c r="C65" s="141">
        <v>2023</v>
      </c>
      <c r="D65" s="193">
        <v>0</v>
      </c>
      <c r="E65" s="192">
        <v>0</v>
      </c>
      <c r="F65" s="193">
        <v>1776</v>
      </c>
      <c r="G65" s="192">
        <v>96.08</v>
      </c>
      <c r="H65" s="193">
        <v>0</v>
      </c>
      <c r="I65" s="192">
        <v>0</v>
      </c>
      <c r="J65" s="194">
        <v>0</v>
      </c>
      <c r="K65" s="195">
        <v>0</v>
      </c>
      <c r="L65" s="196">
        <f t="shared" si="5"/>
        <v>96.08</v>
      </c>
      <c r="M65" s="5" t="s">
        <v>265</v>
      </c>
      <c r="O65" t="str">
        <f t="shared" si="3"/>
        <v>Regelzone 50Hertz (gesamt)</v>
      </c>
    </row>
    <row r="66" spans="1:17" hidden="1" outlineLevel="1">
      <c r="A66" s="140" t="s">
        <v>298</v>
      </c>
      <c r="B66" s="14">
        <v>7</v>
      </c>
      <c r="C66" s="141">
        <v>2023</v>
      </c>
      <c r="D66" s="193">
        <v>0</v>
      </c>
      <c r="E66" s="192">
        <v>0</v>
      </c>
      <c r="F66" s="193">
        <v>0</v>
      </c>
      <c r="G66" s="192">
        <v>0</v>
      </c>
      <c r="H66" s="193">
        <v>-7782</v>
      </c>
      <c r="I66" s="192">
        <v>404.16000000000008</v>
      </c>
      <c r="J66" s="194">
        <v>0</v>
      </c>
      <c r="K66" s="195">
        <v>0</v>
      </c>
      <c r="L66" s="196">
        <f t="shared" si="5"/>
        <v>404.16000000000008</v>
      </c>
      <c r="M66" s="5" t="s">
        <v>299</v>
      </c>
      <c r="O66" t="str">
        <f t="shared" si="3"/>
        <v>Regelzone 50Hertz (gesamt)</v>
      </c>
    </row>
    <row r="67" spans="1:17" hidden="1" outlineLevel="1">
      <c r="A67" s="140" t="s">
        <v>300</v>
      </c>
      <c r="B67" s="14">
        <v>7</v>
      </c>
      <c r="C67" s="141">
        <v>2023</v>
      </c>
      <c r="D67" s="193">
        <v>0</v>
      </c>
      <c r="E67" s="192">
        <v>0</v>
      </c>
      <c r="F67" s="193">
        <v>144566</v>
      </c>
      <c r="G67" s="192">
        <v>7821.02</v>
      </c>
      <c r="H67" s="193">
        <v>3843</v>
      </c>
      <c r="I67" s="192">
        <v>231.56</v>
      </c>
      <c r="J67" s="194">
        <v>0</v>
      </c>
      <c r="K67" s="195">
        <v>0</v>
      </c>
      <c r="L67" s="196">
        <f t="shared" si="5"/>
        <v>8052.5800000000008</v>
      </c>
      <c r="M67" s="5" t="s">
        <v>301</v>
      </c>
      <c r="O67" t="str">
        <f t="shared" si="3"/>
        <v>Regelzone 50Hertz (gesamt)</v>
      </c>
    </row>
    <row r="68" spans="1:17" hidden="1" outlineLevel="1">
      <c r="A68" s="140" t="s">
        <v>304</v>
      </c>
      <c r="B68" s="14">
        <v>7</v>
      </c>
      <c r="C68" s="141">
        <v>2023</v>
      </c>
      <c r="D68" s="193">
        <v>0</v>
      </c>
      <c r="E68" s="192">
        <v>0</v>
      </c>
      <c r="F68" s="193">
        <v>0</v>
      </c>
      <c r="G68" s="192">
        <v>0</v>
      </c>
      <c r="H68" s="193">
        <v>4913</v>
      </c>
      <c r="I68" s="192">
        <v>502.88</v>
      </c>
      <c r="J68" s="194">
        <v>0</v>
      </c>
      <c r="K68" s="195">
        <v>0</v>
      </c>
      <c r="L68" s="196">
        <f t="shared" si="5"/>
        <v>502.88</v>
      </c>
      <c r="M68" s="5" t="s">
        <v>305</v>
      </c>
      <c r="O68" t="str">
        <f t="shared" si="3"/>
        <v>Regelzone 50Hertz (gesamt)</v>
      </c>
    </row>
    <row r="69" spans="1:17" hidden="1" outlineLevel="1">
      <c r="A69" s="140" t="s">
        <v>310</v>
      </c>
      <c r="B69" s="14">
        <v>7</v>
      </c>
      <c r="C69" s="141">
        <v>2023</v>
      </c>
      <c r="D69" s="193">
        <v>0</v>
      </c>
      <c r="E69" s="192">
        <v>0</v>
      </c>
      <c r="F69" s="193">
        <v>2851930</v>
      </c>
      <c r="G69" s="192">
        <v>152971.45000000001</v>
      </c>
      <c r="H69" s="193">
        <v>33184355</v>
      </c>
      <c r="I69" s="192">
        <v>2005790.1299999994</v>
      </c>
      <c r="J69" s="194">
        <v>-5245.5999999999995</v>
      </c>
      <c r="K69" s="195">
        <v>0</v>
      </c>
      <c r="L69" s="196">
        <f t="shared" ref="L69:L73" si="6">E69+G69+I69+J69+K69</f>
        <v>2153515.9799999995</v>
      </c>
      <c r="M69" s="5" t="s">
        <v>311</v>
      </c>
      <c r="O69" t="str">
        <f t="shared" si="3"/>
        <v>Regelzone 50Hertz (gesamt)</v>
      </c>
    </row>
    <row r="70" spans="1:17" hidden="1" outlineLevel="1">
      <c r="A70" s="140" t="s">
        <v>316</v>
      </c>
      <c r="B70" s="14">
        <v>7</v>
      </c>
      <c r="C70" s="141">
        <v>2023</v>
      </c>
      <c r="D70" s="193">
        <v>0</v>
      </c>
      <c r="E70" s="192">
        <v>0</v>
      </c>
      <c r="F70" s="193">
        <v>985183</v>
      </c>
      <c r="G70" s="192">
        <v>51728.979999999996</v>
      </c>
      <c r="H70" s="193">
        <v>1455495</v>
      </c>
      <c r="I70" s="192">
        <v>97044.050000000017</v>
      </c>
      <c r="J70" s="194">
        <v>0</v>
      </c>
      <c r="K70" s="195">
        <v>0</v>
      </c>
      <c r="L70" s="196">
        <f t="shared" ref="L70" si="7">E70+G70+I70+J70+K70</f>
        <v>148773.03000000003</v>
      </c>
      <c r="M70" s="5" t="s">
        <v>317</v>
      </c>
      <c r="O70" t="str">
        <f t="shared" si="3"/>
        <v>Regelzone 50Hertz (gesamt)</v>
      </c>
    </row>
    <row r="71" spans="1:17" hidden="1" outlineLevel="1">
      <c r="A71" s="140" t="s">
        <v>318</v>
      </c>
      <c r="B71" s="14">
        <v>7</v>
      </c>
      <c r="C71" s="141">
        <v>2023</v>
      </c>
      <c r="D71" s="193">
        <v>0</v>
      </c>
      <c r="E71" s="192">
        <v>0</v>
      </c>
      <c r="F71" s="193">
        <v>0</v>
      </c>
      <c r="G71" s="192">
        <v>0</v>
      </c>
      <c r="H71" s="193">
        <v>1125985</v>
      </c>
      <c r="I71" s="192">
        <v>69596.710000000006</v>
      </c>
      <c r="J71" s="194">
        <v>0</v>
      </c>
      <c r="K71" s="195">
        <v>0</v>
      </c>
      <c r="L71" s="196">
        <f t="shared" si="6"/>
        <v>69596.710000000006</v>
      </c>
      <c r="M71" s="5" t="s">
        <v>319</v>
      </c>
      <c r="O71" t="str">
        <f t="shared" si="3"/>
        <v>Regelzone 50Hertz (gesamt)</v>
      </c>
    </row>
    <row r="72" spans="1:17" hidden="1" outlineLevel="1">
      <c r="A72" s="140" t="s">
        <v>322</v>
      </c>
      <c r="B72" s="14">
        <v>7</v>
      </c>
      <c r="C72" s="141">
        <v>2023</v>
      </c>
      <c r="D72" s="193">
        <v>0</v>
      </c>
      <c r="E72" s="192">
        <v>0</v>
      </c>
      <c r="F72" s="193">
        <v>0</v>
      </c>
      <c r="G72" s="192">
        <v>0</v>
      </c>
      <c r="H72" s="193">
        <v>0</v>
      </c>
      <c r="I72" s="192">
        <v>234.07999999999998</v>
      </c>
      <c r="J72" s="194">
        <v>0</v>
      </c>
      <c r="K72" s="195">
        <v>0</v>
      </c>
      <c r="L72" s="196">
        <f t="shared" si="6"/>
        <v>234.07999999999998</v>
      </c>
      <c r="M72" s="5" t="s">
        <v>323</v>
      </c>
      <c r="O72" t="str">
        <f t="shared" si="3"/>
        <v>Regelzone 50Hertz (gesamt)</v>
      </c>
    </row>
    <row r="73" spans="1:17" hidden="1" outlineLevel="1">
      <c r="A73" s="140" t="s">
        <v>348</v>
      </c>
      <c r="B73" s="14">
        <v>7</v>
      </c>
      <c r="C73" s="141">
        <v>2023</v>
      </c>
      <c r="D73" s="193">
        <v>0</v>
      </c>
      <c r="E73" s="192">
        <v>0</v>
      </c>
      <c r="F73" s="193">
        <v>0</v>
      </c>
      <c r="G73" s="192">
        <v>0</v>
      </c>
      <c r="H73" s="193">
        <v>204770</v>
      </c>
      <c r="I73" s="192">
        <v>13425.579999999998</v>
      </c>
      <c r="J73" s="194">
        <v>0</v>
      </c>
      <c r="K73" s="195">
        <v>0</v>
      </c>
      <c r="L73" s="196">
        <f t="shared" si="6"/>
        <v>13425.579999999998</v>
      </c>
      <c r="M73" s="5" t="s">
        <v>349</v>
      </c>
      <c r="O73" t="str">
        <f t="shared" si="3"/>
        <v>Regelzone 50Hertz (gesamt)</v>
      </c>
    </row>
    <row r="74" spans="1:17" hidden="1" outlineLevel="1">
      <c r="A74" s="140" t="s">
        <v>350</v>
      </c>
      <c r="B74" s="14">
        <v>7</v>
      </c>
      <c r="C74" s="141">
        <v>2023</v>
      </c>
      <c r="D74" s="193">
        <v>0</v>
      </c>
      <c r="E74" s="192">
        <v>0</v>
      </c>
      <c r="F74" s="193">
        <v>0</v>
      </c>
      <c r="G74" s="192">
        <v>0</v>
      </c>
      <c r="H74" s="193">
        <v>22000</v>
      </c>
      <c r="I74" s="192">
        <v>1633.48</v>
      </c>
      <c r="J74" s="194">
        <v>0</v>
      </c>
      <c r="K74" s="195">
        <v>0</v>
      </c>
      <c r="L74" s="196">
        <f t="shared" ref="L74:L75" si="8">E74+G74+I74+J74+K74</f>
        <v>1633.48</v>
      </c>
      <c r="M74" s="5" t="s">
        <v>351</v>
      </c>
      <c r="O74" t="str">
        <f t="shared" si="3"/>
        <v>Regelzone 50Hertz (gesamt)</v>
      </c>
    </row>
    <row r="75" spans="1:17" hidden="1" outlineLevel="1">
      <c r="A75" s="140" t="s">
        <v>352</v>
      </c>
      <c r="B75" s="14">
        <v>7</v>
      </c>
      <c r="C75" s="141">
        <v>2023</v>
      </c>
      <c r="D75" s="193">
        <v>0</v>
      </c>
      <c r="E75" s="192">
        <v>0</v>
      </c>
      <c r="F75" s="193">
        <v>0</v>
      </c>
      <c r="G75" s="192">
        <v>0</v>
      </c>
      <c r="H75" s="193">
        <v>68066001</v>
      </c>
      <c r="I75" s="192">
        <v>2321929.62</v>
      </c>
      <c r="J75" s="194">
        <v>0</v>
      </c>
      <c r="K75" s="195">
        <v>0</v>
      </c>
      <c r="L75" s="196">
        <f t="shared" si="8"/>
        <v>2321929.62</v>
      </c>
      <c r="M75" s="5" t="s">
        <v>353</v>
      </c>
      <c r="O75" t="str">
        <f t="shared" si="3"/>
        <v>Regelzone 50Hertz (gesamt)</v>
      </c>
    </row>
    <row r="76" spans="1:17" hidden="1" outlineLevel="1">
      <c r="A76" s="140" t="s">
        <v>386</v>
      </c>
      <c r="B76" s="14">
        <v>7</v>
      </c>
      <c r="C76" s="141">
        <v>2023</v>
      </c>
      <c r="D76" s="193">
        <v>0</v>
      </c>
      <c r="E76" s="192">
        <v>0</v>
      </c>
      <c r="F76" s="193">
        <v>0</v>
      </c>
      <c r="G76" s="192">
        <v>0</v>
      </c>
      <c r="H76" s="193">
        <v>1434</v>
      </c>
      <c r="I76" s="192">
        <v>114.72</v>
      </c>
      <c r="J76" s="194">
        <v>-23.62</v>
      </c>
      <c r="K76" s="195">
        <v>0</v>
      </c>
      <c r="L76" s="196">
        <f t="shared" ref="L76:L79" si="9">E76+G76+I76+J76+K76</f>
        <v>91.1</v>
      </c>
      <c r="M76" s="5" t="s">
        <v>387</v>
      </c>
      <c r="O76" t="str">
        <f t="shared" si="3"/>
        <v>Regelzone 50Hertz (gesamt)</v>
      </c>
    </row>
    <row r="77" spans="1:17" hidden="1" outlineLevel="1">
      <c r="A77" s="140" t="s">
        <v>390</v>
      </c>
      <c r="B77" s="14">
        <v>7</v>
      </c>
      <c r="C77" s="141">
        <v>2023</v>
      </c>
      <c r="D77" s="193">
        <v>0</v>
      </c>
      <c r="E77" s="192">
        <v>0</v>
      </c>
      <c r="F77" s="193">
        <v>0</v>
      </c>
      <c r="G77" s="192">
        <v>0</v>
      </c>
      <c r="H77" s="193">
        <v>11841</v>
      </c>
      <c r="I77" s="192">
        <v>987.92</v>
      </c>
      <c r="J77" s="194">
        <v>0</v>
      </c>
      <c r="K77" s="195">
        <v>0</v>
      </c>
      <c r="L77" s="196">
        <f t="shared" si="9"/>
        <v>987.92</v>
      </c>
      <c r="M77" s="5" t="s">
        <v>391</v>
      </c>
      <c r="O77" t="str">
        <f t="shared" si="3"/>
        <v>Regelzone 50Hertz (gesamt)</v>
      </c>
    </row>
    <row r="78" spans="1:17" hidden="1" outlineLevel="1">
      <c r="A78" s="140" t="s">
        <v>196</v>
      </c>
      <c r="B78" s="14">
        <v>7</v>
      </c>
      <c r="C78" s="141">
        <v>2023</v>
      </c>
      <c r="D78" s="193">
        <v>0</v>
      </c>
      <c r="E78" s="192">
        <v>0</v>
      </c>
      <c r="F78" s="193">
        <v>0</v>
      </c>
      <c r="G78" s="192">
        <v>0</v>
      </c>
      <c r="H78" s="193">
        <v>0</v>
      </c>
      <c r="I78" s="192">
        <v>0</v>
      </c>
      <c r="J78" s="194">
        <v>1625.68</v>
      </c>
      <c r="K78" s="195">
        <v>0</v>
      </c>
      <c r="L78" s="196">
        <f t="shared" ref="L78" si="10">E78+G78+I78+J78+K78</f>
        <v>1625.68</v>
      </c>
      <c r="M78" s="5" t="s">
        <v>197</v>
      </c>
      <c r="O78" t="str">
        <f t="shared" si="3"/>
        <v>Regelzone 50Hertz (gesamt)</v>
      </c>
    </row>
    <row r="79" spans="1:17" ht="25.5" collapsed="1">
      <c r="A79" s="139" t="s">
        <v>404</v>
      </c>
      <c r="B79" s="69"/>
      <c r="C79" s="1132"/>
      <c r="D79" s="189">
        <f t="shared" ref="D79:K79" si="11">SUM(D80:D314)</f>
        <v>3895148</v>
      </c>
      <c r="E79" s="188">
        <f t="shared" si="11"/>
        <v>138243.78999999998</v>
      </c>
      <c r="F79" s="189">
        <f t="shared" si="11"/>
        <v>95216368</v>
      </c>
      <c r="G79" s="188">
        <f t="shared" si="11"/>
        <v>3459833.5499999984</v>
      </c>
      <c r="H79" s="189">
        <f t="shared" si="11"/>
        <v>290892944</v>
      </c>
      <c r="I79" s="188">
        <f t="shared" si="11"/>
        <v>12652334.680000005</v>
      </c>
      <c r="J79" s="190">
        <f t="shared" si="11"/>
        <v>-53749.070000000014</v>
      </c>
      <c r="K79" s="191">
        <f t="shared" si="11"/>
        <v>0</v>
      </c>
      <c r="L79" s="191">
        <f t="shared" si="9"/>
        <v>16196662.950000003</v>
      </c>
      <c r="M79" s="5"/>
      <c r="Q79" s="127"/>
    </row>
    <row r="80" spans="1:17" hidden="1" outlineLevel="1">
      <c r="A80" s="139" t="s">
        <v>678</v>
      </c>
      <c r="B80" s="71">
        <v>7</v>
      </c>
      <c r="C80" s="1133">
        <v>2016</v>
      </c>
      <c r="D80" s="198">
        <v>0</v>
      </c>
      <c r="E80" s="197">
        <v>0</v>
      </c>
      <c r="F80" s="198">
        <v>12135</v>
      </c>
      <c r="G80" s="197">
        <v>656.5</v>
      </c>
      <c r="H80" s="198">
        <v>0</v>
      </c>
      <c r="I80" s="197">
        <v>0</v>
      </c>
      <c r="J80" s="199">
        <v>0</v>
      </c>
      <c r="K80" s="200">
        <v>0</v>
      </c>
      <c r="L80" s="196">
        <f>E80+G80+I80+J80+K80</f>
        <v>656.5</v>
      </c>
      <c r="M80" s="5"/>
      <c r="O80" t="str">
        <f>$A$79</f>
        <v>Regelzone Amprion (gesamt)</v>
      </c>
    </row>
    <row r="81" spans="1:15" hidden="1" outlineLevel="1">
      <c r="A81" s="139" t="s">
        <v>591</v>
      </c>
      <c r="B81" s="71">
        <v>7</v>
      </c>
      <c r="C81" s="1133">
        <v>2017</v>
      </c>
      <c r="D81" s="198">
        <v>0</v>
      </c>
      <c r="E81" s="197">
        <v>0</v>
      </c>
      <c r="F81" s="198">
        <v>9943944</v>
      </c>
      <c r="G81" s="197">
        <v>280734.09999999998</v>
      </c>
      <c r="H81" s="198">
        <v>0</v>
      </c>
      <c r="I81" s="197">
        <v>0</v>
      </c>
      <c r="J81" s="199">
        <v>0</v>
      </c>
      <c r="K81" s="200">
        <v>0</v>
      </c>
      <c r="L81" s="196">
        <f t="shared" ref="L81:L144" si="12">E81+G81+I81+J81+K81</f>
        <v>280734.09999999998</v>
      </c>
      <c r="M81" s="5"/>
      <c r="O81" t="str">
        <f t="shared" ref="O81:O144" si="13">$A$79</f>
        <v>Regelzone Amprion (gesamt)</v>
      </c>
    </row>
    <row r="82" spans="1:15" hidden="1" outlineLevel="1">
      <c r="A82" s="139" t="s">
        <v>678</v>
      </c>
      <c r="B82" s="71">
        <v>7</v>
      </c>
      <c r="C82" s="1133">
        <v>2017</v>
      </c>
      <c r="D82" s="198">
        <v>0</v>
      </c>
      <c r="E82" s="197">
        <v>0</v>
      </c>
      <c r="F82" s="198">
        <v>13058</v>
      </c>
      <c r="G82" s="197">
        <v>706.44</v>
      </c>
      <c r="H82" s="198">
        <v>0</v>
      </c>
      <c r="I82" s="197">
        <v>0</v>
      </c>
      <c r="J82" s="199">
        <v>0</v>
      </c>
      <c r="K82" s="200">
        <v>0</v>
      </c>
      <c r="L82" s="196">
        <f t="shared" si="12"/>
        <v>706.44</v>
      </c>
      <c r="M82" s="5"/>
      <c r="O82" t="str">
        <f t="shared" si="13"/>
        <v>Regelzone Amprion (gesamt)</v>
      </c>
    </row>
    <row r="83" spans="1:15" hidden="1" outlineLevel="1">
      <c r="A83" s="139" t="s">
        <v>469</v>
      </c>
      <c r="B83" s="71">
        <v>7</v>
      </c>
      <c r="C83" s="1133">
        <v>2018</v>
      </c>
      <c r="D83" s="198">
        <v>0</v>
      </c>
      <c r="E83" s="197">
        <v>0</v>
      </c>
      <c r="F83" s="198">
        <v>0</v>
      </c>
      <c r="G83" s="197">
        <v>0</v>
      </c>
      <c r="H83" s="198">
        <v>162196</v>
      </c>
      <c r="I83" s="197">
        <v>10112.11</v>
      </c>
      <c r="J83" s="199">
        <v>-2022.42</v>
      </c>
      <c r="K83" s="200">
        <v>0</v>
      </c>
      <c r="L83" s="196">
        <f t="shared" si="12"/>
        <v>8089.6900000000005</v>
      </c>
      <c r="M83" s="5"/>
      <c r="O83" t="str">
        <f t="shared" si="13"/>
        <v>Regelzone Amprion (gesamt)</v>
      </c>
    </row>
    <row r="84" spans="1:15" hidden="1" outlineLevel="1">
      <c r="A84" s="139" t="s">
        <v>591</v>
      </c>
      <c r="B84" s="71">
        <v>7</v>
      </c>
      <c r="C84" s="1133">
        <v>2018</v>
      </c>
      <c r="D84" s="198">
        <v>0</v>
      </c>
      <c r="E84" s="197">
        <v>0</v>
      </c>
      <c r="F84" s="198">
        <v>6045991</v>
      </c>
      <c r="G84" s="197">
        <v>170688.4</v>
      </c>
      <c r="H84" s="198">
        <v>0</v>
      </c>
      <c r="I84" s="197">
        <v>0</v>
      </c>
      <c r="J84" s="199">
        <v>0</v>
      </c>
      <c r="K84" s="200">
        <v>0</v>
      </c>
      <c r="L84" s="196">
        <f t="shared" si="12"/>
        <v>170688.4</v>
      </c>
      <c r="M84" s="5"/>
      <c r="O84" t="str">
        <f t="shared" si="13"/>
        <v>Regelzone Amprion (gesamt)</v>
      </c>
    </row>
    <row r="85" spans="1:15" hidden="1" outlineLevel="1">
      <c r="A85" s="139" t="s">
        <v>662</v>
      </c>
      <c r="B85" s="71">
        <v>7</v>
      </c>
      <c r="C85" s="1133">
        <v>2018</v>
      </c>
      <c r="D85" s="198">
        <v>211869</v>
      </c>
      <c r="E85" s="197">
        <v>10826.51</v>
      </c>
      <c r="F85" s="198">
        <v>210944</v>
      </c>
      <c r="G85" s="197">
        <v>11412.06</v>
      </c>
      <c r="H85" s="198">
        <v>1975340</v>
      </c>
      <c r="I85" s="197">
        <v>139623.72</v>
      </c>
      <c r="J85" s="199">
        <v>-979.24</v>
      </c>
      <c r="K85" s="200">
        <v>0</v>
      </c>
      <c r="L85" s="196">
        <f t="shared" si="12"/>
        <v>160883.05000000002</v>
      </c>
      <c r="M85" s="5"/>
      <c r="O85" t="str">
        <f t="shared" si="13"/>
        <v>Regelzone Amprion (gesamt)</v>
      </c>
    </row>
    <row r="86" spans="1:15" hidden="1" outlineLevel="1">
      <c r="A86" s="139" t="s">
        <v>678</v>
      </c>
      <c r="B86" s="71">
        <v>7</v>
      </c>
      <c r="C86" s="1133">
        <v>2018</v>
      </c>
      <c r="D86" s="198">
        <v>0</v>
      </c>
      <c r="E86" s="197">
        <v>0</v>
      </c>
      <c r="F86" s="198">
        <v>15080</v>
      </c>
      <c r="G86" s="197">
        <v>815.83</v>
      </c>
      <c r="H86" s="198">
        <v>0</v>
      </c>
      <c r="I86" s="197">
        <v>0</v>
      </c>
      <c r="J86" s="199">
        <v>0</v>
      </c>
      <c r="K86" s="200">
        <v>0</v>
      </c>
      <c r="L86" s="196">
        <f t="shared" si="12"/>
        <v>815.83</v>
      </c>
      <c r="M86" s="5"/>
      <c r="O86" t="str">
        <f t="shared" si="13"/>
        <v>Regelzone Amprion (gesamt)</v>
      </c>
    </row>
    <row r="87" spans="1:15" hidden="1" outlineLevel="1">
      <c r="A87" s="139" t="s">
        <v>469</v>
      </c>
      <c r="B87" s="71">
        <v>7</v>
      </c>
      <c r="C87" s="1133">
        <v>2019</v>
      </c>
      <c r="D87" s="198">
        <v>0</v>
      </c>
      <c r="E87" s="197">
        <v>0</v>
      </c>
      <c r="F87" s="198">
        <v>0</v>
      </c>
      <c r="G87" s="197">
        <v>0</v>
      </c>
      <c r="H87" s="198">
        <v>495944</v>
      </c>
      <c r="I87" s="197">
        <v>30186.68</v>
      </c>
      <c r="J87" s="199">
        <v>-5729.31</v>
      </c>
      <c r="K87" s="200">
        <v>0</v>
      </c>
      <c r="L87" s="196">
        <f t="shared" si="12"/>
        <v>24457.37</v>
      </c>
      <c r="M87" s="5"/>
      <c r="O87" t="str">
        <f t="shared" si="13"/>
        <v>Regelzone Amprion (gesamt)</v>
      </c>
    </row>
    <row r="88" spans="1:15" hidden="1" outlineLevel="1">
      <c r="A88" s="139" t="s">
        <v>495</v>
      </c>
      <c r="B88" s="71">
        <v>7</v>
      </c>
      <c r="C88" s="1133">
        <v>2019</v>
      </c>
      <c r="D88" s="198">
        <v>0</v>
      </c>
      <c r="E88" s="197">
        <v>0</v>
      </c>
      <c r="F88" s="198">
        <v>0</v>
      </c>
      <c r="G88" s="197">
        <v>0</v>
      </c>
      <c r="H88" s="198">
        <v>4785</v>
      </c>
      <c r="I88" s="197">
        <v>380.32</v>
      </c>
      <c r="J88" s="199">
        <v>0</v>
      </c>
      <c r="K88" s="200">
        <v>0</v>
      </c>
      <c r="L88" s="196">
        <f t="shared" si="12"/>
        <v>380.32</v>
      </c>
      <c r="M88" s="5"/>
      <c r="O88" t="str">
        <f t="shared" si="13"/>
        <v>Regelzone Amprion (gesamt)</v>
      </c>
    </row>
    <row r="89" spans="1:15" hidden="1" outlineLevel="1">
      <c r="A89" s="139" t="s">
        <v>591</v>
      </c>
      <c r="B89" s="71">
        <v>7</v>
      </c>
      <c r="C89" s="1133">
        <v>2019</v>
      </c>
      <c r="D89" s="198">
        <v>0</v>
      </c>
      <c r="E89" s="197">
        <v>0</v>
      </c>
      <c r="F89" s="198">
        <v>10440061</v>
      </c>
      <c r="G89" s="197">
        <v>294740.28999999998</v>
      </c>
      <c r="H89" s="198">
        <v>0</v>
      </c>
      <c r="I89" s="197">
        <v>0</v>
      </c>
      <c r="J89" s="199">
        <v>0</v>
      </c>
      <c r="K89" s="200">
        <v>0</v>
      </c>
      <c r="L89" s="196">
        <f t="shared" si="12"/>
        <v>294740.28999999998</v>
      </c>
      <c r="M89" s="5"/>
      <c r="O89" t="str">
        <f t="shared" si="13"/>
        <v>Regelzone Amprion (gesamt)</v>
      </c>
    </row>
    <row r="90" spans="1:15" hidden="1" outlineLevel="1">
      <c r="A90" s="139" t="s">
        <v>678</v>
      </c>
      <c r="B90" s="71">
        <v>7</v>
      </c>
      <c r="C90" s="1133">
        <v>2019</v>
      </c>
      <c r="D90" s="198">
        <v>0</v>
      </c>
      <c r="E90" s="197">
        <v>0</v>
      </c>
      <c r="F90" s="198">
        <v>15080</v>
      </c>
      <c r="G90" s="197">
        <v>815.83</v>
      </c>
      <c r="H90" s="198">
        <v>0</v>
      </c>
      <c r="I90" s="197">
        <v>0</v>
      </c>
      <c r="J90" s="199">
        <v>0</v>
      </c>
      <c r="K90" s="200">
        <v>0</v>
      </c>
      <c r="L90" s="196">
        <f t="shared" si="12"/>
        <v>815.83</v>
      </c>
      <c r="M90" s="5"/>
      <c r="O90" t="str">
        <f t="shared" si="13"/>
        <v>Regelzone Amprion (gesamt)</v>
      </c>
    </row>
    <row r="91" spans="1:15" hidden="1" outlineLevel="1">
      <c r="A91" s="139" t="s">
        <v>449</v>
      </c>
      <c r="B91" s="71">
        <v>7</v>
      </c>
      <c r="C91" s="1133">
        <v>2020</v>
      </c>
      <c r="D91" s="198">
        <v>374875</v>
      </c>
      <c r="E91" s="197">
        <v>19156.12</v>
      </c>
      <c r="F91" s="198">
        <v>6070535</v>
      </c>
      <c r="G91" s="197">
        <v>240839.55</v>
      </c>
      <c r="H91" s="198">
        <v>2721189</v>
      </c>
      <c r="I91" s="197">
        <v>184080.73</v>
      </c>
      <c r="J91" s="199">
        <v>-3304.11</v>
      </c>
      <c r="K91" s="200">
        <v>0</v>
      </c>
      <c r="L91" s="196">
        <f t="shared" si="12"/>
        <v>440772.29000000004</v>
      </c>
      <c r="M91" s="5"/>
      <c r="O91" t="str">
        <f t="shared" si="13"/>
        <v>Regelzone Amprion (gesamt)</v>
      </c>
    </row>
    <row r="92" spans="1:15" hidden="1" outlineLevel="1">
      <c r="A92" s="139" t="s">
        <v>469</v>
      </c>
      <c r="B92" s="71">
        <v>7</v>
      </c>
      <c r="C92" s="1133">
        <v>2020</v>
      </c>
      <c r="D92" s="198">
        <v>0</v>
      </c>
      <c r="E92" s="197">
        <v>0</v>
      </c>
      <c r="F92" s="198">
        <v>0</v>
      </c>
      <c r="G92" s="197">
        <v>0</v>
      </c>
      <c r="H92" s="198">
        <v>410281</v>
      </c>
      <c r="I92" s="197">
        <v>40593.919999999998</v>
      </c>
      <c r="J92" s="199">
        <v>-2526.5</v>
      </c>
      <c r="K92" s="200">
        <v>0</v>
      </c>
      <c r="L92" s="196">
        <f t="shared" si="12"/>
        <v>38067.42</v>
      </c>
      <c r="M92" s="5"/>
      <c r="O92" t="str">
        <f t="shared" si="13"/>
        <v>Regelzone Amprion (gesamt)</v>
      </c>
    </row>
    <row r="93" spans="1:15" hidden="1" outlineLevel="1">
      <c r="A93" s="139" t="s">
        <v>495</v>
      </c>
      <c r="B93" s="71">
        <v>7</v>
      </c>
      <c r="C93" s="1133">
        <v>2020</v>
      </c>
      <c r="D93" s="198">
        <v>0</v>
      </c>
      <c r="E93" s="197">
        <v>0</v>
      </c>
      <c r="F93" s="198">
        <v>0</v>
      </c>
      <c r="G93" s="197">
        <v>0</v>
      </c>
      <c r="H93" s="198">
        <v>5816</v>
      </c>
      <c r="I93" s="197">
        <v>361.24</v>
      </c>
      <c r="J93" s="199">
        <v>0</v>
      </c>
      <c r="K93" s="200">
        <v>0</v>
      </c>
      <c r="L93" s="196">
        <f t="shared" si="12"/>
        <v>361.24</v>
      </c>
      <c r="M93" s="5"/>
      <c r="O93" t="str">
        <f t="shared" si="13"/>
        <v>Regelzone Amprion (gesamt)</v>
      </c>
    </row>
    <row r="94" spans="1:15" hidden="1" outlineLevel="1">
      <c r="A94" s="139" t="s">
        <v>591</v>
      </c>
      <c r="B94" s="71">
        <v>7</v>
      </c>
      <c r="C94" s="1133">
        <v>2020</v>
      </c>
      <c r="D94" s="198">
        <v>0</v>
      </c>
      <c r="E94" s="197">
        <v>0</v>
      </c>
      <c r="F94" s="198">
        <v>6475230</v>
      </c>
      <c r="G94" s="197">
        <v>182806.52</v>
      </c>
      <c r="H94" s="198">
        <v>0</v>
      </c>
      <c r="I94" s="197">
        <v>0</v>
      </c>
      <c r="J94" s="199">
        <v>0</v>
      </c>
      <c r="K94" s="200">
        <v>0</v>
      </c>
      <c r="L94" s="196">
        <f t="shared" si="12"/>
        <v>182806.52</v>
      </c>
      <c r="M94" s="5"/>
      <c r="O94" t="str">
        <f t="shared" si="13"/>
        <v>Regelzone Amprion (gesamt)</v>
      </c>
    </row>
    <row r="95" spans="1:15" hidden="1" outlineLevel="1">
      <c r="A95" s="139" t="s">
        <v>678</v>
      </c>
      <c r="B95" s="71">
        <v>7</v>
      </c>
      <c r="C95" s="1133">
        <v>2020</v>
      </c>
      <c r="D95" s="198">
        <v>0</v>
      </c>
      <c r="E95" s="197">
        <v>0</v>
      </c>
      <c r="F95" s="198">
        <v>15087</v>
      </c>
      <c r="G95" s="197">
        <v>816.21</v>
      </c>
      <c r="H95" s="198">
        <v>0</v>
      </c>
      <c r="I95" s="197">
        <v>0</v>
      </c>
      <c r="J95" s="199">
        <v>0</v>
      </c>
      <c r="K95" s="200">
        <v>0</v>
      </c>
      <c r="L95" s="196">
        <f t="shared" si="12"/>
        <v>816.21</v>
      </c>
      <c r="M95" s="5"/>
      <c r="O95" t="str">
        <f t="shared" si="13"/>
        <v>Regelzone Amprion (gesamt)</v>
      </c>
    </row>
    <row r="96" spans="1:15" hidden="1" outlineLevel="1">
      <c r="A96" s="139" t="s">
        <v>726</v>
      </c>
      <c r="B96" s="71">
        <v>5</v>
      </c>
      <c r="C96" s="1133">
        <v>2020</v>
      </c>
      <c r="D96" s="198">
        <v>0</v>
      </c>
      <c r="E96" s="197">
        <v>0</v>
      </c>
      <c r="F96" s="198">
        <v>1497</v>
      </c>
      <c r="G96" s="197">
        <v>80.989999999999995</v>
      </c>
      <c r="H96" s="198">
        <v>0</v>
      </c>
      <c r="I96" s="197">
        <v>0</v>
      </c>
      <c r="J96" s="199">
        <v>0</v>
      </c>
      <c r="K96" s="200">
        <v>0</v>
      </c>
      <c r="L96" s="196">
        <f t="shared" si="12"/>
        <v>80.989999999999995</v>
      </c>
      <c r="M96" s="5"/>
      <c r="O96" t="str">
        <f t="shared" si="13"/>
        <v>Regelzone Amprion (gesamt)</v>
      </c>
    </row>
    <row r="97" spans="1:15" hidden="1" outlineLevel="1">
      <c r="A97" s="139" t="s">
        <v>726</v>
      </c>
      <c r="B97" s="71">
        <v>7</v>
      </c>
      <c r="C97" s="1133">
        <v>2020</v>
      </c>
      <c r="D97" s="198">
        <v>0</v>
      </c>
      <c r="E97" s="197">
        <v>0</v>
      </c>
      <c r="F97" s="198">
        <v>-622</v>
      </c>
      <c r="G97" s="197">
        <v>-33.65</v>
      </c>
      <c r="H97" s="198">
        <v>0</v>
      </c>
      <c r="I97" s="197">
        <v>0</v>
      </c>
      <c r="J97" s="199">
        <v>0</v>
      </c>
      <c r="K97" s="200">
        <v>0</v>
      </c>
      <c r="L97" s="196">
        <f t="shared" si="12"/>
        <v>-33.65</v>
      </c>
      <c r="M97" s="5"/>
      <c r="O97" t="str">
        <f t="shared" si="13"/>
        <v>Regelzone Amprion (gesamt)</v>
      </c>
    </row>
    <row r="98" spans="1:15" hidden="1" outlineLevel="1">
      <c r="A98" s="139" t="s">
        <v>405</v>
      </c>
      <c r="B98" s="71">
        <v>7</v>
      </c>
      <c r="C98" s="1133">
        <v>2021</v>
      </c>
      <c r="D98" s="198">
        <v>0</v>
      </c>
      <c r="E98" s="197">
        <v>0</v>
      </c>
      <c r="F98" s="198">
        <v>0</v>
      </c>
      <c r="G98" s="197">
        <v>0</v>
      </c>
      <c r="H98" s="198">
        <v>0</v>
      </c>
      <c r="I98" s="197">
        <v>1799.68</v>
      </c>
      <c r="J98" s="199">
        <v>0</v>
      </c>
      <c r="K98" s="200">
        <v>0</v>
      </c>
      <c r="L98" s="196">
        <f t="shared" si="12"/>
        <v>1799.68</v>
      </c>
      <c r="M98" s="5"/>
      <c r="O98" t="str">
        <f t="shared" si="13"/>
        <v>Regelzone Amprion (gesamt)</v>
      </c>
    </row>
    <row r="99" spans="1:15" hidden="1" outlineLevel="1">
      <c r="A99" s="139" t="s">
        <v>425</v>
      </c>
      <c r="B99" s="71">
        <v>7</v>
      </c>
      <c r="C99" s="1133">
        <v>2021</v>
      </c>
      <c r="D99" s="198">
        <v>0</v>
      </c>
      <c r="E99" s="197">
        <v>0</v>
      </c>
      <c r="F99" s="198">
        <v>0</v>
      </c>
      <c r="G99" s="197">
        <v>0</v>
      </c>
      <c r="H99" s="198">
        <v>2157</v>
      </c>
      <c r="I99" s="197">
        <v>86.28</v>
      </c>
      <c r="J99" s="199">
        <v>0</v>
      </c>
      <c r="K99" s="200">
        <v>0</v>
      </c>
      <c r="L99" s="196">
        <f t="shared" si="12"/>
        <v>86.28</v>
      </c>
      <c r="M99" s="5"/>
      <c r="O99" t="str">
        <f t="shared" si="13"/>
        <v>Regelzone Amprion (gesamt)</v>
      </c>
    </row>
    <row r="100" spans="1:15" hidden="1" outlineLevel="1">
      <c r="A100" s="139" t="s">
        <v>433</v>
      </c>
      <c r="B100" s="71">
        <v>7</v>
      </c>
      <c r="C100" s="1133">
        <v>2021</v>
      </c>
      <c r="D100" s="198">
        <v>0</v>
      </c>
      <c r="E100" s="197">
        <v>0</v>
      </c>
      <c r="F100" s="198">
        <v>0</v>
      </c>
      <c r="G100" s="197">
        <v>0</v>
      </c>
      <c r="H100" s="198">
        <v>14586</v>
      </c>
      <c r="I100" s="197">
        <v>1881.84</v>
      </c>
      <c r="J100" s="199">
        <v>0</v>
      </c>
      <c r="K100" s="200">
        <v>0</v>
      </c>
      <c r="L100" s="196">
        <f t="shared" si="12"/>
        <v>1881.84</v>
      </c>
      <c r="M100" s="5"/>
      <c r="O100" t="str">
        <f t="shared" si="13"/>
        <v>Regelzone Amprion (gesamt)</v>
      </c>
    </row>
    <row r="101" spans="1:15" hidden="1" outlineLevel="1">
      <c r="A101" s="139" t="s">
        <v>437</v>
      </c>
      <c r="B101" s="71">
        <v>7</v>
      </c>
      <c r="C101" s="1133">
        <v>2021</v>
      </c>
      <c r="D101" s="198">
        <v>0</v>
      </c>
      <c r="E101" s="197">
        <v>0</v>
      </c>
      <c r="F101" s="198">
        <v>0</v>
      </c>
      <c r="G101" s="197">
        <v>0</v>
      </c>
      <c r="H101" s="198">
        <v>2423</v>
      </c>
      <c r="I101" s="197">
        <v>108.92</v>
      </c>
      <c r="J101" s="199">
        <v>0</v>
      </c>
      <c r="K101" s="200">
        <v>0</v>
      </c>
      <c r="L101" s="196">
        <f t="shared" si="12"/>
        <v>108.92</v>
      </c>
      <c r="M101" s="5"/>
      <c r="O101" t="str">
        <f t="shared" si="13"/>
        <v>Regelzone Amprion (gesamt)</v>
      </c>
    </row>
    <row r="102" spans="1:15" hidden="1" outlineLevel="1">
      <c r="A102" s="139" t="s">
        <v>449</v>
      </c>
      <c r="B102" s="71">
        <v>7</v>
      </c>
      <c r="C102" s="1133">
        <v>2021</v>
      </c>
      <c r="D102" s="198">
        <v>403486</v>
      </c>
      <c r="E102" s="197">
        <v>20389.45</v>
      </c>
      <c r="F102" s="198">
        <v>479197</v>
      </c>
      <c r="G102" s="197">
        <v>23359.17</v>
      </c>
      <c r="H102" s="198">
        <v>1621255</v>
      </c>
      <c r="I102" s="197">
        <v>108387.07</v>
      </c>
      <c r="J102" s="199">
        <v>-761.16</v>
      </c>
      <c r="K102" s="200">
        <v>0</v>
      </c>
      <c r="L102" s="196">
        <f t="shared" si="12"/>
        <v>151374.53</v>
      </c>
      <c r="M102" s="5"/>
      <c r="O102" t="str">
        <f t="shared" si="13"/>
        <v>Regelzone Amprion (gesamt)</v>
      </c>
    </row>
    <row r="103" spans="1:15" hidden="1" outlineLevel="1">
      <c r="A103" s="139" t="s">
        <v>469</v>
      </c>
      <c r="B103" s="71">
        <v>1</v>
      </c>
      <c r="C103" s="1133">
        <v>2021</v>
      </c>
      <c r="D103" s="198">
        <v>0</v>
      </c>
      <c r="E103" s="197">
        <v>0</v>
      </c>
      <c r="F103" s="198">
        <v>-118937</v>
      </c>
      <c r="G103" s="197">
        <v>-5405.46</v>
      </c>
      <c r="H103" s="198">
        <v>-111074</v>
      </c>
      <c r="I103" s="197">
        <v>-16736.66</v>
      </c>
      <c r="J103" s="199">
        <v>1723.18</v>
      </c>
      <c r="K103" s="200">
        <v>0</v>
      </c>
      <c r="L103" s="196">
        <f t="shared" si="12"/>
        <v>-20418.939999999999</v>
      </c>
      <c r="M103" s="5"/>
      <c r="O103" t="str">
        <f t="shared" si="13"/>
        <v>Regelzone Amprion (gesamt)</v>
      </c>
    </row>
    <row r="104" spans="1:15" hidden="1" outlineLevel="1">
      <c r="A104" s="139" t="s">
        <v>469</v>
      </c>
      <c r="B104" s="71">
        <v>7</v>
      </c>
      <c r="C104" s="1133">
        <v>2021</v>
      </c>
      <c r="D104" s="198">
        <v>2882</v>
      </c>
      <c r="E104" s="197">
        <v>147.27000000000001</v>
      </c>
      <c r="F104" s="198">
        <v>1013957</v>
      </c>
      <c r="G104" s="197">
        <v>47760.35</v>
      </c>
      <c r="H104" s="198">
        <v>1126888</v>
      </c>
      <c r="I104" s="197">
        <v>76751.240000000005</v>
      </c>
      <c r="J104" s="199">
        <v>-2545.56</v>
      </c>
      <c r="K104" s="200">
        <v>0</v>
      </c>
      <c r="L104" s="196">
        <f t="shared" si="12"/>
        <v>122113.3</v>
      </c>
      <c r="M104" s="5"/>
      <c r="O104" t="str">
        <f t="shared" si="13"/>
        <v>Regelzone Amprion (gesamt)</v>
      </c>
    </row>
    <row r="105" spans="1:15" hidden="1" outlineLevel="1">
      <c r="A105" s="139" t="s">
        <v>477</v>
      </c>
      <c r="B105" s="71">
        <v>1</v>
      </c>
      <c r="C105" s="1133">
        <v>2021</v>
      </c>
      <c r="D105" s="198">
        <v>0</v>
      </c>
      <c r="E105" s="197">
        <v>0</v>
      </c>
      <c r="F105" s="198">
        <v>-7208</v>
      </c>
      <c r="G105" s="197">
        <v>-389.95</v>
      </c>
      <c r="H105" s="198">
        <v>-33554</v>
      </c>
      <c r="I105" s="197">
        <v>-2217.48</v>
      </c>
      <c r="J105" s="199">
        <v>0</v>
      </c>
      <c r="K105" s="200">
        <v>0</v>
      </c>
      <c r="L105" s="196">
        <f t="shared" si="12"/>
        <v>-2607.4299999999998</v>
      </c>
      <c r="M105" s="5"/>
      <c r="O105" t="str">
        <f t="shared" si="13"/>
        <v>Regelzone Amprion (gesamt)</v>
      </c>
    </row>
    <row r="106" spans="1:15" hidden="1" outlineLevel="1">
      <c r="A106" s="139" t="s">
        <v>477</v>
      </c>
      <c r="B106" s="71">
        <v>7</v>
      </c>
      <c r="C106" s="1133">
        <v>2021</v>
      </c>
      <c r="D106" s="198">
        <v>0</v>
      </c>
      <c r="E106" s="197">
        <v>0</v>
      </c>
      <c r="F106" s="198">
        <v>0</v>
      </c>
      <c r="G106" s="197">
        <v>0</v>
      </c>
      <c r="H106" s="198">
        <v>0</v>
      </c>
      <c r="I106" s="197">
        <v>352.88</v>
      </c>
      <c r="J106" s="199">
        <v>0</v>
      </c>
      <c r="K106" s="200">
        <v>0</v>
      </c>
      <c r="L106" s="196">
        <f t="shared" si="12"/>
        <v>352.88</v>
      </c>
      <c r="M106" s="5"/>
      <c r="O106" t="str">
        <f t="shared" si="13"/>
        <v>Regelzone Amprion (gesamt)</v>
      </c>
    </row>
    <row r="107" spans="1:15" hidden="1" outlineLevel="1">
      <c r="A107" s="139" t="s">
        <v>483</v>
      </c>
      <c r="B107" s="71">
        <v>7</v>
      </c>
      <c r="C107" s="1133">
        <v>2021</v>
      </c>
      <c r="D107" s="198">
        <v>3142627</v>
      </c>
      <c r="E107" s="197">
        <v>100176.44</v>
      </c>
      <c r="F107" s="198">
        <v>7442283</v>
      </c>
      <c r="G107" s="197">
        <v>341118.19</v>
      </c>
      <c r="H107" s="198">
        <v>14819493</v>
      </c>
      <c r="I107" s="197">
        <v>854101.54</v>
      </c>
      <c r="J107" s="199">
        <v>-6556.81</v>
      </c>
      <c r="K107" s="200">
        <v>0</v>
      </c>
      <c r="L107" s="196">
        <f t="shared" si="12"/>
        <v>1288839.3599999999</v>
      </c>
      <c r="M107" s="5"/>
      <c r="O107" t="str">
        <f t="shared" si="13"/>
        <v>Regelzone Amprion (gesamt)</v>
      </c>
    </row>
    <row r="108" spans="1:15" hidden="1" outlineLevel="1">
      <c r="A108" s="139" t="s">
        <v>493</v>
      </c>
      <c r="B108" s="71">
        <v>7</v>
      </c>
      <c r="C108" s="1133">
        <v>2021</v>
      </c>
      <c r="D108" s="198">
        <v>0</v>
      </c>
      <c r="E108" s="197">
        <v>0</v>
      </c>
      <c r="F108" s="198">
        <v>0</v>
      </c>
      <c r="G108" s="197">
        <v>0</v>
      </c>
      <c r="H108" s="198">
        <v>-4422</v>
      </c>
      <c r="I108" s="197">
        <v>1368.08</v>
      </c>
      <c r="J108" s="199">
        <v>0</v>
      </c>
      <c r="K108" s="200">
        <v>0</v>
      </c>
      <c r="L108" s="196">
        <f t="shared" si="12"/>
        <v>1368.08</v>
      </c>
      <c r="M108" s="5"/>
      <c r="O108" t="str">
        <f t="shared" si="13"/>
        <v>Regelzone Amprion (gesamt)</v>
      </c>
    </row>
    <row r="109" spans="1:15" hidden="1" outlineLevel="1">
      <c r="A109" s="139" t="s">
        <v>495</v>
      </c>
      <c r="B109" s="71">
        <v>7</v>
      </c>
      <c r="C109" s="1133">
        <v>2021</v>
      </c>
      <c r="D109" s="198">
        <v>0</v>
      </c>
      <c r="E109" s="197">
        <v>0</v>
      </c>
      <c r="F109" s="198">
        <v>0</v>
      </c>
      <c r="G109" s="197">
        <v>0</v>
      </c>
      <c r="H109" s="198">
        <v>106260</v>
      </c>
      <c r="I109" s="197">
        <v>10026.52</v>
      </c>
      <c r="J109" s="199">
        <v>0</v>
      </c>
      <c r="K109" s="200">
        <v>0</v>
      </c>
      <c r="L109" s="196">
        <f t="shared" si="12"/>
        <v>10026.52</v>
      </c>
      <c r="M109" s="5"/>
      <c r="O109" t="str">
        <f t="shared" si="13"/>
        <v>Regelzone Amprion (gesamt)</v>
      </c>
    </row>
    <row r="110" spans="1:15" hidden="1" outlineLevel="1">
      <c r="A110" s="139" t="s">
        <v>503</v>
      </c>
      <c r="B110" s="71">
        <v>7</v>
      </c>
      <c r="C110" s="1133">
        <v>2021</v>
      </c>
      <c r="D110" s="198">
        <v>0</v>
      </c>
      <c r="E110" s="197">
        <v>0</v>
      </c>
      <c r="F110" s="198">
        <v>0</v>
      </c>
      <c r="G110" s="197">
        <v>0</v>
      </c>
      <c r="H110" s="198">
        <v>84835</v>
      </c>
      <c r="I110" s="197">
        <v>6786.84</v>
      </c>
      <c r="J110" s="199">
        <v>0</v>
      </c>
      <c r="K110" s="200">
        <v>0</v>
      </c>
      <c r="L110" s="196">
        <f t="shared" si="12"/>
        <v>6786.84</v>
      </c>
      <c r="M110" s="5"/>
      <c r="O110" t="str">
        <f t="shared" si="13"/>
        <v>Regelzone Amprion (gesamt)</v>
      </c>
    </row>
    <row r="111" spans="1:15" hidden="1" outlineLevel="1">
      <c r="A111" s="139" t="s">
        <v>513</v>
      </c>
      <c r="B111" s="71">
        <v>1</v>
      </c>
      <c r="C111" s="1133">
        <v>2021</v>
      </c>
      <c r="D111" s="198">
        <v>0</v>
      </c>
      <c r="E111" s="197">
        <v>0</v>
      </c>
      <c r="F111" s="198">
        <v>0</v>
      </c>
      <c r="G111" s="197">
        <v>0</v>
      </c>
      <c r="H111" s="198">
        <v>-10960</v>
      </c>
      <c r="I111" s="197">
        <v>-562.08000000000004</v>
      </c>
      <c r="J111" s="199">
        <v>0</v>
      </c>
      <c r="K111" s="200">
        <v>0</v>
      </c>
      <c r="L111" s="196">
        <f t="shared" si="12"/>
        <v>-562.08000000000004</v>
      </c>
      <c r="M111" s="5"/>
      <c r="O111" t="str">
        <f t="shared" si="13"/>
        <v>Regelzone Amprion (gesamt)</v>
      </c>
    </row>
    <row r="112" spans="1:15" hidden="1" outlineLevel="1">
      <c r="A112" s="139" t="s">
        <v>513</v>
      </c>
      <c r="B112" s="71">
        <v>7</v>
      </c>
      <c r="C112" s="1133">
        <v>2021</v>
      </c>
      <c r="D112" s="198">
        <v>0</v>
      </c>
      <c r="E112" s="197">
        <v>0</v>
      </c>
      <c r="F112" s="198">
        <v>57562</v>
      </c>
      <c r="G112" s="197">
        <v>3114.1</v>
      </c>
      <c r="H112" s="198">
        <v>0</v>
      </c>
      <c r="I112" s="197">
        <v>0</v>
      </c>
      <c r="J112" s="199">
        <v>0</v>
      </c>
      <c r="K112" s="200">
        <v>0</v>
      </c>
      <c r="L112" s="196">
        <f t="shared" si="12"/>
        <v>3114.1</v>
      </c>
      <c r="M112" s="5"/>
      <c r="O112" t="str">
        <f t="shared" si="13"/>
        <v>Regelzone Amprion (gesamt)</v>
      </c>
    </row>
    <row r="113" spans="1:15" hidden="1" outlineLevel="1">
      <c r="A113" s="139" t="s">
        <v>519</v>
      </c>
      <c r="B113" s="71">
        <v>1</v>
      </c>
      <c r="C113" s="1133">
        <v>2021</v>
      </c>
      <c r="D113" s="198">
        <v>0</v>
      </c>
      <c r="E113" s="197">
        <v>0</v>
      </c>
      <c r="F113" s="198">
        <v>-1029113</v>
      </c>
      <c r="G113" s="197">
        <v>-44346.66</v>
      </c>
      <c r="H113" s="198">
        <v>-15315</v>
      </c>
      <c r="I113" s="197">
        <v>-2450.4</v>
      </c>
      <c r="J113" s="199">
        <v>0</v>
      </c>
      <c r="K113" s="200">
        <v>0</v>
      </c>
      <c r="L113" s="196">
        <f t="shared" si="12"/>
        <v>-46797.060000000005</v>
      </c>
      <c r="M113" s="5"/>
      <c r="O113" t="str">
        <f t="shared" si="13"/>
        <v>Regelzone Amprion (gesamt)</v>
      </c>
    </row>
    <row r="114" spans="1:15" hidden="1" outlineLevel="1">
      <c r="A114" s="139" t="s">
        <v>519</v>
      </c>
      <c r="B114" s="71">
        <v>7</v>
      </c>
      <c r="C114" s="1133">
        <v>2021</v>
      </c>
      <c r="D114" s="198">
        <v>0</v>
      </c>
      <c r="E114" s="197">
        <v>0</v>
      </c>
      <c r="F114" s="198">
        <v>42355</v>
      </c>
      <c r="G114" s="197">
        <v>2291.41</v>
      </c>
      <c r="H114" s="198">
        <v>316983</v>
      </c>
      <c r="I114" s="197">
        <v>15236</v>
      </c>
      <c r="J114" s="199">
        <v>0</v>
      </c>
      <c r="K114" s="200">
        <v>0</v>
      </c>
      <c r="L114" s="196">
        <f t="shared" si="12"/>
        <v>17527.41</v>
      </c>
      <c r="M114" s="5"/>
      <c r="O114" t="str">
        <f t="shared" si="13"/>
        <v>Regelzone Amprion (gesamt)</v>
      </c>
    </row>
    <row r="115" spans="1:15" hidden="1" outlineLevel="1">
      <c r="A115" s="139" t="s">
        <v>523</v>
      </c>
      <c r="B115" s="71">
        <v>7</v>
      </c>
      <c r="C115" s="1133">
        <v>2021</v>
      </c>
      <c r="D115" s="198">
        <v>0</v>
      </c>
      <c r="E115" s="197">
        <v>0</v>
      </c>
      <c r="F115" s="198">
        <v>664540</v>
      </c>
      <c r="G115" s="197">
        <v>35951.620000000003</v>
      </c>
      <c r="H115" s="198">
        <v>240489</v>
      </c>
      <c r="I115" s="197">
        <v>18340.759999999998</v>
      </c>
      <c r="J115" s="199">
        <v>0</v>
      </c>
      <c r="K115" s="200">
        <v>0</v>
      </c>
      <c r="L115" s="196">
        <f t="shared" si="12"/>
        <v>54292.380000000005</v>
      </c>
      <c r="M115" s="5"/>
      <c r="O115" t="str">
        <f t="shared" si="13"/>
        <v>Regelzone Amprion (gesamt)</v>
      </c>
    </row>
    <row r="116" spans="1:15" hidden="1" outlineLevel="1">
      <c r="A116" s="139" t="s">
        <v>527</v>
      </c>
      <c r="B116" s="71">
        <v>7</v>
      </c>
      <c r="C116" s="1133">
        <v>2021</v>
      </c>
      <c r="D116" s="198">
        <v>0</v>
      </c>
      <c r="E116" s="197">
        <v>0</v>
      </c>
      <c r="F116" s="198">
        <v>0</v>
      </c>
      <c r="G116" s="197">
        <v>0</v>
      </c>
      <c r="H116" s="198">
        <v>0</v>
      </c>
      <c r="I116" s="197">
        <v>7272.2</v>
      </c>
      <c r="J116" s="199">
        <v>0</v>
      </c>
      <c r="K116" s="200">
        <v>0</v>
      </c>
      <c r="L116" s="196">
        <f t="shared" si="12"/>
        <v>7272.2</v>
      </c>
      <c r="M116" s="5"/>
      <c r="O116" t="str">
        <f t="shared" si="13"/>
        <v>Regelzone Amprion (gesamt)</v>
      </c>
    </row>
    <row r="117" spans="1:15" hidden="1" outlineLevel="1">
      <c r="A117" s="139" t="s">
        <v>531</v>
      </c>
      <c r="B117" s="71">
        <v>7</v>
      </c>
      <c r="C117" s="1133">
        <v>2021</v>
      </c>
      <c r="D117" s="198">
        <v>0</v>
      </c>
      <c r="E117" s="197">
        <v>0</v>
      </c>
      <c r="F117" s="198">
        <v>0</v>
      </c>
      <c r="G117" s="197">
        <v>0</v>
      </c>
      <c r="H117" s="198">
        <v>82940</v>
      </c>
      <c r="I117" s="197">
        <v>3359.44</v>
      </c>
      <c r="J117" s="199">
        <v>0</v>
      </c>
      <c r="K117" s="200">
        <v>0</v>
      </c>
      <c r="L117" s="196">
        <f t="shared" si="12"/>
        <v>3359.44</v>
      </c>
      <c r="M117" s="5"/>
      <c r="O117" t="str">
        <f t="shared" si="13"/>
        <v>Regelzone Amprion (gesamt)</v>
      </c>
    </row>
    <row r="118" spans="1:15" hidden="1" outlineLevel="1">
      <c r="A118" s="139" t="s">
        <v>539</v>
      </c>
      <c r="B118" s="71">
        <v>7</v>
      </c>
      <c r="C118" s="1133">
        <v>2021</v>
      </c>
      <c r="D118" s="198">
        <v>0</v>
      </c>
      <c r="E118" s="197">
        <v>0</v>
      </c>
      <c r="F118" s="198">
        <v>0</v>
      </c>
      <c r="G118" s="197">
        <v>0</v>
      </c>
      <c r="H118" s="198">
        <v>-4624</v>
      </c>
      <c r="I118" s="197">
        <v>-386.4</v>
      </c>
      <c r="J118" s="199">
        <v>0</v>
      </c>
      <c r="K118" s="200">
        <v>0</v>
      </c>
      <c r="L118" s="196">
        <f t="shared" si="12"/>
        <v>-386.4</v>
      </c>
      <c r="M118" s="5"/>
      <c r="O118" t="str">
        <f t="shared" si="13"/>
        <v>Regelzone Amprion (gesamt)</v>
      </c>
    </row>
    <row r="119" spans="1:15" hidden="1" outlineLevel="1">
      <c r="A119" s="139" t="s">
        <v>541</v>
      </c>
      <c r="B119" s="71">
        <v>1</v>
      </c>
      <c r="C119" s="1133">
        <v>2021</v>
      </c>
      <c r="D119" s="198">
        <v>0</v>
      </c>
      <c r="E119" s="197">
        <v>0</v>
      </c>
      <c r="F119" s="198">
        <v>-486560</v>
      </c>
      <c r="G119" s="197">
        <v>-20897.650000000001</v>
      </c>
      <c r="H119" s="198">
        <v>0</v>
      </c>
      <c r="I119" s="197">
        <v>0</v>
      </c>
      <c r="J119" s="199">
        <v>0</v>
      </c>
      <c r="K119" s="200">
        <v>0</v>
      </c>
      <c r="L119" s="196">
        <f t="shared" si="12"/>
        <v>-20897.650000000001</v>
      </c>
      <c r="M119" s="5"/>
      <c r="O119" t="str">
        <f t="shared" si="13"/>
        <v>Regelzone Amprion (gesamt)</v>
      </c>
    </row>
    <row r="120" spans="1:15" hidden="1" outlineLevel="1">
      <c r="A120" s="139" t="s">
        <v>541</v>
      </c>
      <c r="B120" s="71">
        <v>7</v>
      </c>
      <c r="C120" s="1133">
        <v>2021</v>
      </c>
      <c r="D120" s="198">
        <v>0</v>
      </c>
      <c r="E120" s="197">
        <v>0</v>
      </c>
      <c r="F120" s="198">
        <v>67680</v>
      </c>
      <c r="G120" s="197">
        <v>3661.5</v>
      </c>
      <c r="H120" s="198">
        <v>197137</v>
      </c>
      <c r="I120" s="197">
        <v>18333</v>
      </c>
      <c r="J120" s="199">
        <v>-122.82</v>
      </c>
      <c r="K120" s="200">
        <v>0</v>
      </c>
      <c r="L120" s="196">
        <f t="shared" si="12"/>
        <v>21871.68</v>
      </c>
      <c r="M120" s="5"/>
      <c r="O120" t="str">
        <f t="shared" si="13"/>
        <v>Regelzone Amprion (gesamt)</v>
      </c>
    </row>
    <row r="121" spans="1:15" hidden="1" outlineLevel="1">
      <c r="A121" s="139" t="s">
        <v>567</v>
      </c>
      <c r="B121" s="71">
        <v>5</v>
      </c>
      <c r="C121" s="1133">
        <v>2021</v>
      </c>
      <c r="D121" s="198">
        <v>1664</v>
      </c>
      <c r="E121" s="197">
        <v>85.03</v>
      </c>
      <c r="F121" s="198">
        <v>2395612</v>
      </c>
      <c r="G121" s="197">
        <v>123766.39999999999</v>
      </c>
      <c r="H121" s="198">
        <v>1204065</v>
      </c>
      <c r="I121" s="197">
        <v>103754.44</v>
      </c>
      <c r="J121" s="199">
        <v>-9162.36</v>
      </c>
      <c r="K121" s="200">
        <v>0</v>
      </c>
      <c r="L121" s="196">
        <f t="shared" si="12"/>
        <v>218443.51</v>
      </c>
      <c r="M121" s="5"/>
      <c r="O121" t="str">
        <f t="shared" si="13"/>
        <v>Regelzone Amprion (gesamt)</v>
      </c>
    </row>
    <row r="122" spans="1:15" hidden="1" outlineLevel="1">
      <c r="A122" s="139" t="s">
        <v>567</v>
      </c>
      <c r="B122" s="71">
        <v>7</v>
      </c>
      <c r="C122" s="1133">
        <v>2021</v>
      </c>
      <c r="D122" s="198">
        <v>0</v>
      </c>
      <c r="E122" s="197">
        <v>0</v>
      </c>
      <c r="F122" s="198">
        <v>-95812</v>
      </c>
      <c r="G122" s="197">
        <v>-5183.43</v>
      </c>
      <c r="H122" s="198">
        <v>-1820</v>
      </c>
      <c r="I122" s="197">
        <v>-72.8</v>
      </c>
      <c r="J122" s="199">
        <v>-36.49</v>
      </c>
      <c r="K122" s="200">
        <v>0</v>
      </c>
      <c r="L122" s="196">
        <f t="shared" si="12"/>
        <v>-5292.72</v>
      </c>
      <c r="M122" s="5"/>
      <c r="O122" t="str">
        <f t="shared" si="13"/>
        <v>Regelzone Amprion (gesamt)</v>
      </c>
    </row>
    <row r="123" spans="1:15" hidden="1" outlineLevel="1">
      <c r="A123" s="139" t="s">
        <v>579</v>
      </c>
      <c r="B123" s="71">
        <v>7</v>
      </c>
      <c r="C123" s="1133">
        <v>2021</v>
      </c>
      <c r="D123" s="198">
        <v>0</v>
      </c>
      <c r="E123" s="197">
        <v>0</v>
      </c>
      <c r="F123" s="198">
        <v>0</v>
      </c>
      <c r="G123" s="197">
        <v>0</v>
      </c>
      <c r="H123" s="198">
        <v>63023</v>
      </c>
      <c r="I123" s="197">
        <v>4775.3999999999996</v>
      </c>
      <c r="J123" s="199">
        <v>0</v>
      </c>
      <c r="K123" s="200">
        <v>0</v>
      </c>
      <c r="L123" s="196">
        <f t="shared" si="12"/>
        <v>4775.3999999999996</v>
      </c>
      <c r="M123" s="5"/>
      <c r="O123" t="str">
        <f t="shared" si="13"/>
        <v>Regelzone Amprion (gesamt)</v>
      </c>
    </row>
    <row r="124" spans="1:15" hidden="1" outlineLevel="1">
      <c r="A124" s="139" t="s">
        <v>583</v>
      </c>
      <c r="B124" s="71">
        <v>7</v>
      </c>
      <c r="C124" s="1133">
        <v>2021</v>
      </c>
      <c r="D124" s="198">
        <v>0</v>
      </c>
      <c r="E124" s="197">
        <v>0</v>
      </c>
      <c r="F124" s="198">
        <v>0</v>
      </c>
      <c r="G124" s="197">
        <v>0</v>
      </c>
      <c r="H124" s="198">
        <v>0</v>
      </c>
      <c r="I124" s="197">
        <v>2456.81</v>
      </c>
      <c r="J124" s="199">
        <v>0</v>
      </c>
      <c r="K124" s="200">
        <v>0</v>
      </c>
      <c r="L124" s="196">
        <f t="shared" si="12"/>
        <v>2456.81</v>
      </c>
      <c r="M124" s="5"/>
      <c r="O124" t="str">
        <f t="shared" si="13"/>
        <v>Regelzone Amprion (gesamt)</v>
      </c>
    </row>
    <row r="125" spans="1:15" hidden="1" outlineLevel="1">
      <c r="A125" s="139" t="s">
        <v>589</v>
      </c>
      <c r="B125" s="71">
        <v>7</v>
      </c>
      <c r="C125" s="1133">
        <v>2021</v>
      </c>
      <c r="D125" s="198">
        <v>0</v>
      </c>
      <c r="E125" s="197">
        <v>0</v>
      </c>
      <c r="F125" s="198">
        <v>0</v>
      </c>
      <c r="G125" s="197">
        <v>0</v>
      </c>
      <c r="H125" s="198">
        <v>75000</v>
      </c>
      <c r="I125" s="197">
        <v>12000</v>
      </c>
      <c r="J125" s="199">
        <v>0</v>
      </c>
      <c r="K125" s="200">
        <v>0</v>
      </c>
      <c r="L125" s="196">
        <f t="shared" si="12"/>
        <v>12000</v>
      </c>
      <c r="M125" s="5"/>
      <c r="O125" t="str">
        <f t="shared" si="13"/>
        <v>Regelzone Amprion (gesamt)</v>
      </c>
    </row>
    <row r="126" spans="1:15" hidden="1" outlineLevel="1">
      <c r="A126" s="139" t="s">
        <v>591</v>
      </c>
      <c r="B126" s="71">
        <v>7</v>
      </c>
      <c r="C126" s="1133">
        <v>2021</v>
      </c>
      <c r="D126" s="198">
        <v>0</v>
      </c>
      <c r="E126" s="197">
        <v>0</v>
      </c>
      <c r="F126" s="198">
        <v>7297200</v>
      </c>
      <c r="G126" s="197">
        <v>206012.09</v>
      </c>
      <c r="H126" s="198">
        <v>0</v>
      </c>
      <c r="I126" s="197">
        <v>0</v>
      </c>
      <c r="J126" s="199">
        <v>0</v>
      </c>
      <c r="K126" s="200">
        <v>0</v>
      </c>
      <c r="L126" s="196">
        <f t="shared" si="12"/>
        <v>206012.09</v>
      </c>
      <c r="M126" s="5"/>
      <c r="O126" t="str">
        <f t="shared" si="13"/>
        <v>Regelzone Amprion (gesamt)</v>
      </c>
    </row>
    <row r="127" spans="1:15" hidden="1" outlineLevel="1">
      <c r="A127" s="139" t="s">
        <v>621</v>
      </c>
      <c r="B127" s="71">
        <v>7</v>
      </c>
      <c r="C127" s="1133">
        <v>2021</v>
      </c>
      <c r="D127" s="198">
        <v>0</v>
      </c>
      <c r="E127" s="197">
        <v>0</v>
      </c>
      <c r="F127" s="198">
        <v>0</v>
      </c>
      <c r="G127" s="197">
        <v>0</v>
      </c>
      <c r="H127" s="198">
        <v>91711</v>
      </c>
      <c r="I127" s="197">
        <v>3701.32</v>
      </c>
      <c r="J127" s="199">
        <v>0</v>
      </c>
      <c r="K127" s="200">
        <v>0</v>
      </c>
      <c r="L127" s="196">
        <f t="shared" si="12"/>
        <v>3701.32</v>
      </c>
      <c r="M127" s="5"/>
      <c r="O127" t="str">
        <f t="shared" si="13"/>
        <v>Regelzone Amprion (gesamt)</v>
      </c>
    </row>
    <row r="128" spans="1:15" hidden="1" outlineLevel="1">
      <c r="A128" s="139" t="s">
        <v>627</v>
      </c>
      <c r="B128" s="71">
        <v>7</v>
      </c>
      <c r="C128" s="1133">
        <v>2021</v>
      </c>
      <c r="D128" s="198">
        <v>0</v>
      </c>
      <c r="E128" s="197">
        <v>0</v>
      </c>
      <c r="F128" s="198">
        <v>0</v>
      </c>
      <c r="G128" s="197">
        <v>0</v>
      </c>
      <c r="H128" s="198">
        <v>72786</v>
      </c>
      <c r="I128" s="197">
        <v>5799.04</v>
      </c>
      <c r="J128" s="199">
        <v>0</v>
      </c>
      <c r="K128" s="200">
        <v>0</v>
      </c>
      <c r="L128" s="196">
        <f t="shared" si="12"/>
        <v>5799.04</v>
      </c>
      <c r="M128" s="5"/>
      <c r="O128" t="str">
        <f t="shared" si="13"/>
        <v>Regelzone Amprion (gesamt)</v>
      </c>
    </row>
    <row r="129" spans="1:15" hidden="1" outlineLevel="1">
      <c r="A129" s="139" t="s">
        <v>639</v>
      </c>
      <c r="B129" s="71">
        <v>7</v>
      </c>
      <c r="C129" s="1133">
        <v>2021</v>
      </c>
      <c r="D129" s="198">
        <v>9671</v>
      </c>
      <c r="E129" s="197">
        <v>494.19</v>
      </c>
      <c r="F129" s="198">
        <v>117180</v>
      </c>
      <c r="G129" s="197">
        <v>6339.44</v>
      </c>
      <c r="H129" s="198">
        <v>280867</v>
      </c>
      <c r="I129" s="197">
        <v>24504</v>
      </c>
      <c r="J129" s="199">
        <v>0</v>
      </c>
      <c r="K129" s="200">
        <v>0</v>
      </c>
      <c r="L129" s="196">
        <f t="shared" si="12"/>
        <v>31337.629999999997</v>
      </c>
      <c r="M129" s="5"/>
      <c r="O129" t="str">
        <f t="shared" si="13"/>
        <v>Regelzone Amprion (gesamt)</v>
      </c>
    </row>
    <row r="130" spans="1:15" hidden="1" outlineLevel="1">
      <c r="A130" s="139" t="s">
        <v>641</v>
      </c>
      <c r="B130" s="71">
        <v>7</v>
      </c>
      <c r="C130" s="1133">
        <v>2021</v>
      </c>
      <c r="D130" s="198">
        <v>0</v>
      </c>
      <c r="E130" s="197">
        <v>0</v>
      </c>
      <c r="F130" s="198">
        <v>0</v>
      </c>
      <c r="G130" s="197">
        <v>0</v>
      </c>
      <c r="H130" s="198">
        <v>0</v>
      </c>
      <c r="I130" s="197">
        <v>1458.92</v>
      </c>
      <c r="J130" s="199">
        <v>0</v>
      </c>
      <c r="K130" s="200">
        <v>0</v>
      </c>
      <c r="L130" s="196">
        <f t="shared" si="12"/>
        <v>1458.92</v>
      </c>
      <c r="M130" s="5"/>
      <c r="O130" t="str">
        <f t="shared" si="13"/>
        <v>Regelzone Amprion (gesamt)</v>
      </c>
    </row>
    <row r="131" spans="1:15" hidden="1" outlineLevel="1">
      <c r="A131" s="139" t="s">
        <v>651</v>
      </c>
      <c r="B131" s="71">
        <v>7</v>
      </c>
      <c r="C131" s="1133">
        <v>2021</v>
      </c>
      <c r="D131" s="198">
        <v>0</v>
      </c>
      <c r="E131" s="197">
        <v>0</v>
      </c>
      <c r="F131" s="198">
        <v>1666</v>
      </c>
      <c r="G131" s="197">
        <v>84.7</v>
      </c>
      <c r="H131" s="198">
        <v>6504</v>
      </c>
      <c r="I131" s="197">
        <v>409.28</v>
      </c>
      <c r="J131" s="199">
        <v>0</v>
      </c>
      <c r="K131" s="200">
        <v>0</v>
      </c>
      <c r="L131" s="196">
        <f t="shared" si="12"/>
        <v>493.97999999999996</v>
      </c>
      <c r="M131" s="5"/>
      <c r="O131" t="str">
        <f t="shared" si="13"/>
        <v>Regelzone Amprion (gesamt)</v>
      </c>
    </row>
    <row r="132" spans="1:15" hidden="1" outlineLevel="1">
      <c r="A132" s="139" t="s">
        <v>678</v>
      </c>
      <c r="B132" s="71">
        <v>7</v>
      </c>
      <c r="C132" s="1133">
        <v>2021</v>
      </c>
      <c r="D132" s="198">
        <v>0</v>
      </c>
      <c r="E132" s="197">
        <v>0</v>
      </c>
      <c r="F132" s="198">
        <v>18701</v>
      </c>
      <c r="G132" s="197">
        <v>1011.72</v>
      </c>
      <c r="H132" s="198">
        <v>0</v>
      </c>
      <c r="I132" s="197">
        <v>0</v>
      </c>
      <c r="J132" s="199">
        <v>0</v>
      </c>
      <c r="K132" s="200">
        <v>0</v>
      </c>
      <c r="L132" s="196">
        <f t="shared" si="12"/>
        <v>1011.72</v>
      </c>
      <c r="M132" s="5"/>
      <c r="O132" t="str">
        <f t="shared" si="13"/>
        <v>Regelzone Amprion (gesamt)</v>
      </c>
    </row>
    <row r="133" spans="1:15" hidden="1" outlineLevel="1">
      <c r="A133" s="139" t="s">
        <v>696</v>
      </c>
      <c r="B133" s="71">
        <v>7</v>
      </c>
      <c r="C133" s="1133">
        <v>2021</v>
      </c>
      <c r="D133" s="198">
        <v>0</v>
      </c>
      <c r="E133" s="197">
        <v>0</v>
      </c>
      <c r="F133" s="198">
        <v>0</v>
      </c>
      <c r="G133" s="197">
        <v>0</v>
      </c>
      <c r="H133" s="198">
        <v>-44137</v>
      </c>
      <c r="I133" s="197">
        <v>19566.080000000002</v>
      </c>
      <c r="J133" s="199">
        <v>0</v>
      </c>
      <c r="K133" s="200">
        <v>0</v>
      </c>
      <c r="L133" s="196">
        <f t="shared" si="12"/>
        <v>19566.080000000002</v>
      </c>
      <c r="M133" s="5"/>
      <c r="O133" t="str">
        <f t="shared" si="13"/>
        <v>Regelzone Amprion (gesamt)</v>
      </c>
    </row>
    <row r="134" spans="1:15" hidden="1" outlineLevel="1">
      <c r="A134" s="139" t="s">
        <v>708</v>
      </c>
      <c r="B134" s="71">
        <v>7</v>
      </c>
      <c r="C134" s="1133">
        <v>2021</v>
      </c>
      <c r="D134" s="198">
        <v>0</v>
      </c>
      <c r="E134" s="197">
        <v>0</v>
      </c>
      <c r="F134" s="198">
        <v>0</v>
      </c>
      <c r="G134" s="197">
        <v>0</v>
      </c>
      <c r="H134" s="198">
        <v>201293</v>
      </c>
      <c r="I134" s="197">
        <v>21192.92</v>
      </c>
      <c r="J134" s="199">
        <v>-1504</v>
      </c>
      <c r="K134" s="200">
        <v>0</v>
      </c>
      <c r="L134" s="196">
        <f t="shared" si="12"/>
        <v>19688.919999999998</v>
      </c>
      <c r="M134" s="5"/>
      <c r="O134" t="str">
        <f t="shared" si="13"/>
        <v>Regelzone Amprion (gesamt)</v>
      </c>
    </row>
    <row r="135" spans="1:15" hidden="1" outlineLevel="1">
      <c r="A135" s="139" t="s">
        <v>712</v>
      </c>
      <c r="B135" s="71">
        <v>7</v>
      </c>
      <c r="C135" s="1133">
        <v>2021</v>
      </c>
      <c r="D135" s="198">
        <v>0</v>
      </c>
      <c r="E135" s="197">
        <v>0</v>
      </c>
      <c r="F135" s="198">
        <v>0</v>
      </c>
      <c r="G135" s="197">
        <v>0</v>
      </c>
      <c r="H135" s="198">
        <v>146138</v>
      </c>
      <c r="I135" s="197">
        <v>10085.76</v>
      </c>
      <c r="J135" s="199">
        <v>0</v>
      </c>
      <c r="K135" s="200">
        <v>0</v>
      </c>
      <c r="L135" s="196">
        <f t="shared" si="12"/>
        <v>10085.76</v>
      </c>
      <c r="M135" s="5"/>
      <c r="O135" t="str">
        <f t="shared" si="13"/>
        <v>Regelzone Amprion (gesamt)</v>
      </c>
    </row>
    <row r="136" spans="1:15" hidden="1" outlineLevel="1">
      <c r="A136" s="139" t="s">
        <v>726</v>
      </c>
      <c r="B136" s="71">
        <v>5</v>
      </c>
      <c r="C136" s="1133">
        <v>2021</v>
      </c>
      <c r="D136" s="198">
        <v>0</v>
      </c>
      <c r="E136" s="197">
        <v>0</v>
      </c>
      <c r="F136" s="198">
        <v>39621</v>
      </c>
      <c r="G136" s="197">
        <v>2143.5</v>
      </c>
      <c r="H136" s="198">
        <v>433888</v>
      </c>
      <c r="I136" s="197">
        <v>39096.959999999999</v>
      </c>
      <c r="J136" s="199">
        <v>0</v>
      </c>
      <c r="K136" s="200">
        <v>0</v>
      </c>
      <c r="L136" s="196">
        <f t="shared" si="12"/>
        <v>41240.46</v>
      </c>
      <c r="M136" s="5"/>
      <c r="O136" t="str">
        <f t="shared" si="13"/>
        <v>Regelzone Amprion (gesamt)</v>
      </c>
    </row>
    <row r="137" spans="1:15" hidden="1" outlineLevel="1">
      <c r="A137" s="139" t="s">
        <v>726</v>
      </c>
      <c r="B137" s="71">
        <v>7</v>
      </c>
      <c r="C137" s="1133">
        <v>2021</v>
      </c>
      <c r="D137" s="198">
        <v>0</v>
      </c>
      <c r="E137" s="197">
        <v>0</v>
      </c>
      <c r="F137" s="198">
        <v>-1031819</v>
      </c>
      <c r="G137" s="197">
        <v>-45177.03</v>
      </c>
      <c r="H137" s="198">
        <v>0</v>
      </c>
      <c r="I137" s="197">
        <v>0</v>
      </c>
      <c r="J137" s="199">
        <v>0</v>
      </c>
      <c r="K137" s="200">
        <v>0</v>
      </c>
      <c r="L137" s="196">
        <f t="shared" si="12"/>
        <v>-45177.03</v>
      </c>
      <c r="M137" s="5"/>
      <c r="O137" t="str">
        <f t="shared" si="13"/>
        <v>Regelzone Amprion (gesamt)</v>
      </c>
    </row>
    <row r="138" spans="1:15" hidden="1" outlineLevel="1">
      <c r="A138" s="139" t="s">
        <v>730</v>
      </c>
      <c r="B138" s="71">
        <v>7</v>
      </c>
      <c r="C138" s="1133">
        <v>2021</v>
      </c>
      <c r="D138" s="198">
        <v>0</v>
      </c>
      <c r="E138" s="197">
        <v>0</v>
      </c>
      <c r="F138" s="198">
        <v>0</v>
      </c>
      <c r="G138" s="197">
        <v>0</v>
      </c>
      <c r="H138" s="198">
        <v>79646</v>
      </c>
      <c r="I138" s="197">
        <v>11823.28</v>
      </c>
      <c r="J138" s="199">
        <v>0</v>
      </c>
      <c r="K138" s="200">
        <v>0</v>
      </c>
      <c r="L138" s="196">
        <f t="shared" si="12"/>
        <v>11823.28</v>
      </c>
      <c r="M138" s="5"/>
      <c r="O138" t="str">
        <f t="shared" si="13"/>
        <v>Regelzone Amprion (gesamt)</v>
      </c>
    </row>
    <row r="139" spans="1:15" hidden="1" outlineLevel="1">
      <c r="A139" s="139" t="s">
        <v>734</v>
      </c>
      <c r="B139" s="71">
        <v>7</v>
      </c>
      <c r="C139" s="1133">
        <v>2021</v>
      </c>
      <c r="D139" s="198">
        <v>0</v>
      </c>
      <c r="E139" s="197">
        <v>0</v>
      </c>
      <c r="F139" s="198">
        <v>6460</v>
      </c>
      <c r="G139" s="197">
        <v>349.49</v>
      </c>
      <c r="H139" s="198">
        <v>0</v>
      </c>
      <c r="I139" s="197">
        <v>0</v>
      </c>
      <c r="J139" s="199">
        <v>0</v>
      </c>
      <c r="K139" s="200">
        <v>0</v>
      </c>
      <c r="L139" s="196">
        <f t="shared" si="12"/>
        <v>349.49</v>
      </c>
      <c r="M139" s="5"/>
      <c r="O139" t="str">
        <f t="shared" si="13"/>
        <v>Regelzone Amprion (gesamt)</v>
      </c>
    </row>
    <row r="140" spans="1:15" hidden="1" outlineLevel="1">
      <c r="A140" s="139" t="s">
        <v>765</v>
      </c>
      <c r="B140" s="71">
        <v>7</v>
      </c>
      <c r="C140" s="1133">
        <v>2021</v>
      </c>
      <c r="D140" s="198">
        <v>2143</v>
      </c>
      <c r="E140" s="197">
        <v>109.51</v>
      </c>
      <c r="F140" s="198">
        <v>0</v>
      </c>
      <c r="G140" s="197">
        <v>0</v>
      </c>
      <c r="H140" s="198">
        <v>344455</v>
      </c>
      <c r="I140" s="197">
        <v>34691.760000000002</v>
      </c>
      <c r="J140" s="199">
        <v>0</v>
      </c>
      <c r="K140" s="200">
        <v>0</v>
      </c>
      <c r="L140" s="196">
        <f t="shared" si="12"/>
        <v>34801.270000000004</v>
      </c>
      <c r="M140" s="5"/>
      <c r="O140" t="str">
        <f t="shared" si="13"/>
        <v>Regelzone Amprion (gesamt)</v>
      </c>
    </row>
    <row r="141" spans="1:15" hidden="1" outlineLevel="1">
      <c r="A141" s="139" t="s">
        <v>773</v>
      </c>
      <c r="B141" s="71">
        <v>7</v>
      </c>
      <c r="C141" s="1133">
        <v>2021</v>
      </c>
      <c r="D141" s="198">
        <v>0</v>
      </c>
      <c r="E141" s="197">
        <v>0</v>
      </c>
      <c r="F141" s="198">
        <v>5220229</v>
      </c>
      <c r="G141" s="197">
        <v>199713.32</v>
      </c>
      <c r="H141" s="198">
        <v>0</v>
      </c>
      <c r="I141" s="197">
        <v>0</v>
      </c>
      <c r="J141" s="199">
        <v>0</v>
      </c>
      <c r="K141" s="200">
        <v>0</v>
      </c>
      <c r="L141" s="196">
        <f t="shared" si="12"/>
        <v>199713.32</v>
      </c>
      <c r="M141" s="5"/>
      <c r="O141" t="str">
        <f t="shared" si="13"/>
        <v>Regelzone Amprion (gesamt)</v>
      </c>
    </row>
    <row r="142" spans="1:15" hidden="1" outlineLevel="1">
      <c r="A142" s="139" t="s">
        <v>775</v>
      </c>
      <c r="B142" s="71">
        <v>1</v>
      </c>
      <c r="C142" s="1133">
        <v>2021</v>
      </c>
      <c r="D142" s="198">
        <v>0</v>
      </c>
      <c r="E142" s="197">
        <v>0</v>
      </c>
      <c r="F142" s="198">
        <v>0</v>
      </c>
      <c r="G142" s="197">
        <v>0</v>
      </c>
      <c r="H142" s="198">
        <v>-3980</v>
      </c>
      <c r="I142" s="197">
        <v>-299.2</v>
      </c>
      <c r="J142" s="199">
        <v>0</v>
      </c>
      <c r="K142" s="200">
        <v>0</v>
      </c>
      <c r="L142" s="196">
        <f t="shared" si="12"/>
        <v>-299.2</v>
      </c>
      <c r="M142" s="5"/>
      <c r="O142" t="str">
        <f t="shared" si="13"/>
        <v>Regelzone Amprion (gesamt)</v>
      </c>
    </row>
    <row r="143" spans="1:15" hidden="1" outlineLevel="1">
      <c r="A143" s="139" t="s">
        <v>777</v>
      </c>
      <c r="B143" s="71">
        <v>1</v>
      </c>
      <c r="C143" s="1133">
        <v>2021</v>
      </c>
      <c r="D143" s="198">
        <v>0</v>
      </c>
      <c r="E143" s="197">
        <v>0</v>
      </c>
      <c r="F143" s="198">
        <v>0</v>
      </c>
      <c r="G143" s="197">
        <v>0</v>
      </c>
      <c r="H143" s="198">
        <v>-8574</v>
      </c>
      <c r="I143" s="197">
        <v>-685.88</v>
      </c>
      <c r="J143" s="199">
        <v>0</v>
      </c>
      <c r="K143" s="200">
        <v>0</v>
      </c>
      <c r="L143" s="196">
        <f t="shared" si="12"/>
        <v>-685.88</v>
      </c>
      <c r="M143" s="5"/>
      <c r="O143" t="str">
        <f t="shared" si="13"/>
        <v>Regelzone Amprion (gesamt)</v>
      </c>
    </row>
    <row r="144" spans="1:15" hidden="1" outlineLevel="1">
      <c r="A144" s="139" t="s">
        <v>777</v>
      </c>
      <c r="B144" s="71">
        <v>7</v>
      </c>
      <c r="C144" s="1133">
        <v>2021</v>
      </c>
      <c r="D144" s="198">
        <v>0</v>
      </c>
      <c r="E144" s="197">
        <v>0</v>
      </c>
      <c r="F144" s="198">
        <v>0</v>
      </c>
      <c r="G144" s="197">
        <v>0</v>
      </c>
      <c r="H144" s="198">
        <v>75491</v>
      </c>
      <c r="I144" s="197">
        <v>7113.35</v>
      </c>
      <c r="J144" s="199">
        <v>-606.73</v>
      </c>
      <c r="K144" s="200">
        <v>0</v>
      </c>
      <c r="L144" s="196">
        <f t="shared" si="12"/>
        <v>6506.6200000000008</v>
      </c>
      <c r="M144" s="5"/>
      <c r="O144" t="str">
        <f t="shared" si="13"/>
        <v>Regelzone Amprion (gesamt)</v>
      </c>
    </row>
    <row r="145" spans="1:15" hidden="1" outlineLevel="1">
      <c r="A145" s="139" t="s">
        <v>785</v>
      </c>
      <c r="B145" s="71">
        <v>7</v>
      </c>
      <c r="C145" s="1133">
        <v>2021</v>
      </c>
      <c r="D145" s="198">
        <v>0</v>
      </c>
      <c r="E145" s="197">
        <v>0</v>
      </c>
      <c r="F145" s="198">
        <v>327879</v>
      </c>
      <c r="G145" s="197">
        <v>17738.25</v>
      </c>
      <c r="H145" s="198">
        <v>254438</v>
      </c>
      <c r="I145" s="197">
        <v>14461.84</v>
      </c>
      <c r="J145" s="199">
        <v>0</v>
      </c>
      <c r="K145" s="200">
        <v>0</v>
      </c>
      <c r="L145" s="196">
        <f t="shared" ref="L145:L209" si="14">E145+G145+I145+J145+K145</f>
        <v>32200.09</v>
      </c>
      <c r="M145" s="5"/>
      <c r="O145" t="str">
        <f t="shared" ref="O145:O314" si="15">$A$79</f>
        <v>Regelzone Amprion (gesamt)</v>
      </c>
    </row>
    <row r="146" spans="1:15" hidden="1" outlineLevel="1">
      <c r="A146" s="139" t="s">
        <v>811</v>
      </c>
      <c r="B146" s="71">
        <v>7</v>
      </c>
      <c r="C146" s="1133">
        <v>2021</v>
      </c>
      <c r="D146" s="198">
        <v>0</v>
      </c>
      <c r="E146" s="197">
        <v>0</v>
      </c>
      <c r="F146" s="198">
        <v>0</v>
      </c>
      <c r="G146" s="197">
        <v>0</v>
      </c>
      <c r="H146" s="198">
        <v>538</v>
      </c>
      <c r="I146" s="197">
        <v>43.04</v>
      </c>
      <c r="J146" s="199">
        <v>0</v>
      </c>
      <c r="K146" s="200">
        <v>0</v>
      </c>
      <c r="L146" s="196">
        <f t="shared" si="14"/>
        <v>43.04</v>
      </c>
      <c r="M146" s="5"/>
      <c r="O146" t="str">
        <f t="shared" si="15"/>
        <v>Regelzone Amprion (gesamt)</v>
      </c>
    </row>
    <row r="147" spans="1:15" hidden="1" outlineLevel="1">
      <c r="A147" s="139" t="s">
        <v>813</v>
      </c>
      <c r="B147" s="71">
        <v>7</v>
      </c>
      <c r="C147" s="1133">
        <v>2021</v>
      </c>
      <c r="D147" s="198">
        <v>0</v>
      </c>
      <c r="E147" s="197">
        <v>0</v>
      </c>
      <c r="F147" s="198">
        <v>0</v>
      </c>
      <c r="G147" s="197">
        <v>0</v>
      </c>
      <c r="H147" s="198">
        <v>6373</v>
      </c>
      <c r="I147" s="197">
        <v>742.08</v>
      </c>
      <c r="J147" s="199">
        <v>0</v>
      </c>
      <c r="K147" s="200">
        <v>0</v>
      </c>
      <c r="L147" s="196">
        <f t="shared" si="14"/>
        <v>742.08</v>
      </c>
      <c r="M147" s="5"/>
      <c r="O147" t="str">
        <f t="shared" si="15"/>
        <v>Regelzone Amprion (gesamt)</v>
      </c>
    </row>
    <row r="148" spans="1:15" hidden="1" outlineLevel="1">
      <c r="A148" s="139" t="s">
        <v>489</v>
      </c>
      <c r="B148" s="71">
        <v>7</v>
      </c>
      <c r="C148" s="1133">
        <v>2021</v>
      </c>
      <c r="D148" s="198">
        <v>0</v>
      </c>
      <c r="E148" s="197">
        <v>0</v>
      </c>
      <c r="F148" s="198">
        <v>0</v>
      </c>
      <c r="G148" s="197">
        <v>0</v>
      </c>
      <c r="H148" s="198">
        <v>0</v>
      </c>
      <c r="I148" s="197">
        <v>0</v>
      </c>
      <c r="J148" s="199">
        <v>-6337.5</v>
      </c>
      <c r="K148" s="200">
        <v>0</v>
      </c>
      <c r="L148" s="196">
        <f t="shared" si="14"/>
        <v>-6337.5</v>
      </c>
      <c r="M148" s="5"/>
      <c r="O148" t="str">
        <f t="shared" si="15"/>
        <v>Regelzone Amprion (gesamt)</v>
      </c>
    </row>
    <row r="149" spans="1:15" hidden="1" outlineLevel="1">
      <c r="A149" s="139" t="s">
        <v>407</v>
      </c>
      <c r="B149" s="71">
        <v>1</v>
      </c>
      <c r="C149" s="1133">
        <v>2022</v>
      </c>
      <c r="D149" s="198">
        <v>-10390</v>
      </c>
      <c r="E149" s="197">
        <v>-530.92999999999995</v>
      </c>
      <c r="F149" s="198">
        <v>-10216</v>
      </c>
      <c r="G149" s="197">
        <v>-552.69000000000005</v>
      </c>
      <c r="H149" s="198">
        <v>0</v>
      </c>
      <c r="I149" s="197">
        <v>0</v>
      </c>
      <c r="J149" s="199">
        <v>0</v>
      </c>
      <c r="K149" s="200">
        <v>0</v>
      </c>
      <c r="L149" s="196">
        <f t="shared" si="14"/>
        <v>-1083.6199999999999</v>
      </c>
      <c r="M149" s="5"/>
      <c r="O149" t="str">
        <f t="shared" si="15"/>
        <v>Regelzone Amprion (gesamt)</v>
      </c>
    </row>
    <row r="150" spans="1:15" hidden="1" outlineLevel="1">
      <c r="A150" s="139" t="s">
        <v>407</v>
      </c>
      <c r="B150" s="71">
        <v>7</v>
      </c>
      <c r="C150" s="1133">
        <v>2022</v>
      </c>
      <c r="D150" s="198">
        <v>0</v>
      </c>
      <c r="E150" s="197">
        <v>0</v>
      </c>
      <c r="F150" s="198">
        <v>41826</v>
      </c>
      <c r="G150" s="197">
        <v>2262.79</v>
      </c>
      <c r="H150" s="198">
        <v>11215</v>
      </c>
      <c r="I150" s="197">
        <v>575</v>
      </c>
      <c r="J150" s="199">
        <v>0</v>
      </c>
      <c r="K150" s="200">
        <v>0</v>
      </c>
      <c r="L150" s="196">
        <f t="shared" si="14"/>
        <v>2837.79</v>
      </c>
      <c r="M150" s="5"/>
      <c r="O150" t="str">
        <f t="shared" si="15"/>
        <v>Regelzone Amprion (gesamt)</v>
      </c>
    </row>
    <row r="151" spans="1:15" hidden="1" outlineLevel="1">
      <c r="A151" s="139" t="s">
        <v>411</v>
      </c>
      <c r="B151" s="71">
        <v>7</v>
      </c>
      <c r="C151" s="1133">
        <v>2022</v>
      </c>
      <c r="D151" s="198">
        <v>0</v>
      </c>
      <c r="E151" s="197">
        <v>0</v>
      </c>
      <c r="F151" s="198">
        <v>78151</v>
      </c>
      <c r="G151" s="197">
        <v>4227.97</v>
      </c>
      <c r="H151" s="198">
        <v>299679</v>
      </c>
      <c r="I151" s="197">
        <v>19603.009999999998</v>
      </c>
      <c r="J151" s="199">
        <v>0</v>
      </c>
      <c r="K151" s="200">
        <v>0</v>
      </c>
      <c r="L151" s="196">
        <f t="shared" si="14"/>
        <v>23830.98</v>
      </c>
      <c r="M151" s="5"/>
      <c r="O151" t="str">
        <f t="shared" si="15"/>
        <v>Regelzone Amprion (gesamt)</v>
      </c>
    </row>
    <row r="152" spans="1:15" hidden="1" outlineLevel="1">
      <c r="A152" s="139" t="s">
        <v>413</v>
      </c>
      <c r="B152" s="71">
        <v>7</v>
      </c>
      <c r="C152" s="1133">
        <v>2022</v>
      </c>
      <c r="D152" s="198">
        <v>0</v>
      </c>
      <c r="E152" s="197">
        <v>0</v>
      </c>
      <c r="F152" s="198">
        <v>0</v>
      </c>
      <c r="G152" s="197">
        <v>0</v>
      </c>
      <c r="H152" s="198">
        <v>324</v>
      </c>
      <c r="I152" s="197">
        <v>51.84</v>
      </c>
      <c r="J152" s="199">
        <v>0</v>
      </c>
      <c r="K152" s="200">
        <v>0</v>
      </c>
      <c r="L152" s="196">
        <f t="shared" si="14"/>
        <v>51.84</v>
      </c>
      <c r="M152" s="5"/>
      <c r="O152" t="str">
        <f t="shared" si="15"/>
        <v>Regelzone Amprion (gesamt)</v>
      </c>
    </row>
    <row r="153" spans="1:15" hidden="1" outlineLevel="1">
      <c r="A153" s="139" t="s">
        <v>417</v>
      </c>
      <c r="B153" s="71">
        <v>7</v>
      </c>
      <c r="C153" s="1133">
        <v>2022</v>
      </c>
      <c r="D153" s="198">
        <v>0</v>
      </c>
      <c r="E153" s="197">
        <v>0</v>
      </c>
      <c r="F153" s="198">
        <v>-97080</v>
      </c>
      <c r="G153" s="197">
        <v>-5252.03</v>
      </c>
      <c r="H153" s="198">
        <v>0</v>
      </c>
      <c r="I153" s="197">
        <v>0</v>
      </c>
      <c r="J153" s="199">
        <v>0</v>
      </c>
      <c r="K153" s="200">
        <v>0</v>
      </c>
      <c r="L153" s="196">
        <f t="shared" si="14"/>
        <v>-5252.03</v>
      </c>
      <c r="M153" s="5"/>
      <c r="O153" t="str">
        <f t="shared" si="15"/>
        <v>Regelzone Amprion (gesamt)</v>
      </c>
    </row>
    <row r="154" spans="1:15" hidden="1" outlineLevel="1">
      <c r="A154" s="139" t="s">
        <v>419</v>
      </c>
      <c r="B154" s="71">
        <v>1</v>
      </c>
      <c r="C154" s="1133">
        <v>2022</v>
      </c>
      <c r="D154" s="198">
        <v>0</v>
      </c>
      <c r="E154" s="197">
        <v>0</v>
      </c>
      <c r="F154" s="198">
        <v>-49599</v>
      </c>
      <c r="G154" s="197">
        <v>-2683.3</v>
      </c>
      <c r="H154" s="198">
        <v>-3280</v>
      </c>
      <c r="I154" s="197">
        <v>-546.32000000000005</v>
      </c>
      <c r="J154" s="199">
        <v>-35.01</v>
      </c>
      <c r="K154" s="200">
        <v>0</v>
      </c>
      <c r="L154" s="196">
        <f t="shared" si="14"/>
        <v>-3264.6300000000006</v>
      </c>
      <c r="M154" s="5"/>
      <c r="O154" t="str">
        <f t="shared" si="15"/>
        <v>Regelzone Amprion (gesamt)</v>
      </c>
    </row>
    <row r="155" spans="1:15" hidden="1" outlineLevel="1">
      <c r="A155" s="139" t="s">
        <v>419</v>
      </c>
      <c r="B155" s="71">
        <v>7</v>
      </c>
      <c r="C155" s="1133">
        <v>2022</v>
      </c>
      <c r="D155" s="198">
        <v>0</v>
      </c>
      <c r="E155" s="197">
        <v>0</v>
      </c>
      <c r="F155" s="198">
        <v>30022</v>
      </c>
      <c r="G155" s="197">
        <v>1624.19</v>
      </c>
      <c r="H155" s="198">
        <v>591406</v>
      </c>
      <c r="I155" s="197">
        <v>47391.99</v>
      </c>
      <c r="J155" s="199">
        <v>-3249.8</v>
      </c>
      <c r="K155" s="200">
        <v>0</v>
      </c>
      <c r="L155" s="196">
        <f t="shared" si="14"/>
        <v>45766.38</v>
      </c>
      <c r="M155" s="5"/>
      <c r="O155" t="str">
        <f t="shared" si="15"/>
        <v>Regelzone Amprion (gesamt)</v>
      </c>
    </row>
    <row r="156" spans="1:15" hidden="1" outlineLevel="1">
      <c r="A156" s="139" t="s">
        <v>425</v>
      </c>
      <c r="B156" s="71">
        <v>7</v>
      </c>
      <c r="C156" s="1133">
        <v>2022</v>
      </c>
      <c r="D156" s="198">
        <v>0</v>
      </c>
      <c r="E156" s="197">
        <v>0</v>
      </c>
      <c r="F156" s="198">
        <v>0</v>
      </c>
      <c r="G156" s="197">
        <v>0</v>
      </c>
      <c r="H156" s="198">
        <v>1830</v>
      </c>
      <c r="I156" s="197">
        <v>73.2</v>
      </c>
      <c r="J156" s="199">
        <v>0</v>
      </c>
      <c r="K156" s="200">
        <v>0</v>
      </c>
      <c r="L156" s="196">
        <f t="shared" si="14"/>
        <v>73.2</v>
      </c>
      <c r="M156" s="5"/>
      <c r="O156" t="str">
        <f t="shared" si="15"/>
        <v>Regelzone Amprion (gesamt)</v>
      </c>
    </row>
    <row r="157" spans="1:15" hidden="1" outlineLevel="1">
      <c r="A157" s="139" t="s">
        <v>433</v>
      </c>
      <c r="B157" s="71">
        <v>7</v>
      </c>
      <c r="C157" s="1133">
        <v>2022</v>
      </c>
      <c r="D157" s="198">
        <v>0</v>
      </c>
      <c r="E157" s="197">
        <v>0</v>
      </c>
      <c r="F157" s="198">
        <v>0</v>
      </c>
      <c r="G157" s="197">
        <v>0</v>
      </c>
      <c r="H157" s="198">
        <v>50032</v>
      </c>
      <c r="I157" s="197">
        <v>5039.32</v>
      </c>
      <c r="J157" s="199">
        <v>0</v>
      </c>
      <c r="K157" s="200">
        <v>0</v>
      </c>
      <c r="L157" s="196">
        <f t="shared" si="14"/>
        <v>5039.32</v>
      </c>
      <c r="M157" s="5"/>
      <c r="O157" t="str">
        <f t="shared" si="15"/>
        <v>Regelzone Amprion (gesamt)</v>
      </c>
    </row>
    <row r="158" spans="1:15" hidden="1" outlineLevel="1">
      <c r="A158" s="139" t="s">
        <v>437</v>
      </c>
      <c r="B158" s="71">
        <v>7</v>
      </c>
      <c r="C158" s="1133">
        <v>2022</v>
      </c>
      <c r="D158" s="198">
        <v>0</v>
      </c>
      <c r="E158" s="197">
        <v>0</v>
      </c>
      <c r="F158" s="198">
        <v>0</v>
      </c>
      <c r="G158" s="197">
        <v>0</v>
      </c>
      <c r="H158" s="198">
        <v>2287</v>
      </c>
      <c r="I158" s="197">
        <v>97.48</v>
      </c>
      <c r="J158" s="199">
        <v>0</v>
      </c>
      <c r="K158" s="200">
        <v>0</v>
      </c>
      <c r="L158" s="196">
        <f t="shared" si="14"/>
        <v>97.48</v>
      </c>
      <c r="M158" s="5"/>
      <c r="O158" t="str">
        <f t="shared" si="15"/>
        <v>Regelzone Amprion (gesamt)</v>
      </c>
    </row>
    <row r="159" spans="1:15" hidden="1" outlineLevel="1">
      <c r="A159" s="139" t="s">
        <v>441</v>
      </c>
      <c r="B159" s="71">
        <v>7</v>
      </c>
      <c r="C159" s="1133">
        <v>2022</v>
      </c>
      <c r="D159" s="198">
        <v>1343</v>
      </c>
      <c r="E159" s="197">
        <v>68.63</v>
      </c>
      <c r="F159" s="198">
        <v>19069</v>
      </c>
      <c r="G159" s="197">
        <v>6389.86</v>
      </c>
      <c r="H159" s="198">
        <v>609584</v>
      </c>
      <c r="I159" s="197">
        <v>39250.199999999997</v>
      </c>
      <c r="J159" s="199">
        <v>0</v>
      </c>
      <c r="K159" s="200">
        <v>0</v>
      </c>
      <c r="L159" s="196">
        <f t="shared" si="14"/>
        <v>45708.689999999995</v>
      </c>
      <c r="M159" s="5"/>
      <c r="O159" t="str">
        <f t="shared" si="15"/>
        <v>Regelzone Amprion (gesamt)</v>
      </c>
    </row>
    <row r="160" spans="1:15" hidden="1" outlineLevel="1">
      <c r="A160" s="139" t="s">
        <v>449</v>
      </c>
      <c r="B160" s="71">
        <v>7</v>
      </c>
      <c r="C160" s="1133">
        <v>2022</v>
      </c>
      <c r="D160" s="198">
        <v>74001</v>
      </c>
      <c r="E160" s="197">
        <v>3623.65</v>
      </c>
      <c r="F160" s="198">
        <v>3222145</v>
      </c>
      <c r="G160" s="197">
        <v>171339.34</v>
      </c>
      <c r="H160" s="198">
        <v>10902634</v>
      </c>
      <c r="I160" s="197">
        <v>766645.92</v>
      </c>
      <c r="J160" s="199">
        <v>-5758.64</v>
      </c>
      <c r="K160" s="200">
        <v>0</v>
      </c>
      <c r="L160" s="196">
        <f t="shared" si="14"/>
        <v>935850.27</v>
      </c>
      <c r="M160" s="5"/>
      <c r="O160" t="str">
        <f t="shared" si="15"/>
        <v>Regelzone Amprion (gesamt)</v>
      </c>
    </row>
    <row r="161" spans="1:15" hidden="1" outlineLevel="1">
      <c r="A161" s="139" t="s">
        <v>459</v>
      </c>
      <c r="B161" s="71">
        <v>7</v>
      </c>
      <c r="C161" s="1133">
        <v>2022</v>
      </c>
      <c r="D161" s="198">
        <v>0</v>
      </c>
      <c r="E161" s="197">
        <v>0</v>
      </c>
      <c r="F161" s="198">
        <v>0</v>
      </c>
      <c r="G161" s="197">
        <v>0</v>
      </c>
      <c r="H161" s="198">
        <v>154247</v>
      </c>
      <c r="I161" s="197">
        <v>12688.48</v>
      </c>
      <c r="J161" s="199">
        <v>0</v>
      </c>
      <c r="K161" s="200">
        <v>0</v>
      </c>
      <c r="L161" s="196">
        <f t="shared" si="14"/>
        <v>12688.48</v>
      </c>
      <c r="M161" s="5"/>
      <c r="O161" t="str">
        <f t="shared" si="15"/>
        <v>Regelzone Amprion (gesamt)</v>
      </c>
    </row>
    <row r="162" spans="1:15" hidden="1" outlineLevel="1">
      <c r="A162" s="139" t="s">
        <v>463</v>
      </c>
      <c r="B162" s="71">
        <v>7</v>
      </c>
      <c r="C162" s="1133">
        <v>2022</v>
      </c>
      <c r="D162" s="198">
        <v>486</v>
      </c>
      <c r="E162" s="197">
        <v>24.83</v>
      </c>
      <c r="F162" s="198">
        <v>237351</v>
      </c>
      <c r="G162" s="197">
        <v>12840.68</v>
      </c>
      <c r="H162" s="198">
        <v>69844</v>
      </c>
      <c r="I162" s="197">
        <v>7742.96</v>
      </c>
      <c r="J162" s="199">
        <v>0</v>
      </c>
      <c r="K162" s="200">
        <v>0</v>
      </c>
      <c r="L162" s="196">
        <f t="shared" si="14"/>
        <v>20608.47</v>
      </c>
      <c r="M162" s="5"/>
      <c r="O162" t="str">
        <f t="shared" si="15"/>
        <v>Regelzone Amprion (gesamt)</v>
      </c>
    </row>
    <row r="163" spans="1:15" hidden="1" outlineLevel="1">
      <c r="A163" s="139" t="s">
        <v>469</v>
      </c>
      <c r="B163" s="71">
        <v>1</v>
      </c>
      <c r="C163" s="1133">
        <v>2022</v>
      </c>
      <c r="D163" s="198">
        <v>0</v>
      </c>
      <c r="E163" s="197">
        <v>0</v>
      </c>
      <c r="F163" s="198">
        <v>-398225</v>
      </c>
      <c r="G163" s="197">
        <v>-21543.97</v>
      </c>
      <c r="H163" s="198">
        <v>-19704548</v>
      </c>
      <c r="I163" s="197">
        <v>-1282399.4099999999</v>
      </c>
      <c r="J163" s="199">
        <v>157.37</v>
      </c>
      <c r="K163" s="200">
        <v>0</v>
      </c>
      <c r="L163" s="196">
        <f t="shared" si="14"/>
        <v>-1303786.0099999998</v>
      </c>
      <c r="M163" s="5"/>
      <c r="O163" t="str">
        <f t="shared" si="15"/>
        <v>Regelzone Amprion (gesamt)</v>
      </c>
    </row>
    <row r="164" spans="1:15" hidden="1" outlineLevel="1">
      <c r="A164" s="139" t="s">
        <v>469</v>
      </c>
      <c r="B164" s="71">
        <v>7</v>
      </c>
      <c r="C164" s="1133">
        <v>2022</v>
      </c>
      <c r="D164" s="198">
        <v>0</v>
      </c>
      <c r="E164" s="197">
        <v>0</v>
      </c>
      <c r="F164" s="198">
        <v>1239056</v>
      </c>
      <c r="G164" s="197">
        <v>63009.75</v>
      </c>
      <c r="H164" s="198">
        <v>3302306</v>
      </c>
      <c r="I164" s="197">
        <v>237178.69</v>
      </c>
      <c r="J164" s="199">
        <v>-4174.8599999999997</v>
      </c>
      <c r="K164" s="200">
        <v>0</v>
      </c>
      <c r="L164" s="196">
        <f t="shared" si="14"/>
        <v>296013.58</v>
      </c>
      <c r="M164" s="5"/>
      <c r="O164" t="str">
        <f t="shared" si="15"/>
        <v>Regelzone Amprion (gesamt)</v>
      </c>
    </row>
    <row r="165" spans="1:15" hidden="1" outlineLevel="1">
      <c r="A165" s="139" t="s">
        <v>477</v>
      </c>
      <c r="B165" s="71">
        <v>1</v>
      </c>
      <c r="C165" s="1133">
        <v>2022</v>
      </c>
      <c r="D165" s="198">
        <v>0</v>
      </c>
      <c r="E165" s="197">
        <v>0</v>
      </c>
      <c r="F165" s="198">
        <v>-8857</v>
      </c>
      <c r="G165" s="197">
        <v>-479.16</v>
      </c>
      <c r="H165" s="198">
        <v>-35149</v>
      </c>
      <c r="I165" s="197">
        <v>-2353.4</v>
      </c>
      <c r="J165" s="199">
        <v>80.06</v>
      </c>
      <c r="K165" s="200">
        <v>0</v>
      </c>
      <c r="L165" s="196">
        <f t="shared" si="14"/>
        <v>-2752.5</v>
      </c>
      <c r="M165" s="5"/>
      <c r="O165" t="str">
        <f t="shared" si="15"/>
        <v>Regelzone Amprion (gesamt)</v>
      </c>
    </row>
    <row r="166" spans="1:15" hidden="1" outlineLevel="1">
      <c r="A166" s="139" t="s">
        <v>477</v>
      </c>
      <c r="B166" s="71">
        <v>7</v>
      </c>
      <c r="C166" s="1133">
        <v>2022</v>
      </c>
      <c r="D166" s="198">
        <v>0</v>
      </c>
      <c r="E166" s="197">
        <v>0</v>
      </c>
      <c r="F166" s="198">
        <v>0</v>
      </c>
      <c r="G166" s="197">
        <v>0</v>
      </c>
      <c r="H166" s="198">
        <v>47471</v>
      </c>
      <c r="I166" s="197">
        <v>8280.44</v>
      </c>
      <c r="J166" s="199">
        <v>-335.46</v>
      </c>
      <c r="K166" s="200">
        <v>0</v>
      </c>
      <c r="L166" s="196">
        <f t="shared" si="14"/>
        <v>7944.9800000000005</v>
      </c>
      <c r="M166" s="5"/>
      <c r="O166" t="str">
        <f t="shared" si="15"/>
        <v>Regelzone Amprion (gesamt)</v>
      </c>
    </row>
    <row r="167" spans="1:15" hidden="1" outlineLevel="1">
      <c r="A167" s="139" t="s">
        <v>489</v>
      </c>
      <c r="B167" s="71">
        <v>7</v>
      </c>
      <c r="C167" s="1133">
        <v>2022</v>
      </c>
      <c r="D167" s="198">
        <v>0</v>
      </c>
      <c r="E167" s="197">
        <v>0</v>
      </c>
      <c r="F167" s="198">
        <v>0</v>
      </c>
      <c r="G167" s="197">
        <v>0</v>
      </c>
      <c r="H167" s="198">
        <v>-22735</v>
      </c>
      <c r="I167" s="197">
        <v>-1089.6400000000001</v>
      </c>
      <c r="J167" s="199">
        <v>0</v>
      </c>
      <c r="K167" s="200">
        <v>0</v>
      </c>
      <c r="L167" s="196">
        <f t="shared" si="14"/>
        <v>-1089.6400000000001</v>
      </c>
      <c r="M167" s="5"/>
      <c r="O167" t="str">
        <f t="shared" si="15"/>
        <v>Regelzone Amprion (gesamt)</v>
      </c>
    </row>
    <row r="168" spans="1:15" hidden="1" outlineLevel="1">
      <c r="A168" s="139" t="s">
        <v>493</v>
      </c>
      <c r="B168" s="71">
        <v>7</v>
      </c>
      <c r="C168" s="1133">
        <v>2022</v>
      </c>
      <c r="D168" s="198">
        <v>0</v>
      </c>
      <c r="E168" s="197">
        <v>0</v>
      </c>
      <c r="F168" s="198">
        <v>0</v>
      </c>
      <c r="G168" s="197">
        <v>0</v>
      </c>
      <c r="H168" s="198">
        <v>0</v>
      </c>
      <c r="I168" s="197">
        <v>1759.36</v>
      </c>
      <c r="J168" s="199">
        <v>0</v>
      </c>
      <c r="K168" s="200">
        <v>0</v>
      </c>
      <c r="L168" s="196">
        <f t="shared" si="14"/>
        <v>1759.36</v>
      </c>
      <c r="M168" s="5"/>
      <c r="O168" t="str">
        <f t="shared" si="15"/>
        <v>Regelzone Amprion (gesamt)</v>
      </c>
    </row>
    <row r="169" spans="1:15" hidden="1" outlineLevel="1">
      <c r="A169" s="139" t="s">
        <v>495</v>
      </c>
      <c r="B169" s="71">
        <v>7</v>
      </c>
      <c r="C169" s="1133">
        <v>2022</v>
      </c>
      <c r="D169" s="198">
        <v>0</v>
      </c>
      <c r="E169" s="197">
        <v>0</v>
      </c>
      <c r="F169" s="198">
        <v>0</v>
      </c>
      <c r="G169" s="197">
        <v>0</v>
      </c>
      <c r="H169" s="198">
        <v>105740</v>
      </c>
      <c r="I169" s="197">
        <v>9309.68</v>
      </c>
      <c r="J169" s="199">
        <v>0</v>
      </c>
      <c r="K169" s="200">
        <v>0</v>
      </c>
      <c r="L169" s="196">
        <f t="shared" si="14"/>
        <v>9309.68</v>
      </c>
      <c r="M169" s="5"/>
      <c r="O169" t="str">
        <f t="shared" si="15"/>
        <v>Regelzone Amprion (gesamt)</v>
      </c>
    </row>
    <row r="170" spans="1:15" hidden="1" outlineLevel="1">
      <c r="A170" s="139" t="s">
        <v>503</v>
      </c>
      <c r="B170" s="71">
        <v>7</v>
      </c>
      <c r="C170" s="1133">
        <v>2022</v>
      </c>
      <c r="D170" s="198">
        <v>0</v>
      </c>
      <c r="E170" s="197">
        <v>0</v>
      </c>
      <c r="F170" s="198">
        <v>0</v>
      </c>
      <c r="G170" s="197">
        <v>0</v>
      </c>
      <c r="H170" s="198">
        <v>245774</v>
      </c>
      <c r="I170" s="197">
        <v>19661.919999999998</v>
      </c>
      <c r="J170" s="199">
        <v>0</v>
      </c>
      <c r="K170" s="200">
        <v>0</v>
      </c>
      <c r="L170" s="196">
        <f t="shared" si="14"/>
        <v>19661.919999999998</v>
      </c>
      <c r="M170" s="5"/>
      <c r="O170" t="str">
        <f t="shared" si="15"/>
        <v>Regelzone Amprion (gesamt)</v>
      </c>
    </row>
    <row r="171" spans="1:15" hidden="1" outlineLevel="1">
      <c r="A171" s="139" t="s">
        <v>513</v>
      </c>
      <c r="B171" s="71">
        <v>1</v>
      </c>
      <c r="C171" s="1133">
        <v>2022</v>
      </c>
      <c r="D171" s="198">
        <v>0</v>
      </c>
      <c r="E171" s="197">
        <v>0</v>
      </c>
      <c r="F171" s="198">
        <v>0</v>
      </c>
      <c r="G171" s="197">
        <v>0</v>
      </c>
      <c r="H171" s="198">
        <v>-4995241</v>
      </c>
      <c r="I171" s="197">
        <v>-237291.5</v>
      </c>
      <c r="J171" s="199">
        <v>0</v>
      </c>
      <c r="K171" s="200">
        <v>0</v>
      </c>
      <c r="L171" s="196">
        <f t="shared" si="14"/>
        <v>-237291.5</v>
      </c>
      <c r="M171" s="5"/>
      <c r="O171" t="str">
        <f t="shared" si="15"/>
        <v>Regelzone Amprion (gesamt)</v>
      </c>
    </row>
    <row r="172" spans="1:15" hidden="1" outlineLevel="1">
      <c r="A172" s="139" t="s">
        <v>513</v>
      </c>
      <c r="B172" s="71">
        <v>7</v>
      </c>
      <c r="C172" s="1133">
        <v>2022</v>
      </c>
      <c r="D172" s="198">
        <v>0</v>
      </c>
      <c r="E172" s="197">
        <v>0</v>
      </c>
      <c r="F172" s="198">
        <v>0</v>
      </c>
      <c r="G172" s="197">
        <v>0</v>
      </c>
      <c r="H172" s="198">
        <v>2382</v>
      </c>
      <c r="I172" s="197">
        <v>144.76</v>
      </c>
      <c r="J172" s="199">
        <v>0</v>
      </c>
      <c r="K172" s="200">
        <v>0</v>
      </c>
      <c r="L172" s="196">
        <f t="shared" si="14"/>
        <v>144.76</v>
      </c>
      <c r="M172" s="5"/>
      <c r="O172" t="str">
        <f t="shared" si="15"/>
        <v>Regelzone Amprion (gesamt)</v>
      </c>
    </row>
    <row r="173" spans="1:15" hidden="1" outlineLevel="1">
      <c r="A173" s="139" t="s">
        <v>517</v>
      </c>
      <c r="B173" s="71">
        <v>7</v>
      </c>
      <c r="C173" s="1133">
        <v>2022</v>
      </c>
      <c r="D173" s="198">
        <v>0</v>
      </c>
      <c r="E173" s="197">
        <v>0</v>
      </c>
      <c r="F173" s="198">
        <v>0</v>
      </c>
      <c r="G173" s="197">
        <v>0</v>
      </c>
      <c r="H173" s="198">
        <v>244</v>
      </c>
      <c r="I173" s="197">
        <v>39.04</v>
      </c>
      <c r="J173" s="199">
        <v>0</v>
      </c>
      <c r="K173" s="200">
        <v>0</v>
      </c>
      <c r="L173" s="196">
        <f t="shared" si="14"/>
        <v>39.04</v>
      </c>
      <c r="M173" s="5"/>
      <c r="O173" t="str">
        <f t="shared" si="15"/>
        <v>Regelzone Amprion (gesamt)</v>
      </c>
    </row>
    <row r="174" spans="1:15" hidden="1" outlineLevel="1">
      <c r="A174" s="139" t="s">
        <v>519</v>
      </c>
      <c r="B174" s="71">
        <v>1</v>
      </c>
      <c r="C174" s="1133">
        <v>2022</v>
      </c>
      <c r="D174" s="198">
        <v>0</v>
      </c>
      <c r="E174" s="197">
        <v>0</v>
      </c>
      <c r="F174" s="198">
        <v>-5048914</v>
      </c>
      <c r="G174" s="197">
        <v>-152934.68</v>
      </c>
      <c r="H174" s="198">
        <v>-83466</v>
      </c>
      <c r="I174" s="197">
        <v>-4037.08</v>
      </c>
      <c r="J174" s="199">
        <v>0</v>
      </c>
      <c r="K174" s="200">
        <v>0</v>
      </c>
      <c r="L174" s="196">
        <f t="shared" si="14"/>
        <v>-156971.75999999998</v>
      </c>
      <c r="M174" s="5"/>
      <c r="O174" t="str">
        <f t="shared" si="15"/>
        <v>Regelzone Amprion (gesamt)</v>
      </c>
    </row>
    <row r="175" spans="1:15" hidden="1" outlineLevel="1">
      <c r="A175" s="139" t="s">
        <v>519</v>
      </c>
      <c r="B175" s="71">
        <v>7</v>
      </c>
      <c r="C175" s="1133">
        <v>2022</v>
      </c>
      <c r="D175" s="198">
        <v>0</v>
      </c>
      <c r="E175" s="197">
        <v>0</v>
      </c>
      <c r="F175" s="198">
        <v>327552</v>
      </c>
      <c r="G175" s="197">
        <v>15251.77</v>
      </c>
      <c r="H175" s="198">
        <v>147306</v>
      </c>
      <c r="I175" s="197">
        <v>7084.84</v>
      </c>
      <c r="J175" s="199">
        <v>0</v>
      </c>
      <c r="K175" s="200">
        <v>0</v>
      </c>
      <c r="L175" s="196">
        <f t="shared" si="14"/>
        <v>22336.61</v>
      </c>
      <c r="M175" s="5"/>
      <c r="O175" t="str">
        <f t="shared" si="15"/>
        <v>Regelzone Amprion (gesamt)</v>
      </c>
    </row>
    <row r="176" spans="1:15" hidden="1" outlineLevel="1">
      <c r="A176" s="139" t="s">
        <v>523</v>
      </c>
      <c r="B176" s="71">
        <v>7</v>
      </c>
      <c r="C176" s="1133">
        <v>2022</v>
      </c>
      <c r="D176" s="198">
        <v>10563</v>
      </c>
      <c r="E176" s="197">
        <v>539.77</v>
      </c>
      <c r="F176" s="198">
        <v>655716</v>
      </c>
      <c r="G176" s="197">
        <v>35474.239999999998</v>
      </c>
      <c r="H176" s="198">
        <v>680169</v>
      </c>
      <c r="I176" s="197">
        <v>52741.64</v>
      </c>
      <c r="J176" s="199">
        <v>0</v>
      </c>
      <c r="K176" s="200">
        <v>0</v>
      </c>
      <c r="L176" s="196">
        <f t="shared" si="14"/>
        <v>88755.65</v>
      </c>
      <c r="M176" s="5"/>
      <c r="O176" t="str">
        <f t="shared" si="15"/>
        <v>Regelzone Amprion (gesamt)</v>
      </c>
    </row>
    <row r="177" spans="1:15" hidden="1" outlineLevel="1">
      <c r="A177" s="139" t="s">
        <v>527</v>
      </c>
      <c r="B177" s="71">
        <v>7</v>
      </c>
      <c r="C177" s="1133">
        <v>2022</v>
      </c>
      <c r="D177" s="198">
        <v>0</v>
      </c>
      <c r="E177" s="197">
        <v>0</v>
      </c>
      <c r="F177" s="198">
        <v>0</v>
      </c>
      <c r="G177" s="197">
        <v>0</v>
      </c>
      <c r="H177" s="198">
        <v>-13937</v>
      </c>
      <c r="I177" s="197">
        <v>6715.76</v>
      </c>
      <c r="J177" s="199">
        <v>0</v>
      </c>
      <c r="K177" s="200">
        <v>0</v>
      </c>
      <c r="L177" s="196">
        <f t="shared" si="14"/>
        <v>6715.76</v>
      </c>
      <c r="M177" s="5"/>
      <c r="O177" t="str">
        <f t="shared" si="15"/>
        <v>Regelzone Amprion (gesamt)</v>
      </c>
    </row>
    <row r="178" spans="1:15" hidden="1" outlineLevel="1">
      <c r="A178" s="139" t="s">
        <v>531</v>
      </c>
      <c r="B178" s="71">
        <v>7</v>
      </c>
      <c r="C178" s="1133">
        <v>2022</v>
      </c>
      <c r="D178" s="198">
        <v>0</v>
      </c>
      <c r="E178" s="197">
        <v>0</v>
      </c>
      <c r="F178" s="198">
        <v>303027</v>
      </c>
      <c r="G178" s="197">
        <v>16393.77</v>
      </c>
      <c r="H178" s="198">
        <v>69377</v>
      </c>
      <c r="I178" s="197">
        <v>2808.48</v>
      </c>
      <c r="J178" s="199">
        <v>0</v>
      </c>
      <c r="K178" s="200">
        <v>0</v>
      </c>
      <c r="L178" s="196">
        <f t="shared" si="14"/>
        <v>19202.25</v>
      </c>
      <c r="M178" s="5"/>
      <c r="O178" t="str">
        <f t="shared" si="15"/>
        <v>Regelzone Amprion (gesamt)</v>
      </c>
    </row>
    <row r="179" spans="1:15" hidden="1" outlineLevel="1">
      <c r="A179" s="139" t="s">
        <v>539</v>
      </c>
      <c r="B179" s="71">
        <v>7</v>
      </c>
      <c r="C179" s="1133">
        <v>2022</v>
      </c>
      <c r="D179" s="198">
        <v>0</v>
      </c>
      <c r="E179" s="197">
        <v>0</v>
      </c>
      <c r="F179" s="198">
        <v>0</v>
      </c>
      <c r="G179" s="197">
        <v>0</v>
      </c>
      <c r="H179" s="198">
        <v>-7091</v>
      </c>
      <c r="I179" s="197">
        <v>-712.72</v>
      </c>
      <c r="J179" s="199">
        <v>0</v>
      </c>
      <c r="K179" s="200">
        <v>0</v>
      </c>
      <c r="L179" s="196">
        <f t="shared" si="14"/>
        <v>-712.72</v>
      </c>
      <c r="M179" s="5"/>
      <c r="O179" t="str">
        <f t="shared" si="15"/>
        <v>Regelzone Amprion (gesamt)</v>
      </c>
    </row>
    <row r="180" spans="1:15" hidden="1" outlineLevel="1">
      <c r="A180" s="139" t="s">
        <v>541</v>
      </c>
      <c r="B180" s="71">
        <v>1</v>
      </c>
      <c r="C180" s="1133">
        <v>2022</v>
      </c>
      <c r="D180" s="198">
        <v>0</v>
      </c>
      <c r="E180" s="197">
        <v>0</v>
      </c>
      <c r="F180" s="198">
        <v>-768528</v>
      </c>
      <c r="G180" s="197">
        <v>-33008.11</v>
      </c>
      <c r="H180" s="198">
        <v>0</v>
      </c>
      <c r="I180" s="197">
        <v>0</v>
      </c>
      <c r="J180" s="199">
        <v>0</v>
      </c>
      <c r="K180" s="200">
        <v>0</v>
      </c>
      <c r="L180" s="196">
        <f t="shared" si="14"/>
        <v>-33008.11</v>
      </c>
      <c r="M180" s="5"/>
      <c r="O180" t="str">
        <f t="shared" si="15"/>
        <v>Regelzone Amprion (gesamt)</v>
      </c>
    </row>
    <row r="181" spans="1:15" hidden="1" outlineLevel="1">
      <c r="A181" s="139" t="s">
        <v>541</v>
      </c>
      <c r="B181" s="71">
        <v>7</v>
      </c>
      <c r="C181" s="1133">
        <v>2022</v>
      </c>
      <c r="D181" s="198">
        <v>0</v>
      </c>
      <c r="E181" s="197">
        <v>0</v>
      </c>
      <c r="F181" s="198">
        <v>219637</v>
      </c>
      <c r="G181" s="197">
        <v>11882.37</v>
      </c>
      <c r="H181" s="198">
        <v>720817</v>
      </c>
      <c r="I181" s="197">
        <v>71339.48</v>
      </c>
      <c r="J181" s="199">
        <v>0</v>
      </c>
      <c r="K181" s="200">
        <v>0</v>
      </c>
      <c r="L181" s="196">
        <f t="shared" si="14"/>
        <v>83221.849999999991</v>
      </c>
      <c r="M181" s="5"/>
      <c r="O181" t="str">
        <f t="shared" si="15"/>
        <v>Regelzone Amprion (gesamt)</v>
      </c>
    </row>
    <row r="182" spans="1:15" hidden="1" outlineLevel="1">
      <c r="A182" s="139" t="s">
        <v>573</v>
      </c>
      <c r="B182" s="71">
        <v>7</v>
      </c>
      <c r="C182" s="1133">
        <v>2022</v>
      </c>
      <c r="D182" s="198">
        <v>0</v>
      </c>
      <c r="E182" s="197">
        <v>0</v>
      </c>
      <c r="F182" s="198">
        <v>0</v>
      </c>
      <c r="G182" s="197">
        <v>0</v>
      </c>
      <c r="H182" s="198">
        <v>26811</v>
      </c>
      <c r="I182" s="197">
        <v>3481.32</v>
      </c>
      <c r="J182" s="199">
        <v>0</v>
      </c>
      <c r="K182" s="200">
        <v>0</v>
      </c>
      <c r="L182" s="196">
        <f t="shared" si="14"/>
        <v>3481.32</v>
      </c>
      <c r="M182" s="5"/>
      <c r="O182" t="str">
        <f t="shared" si="15"/>
        <v>Regelzone Amprion (gesamt)</v>
      </c>
    </row>
    <row r="183" spans="1:15" hidden="1" outlineLevel="1">
      <c r="A183" s="139" t="s">
        <v>579</v>
      </c>
      <c r="B183" s="71">
        <v>7</v>
      </c>
      <c r="C183" s="1133">
        <v>2022</v>
      </c>
      <c r="D183" s="198">
        <v>0</v>
      </c>
      <c r="E183" s="197">
        <v>0</v>
      </c>
      <c r="F183" s="198">
        <v>0</v>
      </c>
      <c r="G183" s="197">
        <v>0</v>
      </c>
      <c r="H183" s="198">
        <v>87436</v>
      </c>
      <c r="I183" s="197">
        <v>9362.92</v>
      </c>
      <c r="J183" s="199">
        <v>0</v>
      </c>
      <c r="K183" s="200">
        <v>0</v>
      </c>
      <c r="L183" s="196">
        <f t="shared" si="14"/>
        <v>9362.92</v>
      </c>
      <c r="M183" s="5"/>
      <c r="O183" t="str">
        <f t="shared" si="15"/>
        <v>Regelzone Amprion (gesamt)</v>
      </c>
    </row>
    <row r="184" spans="1:15" hidden="1" outlineLevel="1">
      <c r="A184" s="139" t="s">
        <v>583</v>
      </c>
      <c r="B184" s="71">
        <v>7</v>
      </c>
      <c r="C184" s="1133">
        <v>2022</v>
      </c>
      <c r="D184" s="198">
        <v>0</v>
      </c>
      <c r="E184" s="197">
        <v>0</v>
      </c>
      <c r="F184" s="198">
        <v>0</v>
      </c>
      <c r="G184" s="197">
        <v>0</v>
      </c>
      <c r="H184" s="198">
        <v>0</v>
      </c>
      <c r="I184" s="197">
        <v>1444.98</v>
      </c>
      <c r="J184" s="199">
        <v>0</v>
      </c>
      <c r="K184" s="200">
        <v>0</v>
      </c>
      <c r="L184" s="196">
        <f t="shared" si="14"/>
        <v>1444.98</v>
      </c>
      <c r="M184" s="5"/>
      <c r="O184" t="str">
        <f t="shared" si="15"/>
        <v>Regelzone Amprion (gesamt)</v>
      </c>
    </row>
    <row r="185" spans="1:15" hidden="1" outlineLevel="1">
      <c r="A185" s="139" t="s">
        <v>589</v>
      </c>
      <c r="B185" s="71">
        <v>7</v>
      </c>
      <c r="C185" s="1133">
        <v>2022</v>
      </c>
      <c r="D185" s="198">
        <v>0</v>
      </c>
      <c r="E185" s="197">
        <v>0</v>
      </c>
      <c r="F185" s="198">
        <v>0</v>
      </c>
      <c r="G185" s="197">
        <v>0</v>
      </c>
      <c r="H185" s="198">
        <v>74184</v>
      </c>
      <c r="I185" s="197">
        <v>11869.44</v>
      </c>
      <c r="J185" s="199">
        <v>0</v>
      </c>
      <c r="K185" s="200">
        <v>0</v>
      </c>
      <c r="L185" s="196">
        <f t="shared" si="14"/>
        <v>11869.44</v>
      </c>
      <c r="M185" s="5"/>
      <c r="O185" t="str">
        <f t="shared" si="15"/>
        <v>Regelzone Amprion (gesamt)</v>
      </c>
    </row>
    <row r="186" spans="1:15" hidden="1" outlineLevel="1">
      <c r="A186" s="139" t="s">
        <v>591</v>
      </c>
      <c r="B186" s="71">
        <v>7</v>
      </c>
      <c r="C186" s="1133">
        <v>2022</v>
      </c>
      <c r="D186" s="198">
        <v>0</v>
      </c>
      <c r="E186" s="197">
        <v>0</v>
      </c>
      <c r="F186" s="198">
        <v>9011481</v>
      </c>
      <c r="G186" s="197">
        <v>251074.8</v>
      </c>
      <c r="H186" s="198">
        <v>0</v>
      </c>
      <c r="I186" s="197">
        <v>0</v>
      </c>
      <c r="J186" s="199">
        <v>0</v>
      </c>
      <c r="K186" s="200">
        <v>0</v>
      </c>
      <c r="L186" s="196">
        <f t="shared" si="14"/>
        <v>251074.8</v>
      </c>
      <c r="M186" s="5"/>
      <c r="O186" t="str">
        <f t="shared" si="15"/>
        <v>Regelzone Amprion (gesamt)</v>
      </c>
    </row>
    <row r="187" spans="1:15" hidden="1" outlineLevel="1">
      <c r="A187" s="139" t="s">
        <v>609</v>
      </c>
      <c r="B187" s="71">
        <v>7</v>
      </c>
      <c r="C187" s="1133">
        <v>2022</v>
      </c>
      <c r="D187" s="198">
        <v>0</v>
      </c>
      <c r="E187" s="197">
        <v>0</v>
      </c>
      <c r="F187" s="198">
        <v>0</v>
      </c>
      <c r="G187" s="197">
        <v>0</v>
      </c>
      <c r="H187" s="198">
        <v>104643</v>
      </c>
      <c r="I187" s="197">
        <v>11537.6</v>
      </c>
      <c r="J187" s="199">
        <v>0</v>
      </c>
      <c r="K187" s="200">
        <v>0</v>
      </c>
      <c r="L187" s="196">
        <f t="shared" si="14"/>
        <v>11537.6</v>
      </c>
      <c r="M187" s="5"/>
      <c r="O187" t="str">
        <f t="shared" si="15"/>
        <v>Regelzone Amprion (gesamt)</v>
      </c>
    </row>
    <row r="188" spans="1:15" hidden="1" outlineLevel="1">
      <c r="A188" s="139" t="s">
        <v>617</v>
      </c>
      <c r="B188" s="71">
        <v>7</v>
      </c>
      <c r="C188" s="1133">
        <v>2022</v>
      </c>
      <c r="D188" s="198">
        <v>0</v>
      </c>
      <c r="E188" s="197">
        <v>0</v>
      </c>
      <c r="F188" s="198">
        <v>0</v>
      </c>
      <c r="G188" s="197">
        <v>0</v>
      </c>
      <c r="H188" s="198">
        <v>4318</v>
      </c>
      <c r="I188" s="197">
        <v>690.88</v>
      </c>
      <c r="J188" s="199">
        <v>0</v>
      </c>
      <c r="K188" s="200">
        <v>0</v>
      </c>
      <c r="L188" s="196">
        <f t="shared" si="14"/>
        <v>690.88</v>
      </c>
      <c r="M188" s="5"/>
      <c r="O188" t="str">
        <f t="shared" si="15"/>
        <v>Regelzone Amprion (gesamt)</v>
      </c>
    </row>
    <row r="189" spans="1:15" hidden="1" outlineLevel="1">
      <c r="A189" s="139" t="s">
        <v>621</v>
      </c>
      <c r="B189" s="71">
        <v>7</v>
      </c>
      <c r="C189" s="1133">
        <v>2022</v>
      </c>
      <c r="D189" s="198">
        <v>0</v>
      </c>
      <c r="E189" s="197">
        <v>0</v>
      </c>
      <c r="F189" s="198">
        <v>0</v>
      </c>
      <c r="G189" s="197">
        <v>0</v>
      </c>
      <c r="H189" s="198">
        <v>125028</v>
      </c>
      <c r="I189" s="197">
        <v>5073.68</v>
      </c>
      <c r="J189" s="199">
        <v>0</v>
      </c>
      <c r="K189" s="200">
        <v>0</v>
      </c>
      <c r="L189" s="196">
        <f t="shared" si="14"/>
        <v>5073.68</v>
      </c>
      <c r="M189" s="5"/>
      <c r="O189" t="str">
        <f t="shared" si="15"/>
        <v>Regelzone Amprion (gesamt)</v>
      </c>
    </row>
    <row r="190" spans="1:15" hidden="1" outlineLevel="1">
      <c r="A190" s="139" t="s">
        <v>627</v>
      </c>
      <c r="B190" s="71">
        <v>1</v>
      </c>
      <c r="C190" s="1133">
        <v>2022</v>
      </c>
      <c r="D190" s="198">
        <v>0</v>
      </c>
      <c r="E190" s="197">
        <v>0</v>
      </c>
      <c r="F190" s="198">
        <v>-733</v>
      </c>
      <c r="G190" s="197">
        <v>-39.659999999999997</v>
      </c>
      <c r="H190" s="198">
        <v>0</v>
      </c>
      <c r="I190" s="197">
        <v>0</v>
      </c>
      <c r="J190" s="199">
        <v>0</v>
      </c>
      <c r="K190" s="200">
        <v>0</v>
      </c>
      <c r="L190" s="196">
        <f t="shared" si="14"/>
        <v>-39.659999999999997</v>
      </c>
      <c r="M190" s="5"/>
      <c r="O190" t="str">
        <f t="shared" si="15"/>
        <v>Regelzone Amprion (gesamt)</v>
      </c>
    </row>
    <row r="191" spans="1:15" hidden="1" outlineLevel="1">
      <c r="A191" s="139" t="s">
        <v>627</v>
      </c>
      <c r="B191" s="71">
        <v>7</v>
      </c>
      <c r="C191" s="1133">
        <v>2022</v>
      </c>
      <c r="D191" s="198">
        <v>0</v>
      </c>
      <c r="E191" s="197">
        <v>0</v>
      </c>
      <c r="F191" s="198">
        <v>-16910</v>
      </c>
      <c r="G191" s="197">
        <v>-914.83</v>
      </c>
      <c r="H191" s="198">
        <v>93242</v>
      </c>
      <c r="I191" s="197">
        <v>7459.52</v>
      </c>
      <c r="J191" s="199">
        <v>-100.72</v>
      </c>
      <c r="K191" s="200">
        <v>0</v>
      </c>
      <c r="L191" s="196">
        <f t="shared" si="14"/>
        <v>6443.97</v>
      </c>
      <c r="M191" s="5"/>
      <c r="O191" t="str">
        <f t="shared" si="15"/>
        <v>Regelzone Amprion (gesamt)</v>
      </c>
    </row>
    <row r="192" spans="1:15" hidden="1" outlineLevel="1">
      <c r="A192" s="139" t="s">
        <v>629</v>
      </c>
      <c r="B192" s="71">
        <v>7</v>
      </c>
      <c r="C192" s="1133">
        <v>2022</v>
      </c>
      <c r="D192" s="198">
        <v>0</v>
      </c>
      <c r="E192" s="197">
        <v>0</v>
      </c>
      <c r="F192" s="198">
        <v>26849</v>
      </c>
      <c r="G192" s="197">
        <v>1452.54</v>
      </c>
      <c r="H192" s="198">
        <v>0</v>
      </c>
      <c r="I192" s="197">
        <v>0</v>
      </c>
      <c r="J192" s="199">
        <v>0</v>
      </c>
      <c r="K192" s="200">
        <v>0</v>
      </c>
      <c r="L192" s="196">
        <f t="shared" si="14"/>
        <v>1452.54</v>
      </c>
      <c r="M192" s="5"/>
      <c r="O192" t="str">
        <f t="shared" si="15"/>
        <v>Regelzone Amprion (gesamt)</v>
      </c>
    </row>
    <row r="193" spans="1:15" hidden="1" outlineLevel="1">
      <c r="A193" s="139" t="s">
        <v>639</v>
      </c>
      <c r="B193" s="71">
        <v>7</v>
      </c>
      <c r="C193" s="1133">
        <v>2022</v>
      </c>
      <c r="D193" s="198">
        <v>0</v>
      </c>
      <c r="E193" s="197">
        <v>0</v>
      </c>
      <c r="F193" s="198">
        <v>179138</v>
      </c>
      <c r="G193" s="197">
        <v>9691.3700000000008</v>
      </c>
      <c r="H193" s="198">
        <v>577169</v>
      </c>
      <c r="I193" s="197">
        <v>55160.79</v>
      </c>
      <c r="J193" s="199">
        <v>0</v>
      </c>
      <c r="K193" s="200">
        <v>0</v>
      </c>
      <c r="L193" s="196">
        <f t="shared" si="14"/>
        <v>64852.160000000003</v>
      </c>
      <c r="M193" s="5"/>
      <c r="O193" t="str">
        <f t="shared" si="15"/>
        <v>Regelzone Amprion (gesamt)</v>
      </c>
    </row>
    <row r="194" spans="1:15" hidden="1" outlineLevel="1">
      <c r="A194" s="139" t="s">
        <v>641</v>
      </c>
      <c r="B194" s="71">
        <v>7</v>
      </c>
      <c r="C194" s="1133">
        <v>2022</v>
      </c>
      <c r="D194" s="198">
        <v>0</v>
      </c>
      <c r="E194" s="197">
        <v>0</v>
      </c>
      <c r="F194" s="198">
        <v>0</v>
      </c>
      <c r="G194" s="197">
        <v>0</v>
      </c>
      <c r="H194" s="198">
        <v>-3341</v>
      </c>
      <c r="I194" s="197">
        <v>1061.08</v>
      </c>
      <c r="J194" s="199">
        <v>0</v>
      </c>
      <c r="K194" s="200">
        <v>0</v>
      </c>
      <c r="L194" s="196">
        <f t="shared" si="14"/>
        <v>1061.08</v>
      </c>
      <c r="M194" s="5"/>
      <c r="O194" t="str">
        <f t="shared" si="15"/>
        <v>Regelzone Amprion (gesamt)</v>
      </c>
    </row>
    <row r="195" spans="1:15" hidden="1" outlineLevel="1">
      <c r="A195" s="139" t="s">
        <v>651</v>
      </c>
      <c r="B195" s="71">
        <v>1</v>
      </c>
      <c r="C195" s="1133">
        <v>2022</v>
      </c>
      <c r="D195" s="198">
        <v>0</v>
      </c>
      <c r="E195" s="197">
        <v>0</v>
      </c>
      <c r="F195" s="198">
        <v>0</v>
      </c>
      <c r="G195" s="197">
        <v>0</v>
      </c>
      <c r="H195" s="198">
        <v>-8417</v>
      </c>
      <c r="I195" s="197">
        <v>-850.52</v>
      </c>
      <c r="J195" s="199">
        <v>0</v>
      </c>
      <c r="K195" s="200">
        <v>0</v>
      </c>
      <c r="L195" s="196">
        <f t="shared" si="14"/>
        <v>-850.52</v>
      </c>
      <c r="M195" s="5"/>
      <c r="O195" t="str">
        <f t="shared" si="15"/>
        <v>Regelzone Amprion (gesamt)</v>
      </c>
    </row>
    <row r="196" spans="1:15" hidden="1" outlineLevel="1">
      <c r="A196" s="139" t="s">
        <v>651</v>
      </c>
      <c r="B196" s="71">
        <v>7</v>
      </c>
      <c r="C196" s="1133">
        <v>2022</v>
      </c>
      <c r="D196" s="198">
        <v>0</v>
      </c>
      <c r="E196" s="197">
        <v>0</v>
      </c>
      <c r="F196" s="198">
        <v>785437</v>
      </c>
      <c r="G196" s="197">
        <v>39677.370000000003</v>
      </c>
      <c r="H196" s="198">
        <v>136547</v>
      </c>
      <c r="I196" s="197">
        <v>9596.92</v>
      </c>
      <c r="J196" s="199">
        <v>0</v>
      </c>
      <c r="K196" s="200">
        <v>0</v>
      </c>
      <c r="L196" s="196">
        <f t="shared" si="14"/>
        <v>49274.29</v>
      </c>
      <c r="M196" s="5"/>
      <c r="O196" t="str">
        <f t="shared" si="15"/>
        <v>Regelzone Amprion (gesamt)</v>
      </c>
    </row>
    <row r="197" spans="1:15" hidden="1" outlineLevel="1">
      <c r="A197" s="139" t="s">
        <v>660</v>
      </c>
      <c r="B197" s="71">
        <v>7</v>
      </c>
      <c r="C197" s="1133">
        <v>2022</v>
      </c>
      <c r="D197" s="198">
        <v>0</v>
      </c>
      <c r="E197" s="197">
        <v>0</v>
      </c>
      <c r="F197" s="198">
        <v>0</v>
      </c>
      <c r="G197" s="197">
        <v>0</v>
      </c>
      <c r="H197" s="198">
        <v>13684</v>
      </c>
      <c r="I197" s="197">
        <v>1094.72</v>
      </c>
      <c r="J197" s="199">
        <v>0</v>
      </c>
      <c r="K197" s="200">
        <v>0</v>
      </c>
      <c r="L197" s="196">
        <f t="shared" si="14"/>
        <v>1094.72</v>
      </c>
      <c r="M197" s="5"/>
      <c r="O197" t="str">
        <f t="shared" si="15"/>
        <v>Regelzone Amprion (gesamt)</v>
      </c>
    </row>
    <row r="198" spans="1:15" hidden="1" outlineLevel="1">
      <c r="A198" s="139" t="s">
        <v>664</v>
      </c>
      <c r="B198" s="71">
        <v>7</v>
      </c>
      <c r="C198" s="1133">
        <v>2022</v>
      </c>
      <c r="D198" s="198">
        <v>0</v>
      </c>
      <c r="E198" s="197">
        <v>0</v>
      </c>
      <c r="F198" s="198">
        <v>0</v>
      </c>
      <c r="G198" s="197">
        <v>0</v>
      </c>
      <c r="H198" s="198">
        <v>21164</v>
      </c>
      <c r="I198" s="197">
        <v>2644.4</v>
      </c>
      <c r="J198" s="199">
        <v>0</v>
      </c>
      <c r="K198" s="200">
        <v>0</v>
      </c>
      <c r="L198" s="196">
        <f t="shared" si="14"/>
        <v>2644.4</v>
      </c>
      <c r="M198" s="5"/>
      <c r="O198" t="str">
        <f t="shared" si="15"/>
        <v>Regelzone Amprion (gesamt)</v>
      </c>
    </row>
    <row r="199" spans="1:15" hidden="1" outlineLevel="1">
      <c r="A199" s="139" t="s">
        <v>676</v>
      </c>
      <c r="B199" s="71">
        <v>7</v>
      </c>
      <c r="C199" s="1133">
        <v>2022</v>
      </c>
      <c r="D199" s="198">
        <v>0</v>
      </c>
      <c r="E199" s="197">
        <v>0</v>
      </c>
      <c r="F199" s="198">
        <v>0</v>
      </c>
      <c r="G199" s="197">
        <v>0</v>
      </c>
      <c r="H199" s="198">
        <v>14064</v>
      </c>
      <c r="I199" s="197">
        <v>737.17</v>
      </c>
      <c r="J199" s="199">
        <v>0</v>
      </c>
      <c r="K199" s="200">
        <v>0</v>
      </c>
      <c r="L199" s="196">
        <f t="shared" si="14"/>
        <v>737.17</v>
      </c>
      <c r="M199" s="5"/>
      <c r="O199" t="str">
        <f t="shared" si="15"/>
        <v>Regelzone Amprion (gesamt)</v>
      </c>
    </row>
    <row r="200" spans="1:15" hidden="1" outlineLevel="1">
      <c r="A200" s="139" t="s">
        <v>678</v>
      </c>
      <c r="B200" s="71">
        <v>7</v>
      </c>
      <c r="C200" s="1133">
        <v>2022</v>
      </c>
      <c r="D200" s="198">
        <v>0</v>
      </c>
      <c r="E200" s="197">
        <v>0</v>
      </c>
      <c r="F200" s="198">
        <v>4501</v>
      </c>
      <c r="G200" s="197">
        <v>243.5</v>
      </c>
      <c r="H200" s="198">
        <v>15628</v>
      </c>
      <c r="I200" s="197">
        <v>842.62</v>
      </c>
      <c r="J200" s="199">
        <v>0</v>
      </c>
      <c r="K200" s="200">
        <v>0</v>
      </c>
      <c r="L200" s="196">
        <f t="shared" si="14"/>
        <v>1086.1199999999999</v>
      </c>
      <c r="M200" s="5"/>
      <c r="O200" t="str">
        <f t="shared" si="15"/>
        <v>Regelzone Amprion (gesamt)</v>
      </c>
    </row>
    <row r="201" spans="1:15" hidden="1" outlineLevel="1">
      <c r="A201" s="139" t="s">
        <v>696</v>
      </c>
      <c r="B201" s="71">
        <v>7</v>
      </c>
      <c r="C201" s="1133">
        <v>2022</v>
      </c>
      <c r="D201" s="198">
        <v>0</v>
      </c>
      <c r="E201" s="197">
        <v>0</v>
      </c>
      <c r="F201" s="198">
        <v>0</v>
      </c>
      <c r="G201" s="197">
        <v>0</v>
      </c>
      <c r="H201" s="198">
        <v>-120736</v>
      </c>
      <c r="I201" s="197">
        <v>18868.080000000002</v>
      </c>
      <c r="J201" s="199">
        <v>0</v>
      </c>
      <c r="K201" s="200">
        <v>0</v>
      </c>
      <c r="L201" s="196">
        <f t="shared" si="14"/>
        <v>18868.080000000002</v>
      </c>
      <c r="M201" s="5"/>
      <c r="O201" t="str">
        <f t="shared" si="15"/>
        <v>Regelzone Amprion (gesamt)</v>
      </c>
    </row>
    <row r="202" spans="1:15" hidden="1" outlineLevel="1">
      <c r="A202" s="139" t="s">
        <v>708</v>
      </c>
      <c r="B202" s="71">
        <v>7</v>
      </c>
      <c r="C202" s="1133">
        <v>2022</v>
      </c>
      <c r="D202" s="198">
        <v>0</v>
      </c>
      <c r="E202" s="197">
        <v>0</v>
      </c>
      <c r="F202" s="198">
        <v>57697</v>
      </c>
      <c r="G202" s="197">
        <v>3121.41</v>
      </c>
      <c r="H202" s="198">
        <v>691692</v>
      </c>
      <c r="I202" s="197">
        <v>75898.44</v>
      </c>
      <c r="J202" s="199">
        <v>-2273</v>
      </c>
      <c r="K202" s="200">
        <v>0</v>
      </c>
      <c r="L202" s="196">
        <f t="shared" si="14"/>
        <v>76746.850000000006</v>
      </c>
      <c r="M202" s="5"/>
      <c r="O202" t="str">
        <f t="shared" si="15"/>
        <v>Regelzone Amprion (gesamt)</v>
      </c>
    </row>
    <row r="203" spans="1:15" hidden="1" outlineLevel="1">
      <c r="A203" s="139" t="s">
        <v>710</v>
      </c>
      <c r="B203" s="71">
        <v>7</v>
      </c>
      <c r="C203" s="1133">
        <v>2022</v>
      </c>
      <c r="D203" s="198">
        <v>0</v>
      </c>
      <c r="E203" s="197">
        <v>0</v>
      </c>
      <c r="F203" s="198">
        <v>55141</v>
      </c>
      <c r="G203" s="197">
        <v>2983.13</v>
      </c>
      <c r="H203" s="198">
        <v>0</v>
      </c>
      <c r="I203" s="197">
        <v>0</v>
      </c>
      <c r="J203" s="199">
        <v>0</v>
      </c>
      <c r="K203" s="200">
        <v>0</v>
      </c>
      <c r="L203" s="196">
        <f t="shared" si="14"/>
        <v>2983.13</v>
      </c>
      <c r="M203" s="5"/>
      <c r="O203" t="str">
        <f t="shared" si="15"/>
        <v>Regelzone Amprion (gesamt)</v>
      </c>
    </row>
    <row r="204" spans="1:15" hidden="1" outlineLevel="1">
      <c r="A204" s="139" t="s">
        <v>712</v>
      </c>
      <c r="B204" s="71">
        <v>7</v>
      </c>
      <c r="C204" s="1133">
        <v>2022</v>
      </c>
      <c r="D204" s="198">
        <v>0</v>
      </c>
      <c r="E204" s="197">
        <v>0</v>
      </c>
      <c r="F204" s="198">
        <v>0</v>
      </c>
      <c r="G204" s="197">
        <v>0</v>
      </c>
      <c r="H204" s="198">
        <v>438478</v>
      </c>
      <c r="I204" s="197">
        <v>56617</v>
      </c>
      <c r="J204" s="199">
        <v>0</v>
      </c>
      <c r="K204" s="200">
        <v>0</v>
      </c>
      <c r="L204" s="196">
        <f t="shared" si="14"/>
        <v>56617</v>
      </c>
      <c r="M204" s="5"/>
      <c r="O204" t="str">
        <f t="shared" si="15"/>
        <v>Regelzone Amprion (gesamt)</v>
      </c>
    </row>
    <row r="205" spans="1:15" hidden="1" outlineLevel="1">
      <c r="A205" s="139" t="s">
        <v>716</v>
      </c>
      <c r="B205" s="71">
        <v>1</v>
      </c>
      <c r="C205" s="1133">
        <v>2022</v>
      </c>
      <c r="D205" s="198">
        <v>0</v>
      </c>
      <c r="E205" s="197">
        <v>0</v>
      </c>
      <c r="F205" s="198">
        <v>0</v>
      </c>
      <c r="G205" s="197">
        <v>0</v>
      </c>
      <c r="H205" s="198">
        <v>-1662</v>
      </c>
      <c r="I205" s="197">
        <v>-132.96</v>
      </c>
      <c r="J205" s="199">
        <v>0</v>
      </c>
      <c r="K205" s="200">
        <v>0</v>
      </c>
      <c r="L205" s="196">
        <f t="shared" si="14"/>
        <v>-132.96</v>
      </c>
      <c r="M205" s="5"/>
      <c r="O205" t="str">
        <f t="shared" si="15"/>
        <v>Regelzone Amprion (gesamt)</v>
      </c>
    </row>
    <row r="206" spans="1:15" hidden="1" outlineLevel="1">
      <c r="A206" s="139" t="s">
        <v>716</v>
      </c>
      <c r="B206" s="71">
        <v>7</v>
      </c>
      <c r="C206" s="1133">
        <v>2022</v>
      </c>
      <c r="D206" s="198">
        <v>0</v>
      </c>
      <c r="E206" s="197">
        <v>0</v>
      </c>
      <c r="F206" s="198">
        <v>0</v>
      </c>
      <c r="G206" s="197">
        <v>0</v>
      </c>
      <c r="H206" s="198">
        <v>1662</v>
      </c>
      <c r="I206" s="197">
        <v>2613.84</v>
      </c>
      <c r="J206" s="199">
        <v>0</v>
      </c>
      <c r="K206" s="200">
        <v>0</v>
      </c>
      <c r="L206" s="196">
        <f t="shared" si="14"/>
        <v>2613.84</v>
      </c>
      <c r="M206" s="5"/>
      <c r="O206" t="str">
        <f t="shared" si="15"/>
        <v>Regelzone Amprion (gesamt)</v>
      </c>
    </row>
    <row r="207" spans="1:15" hidden="1" outlineLevel="1">
      <c r="A207" s="139" t="s">
        <v>724</v>
      </c>
      <c r="B207" s="71">
        <v>7</v>
      </c>
      <c r="C207" s="1133">
        <v>2022</v>
      </c>
      <c r="D207" s="198">
        <v>0</v>
      </c>
      <c r="E207" s="197">
        <v>0</v>
      </c>
      <c r="F207" s="198">
        <v>47613</v>
      </c>
      <c r="G207" s="197">
        <v>2575.86</v>
      </c>
      <c r="H207" s="198">
        <v>0</v>
      </c>
      <c r="I207" s="197">
        <v>-913.64</v>
      </c>
      <c r="J207" s="199">
        <v>0</v>
      </c>
      <c r="K207" s="200">
        <v>0</v>
      </c>
      <c r="L207" s="196">
        <f t="shared" si="14"/>
        <v>1662.2200000000003</v>
      </c>
      <c r="M207" s="5"/>
      <c r="O207" t="str">
        <f t="shared" si="15"/>
        <v>Regelzone Amprion (gesamt)</v>
      </c>
    </row>
    <row r="208" spans="1:15" hidden="1" outlineLevel="1">
      <c r="A208" s="139" t="s">
        <v>726</v>
      </c>
      <c r="B208" s="71">
        <v>5</v>
      </c>
      <c r="C208" s="1133">
        <v>2022</v>
      </c>
      <c r="D208" s="198">
        <v>0</v>
      </c>
      <c r="E208" s="197">
        <v>0</v>
      </c>
      <c r="F208" s="198">
        <v>5588</v>
      </c>
      <c r="G208" s="197">
        <v>302.31</v>
      </c>
      <c r="H208" s="198">
        <v>400244</v>
      </c>
      <c r="I208" s="197">
        <v>30219.86</v>
      </c>
      <c r="J208" s="199">
        <v>0</v>
      </c>
      <c r="K208" s="200">
        <v>0</v>
      </c>
      <c r="L208" s="196">
        <f t="shared" si="14"/>
        <v>30522.170000000002</v>
      </c>
      <c r="M208" s="5"/>
      <c r="O208" t="str">
        <f t="shared" si="15"/>
        <v>Regelzone Amprion (gesamt)</v>
      </c>
    </row>
    <row r="209" spans="1:15" hidden="1" outlineLevel="1">
      <c r="A209" s="139" t="s">
        <v>726</v>
      </c>
      <c r="B209" s="71">
        <v>7</v>
      </c>
      <c r="C209" s="1133">
        <v>2022</v>
      </c>
      <c r="D209" s="198">
        <v>-1590</v>
      </c>
      <c r="E209" s="197">
        <v>-81.25</v>
      </c>
      <c r="F209" s="198">
        <v>-1648031</v>
      </c>
      <c r="G209" s="197">
        <v>-71506.47</v>
      </c>
      <c r="H209" s="198">
        <v>0</v>
      </c>
      <c r="I209" s="197">
        <v>0</v>
      </c>
      <c r="J209" s="199">
        <v>0</v>
      </c>
      <c r="K209" s="200">
        <v>0</v>
      </c>
      <c r="L209" s="196">
        <f t="shared" si="14"/>
        <v>-71587.72</v>
      </c>
      <c r="M209" s="5"/>
      <c r="O209" t="str">
        <f t="shared" si="15"/>
        <v>Regelzone Amprion (gesamt)</v>
      </c>
    </row>
    <row r="210" spans="1:15" hidden="1" outlineLevel="1">
      <c r="A210" s="139" t="s">
        <v>730</v>
      </c>
      <c r="B210" s="71">
        <v>1</v>
      </c>
      <c r="C210" s="1133">
        <v>2022</v>
      </c>
      <c r="D210" s="198">
        <v>0</v>
      </c>
      <c r="E210" s="197">
        <v>0</v>
      </c>
      <c r="F210" s="198">
        <v>0</v>
      </c>
      <c r="G210" s="197">
        <v>0</v>
      </c>
      <c r="H210" s="198">
        <v>-68704</v>
      </c>
      <c r="I210" s="197">
        <v>-7792.44</v>
      </c>
      <c r="J210" s="199">
        <v>0</v>
      </c>
      <c r="K210" s="200">
        <v>0</v>
      </c>
      <c r="L210" s="196">
        <f t="shared" ref="L210:L273" si="16">E210+G210+I210+J210+K210</f>
        <v>-7792.44</v>
      </c>
      <c r="M210" s="5"/>
      <c r="O210" t="str">
        <f t="shared" si="15"/>
        <v>Regelzone Amprion (gesamt)</v>
      </c>
    </row>
    <row r="211" spans="1:15" hidden="1" outlineLevel="1">
      <c r="A211" s="139" t="s">
        <v>730</v>
      </c>
      <c r="B211" s="71">
        <v>7</v>
      </c>
      <c r="C211" s="1133">
        <v>2022</v>
      </c>
      <c r="D211" s="198">
        <v>0</v>
      </c>
      <c r="E211" s="197">
        <v>0</v>
      </c>
      <c r="F211" s="198">
        <v>0</v>
      </c>
      <c r="G211" s="197">
        <v>0</v>
      </c>
      <c r="H211" s="198">
        <v>326</v>
      </c>
      <c r="I211" s="197">
        <v>52.16</v>
      </c>
      <c r="J211" s="199">
        <v>0</v>
      </c>
      <c r="K211" s="200">
        <v>0</v>
      </c>
      <c r="L211" s="196">
        <f t="shared" si="16"/>
        <v>52.16</v>
      </c>
      <c r="M211" s="5"/>
      <c r="O211" t="str">
        <f t="shared" si="15"/>
        <v>Regelzone Amprion (gesamt)</v>
      </c>
    </row>
    <row r="212" spans="1:15" hidden="1" outlineLevel="1">
      <c r="A212" s="139" t="s">
        <v>759</v>
      </c>
      <c r="B212" s="71">
        <v>7</v>
      </c>
      <c r="C212" s="1133">
        <v>2022</v>
      </c>
      <c r="D212" s="198">
        <v>0</v>
      </c>
      <c r="E212" s="197">
        <v>0</v>
      </c>
      <c r="F212" s="198">
        <v>0</v>
      </c>
      <c r="G212" s="197">
        <v>0</v>
      </c>
      <c r="H212" s="198">
        <v>33227</v>
      </c>
      <c r="I212" s="197">
        <v>4533.84</v>
      </c>
      <c r="J212" s="199">
        <v>0</v>
      </c>
      <c r="K212" s="200">
        <v>0</v>
      </c>
      <c r="L212" s="196">
        <f t="shared" si="16"/>
        <v>4533.84</v>
      </c>
      <c r="M212" s="5"/>
      <c r="O212" t="str">
        <f t="shared" si="15"/>
        <v>Regelzone Amprion (gesamt)</v>
      </c>
    </row>
    <row r="213" spans="1:15" hidden="1" outlineLevel="1">
      <c r="A213" s="139" t="s">
        <v>765</v>
      </c>
      <c r="B213" s="71">
        <v>7</v>
      </c>
      <c r="C213" s="1133">
        <v>2022</v>
      </c>
      <c r="D213" s="198">
        <v>0</v>
      </c>
      <c r="E213" s="197">
        <v>0</v>
      </c>
      <c r="F213" s="198">
        <v>284942</v>
      </c>
      <c r="G213" s="197">
        <v>15415.36</v>
      </c>
      <c r="H213" s="198">
        <v>731811</v>
      </c>
      <c r="I213" s="197">
        <v>69356.56</v>
      </c>
      <c r="J213" s="199">
        <v>0</v>
      </c>
      <c r="K213" s="200">
        <v>0</v>
      </c>
      <c r="L213" s="196">
        <f t="shared" si="16"/>
        <v>84771.92</v>
      </c>
      <c r="M213" s="5"/>
      <c r="O213" t="str">
        <f t="shared" si="15"/>
        <v>Regelzone Amprion (gesamt)</v>
      </c>
    </row>
    <row r="214" spans="1:15" hidden="1" outlineLevel="1">
      <c r="A214" s="139" t="s">
        <v>773</v>
      </c>
      <c r="B214" s="71">
        <v>7</v>
      </c>
      <c r="C214" s="1133">
        <v>2022</v>
      </c>
      <c r="D214" s="198">
        <v>0</v>
      </c>
      <c r="E214" s="197">
        <v>0</v>
      </c>
      <c r="F214" s="198">
        <v>5106296</v>
      </c>
      <c r="G214" s="197">
        <v>201258.62</v>
      </c>
      <c r="H214" s="198">
        <v>129816</v>
      </c>
      <c r="I214" s="197">
        <v>11062.83</v>
      </c>
      <c r="J214" s="199">
        <v>0</v>
      </c>
      <c r="K214" s="200">
        <v>0</v>
      </c>
      <c r="L214" s="196">
        <f t="shared" si="16"/>
        <v>212321.44999999998</v>
      </c>
      <c r="M214" s="5"/>
      <c r="O214" t="str">
        <f t="shared" si="15"/>
        <v>Regelzone Amprion (gesamt)</v>
      </c>
    </row>
    <row r="215" spans="1:15" hidden="1" outlineLevel="1">
      <c r="A215" s="139" t="s">
        <v>775</v>
      </c>
      <c r="B215" s="71">
        <v>1</v>
      </c>
      <c r="C215" s="1133">
        <v>2022</v>
      </c>
      <c r="D215" s="198">
        <v>0</v>
      </c>
      <c r="E215" s="197">
        <v>0</v>
      </c>
      <c r="F215" s="198">
        <v>-78</v>
      </c>
      <c r="G215" s="197">
        <v>-4.22</v>
      </c>
      <c r="H215" s="198">
        <v>-5870</v>
      </c>
      <c r="I215" s="197">
        <v>-461.44</v>
      </c>
      <c r="J215" s="199">
        <v>0</v>
      </c>
      <c r="K215" s="200">
        <v>0</v>
      </c>
      <c r="L215" s="196">
        <f t="shared" si="16"/>
        <v>-465.66</v>
      </c>
      <c r="M215" s="5"/>
      <c r="O215" t="str">
        <f t="shared" si="15"/>
        <v>Regelzone Amprion (gesamt)</v>
      </c>
    </row>
    <row r="216" spans="1:15" hidden="1" outlineLevel="1">
      <c r="A216" s="139" t="s">
        <v>777</v>
      </c>
      <c r="B216" s="71">
        <v>1</v>
      </c>
      <c r="C216" s="1133">
        <v>2022</v>
      </c>
      <c r="D216" s="198">
        <v>0</v>
      </c>
      <c r="E216" s="197">
        <v>0</v>
      </c>
      <c r="F216" s="198">
        <v>0</v>
      </c>
      <c r="G216" s="197">
        <v>0</v>
      </c>
      <c r="H216" s="198">
        <v>-42065</v>
      </c>
      <c r="I216" s="197">
        <v>-3365.2</v>
      </c>
      <c r="J216" s="199">
        <v>0</v>
      </c>
      <c r="K216" s="200">
        <v>0</v>
      </c>
      <c r="L216" s="196">
        <f t="shared" si="16"/>
        <v>-3365.2</v>
      </c>
      <c r="M216" s="5"/>
      <c r="O216" t="str">
        <f t="shared" si="15"/>
        <v>Regelzone Amprion (gesamt)</v>
      </c>
    </row>
    <row r="217" spans="1:15" hidden="1" outlineLevel="1">
      <c r="A217" s="139" t="s">
        <v>777</v>
      </c>
      <c r="B217" s="71">
        <v>7</v>
      </c>
      <c r="C217" s="1133">
        <v>2022</v>
      </c>
      <c r="D217" s="198">
        <v>0</v>
      </c>
      <c r="E217" s="197">
        <v>0</v>
      </c>
      <c r="F217" s="198">
        <v>104920</v>
      </c>
      <c r="G217" s="197">
        <v>5676.17</v>
      </c>
      <c r="H217" s="198">
        <v>208293</v>
      </c>
      <c r="I217" s="197">
        <v>19552.18</v>
      </c>
      <c r="J217" s="199">
        <v>-235.21</v>
      </c>
      <c r="K217" s="200">
        <v>0</v>
      </c>
      <c r="L217" s="196">
        <f t="shared" si="16"/>
        <v>24993.14</v>
      </c>
      <c r="M217" s="5"/>
      <c r="O217" t="str">
        <f t="shared" si="15"/>
        <v>Regelzone Amprion (gesamt)</v>
      </c>
    </row>
    <row r="218" spans="1:15" hidden="1" outlineLevel="1">
      <c r="A218" s="139" t="s">
        <v>779</v>
      </c>
      <c r="B218" s="71">
        <v>7</v>
      </c>
      <c r="C218" s="1133">
        <v>2022</v>
      </c>
      <c r="D218" s="198">
        <v>0</v>
      </c>
      <c r="E218" s="197">
        <v>0</v>
      </c>
      <c r="F218" s="198">
        <v>64</v>
      </c>
      <c r="G218" s="197">
        <v>3.46</v>
      </c>
      <c r="H218" s="198">
        <v>0</v>
      </c>
      <c r="I218" s="197">
        <v>0</v>
      </c>
      <c r="J218" s="199">
        <v>0</v>
      </c>
      <c r="K218" s="200">
        <v>0</v>
      </c>
      <c r="L218" s="196">
        <f t="shared" si="16"/>
        <v>3.46</v>
      </c>
      <c r="M218" s="5"/>
      <c r="O218" t="str">
        <f t="shared" si="15"/>
        <v>Regelzone Amprion (gesamt)</v>
      </c>
    </row>
    <row r="219" spans="1:15" hidden="1" outlineLevel="1">
      <c r="A219" s="139" t="s">
        <v>785</v>
      </c>
      <c r="B219" s="71">
        <v>7</v>
      </c>
      <c r="C219" s="1133">
        <v>2022</v>
      </c>
      <c r="D219" s="198">
        <v>0</v>
      </c>
      <c r="E219" s="197">
        <v>0</v>
      </c>
      <c r="F219" s="198">
        <v>241292</v>
      </c>
      <c r="G219" s="197">
        <v>10547</v>
      </c>
      <c r="H219" s="198">
        <v>48489452</v>
      </c>
      <c r="I219" s="197">
        <v>1672618.39</v>
      </c>
      <c r="J219" s="199">
        <v>0</v>
      </c>
      <c r="K219" s="200">
        <v>0</v>
      </c>
      <c r="L219" s="196">
        <f t="shared" si="16"/>
        <v>1683165.39</v>
      </c>
      <c r="M219" s="5"/>
      <c r="O219" t="str">
        <f t="shared" si="15"/>
        <v>Regelzone Amprion (gesamt)</v>
      </c>
    </row>
    <row r="220" spans="1:15" hidden="1" outlineLevel="1">
      <c r="A220" s="139" t="s">
        <v>805</v>
      </c>
      <c r="B220" s="71">
        <v>7</v>
      </c>
      <c r="C220" s="1133">
        <v>2022</v>
      </c>
      <c r="D220" s="198">
        <v>0</v>
      </c>
      <c r="E220" s="197">
        <v>0</v>
      </c>
      <c r="F220" s="198">
        <v>-13826</v>
      </c>
      <c r="G220" s="197">
        <v>-747.99</v>
      </c>
      <c r="H220" s="198">
        <v>0</v>
      </c>
      <c r="I220" s="197">
        <v>0</v>
      </c>
      <c r="J220" s="199">
        <v>0</v>
      </c>
      <c r="K220" s="200">
        <v>0</v>
      </c>
      <c r="L220" s="196">
        <f t="shared" si="16"/>
        <v>-747.99</v>
      </c>
      <c r="M220" s="5"/>
      <c r="O220" t="str">
        <f t="shared" si="15"/>
        <v>Regelzone Amprion (gesamt)</v>
      </c>
    </row>
    <row r="221" spans="1:15" hidden="1" outlineLevel="1">
      <c r="A221" s="139" t="s">
        <v>811</v>
      </c>
      <c r="B221" s="71">
        <v>7</v>
      </c>
      <c r="C221" s="1133">
        <v>2022</v>
      </c>
      <c r="D221" s="198">
        <v>0</v>
      </c>
      <c r="E221" s="197">
        <v>0</v>
      </c>
      <c r="F221" s="198">
        <v>0</v>
      </c>
      <c r="G221" s="197">
        <v>0</v>
      </c>
      <c r="H221" s="198">
        <v>1632</v>
      </c>
      <c r="I221" s="197">
        <v>130.56</v>
      </c>
      <c r="J221" s="199">
        <v>0</v>
      </c>
      <c r="K221" s="200">
        <v>0</v>
      </c>
      <c r="L221" s="196">
        <f t="shared" si="16"/>
        <v>130.56</v>
      </c>
      <c r="M221" s="5"/>
      <c r="O221" t="str">
        <f t="shared" si="15"/>
        <v>Regelzone Amprion (gesamt)</v>
      </c>
    </row>
    <row r="222" spans="1:15" hidden="1" outlineLevel="1">
      <c r="A222" s="139" t="s">
        <v>813</v>
      </c>
      <c r="B222" s="71">
        <v>7</v>
      </c>
      <c r="C222" s="1133">
        <v>2022</v>
      </c>
      <c r="D222" s="198">
        <v>0</v>
      </c>
      <c r="E222" s="197">
        <v>0</v>
      </c>
      <c r="F222" s="198">
        <v>0</v>
      </c>
      <c r="G222" s="197">
        <v>0</v>
      </c>
      <c r="H222" s="198">
        <v>7201</v>
      </c>
      <c r="I222" s="197">
        <v>720.08</v>
      </c>
      <c r="J222" s="199">
        <v>0</v>
      </c>
      <c r="K222" s="200">
        <v>0</v>
      </c>
      <c r="L222" s="196">
        <f t="shared" si="16"/>
        <v>720.08</v>
      </c>
      <c r="M222" s="5"/>
      <c r="O222" t="str">
        <f t="shared" si="15"/>
        <v>Regelzone Amprion (gesamt)</v>
      </c>
    </row>
    <row r="223" spans="1:15" hidden="1" outlineLevel="1">
      <c r="A223" s="139" t="s">
        <v>835</v>
      </c>
      <c r="B223" s="71">
        <v>1</v>
      </c>
      <c r="C223" s="1133">
        <v>2022</v>
      </c>
      <c r="D223" s="198">
        <v>-262</v>
      </c>
      <c r="E223" s="197">
        <v>-13.39</v>
      </c>
      <c r="F223" s="198">
        <v>0</v>
      </c>
      <c r="G223" s="197">
        <v>0</v>
      </c>
      <c r="H223" s="198">
        <v>0</v>
      </c>
      <c r="I223" s="197">
        <v>0</v>
      </c>
      <c r="J223" s="199">
        <v>0</v>
      </c>
      <c r="K223" s="200">
        <v>0</v>
      </c>
      <c r="L223" s="196">
        <f t="shared" si="16"/>
        <v>-13.39</v>
      </c>
      <c r="M223" s="5"/>
      <c r="O223" t="str">
        <f t="shared" si="15"/>
        <v>Regelzone Amprion (gesamt)</v>
      </c>
    </row>
    <row r="224" spans="1:15" hidden="1" outlineLevel="1">
      <c r="A224" s="139" t="s">
        <v>853</v>
      </c>
      <c r="B224" s="71">
        <v>7</v>
      </c>
      <c r="C224" s="1133">
        <v>2022</v>
      </c>
      <c r="D224" s="198">
        <v>0</v>
      </c>
      <c r="E224" s="197">
        <v>0</v>
      </c>
      <c r="F224" s="198">
        <v>615803</v>
      </c>
      <c r="G224" s="197">
        <v>27733.13</v>
      </c>
      <c r="H224" s="198">
        <v>0</v>
      </c>
      <c r="I224" s="197">
        <v>0</v>
      </c>
      <c r="J224" s="199">
        <v>0</v>
      </c>
      <c r="K224" s="200">
        <v>0</v>
      </c>
      <c r="L224" s="196">
        <f t="shared" si="16"/>
        <v>27733.13</v>
      </c>
      <c r="M224" s="5"/>
      <c r="O224" t="str">
        <f t="shared" si="15"/>
        <v>Regelzone Amprion (gesamt)</v>
      </c>
    </row>
    <row r="225" spans="1:15" hidden="1" outlineLevel="1">
      <c r="A225" s="139" t="s">
        <v>405</v>
      </c>
      <c r="B225" s="71">
        <v>7</v>
      </c>
      <c r="C225" s="1133">
        <v>2023</v>
      </c>
      <c r="D225" s="198">
        <v>0</v>
      </c>
      <c r="E225" s="197">
        <v>0</v>
      </c>
      <c r="F225" s="198">
        <v>0</v>
      </c>
      <c r="G225" s="197">
        <v>0</v>
      </c>
      <c r="H225" s="198">
        <v>178957</v>
      </c>
      <c r="I225" s="197">
        <v>23866.799999999999</v>
      </c>
      <c r="J225" s="199">
        <v>0</v>
      </c>
      <c r="K225" s="200">
        <v>0</v>
      </c>
      <c r="L225" s="196">
        <f t="shared" si="16"/>
        <v>23866.799999999999</v>
      </c>
      <c r="M225" s="5"/>
      <c r="O225" t="str">
        <f t="shared" si="15"/>
        <v>Regelzone Amprion (gesamt)</v>
      </c>
    </row>
    <row r="226" spans="1:15" hidden="1" outlineLevel="1">
      <c r="A226" s="139" t="s">
        <v>407</v>
      </c>
      <c r="B226" s="71">
        <v>1</v>
      </c>
      <c r="C226" s="1133">
        <v>2023</v>
      </c>
      <c r="D226" s="198">
        <v>0</v>
      </c>
      <c r="E226" s="197">
        <v>0</v>
      </c>
      <c r="F226" s="198">
        <v>-107032</v>
      </c>
      <c r="G226" s="197">
        <v>-5790.44</v>
      </c>
      <c r="H226" s="198">
        <v>-126169</v>
      </c>
      <c r="I226" s="197">
        <v>-6210.08</v>
      </c>
      <c r="J226" s="199">
        <v>0</v>
      </c>
      <c r="K226" s="200">
        <v>0</v>
      </c>
      <c r="L226" s="196">
        <f t="shared" si="16"/>
        <v>-12000.52</v>
      </c>
      <c r="M226" s="5"/>
      <c r="O226" t="str">
        <f t="shared" si="15"/>
        <v>Regelzone Amprion (gesamt)</v>
      </c>
    </row>
    <row r="227" spans="1:15" hidden="1" outlineLevel="1">
      <c r="A227" s="139" t="s">
        <v>407</v>
      </c>
      <c r="B227" s="71">
        <v>7</v>
      </c>
      <c r="C227" s="1133">
        <v>2023</v>
      </c>
      <c r="D227" s="198">
        <v>0</v>
      </c>
      <c r="E227" s="197">
        <v>0</v>
      </c>
      <c r="F227" s="198">
        <v>0</v>
      </c>
      <c r="G227" s="197">
        <v>0</v>
      </c>
      <c r="H227" s="198">
        <v>50151</v>
      </c>
      <c r="I227" s="197">
        <v>4938.6000000000004</v>
      </c>
      <c r="J227" s="199">
        <v>0</v>
      </c>
      <c r="K227" s="200">
        <v>0</v>
      </c>
      <c r="L227" s="196">
        <f t="shared" si="16"/>
        <v>4938.6000000000004</v>
      </c>
      <c r="M227" s="5"/>
      <c r="O227" t="str">
        <f t="shared" si="15"/>
        <v>Regelzone Amprion (gesamt)</v>
      </c>
    </row>
    <row r="228" spans="1:15" hidden="1" outlineLevel="1">
      <c r="A228" s="139" t="s">
        <v>411</v>
      </c>
      <c r="B228" s="71">
        <v>7</v>
      </c>
      <c r="C228" s="1133">
        <v>2023</v>
      </c>
      <c r="D228" s="198">
        <v>0</v>
      </c>
      <c r="E228" s="197">
        <v>0</v>
      </c>
      <c r="F228" s="198">
        <v>176435</v>
      </c>
      <c r="G228" s="197">
        <v>9545.1299999999992</v>
      </c>
      <c r="H228" s="198">
        <v>585095</v>
      </c>
      <c r="I228" s="197">
        <v>59743.44</v>
      </c>
      <c r="J228" s="199">
        <v>1104.0899999999999</v>
      </c>
      <c r="K228" s="200">
        <v>0</v>
      </c>
      <c r="L228" s="196">
        <f t="shared" si="16"/>
        <v>70392.66</v>
      </c>
      <c r="M228" s="5"/>
      <c r="O228" t="str">
        <f t="shared" si="15"/>
        <v>Regelzone Amprion (gesamt)</v>
      </c>
    </row>
    <row r="229" spans="1:15" hidden="1" outlineLevel="1">
      <c r="A229" s="139" t="s">
        <v>413</v>
      </c>
      <c r="B229" s="71">
        <v>1</v>
      </c>
      <c r="C229" s="1133">
        <v>2023</v>
      </c>
      <c r="D229" s="198">
        <v>0</v>
      </c>
      <c r="E229" s="197">
        <v>0</v>
      </c>
      <c r="F229" s="198">
        <v>-103282</v>
      </c>
      <c r="G229" s="197">
        <v>-5587.55</v>
      </c>
      <c r="H229" s="198">
        <v>0</v>
      </c>
      <c r="I229" s="197">
        <v>0</v>
      </c>
      <c r="J229" s="199">
        <v>0</v>
      </c>
      <c r="K229" s="200">
        <v>0</v>
      </c>
      <c r="L229" s="196">
        <f t="shared" si="16"/>
        <v>-5587.55</v>
      </c>
      <c r="M229" s="5"/>
      <c r="O229" t="str">
        <f t="shared" si="15"/>
        <v>Regelzone Amprion (gesamt)</v>
      </c>
    </row>
    <row r="230" spans="1:15" hidden="1" outlineLevel="1">
      <c r="A230" s="139" t="s">
        <v>413</v>
      </c>
      <c r="B230" s="71">
        <v>7</v>
      </c>
      <c r="C230" s="1133">
        <v>2023</v>
      </c>
      <c r="D230" s="198">
        <v>0</v>
      </c>
      <c r="E230" s="197">
        <v>0</v>
      </c>
      <c r="F230" s="198">
        <v>1143</v>
      </c>
      <c r="G230" s="197">
        <v>61.84</v>
      </c>
      <c r="H230" s="198">
        <v>17211</v>
      </c>
      <c r="I230" s="197">
        <v>2753.76</v>
      </c>
      <c r="J230" s="199">
        <v>0</v>
      </c>
      <c r="K230" s="200">
        <v>0</v>
      </c>
      <c r="L230" s="196">
        <f t="shared" si="16"/>
        <v>2815.6000000000004</v>
      </c>
      <c r="M230" s="5"/>
      <c r="O230" t="str">
        <f t="shared" si="15"/>
        <v>Regelzone Amprion (gesamt)</v>
      </c>
    </row>
    <row r="231" spans="1:15" hidden="1" outlineLevel="1">
      <c r="A231" s="139" t="s">
        <v>415</v>
      </c>
      <c r="B231" s="71">
        <v>7</v>
      </c>
      <c r="C231" s="1133">
        <v>2023</v>
      </c>
      <c r="D231" s="198">
        <v>0</v>
      </c>
      <c r="E231" s="197">
        <v>0</v>
      </c>
      <c r="F231" s="198">
        <v>419697</v>
      </c>
      <c r="G231" s="197">
        <v>22705.61</v>
      </c>
      <c r="H231" s="198">
        <v>89362</v>
      </c>
      <c r="I231" s="197">
        <v>7510.88</v>
      </c>
      <c r="J231" s="199">
        <v>0</v>
      </c>
      <c r="K231" s="200">
        <v>0</v>
      </c>
      <c r="L231" s="196">
        <f t="shared" si="16"/>
        <v>30216.49</v>
      </c>
      <c r="M231" s="5"/>
      <c r="O231" t="str">
        <f t="shared" si="15"/>
        <v>Regelzone Amprion (gesamt)</v>
      </c>
    </row>
    <row r="232" spans="1:15" hidden="1" outlineLevel="1">
      <c r="A232" s="139" t="s">
        <v>417</v>
      </c>
      <c r="B232" s="71">
        <v>7</v>
      </c>
      <c r="C232" s="1133">
        <v>2023</v>
      </c>
      <c r="D232" s="198">
        <v>0</v>
      </c>
      <c r="E232" s="197">
        <v>0</v>
      </c>
      <c r="F232" s="198">
        <v>200706</v>
      </c>
      <c r="G232" s="197">
        <v>10858.19</v>
      </c>
      <c r="H232" s="198">
        <v>15446377</v>
      </c>
      <c r="I232" s="197">
        <v>762605.16</v>
      </c>
      <c r="J232" s="199">
        <v>0</v>
      </c>
      <c r="K232" s="200">
        <v>0</v>
      </c>
      <c r="L232" s="196">
        <f t="shared" si="16"/>
        <v>773463.35</v>
      </c>
      <c r="M232" s="5"/>
      <c r="O232" t="str">
        <f t="shared" si="15"/>
        <v>Regelzone Amprion (gesamt)</v>
      </c>
    </row>
    <row r="233" spans="1:15" hidden="1" outlineLevel="1">
      <c r="A233" s="139" t="s">
        <v>423</v>
      </c>
      <c r="B233" s="71">
        <v>7</v>
      </c>
      <c r="C233" s="1133">
        <v>2023</v>
      </c>
      <c r="D233" s="198">
        <v>0</v>
      </c>
      <c r="E233" s="197">
        <v>0</v>
      </c>
      <c r="F233" s="198">
        <v>0</v>
      </c>
      <c r="G233" s="197">
        <v>0</v>
      </c>
      <c r="H233" s="198">
        <v>44038</v>
      </c>
      <c r="I233" s="197">
        <v>3870.67</v>
      </c>
      <c r="J233" s="199">
        <v>0</v>
      </c>
      <c r="K233" s="200">
        <v>0</v>
      </c>
      <c r="L233" s="196">
        <f t="shared" si="16"/>
        <v>3870.67</v>
      </c>
      <c r="M233" s="5"/>
      <c r="O233" t="str">
        <f t="shared" si="15"/>
        <v>Regelzone Amprion (gesamt)</v>
      </c>
    </row>
    <row r="234" spans="1:15" hidden="1" outlineLevel="1">
      <c r="A234" s="139" t="s">
        <v>425</v>
      </c>
      <c r="B234" s="71">
        <v>7</v>
      </c>
      <c r="C234" s="1133">
        <v>2023</v>
      </c>
      <c r="D234" s="198">
        <v>0</v>
      </c>
      <c r="E234" s="197">
        <v>0</v>
      </c>
      <c r="F234" s="198">
        <v>0</v>
      </c>
      <c r="G234" s="197">
        <v>0</v>
      </c>
      <c r="H234" s="198">
        <v>18813</v>
      </c>
      <c r="I234" s="197">
        <v>827.4</v>
      </c>
      <c r="J234" s="199">
        <v>0</v>
      </c>
      <c r="K234" s="200">
        <v>0</v>
      </c>
      <c r="L234" s="196">
        <f t="shared" si="16"/>
        <v>827.4</v>
      </c>
      <c r="M234" s="5"/>
      <c r="O234" t="str">
        <f t="shared" si="15"/>
        <v>Regelzone Amprion (gesamt)</v>
      </c>
    </row>
    <row r="235" spans="1:15" hidden="1" outlineLevel="1">
      <c r="A235" s="139" t="s">
        <v>433</v>
      </c>
      <c r="B235" s="71">
        <v>7</v>
      </c>
      <c r="C235" s="1133">
        <v>2023</v>
      </c>
      <c r="D235" s="198">
        <v>0</v>
      </c>
      <c r="E235" s="197">
        <v>0</v>
      </c>
      <c r="F235" s="198">
        <v>70354</v>
      </c>
      <c r="G235" s="197">
        <v>3806.15</v>
      </c>
      <c r="H235" s="198">
        <v>244471</v>
      </c>
      <c r="I235" s="197">
        <v>18129.689999999999</v>
      </c>
      <c r="J235" s="199">
        <v>0</v>
      </c>
      <c r="K235" s="200">
        <v>0</v>
      </c>
      <c r="L235" s="196">
        <f t="shared" si="16"/>
        <v>21935.84</v>
      </c>
      <c r="M235" s="5"/>
      <c r="O235" t="str">
        <f t="shared" si="15"/>
        <v>Regelzone Amprion (gesamt)</v>
      </c>
    </row>
    <row r="236" spans="1:15" hidden="1" outlineLevel="1">
      <c r="A236" s="139" t="s">
        <v>435</v>
      </c>
      <c r="B236" s="71">
        <v>7</v>
      </c>
      <c r="C236" s="1133">
        <v>2023</v>
      </c>
      <c r="D236" s="198">
        <v>0</v>
      </c>
      <c r="E236" s="197">
        <v>0</v>
      </c>
      <c r="F236" s="198">
        <v>-19855</v>
      </c>
      <c r="G236" s="197">
        <v>-1074.1600000000001</v>
      </c>
      <c r="H236" s="198">
        <v>48960</v>
      </c>
      <c r="I236" s="197">
        <v>2027.41</v>
      </c>
      <c r="J236" s="199">
        <v>0</v>
      </c>
      <c r="K236" s="200">
        <v>0</v>
      </c>
      <c r="L236" s="196">
        <f t="shared" si="16"/>
        <v>953.25</v>
      </c>
      <c r="M236" s="5"/>
      <c r="O236" t="str">
        <f t="shared" si="15"/>
        <v>Regelzone Amprion (gesamt)</v>
      </c>
    </row>
    <row r="237" spans="1:15" hidden="1" outlineLevel="1">
      <c r="A237" s="139" t="s">
        <v>437</v>
      </c>
      <c r="B237" s="71">
        <v>7</v>
      </c>
      <c r="C237" s="1133">
        <v>2023</v>
      </c>
      <c r="D237" s="198">
        <v>0</v>
      </c>
      <c r="E237" s="197">
        <v>0</v>
      </c>
      <c r="F237" s="198">
        <v>0</v>
      </c>
      <c r="G237" s="197">
        <v>0</v>
      </c>
      <c r="H237" s="198">
        <v>1609</v>
      </c>
      <c r="I237" s="197">
        <v>118.36</v>
      </c>
      <c r="J237" s="199">
        <v>0</v>
      </c>
      <c r="K237" s="200">
        <v>0</v>
      </c>
      <c r="L237" s="196">
        <f t="shared" si="16"/>
        <v>118.36</v>
      </c>
      <c r="M237" s="5"/>
      <c r="O237" t="str">
        <f t="shared" si="15"/>
        <v>Regelzone Amprion (gesamt)</v>
      </c>
    </row>
    <row r="238" spans="1:15" hidden="1" outlineLevel="1">
      <c r="A238" s="139" t="s">
        <v>441</v>
      </c>
      <c r="B238" s="71">
        <v>7</v>
      </c>
      <c r="C238" s="1133">
        <v>2023</v>
      </c>
      <c r="D238" s="198">
        <v>0</v>
      </c>
      <c r="E238" s="197">
        <v>0</v>
      </c>
      <c r="F238" s="198">
        <v>2901721</v>
      </c>
      <c r="G238" s="197">
        <v>91003.59</v>
      </c>
      <c r="H238" s="198">
        <v>40778089</v>
      </c>
      <c r="I238" s="197">
        <v>1621508.05</v>
      </c>
      <c r="J238" s="199">
        <v>0</v>
      </c>
      <c r="K238" s="200">
        <v>0</v>
      </c>
      <c r="L238" s="196">
        <f t="shared" si="16"/>
        <v>1712511.6400000001</v>
      </c>
      <c r="M238" s="5"/>
      <c r="O238" t="str">
        <f t="shared" si="15"/>
        <v>Regelzone Amprion (gesamt)</v>
      </c>
    </row>
    <row r="239" spans="1:15" hidden="1" outlineLevel="1">
      <c r="A239" s="139" t="s">
        <v>449</v>
      </c>
      <c r="B239" s="71">
        <v>7</v>
      </c>
      <c r="C239" s="1133">
        <v>2023</v>
      </c>
      <c r="D239" s="198">
        <v>0</v>
      </c>
      <c r="E239" s="197">
        <v>0</v>
      </c>
      <c r="F239" s="198">
        <v>0</v>
      </c>
      <c r="G239" s="197">
        <v>0</v>
      </c>
      <c r="H239" s="198">
        <v>150746185</v>
      </c>
      <c r="I239" s="197">
        <v>5150282.8600000003</v>
      </c>
      <c r="J239" s="199">
        <v>0</v>
      </c>
      <c r="K239" s="200">
        <v>0</v>
      </c>
      <c r="L239" s="196">
        <f t="shared" si="16"/>
        <v>5150282.8600000003</v>
      </c>
      <c r="M239" s="5"/>
      <c r="O239" t="str">
        <f t="shared" si="15"/>
        <v>Regelzone Amprion (gesamt)</v>
      </c>
    </row>
    <row r="240" spans="1:15" hidden="1" outlineLevel="1">
      <c r="A240" s="139" t="s">
        <v>453</v>
      </c>
      <c r="B240" s="71">
        <v>7</v>
      </c>
      <c r="C240" s="1133">
        <v>2023</v>
      </c>
      <c r="D240" s="198">
        <v>0</v>
      </c>
      <c r="E240" s="197">
        <v>0</v>
      </c>
      <c r="F240" s="198">
        <v>0</v>
      </c>
      <c r="G240" s="197">
        <v>0</v>
      </c>
      <c r="H240" s="198">
        <v>5000</v>
      </c>
      <c r="I240" s="197">
        <v>703.76</v>
      </c>
      <c r="J240" s="199">
        <v>0</v>
      </c>
      <c r="K240" s="200">
        <v>0</v>
      </c>
      <c r="L240" s="196">
        <f t="shared" si="16"/>
        <v>703.76</v>
      </c>
      <c r="M240" s="5"/>
      <c r="O240" t="str">
        <f t="shared" si="15"/>
        <v>Regelzone Amprion (gesamt)</v>
      </c>
    </row>
    <row r="241" spans="1:15" hidden="1" outlineLevel="1">
      <c r="A241" s="139" t="s">
        <v>455</v>
      </c>
      <c r="B241" s="71">
        <v>7</v>
      </c>
      <c r="C241" s="1133">
        <v>2023</v>
      </c>
      <c r="D241" s="198">
        <v>0</v>
      </c>
      <c r="E241" s="197">
        <v>0</v>
      </c>
      <c r="F241" s="198">
        <v>0</v>
      </c>
      <c r="G241" s="197">
        <v>0</v>
      </c>
      <c r="H241" s="198">
        <v>19050</v>
      </c>
      <c r="I241" s="197">
        <v>1524</v>
      </c>
      <c r="J241" s="199">
        <v>0</v>
      </c>
      <c r="K241" s="200">
        <v>0</v>
      </c>
      <c r="L241" s="196">
        <f t="shared" si="16"/>
        <v>1524</v>
      </c>
      <c r="M241" s="5"/>
      <c r="O241" t="str">
        <f t="shared" si="15"/>
        <v>Regelzone Amprion (gesamt)</v>
      </c>
    </row>
    <row r="242" spans="1:15" hidden="1" outlineLevel="1">
      <c r="A242" s="139" t="s">
        <v>459</v>
      </c>
      <c r="B242" s="71">
        <v>7</v>
      </c>
      <c r="C242" s="1133">
        <v>2023</v>
      </c>
      <c r="D242" s="198">
        <v>0</v>
      </c>
      <c r="E242" s="197">
        <v>0</v>
      </c>
      <c r="F242" s="198">
        <v>0</v>
      </c>
      <c r="G242" s="197">
        <v>0</v>
      </c>
      <c r="H242" s="198">
        <v>453749</v>
      </c>
      <c r="I242" s="197">
        <v>39998.239999999998</v>
      </c>
      <c r="J242" s="199">
        <v>-1199.24</v>
      </c>
      <c r="K242" s="200">
        <v>0</v>
      </c>
      <c r="L242" s="196">
        <f t="shared" si="16"/>
        <v>38799</v>
      </c>
      <c r="M242" s="5"/>
      <c r="O242" t="str">
        <f t="shared" si="15"/>
        <v>Regelzone Amprion (gesamt)</v>
      </c>
    </row>
    <row r="243" spans="1:15" hidden="1" outlineLevel="1">
      <c r="A243" s="139" t="s">
        <v>463</v>
      </c>
      <c r="B243" s="71">
        <v>7</v>
      </c>
      <c r="C243" s="1133">
        <v>2023</v>
      </c>
      <c r="D243" s="198">
        <v>0</v>
      </c>
      <c r="E243" s="197">
        <v>0</v>
      </c>
      <c r="F243" s="198">
        <v>6092</v>
      </c>
      <c r="G243" s="197">
        <v>2014.19</v>
      </c>
      <c r="H243" s="198">
        <v>774792</v>
      </c>
      <c r="I243" s="197">
        <v>76759.240000000005</v>
      </c>
      <c r="J243" s="199">
        <v>0</v>
      </c>
      <c r="K243" s="200">
        <v>0</v>
      </c>
      <c r="L243" s="196">
        <f t="shared" si="16"/>
        <v>78773.430000000008</v>
      </c>
      <c r="M243" s="5"/>
      <c r="O243" t="str">
        <f t="shared" si="15"/>
        <v>Regelzone Amprion (gesamt)</v>
      </c>
    </row>
    <row r="244" spans="1:15" hidden="1" outlineLevel="1">
      <c r="A244" s="139" t="s">
        <v>469</v>
      </c>
      <c r="B244" s="71">
        <v>1</v>
      </c>
      <c r="C244" s="1133">
        <v>2023</v>
      </c>
      <c r="D244" s="198">
        <v>0</v>
      </c>
      <c r="E244" s="197">
        <v>0</v>
      </c>
      <c r="F244" s="198">
        <v>-97093</v>
      </c>
      <c r="G244" s="197">
        <v>-5252.73</v>
      </c>
      <c r="H244" s="198">
        <v>-460</v>
      </c>
      <c r="I244" s="197">
        <v>-36.799999999999997</v>
      </c>
      <c r="J244" s="199">
        <v>0</v>
      </c>
      <c r="K244" s="200">
        <v>0</v>
      </c>
      <c r="L244" s="196">
        <f t="shared" si="16"/>
        <v>-5289.53</v>
      </c>
      <c r="M244" s="5"/>
      <c r="O244" t="str">
        <f t="shared" si="15"/>
        <v>Regelzone Amprion (gesamt)</v>
      </c>
    </row>
    <row r="245" spans="1:15" hidden="1" outlineLevel="1">
      <c r="A245" s="139" t="s">
        <v>469</v>
      </c>
      <c r="B245" s="71">
        <v>7</v>
      </c>
      <c r="C245" s="1133">
        <v>2023</v>
      </c>
      <c r="D245" s="198">
        <v>6044</v>
      </c>
      <c r="E245" s="197">
        <v>308.85000000000002</v>
      </c>
      <c r="F245" s="198">
        <v>384583</v>
      </c>
      <c r="G245" s="197">
        <v>20805.95</v>
      </c>
      <c r="H245" s="198">
        <v>1945400</v>
      </c>
      <c r="I245" s="197">
        <v>135475.29</v>
      </c>
      <c r="J245" s="199">
        <v>-750.02</v>
      </c>
      <c r="K245" s="200">
        <v>0</v>
      </c>
      <c r="L245" s="196">
        <f t="shared" si="16"/>
        <v>155840.07</v>
      </c>
      <c r="M245" s="5"/>
      <c r="O245" t="str">
        <f t="shared" si="15"/>
        <v>Regelzone Amprion (gesamt)</v>
      </c>
    </row>
    <row r="246" spans="1:15" hidden="1" outlineLevel="1">
      <c r="A246" s="139" t="s">
        <v>477</v>
      </c>
      <c r="B246" s="71">
        <v>1</v>
      </c>
      <c r="C246" s="1133">
        <v>2023</v>
      </c>
      <c r="D246" s="198">
        <v>0</v>
      </c>
      <c r="E246" s="197">
        <v>0</v>
      </c>
      <c r="F246" s="198">
        <v>-4165</v>
      </c>
      <c r="G246" s="197">
        <v>-225.32</v>
      </c>
      <c r="H246" s="198">
        <v>-22095</v>
      </c>
      <c r="I246" s="197">
        <v>-1191.28</v>
      </c>
      <c r="J246" s="199">
        <v>0</v>
      </c>
      <c r="K246" s="200">
        <v>0</v>
      </c>
      <c r="L246" s="196">
        <f t="shared" si="16"/>
        <v>-1416.6</v>
      </c>
      <c r="M246" s="5"/>
      <c r="O246" t="str">
        <f t="shared" si="15"/>
        <v>Regelzone Amprion (gesamt)</v>
      </c>
    </row>
    <row r="247" spans="1:15" hidden="1" outlineLevel="1">
      <c r="A247" s="139" t="s">
        <v>477</v>
      </c>
      <c r="B247" s="71">
        <v>7</v>
      </c>
      <c r="C247" s="1133">
        <v>2023</v>
      </c>
      <c r="D247" s="198">
        <v>0</v>
      </c>
      <c r="E247" s="197">
        <v>0</v>
      </c>
      <c r="F247" s="198">
        <v>163719</v>
      </c>
      <c r="G247" s="197">
        <v>8857.2000000000007</v>
      </c>
      <c r="H247" s="198">
        <v>1199607</v>
      </c>
      <c r="I247" s="197">
        <v>132602.60999999999</v>
      </c>
      <c r="J247" s="199">
        <v>-3096.6</v>
      </c>
      <c r="K247" s="200">
        <v>0</v>
      </c>
      <c r="L247" s="196">
        <f t="shared" si="16"/>
        <v>138363.21</v>
      </c>
      <c r="M247" s="5"/>
      <c r="O247" t="str">
        <f t="shared" si="15"/>
        <v>Regelzone Amprion (gesamt)</v>
      </c>
    </row>
    <row r="248" spans="1:15" hidden="1" outlineLevel="1">
      <c r="A248" s="139" t="s">
        <v>485</v>
      </c>
      <c r="B248" s="71">
        <v>7</v>
      </c>
      <c r="C248" s="1133">
        <v>2023</v>
      </c>
      <c r="D248" s="198">
        <v>0</v>
      </c>
      <c r="E248" s="197">
        <v>0</v>
      </c>
      <c r="F248" s="198">
        <v>0</v>
      </c>
      <c r="G248" s="197">
        <v>0</v>
      </c>
      <c r="H248" s="198">
        <v>60283</v>
      </c>
      <c r="I248" s="197">
        <v>4699.5600000000004</v>
      </c>
      <c r="J248" s="199">
        <v>0</v>
      </c>
      <c r="K248" s="200">
        <v>0</v>
      </c>
      <c r="L248" s="196">
        <f t="shared" si="16"/>
        <v>4699.5600000000004</v>
      </c>
      <c r="M248" s="5"/>
      <c r="O248" t="str">
        <f t="shared" si="15"/>
        <v>Regelzone Amprion (gesamt)</v>
      </c>
    </row>
    <row r="249" spans="1:15" hidden="1" outlineLevel="1">
      <c r="A249" s="139" t="s">
        <v>489</v>
      </c>
      <c r="B249" s="71">
        <v>7</v>
      </c>
      <c r="C249" s="1133">
        <v>2023</v>
      </c>
      <c r="D249" s="198">
        <v>0</v>
      </c>
      <c r="E249" s="197">
        <v>0</v>
      </c>
      <c r="F249" s="198">
        <v>0</v>
      </c>
      <c r="G249" s="197">
        <v>0</v>
      </c>
      <c r="H249" s="198">
        <v>-40143</v>
      </c>
      <c r="I249" s="197">
        <v>-2092.8000000000002</v>
      </c>
      <c r="J249" s="199">
        <v>0</v>
      </c>
      <c r="K249" s="200">
        <v>0</v>
      </c>
      <c r="L249" s="196">
        <f t="shared" si="16"/>
        <v>-2092.8000000000002</v>
      </c>
      <c r="M249" s="5"/>
      <c r="O249" t="str">
        <f t="shared" si="15"/>
        <v>Regelzone Amprion (gesamt)</v>
      </c>
    </row>
    <row r="250" spans="1:15" hidden="1" outlineLevel="1">
      <c r="A250" s="139" t="s">
        <v>493</v>
      </c>
      <c r="B250" s="71">
        <v>7</v>
      </c>
      <c r="C250" s="1133">
        <v>2023</v>
      </c>
      <c r="D250" s="198">
        <v>0</v>
      </c>
      <c r="E250" s="197">
        <v>0</v>
      </c>
      <c r="F250" s="198">
        <v>0</v>
      </c>
      <c r="G250" s="197">
        <v>0</v>
      </c>
      <c r="H250" s="198">
        <v>0</v>
      </c>
      <c r="I250" s="197">
        <v>1263.2</v>
      </c>
      <c r="J250" s="199">
        <v>0</v>
      </c>
      <c r="K250" s="200">
        <v>0</v>
      </c>
      <c r="L250" s="196">
        <f t="shared" si="16"/>
        <v>1263.2</v>
      </c>
      <c r="M250" s="5"/>
      <c r="O250" t="str">
        <f t="shared" si="15"/>
        <v>Regelzone Amprion (gesamt)</v>
      </c>
    </row>
    <row r="251" spans="1:15" hidden="1" outlineLevel="1">
      <c r="A251" s="139" t="s">
        <v>495</v>
      </c>
      <c r="B251" s="71">
        <v>7</v>
      </c>
      <c r="C251" s="1133">
        <v>2023</v>
      </c>
      <c r="D251" s="198">
        <v>0</v>
      </c>
      <c r="E251" s="197">
        <v>0</v>
      </c>
      <c r="F251" s="198">
        <v>0</v>
      </c>
      <c r="G251" s="197">
        <v>0</v>
      </c>
      <c r="H251" s="198">
        <v>87150</v>
      </c>
      <c r="I251" s="197">
        <v>7406.88</v>
      </c>
      <c r="J251" s="199">
        <v>0</v>
      </c>
      <c r="K251" s="200">
        <v>0</v>
      </c>
      <c r="L251" s="196">
        <f t="shared" si="16"/>
        <v>7406.88</v>
      </c>
      <c r="M251" s="5"/>
      <c r="O251" t="str">
        <f t="shared" si="15"/>
        <v>Regelzone Amprion (gesamt)</v>
      </c>
    </row>
    <row r="252" spans="1:15" hidden="1" outlineLevel="1">
      <c r="A252" s="139" t="s">
        <v>503</v>
      </c>
      <c r="B252" s="71">
        <v>7</v>
      </c>
      <c r="C252" s="1133">
        <v>2023</v>
      </c>
      <c r="D252" s="198">
        <v>0</v>
      </c>
      <c r="E252" s="197">
        <v>0</v>
      </c>
      <c r="F252" s="198">
        <v>0</v>
      </c>
      <c r="G252" s="197">
        <v>0</v>
      </c>
      <c r="H252" s="198">
        <v>261883</v>
      </c>
      <c r="I252" s="197">
        <v>20950.64</v>
      </c>
      <c r="J252" s="199">
        <v>0</v>
      </c>
      <c r="K252" s="200">
        <v>0</v>
      </c>
      <c r="L252" s="196">
        <f t="shared" si="16"/>
        <v>20950.64</v>
      </c>
      <c r="M252" s="5"/>
      <c r="O252" t="str">
        <f t="shared" si="15"/>
        <v>Regelzone Amprion (gesamt)</v>
      </c>
    </row>
    <row r="253" spans="1:15" hidden="1" outlineLevel="1">
      <c r="A253" s="139" t="s">
        <v>507</v>
      </c>
      <c r="B253" s="71">
        <v>7</v>
      </c>
      <c r="C253" s="1133">
        <v>2023</v>
      </c>
      <c r="D253" s="198">
        <v>0</v>
      </c>
      <c r="E253" s="197">
        <v>0</v>
      </c>
      <c r="F253" s="198">
        <v>1</v>
      </c>
      <c r="G253" s="197">
        <v>1.33</v>
      </c>
      <c r="H253" s="198">
        <v>-59885</v>
      </c>
      <c r="I253" s="197">
        <v>-4094.83</v>
      </c>
      <c r="J253" s="199">
        <v>0</v>
      </c>
      <c r="K253" s="200">
        <v>0</v>
      </c>
      <c r="L253" s="196">
        <f t="shared" si="16"/>
        <v>-4093.5</v>
      </c>
      <c r="M253" s="5"/>
      <c r="O253" t="str">
        <f t="shared" si="15"/>
        <v>Regelzone Amprion (gesamt)</v>
      </c>
    </row>
    <row r="254" spans="1:15" hidden="1" outlineLevel="1">
      <c r="A254" s="139" t="s">
        <v>509</v>
      </c>
      <c r="B254" s="71">
        <v>7</v>
      </c>
      <c r="C254" s="1133">
        <v>2023</v>
      </c>
      <c r="D254" s="198">
        <v>0</v>
      </c>
      <c r="E254" s="197">
        <v>0</v>
      </c>
      <c r="F254" s="198">
        <v>276882</v>
      </c>
      <c r="G254" s="197">
        <v>13108.63</v>
      </c>
      <c r="H254" s="198">
        <v>0</v>
      </c>
      <c r="I254" s="197">
        <v>0</v>
      </c>
      <c r="J254" s="199">
        <v>0</v>
      </c>
      <c r="K254" s="200">
        <v>0</v>
      </c>
      <c r="L254" s="196">
        <f t="shared" si="16"/>
        <v>13108.63</v>
      </c>
      <c r="M254" s="5"/>
      <c r="O254" t="str">
        <f t="shared" si="15"/>
        <v>Regelzone Amprion (gesamt)</v>
      </c>
    </row>
    <row r="255" spans="1:15" hidden="1" outlineLevel="1">
      <c r="A255" s="139" t="s">
        <v>513</v>
      </c>
      <c r="B255" s="71">
        <v>1</v>
      </c>
      <c r="C255" s="1133">
        <v>2023</v>
      </c>
      <c r="D255" s="198">
        <v>0</v>
      </c>
      <c r="E255" s="197">
        <v>0</v>
      </c>
      <c r="F255" s="198">
        <v>0</v>
      </c>
      <c r="G255" s="197">
        <v>0</v>
      </c>
      <c r="H255" s="198">
        <v>-3995997</v>
      </c>
      <c r="I255" s="197">
        <v>-189823.79</v>
      </c>
      <c r="J255" s="199">
        <v>0</v>
      </c>
      <c r="K255" s="200">
        <v>0</v>
      </c>
      <c r="L255" s="196">
        <f t="shared" si="16"/>
        <v>-189823.79</v>
      </c>
      <c r="M255" s="5"/>
      <c r="O255" t="str">
        <f t="shared" si="15"/>
        <v>Regelzone Amprion (gesamt)</v>
      </c>
    </row>
    <row r="256" spans="1:15" hidden="1" outlineLevel="1">
      <c r="A256" s="139" t="s">
        <v>519</v>
      </c>
      <c r="B256" s="71">
        <v>7</v>
      </c>
      <c r="C256" s="1133">
        <v>2023</v>
      </c>
      <c r="D256" s="198">
        <v>0</v>
      </c>
      <c r="E256" s="197">
        <v>0</v>
      </c>
      <c r="F256" s="198">
        <v>406495</v>
      </c>
      <c r="G256" s="197">
        <v>21991.38</v>
      </c>
      <c r="H256" s="198">
        <v>229031</v>
      </c>
      <c r="I256" s="197">
        <v>13429.12</v>
      </c>
      <c r="J256" s="199">
        <v>0</v>
      </c>
      <c r="K256" s="200">
        <v>0</v>
      </c>
      <c r="L256" s="196">
        <f t="shared" si="16"/>
        <v>35420.5</v>
      </c>
      <c r="M256" s="5"/>
      <c r="O256" t="str">
        <f t="shared" si="15"/>
        <v>Regelzone Amprion (gesamt)</v>
      </c>
    </row>
    <row r="257" spans="1:15" hidden="1" outlineLevel="1">
      <c r="A257" s="139" t="s">
        <v>523</v>
      </c>
      <c r="B257" s="71">
        <v>7</v>
      </c>
      <c r="C257" s="1133">
        <v>2023</v>
      </c>
      <c r="D257" s="198">
        <v>-334264</v>
      </c>
      <c r="E257" s="197">
        <v>-17080.89</v>
      </c>
      <c r="F257" s="198">
        <v>639460</v>
      </c>
      <c r="G257" s="197">
        <v>34594.78</v>
      </c>
      <c r="H257" s="198">
        <v>245939</v>
      </c>
      <c r="I257" s="197">
        <v>16084.16</v>
      </c>
      <c r="J257" s="199">
        <v>0</v>
      </c>
      <c r="K257" s="200">
        <v>0</v>
      </c>
      <c r="L257" s="196">
        <f t="shared" si="16"/>
        <v>33598.050000000003</v>
      </c>
      <c r="M257" s="5"/>
      <c r="O257" t="str">
        <f t="shared" si="15"/>
        <v>Regelzone Amprion (gesamt)</v>
      </c>
    </row>
    <row r="258" spans="1:15" hidden="1" outlineLevel="1">
      <c r="A258" s="139" t="s">
        <v>535</v>
      </c>
      <c r="B258" s="71">
        <v>7</v>
      </c>
      <c r="C258" s="1133">
        <v>2023</v>
      </c>
      <c r="D258" s="198">
        <v>0</v>
      </c>
      <c r="E258" s="197">
        <v>0</v>
      </c>
      <c r="F258" s="198">
        <v>-125518</v>
      </c>
      <c r="G258" s="197">
        <v>-5442.1</v>
      </c>
      <c r="H258" s="198">
        <v>53308</v>
      </c>
      <c r="I258" s="197">
        <v>4620.5600000000004</v>
      </c>
      <c r="J258" s="199">
        <v>0</v>
      </c>
      <c r="K258" s="200">
        <v>0</v>
      </c>
      <c r="L258" s="196">
        <f t="shared" si="16"/>
        <v>-821.54</v>
      </c>
      <c r="M258" s="5"/>
      <c r="O258" t="str">
        <f t="shared" si="15"/>
        <v>Regelzone Amprion (gesamt)</v>
      </c>
    </row>
    <row r="259" spans="1:15" hidden="1" outlineLevel="1">
      <c r="A259" s="139" t="s">
        <v>539</v>
      </c>
      <c r="B259" s="71">
        <v>7</v>
      </c>
      <c r="C259" s="1133">
        <v>2023</v>
      </c>
      <c r="D259" s="198">
        <v>0</v>
      </c>
      <c r="E259" s="197">
        <v>0</v>
      </c>
      <c r="F259" s="198">
        <v>0</v>
      </c>
      <c r="G259" s="197">
        <v>0</v>
      </c>
      <c r="H259" s="198">
        <v>-6000</v>
      </c>
      <c r="I259" s="197">
        <v>-630.72</v>
      </c>
      <c r="J259" s="199">
        <v>0</v>
      </c>
      <c r="K259" s="200">
        <v>0</v>
      </c>
      <c r="L259" s="196">
        <f t="shared" si="16"/>
        <v>-630.72</v>
      </c>
      <c r="M259" s="5"/>
      <c r="O259" t="str">
        <f t="shared" si="15"/>
        <v>Regelzone Amprion (gesamt)</v>
      </c>
    </row>
    <row r="260" spans="1:15" hidden="1" outlineLevel="1">
      <c r="A260" s="139" t="s">
        <v>541</v>
      </c>
      <c r="B260" s="71">
        <v>1</v>
      </c>
      <c r="C260" s="1133">
        <v>2023</v>
      </c>
      <c r="D260" s="198">
        <v>0</v>
      </c>
      <c r="E260" s="197">
        <v>0</v>
      </c>
      <c r="F260" s="198">
        <v>-14560</v>
      </c>
      <c r="G260" s="197">
        <v>-787.7</v>
      </c>
      <c r="H260" s="198">
        <v>0</v>
      </c>
      <c r="I260" s="197">
        <v>0</v>
      </c>
      <c r="J260" s="199">
        <v>0</v>
      </c>
      <c r="K260" s="200">
        <v>0</v>
      </c>
      <c r="L260" s="196">
        <f t="shared" si="16"/>
        <v>-787.7</v>
      </c>
      <c r="M260" s="5"/>
      <c r="O260" t="str">
        <f t="shared" si="15"/>
        <v>Regelzone Amprion (gesamt)</v>
      </c>
    </row>
    <row r="261" spans="1:15" hidden="1" outlineLevel="1">
      <c r="A261" s="139" t="s">
        <v>541</v>
      </c>
      <c r="B261" s="71">
        <v>7</v>
      </c>
      <c r="C261" s="1133">
        <v>2023</v>
      </c>
      <c r="D261" s="198">
        <v>0</v>
      </c>
      <c r="E261" s="197">
        <v>0</v>
      </c>
      <c r="F261" s="198">
        <v>645931</v>
      </c>
      <c r="G261" s="197">
        <v>34944.879999999997</v>
      </c>
      <c r="H261" s="198">
        <v>1515243</v>
      </c>
      <c r="I261" s="197">
        <v>153145.84</v>
      </c>
      <c r="J261" s="199">
        <v>0</v>
      </c>
      <c r="K261" s="200">
        <v>0</v>
      </c>
      <c r="L261" s="196">
        <f t="shared" si="16"/>
        <v>188090.72</v>
      </c>
      <c r="M261" s="5"/>
      <c r="O261" t="str">
        <f t="shared" si="15"/>
        <v>Regelzone Amprion (gesamt)</v>
      </c>
    </row>
    <row r="262" spans="1:15" hidden="1" outlineLevel="1">
      <c r="A262" s="139" t="s">
        <v>551</v>
      </c>
      <c r="B262" s="71">
        <v>7</v>
      </c>
      <c r="C262" s="1133">
        <v>2023</v>
      </c>
      <c r="D262" s="198">
        <v>0</v>
      </c>
      <c r="E262" s="197">
        <v>0</v>
      </c>
      <c r="F262" s="198">
        <v>551</v>
      </c>
      <c r="G262" s="197">
        <v>29.81</v>
      </c>
      <c r="H262" s="198">
        <v>0</v>
      </c>
      <c r="I262" s="197">
        <v>0</v>
      </c>
      <c r="J262" s="199">
        <v>0</v>
      </c>
      <c r="K262" s="200">
        <v>0</v>
      </c>
      <c r="L262" s="196">
        <f t="shared" si="16"/>
        <v>29.81</v>
      </c>
      <c r="M262" s="5"/>
      <c r="O262" t="str">
        <f t="shared" si="15"/>
        <v>Regelzone Amprion (gesamt)</v>
      </c>
    </row>
    <row r="263" spans="1:15" hidden="1" outlineLevel="1">
      <c r="A263" s="139" t="s">
        <v>553</v>
      </c>
      <c r="B263" s="71">
        <v>7</v>
      </c>
      <c r="C263" s="1133">
        <v>2023</v>
      </c>
      <c r="D263" s="198">
        <v>0</v>
      </c>
      <c r="E263" s="197">
        <v>0</v>
      </c>
      <c r="F263" s="198">
        <v>84781</v>
      </c>
      <c r="G263" s="197">
        <v>4586.66</v>
      </c>
      <c r="H263" s="198">
        <v>0</v>
      </c>
      <c r="I263" s="197">
        <v>0</v>
      </c>
      <c r="J263" s="199">
        <v>0</v>
      </c>
      <c r="K263" s="200">
        <v>0</v>
      </c>
      <c r="L263" s="196">
        <f t="shared" si="16"/>
        <v>4586.66</v>
      </c>
      <c r="M263" s="5"/>
      <c r="O263" t="str">
        <f t="shared" si="15"/>
        <v>Regelzone Amprion (gesamt)</v>
      </c>
    </row>
    <row r="264" spans="1:15" hidden="1" outlineLevel="1">
      <c r="A264" s="139" t="s">
        <v>563</v>
      </c>
      <c r="B264" s="71">
        <v>7</v>
      </c>
      <c r="C264" s="1133">
        <v>2023</v>
      </c>
      <c r="D264" s="198">
        <v>0</v>
      </c>
      <c r="E264" s="197">
        <v>0</v>
      </c>
      <c r="F264" s="198">
        <v>0</v>
      </c>
      <c r="G264" s="197">
        <v>0</v>
      </c>
      <c r="H264" s="198">
        <v>160752</v>
      </c>
      <c r="I264" s="197">
        <v>8382.32</v>
      </c>
      <c r="J264" s="199">
        <v>0</v>
      </c>
      <c r="K264" s="200">
        <v>0</v>
      </c>
      <c r="L264" s="196">
        <f t="shared" si="16"/>
        <v>8382.32</v>
      </c>
      <c r="M264" s="5"/>
      <c r="O264" t="str">
        <f t="shared" si="15"/>
        <v>Regelzone Amprion (gesamt)</v>
      </c>
    </row>
    <row r="265" spans="1:15" hidden="1" outlineLevel="1">
      <c r="A265" s="139" t="s">
        <v>573</v>
      </c>
      <c r="B265" s="71">
        <v>7</v>
      </c>
      <c r="C265" s="1133">
        <v>2023</v>
      </c>
      <c r="D265" s="198">
        <v>0</v>
      </c>
      <c r="E265" s="197">
        <v>0</v>
      </c>
      <c r="F265" s="198">
        <v>-83038</v>
      </c>
      <c r="G265" s="197">
        <v>-4492.3599999999997</v>
      </c>
      <c r="H265" s="198">
        <v>72305</v>
      </c>
      <c r="I265" s="197">
        <v>5403.56</v>
      </c>
      <c r="J265" s="199">
        <v>0</v>
      </c>
      <c r="K265" s="200">
        <v>0</v>
      </c>
      <c r="L265" s="196">
        <f t="shared" si="16"/>
        <v>911.20000000000073</v>
      </c>
      <c r="M265" s="5"/>
      <c r="O265" t="str">
        <f t="shared" si="15"/>
        <v>Regelzone Amprion (gesamt)</v>
      </c>
    </row>
    <row r="266" spans="1:15" hidden="1" outlineLevel="1">
      <c r="A266" s="139" t="s">
        <v>579</v>
      </c>
      <c r="B266" s="71">
        <v>7</v>
      </c>
      <c r="C266" s="1133">
        <v>2023</v>
      </c>
      <c r="D266" s="198">
        <v>0</v>
      </c>
      <c r="E266" s="197">
        <v>0</v>
      </c>
      <c r="F266" s="198">
        <v>-32163</v>
      </c>
      <c r="G266" s="197">
        <v>-1740.02</v>
      </c>
      <c r="H266" s="198">
        <v>343812</v>
      </c>
      <c r="I266" s="197">
        <v>47768.08</v>
      </c>
      <c r="J266" s="199">
        <v>0</v>
      </c>
      <c r="K266" s="200">
        <v>0</v>
      </c>
      <c r="L266" s="196">
        <f t="shared" si="16"/>
        <v>46028.060000000005</v>
      </c>
      <c r="M266" s="5"/>
      <c r="O266" t="str">
        <f t="shared" si="15"/>
        <v>Regelzone Amprion (gesamt)</v>
      </c>
    </row>
    <row r="267" spans="1:15" hidden="1" outlineLevel="1">
      <c r="A267" s="139" t="s">
        <v>583</v>
      </c>
      <c r="B267" s="71">
        <v>7</v>
      </c>
      <c r="C267" s="1133">
        <v>2023</v>
      </c>
      <c r="D267" s="198">
        <v>0</v>
      </c>
      <c r="E267" s="197">
        <v>0</v>
      </c>
      <c r="F267" s="198">
        <v>-1054</v>
      </c>
      <c r="G267" s="197">
        <v>-57.02</v>
      </c>
      <c r="H267" s="198">
        <v>1011</v>
      </c>
      <c r="I267" s="197">
        <v>1697.62</v>
      </c>
      <c r="J267" s="199">
        <v>0</v>
      </c>
      <c r="K267" s="200">
        <v>0</v>
      </c>
      <c r="L267" s="196">
        <f t="shared" si="16"/>
        <v>1640.6</v>
      </c>
      <c r="M267" s="5"/>
      <c r="O267" t="str">
        <f t="shared" si="15"/>
        <v>Regelzone Amprion (gesamt)</v>
      </c>
    </row>
    <row r="268" spans="1:15" hidden="1" outlineLevel="1">
      <c r="A268" s="139" t="s">
        <v>589</v>
      </c>
      <c r="B268" s="71">
        <v>7</v>
      </c>
      <c r="C268" s="1133">
        <v>2023</v>
      </c>
      <c r="D268" s="198">
        <v>0</v>
      </c>
      <c r="E268" s="197">
        <v>0</v>
      </c>
      <c r="F268" s="198">
        <v>0</v>
      </c>
      <c r="G268" s="197">
        <v>0</v>
      </c>
      <c r="H268" s="198">
        <v>76904</v>
      </c>
      <c r="I268" s="197">
        <v>11637.44</v>
      </c>
      <c r="J268" s="199">
        <v>0</v>
      </c>
      <c r="K268" s="200">
        <v>0</v>
      </c>
      <c r="L268" s="196">
        <f t="shared" si="16"/>
        <v>11637.44</v>
      </c>
      <c r="M268" s="5"/>
      <c r="O268" t="str">
        <f t="shared" si="15"/>
        <v>Regelzone Amprion (gesamt)</v>
      </c>
    </row>
    <row r="269" spans="1:15" hidden="1" outlineLevel="1">
      <c r="A269" s="139" t="s">
        <v>591</v>
      </c>
      <c r="B269" s="71">
        <v>7</v>
      </c>
      <c r="C269" s="1133">
        <v>2023</v>
      </c>
      <c r="D269" s="198">
        <v>0</v>
      </c>
      <c r="E269" s="197">
        <v>0</v>
      </c>
      <c r="F269" s="198">
        <v>3522392</v>
      </c>
      <c r="G269" s="197">
        <v>97273.8</v>
      </c>
      <c r="H269" s="198">
        <v>0</v>
      </c>
      <c r="I269" s="197">
        <v>0</v>
      </c>
      <c r="J269" s="199">
        <v>0</v>
      </c>
      <c r="K269" s="200">
        <v>0</v>
      </c>
      <c r="L269" s="196">
        <f t="shared" si="16"/>
        <v>97273.8</v>
      </c>
      <c r="M269" s="5"/>
      <c r="O269" t="str">
        <f t="shared" si="15"/>
        <v>Regelzone Amprion (gesamt)</v>
      </c>
    </row>
    <row r="270" spans="1:15" hidden="1" outlineLevel="1">
      <c r="A270" s="139" t="s">
        <v>609</v>
      </c>
      <c r="B270" s="71">
        <v>7</v>
      </c>
      <c r="C270" s="1133">
        <v>2023</v>
      </c>
      <c r="D270" s="198">
        <v>0</v>
      </c>
      <c r="E270" s="197">
        <v>0</v>
      </c>
      <c r="F270" s="198">
        <v>0</v>
      </c>
      <c r="G270" s="197">
        <v>0</v>
      </c>
      <c r="H270" s="198">
        <v>251571</v>
      </c>
      <c r="I270" s="197">
        <v>28961.360000000001</v>
      </c>
      <c r="J270" s="199">
        <v>0</v>
      </c>
      <c r="K270" s="200">
        <v>0</v>
      </c>
      <c r="L270" s="196">
        <f t="shared" si="16"/>
        <v>28961.360000000001</v>
      </c>
      <c r="M270" s="5"/>
      <c r="O270" t="str">
        <f t="shared" si="15"/>
        <v>Regelzone Amprion (gesamt)</v>
      </c>
    </row>
    <row r="271" spans="1:15" hidden="1" outlineLevel="1">
      <c r="A271" s="139" t="s">
        <v>611</v>
      </c>
      <c r="B271" s="71">
        <v>1</v>
      </c>
      <c r="C271" s="1133">
        <v>2023</v>
      </c>
      <c r="D271" s="198">
        <v>0</v>
      </c>
      <c r="E271" s="197">
        <v>0</v>
      </c>
      <c r="F271" s="198">
        <v>-139870</v>
      </c>
      <c r="G271" s="197">
        <v>-7566.97</v>
      </c>
      <c r="H271" s="198">
        <v>0</v>
      </c>
      <c r="I271" s="197">
        <v>0</v>
      </c>
      <c r="J271" s="199">
        <v>5417.7</v>
      </c>
      <c r="K271" s="200">
        <v>0</v>
      </c>
      <c r="L271" s="196">
        <f t="shared" si="16"/>
        <v>-2149.2700000000004</v>
      </c>
      <c r="M271" s="5"/>
      <c r="O271" t="str">
        <f t="shared" si="15"/>
        <v>Regelzone Amprion (gesamt)</v>
      </c>
    </row>
    <row r="272" spans="1:15" hidden="1" outlineLevel="1">
      <c r="A272" s="139" t="s">
        <v>611</v>
      </c>
      <c r="B272" s="71">
        <v>7</v>
      </c>
      <c r="C272" s="1133">
        <v>2023</v>
      </c>
      <c r="D272" s="198">
        <v>0</v>
      </c>
      <c r="E272" s="197">
        <v>0</v>
      </c>
      <c r="F272" s="198">
        <v>0</v>
      </c>
      <c r="G272" s="197">
        <v>0</v>
      </c>
      <c r="H272" s="198">
        <v>-97494</v>
      </c>
      <c r="I272" s="197">
        <v>-7088.9</v>
      </c>
      <c r="J272" s="199">
        <v>1304.07</v>
      </c>
      <c r="K272" s="200">
        <v>0</v>
      </c>
      <c r="L272" s="196">
        <f t="shared" si="16"/>
        <v>-5784.83</v>
      </c>
      <c r="M272" s="5"/>
      <c r="O272" t="str">
        <f t="shared" si="15"/>
        <v>Regelzone Amprion (gesamt)</v>
      </c>
    </row>
    <row r="273" spans="1:15" hidden="1" outlineLevel="1">
      <c r="A273" s="139" t="s">
        <v>621</v>
      </c>
      <c r="B273" s="71">
        <v>7</v>
      </c>
      <c r="C273" s="1133">
        <v>2023</v>
      </c>
      <c r="D273" s="198">
        <v>0</v>
      </c>
      <c r="E273" s="197">
        <v>0</v>
      </c>
      <c r="F273" s="198">
        <v>1723624</v>
      </c>
      <c r="G273" s="197">
        <v>82127.97</v>
      </c>
      <c r="H273" s="198">
        <v>1273518</v>
      </c>
      <c r="I273" s="197">
        <v>110120.88</v>
      </c>
      <c r="J273" s="199">
        <v>0</v>
      </c>
      <c r="K273" s="200">
        <v>0</v>
      </c>
      <c r="L273" s="196">
        <f t="shared" si="16"/>
        <v>192248.85</v>
      </c>
      <c r="M273" s="5"/>
      <c r="O273" t="str">
        <f t="shared" si="15"/>
        <v>Regelzone Amprion (gesamt)</v>
      </c>
    </row>
    <row r="274" spans="1:15" hidden="1" outlineLevel="1">
      <c r="A274" s="139" t="s">
        <v>627</v>
      </c>
      <c r="B274" s="71">
        <v>7</v>
      </c>
      <c r="C274" s="1133">
        <v>2023</v>
      </c>
      <c r="D274" s="198">
        <v>0</v>
      </c>
      <c r="E274" s="197">
        <v>0</v>
      </c>
      <c r="F274" s="198">
        <v>32502</v>
      </c>
      <c r="G274" s="197">
        <v>1758.36</v>
      </c>
      <c r="H274" s="198">
        <v>53637</v>
      </c>
      <c r="I274" s="197">
        <v>5286.92</v>
      </c>
      <c r="J274" s="199">
        <v>0</v>
      </c>
      <c r="K274" s="200">
        <v>0</v>
      </c>
      <c r="L274" s="196">
        <f t="shared" ref="L274:L314" si="17">E274+G274+I274+J274+K274</f>
        <v>7045.28</v>
      </c>
      <c r="M274" s="5"/>
      <c r="O274" t="str">
        <f t="shared" si="15"/>
        <v>Regelzone Amprion (gesamt)</v>
      </c>
    </row>
    <row r="275" spans="1:15" hidden="1" outlineLevel="1">
      <c r="A275" s="139" t="s">
        <v>629</v>
      </c>
      <c r="B275" s="71">
        <v>7</v>
      </c>
      <c r="C275" s="1133">
        <v>2023</v>
      </c>
      <c r="D275" s="198">
        <v>0</v>
      </c>
      <c r="E275" s="197">
        <v>0</v>
      </c>
      <c r="F275" s="198">
        <v>8590</v>
      </c>
      <c r="G275" s="197">
        <v>464.72</v>
      </c>
      <c r="H275" s="198">
        <v>258815</v>
      </c>
      <c r="I275" s="197">
        <v>17852.189999999999</v>
      </c>
      <c r="J275" s="199">
        <v>0</v>
      </c>
      <c r="K275" s="200">
        <v>0</v>
      </c>
      <c r="L275" s="196">
        <f t="shared" si="17"/>
        <v>18316.91</v>
      </c>
      <c r="M275" s="5"/>
      <c r="O275" t="str">
        <f t="shared" si="15"/>
        <v>Regelzone Amprion (gesamt)</v>
      </c>
    </row>
    <row r="276" spans="1:15" hidden="1" outlineLevel="1">
      <c r="A276" s="139" t="s">
        <v>639</v>
      </c>
      <c r="B276" s="71">
        <v>7</v>
      </c>
      <c r="C276" s="1133">
        <v>2023</v>
      </c>
      <c r="D276" s="198">
        <v>0</v>
      </c>
      <c r="E276" s="197">
        <v>0</v>
      </c>
      <c r="F276" s="198">
        <v>338617</v>
      </c>
      <c r="G276" s="197">
        <v>18319.22</v>
      </c>
      <c r="H276" s="198">
        <v>2538003</v>
      </c>
      <c r="I276" s="197">
        <v>221986.16</v>
      </c>
      <c r="J276" s="199">
        <v>0</v>
      </c>
      <c r="K276" s="200">
        <v>0</v>
      </c>
      <c r="L276" s="196">
        <f t="shared" si="17"/>
        <v>240305.38</v>
      </c>
      <c r="M276" s="5"/>
      <c r="O276" t="str">
        <f t="shared" si="15"/>
        <v>Regelzone Amprion (gesamt)</v>
      </c>
    </row>
    <row r="277" spans="1:15" hidden="1" outlineLevel="1">
      <c r="A277" s="139" t="s">
        <v>641</v>
      </c>
      <c r="B277" s="71">
        <v>7</v>
      </c>
      <c r="C277" s="1133">
        <v>2023</v>
      </c>
      <c r="D277" s="198">
        <v>0</v>
      </c>
      <c r="E277" s="197">
        <v>0</v>
      </c>
      <c r="F277" s="198">
        <v>0</v>
      </c>
      <c r="G277" s="197">
        <v>0</v>
      </c>
      <c r="H277" s="198">
        <v>0</v>
      </c>
      <c r="I277" s="197">
        <v>874.08</v>
      </c>
      <c r="J277" s="199">
        <v>0</v>
      </c>
      <c r="K277" s="200">
        <v>0</v>
      </c>
      <c r="L277" s="196">
        <f t="shared" si="17"/>
        <v>874.08</v>
      </c>
      <c r="M277" s="5"/>
      <c r="O277" t="str">
        <f t="shared" si="15"/>
        <v>Regelzone Amprion (gesamt)</v>
      </c>
    </row>
    <row r="278" spans="1:15" hidden="1" outlineLevel="1">
      <c r="A278" s="139" t="s">
        <v>651</v>
      </c>
      <c r="B278" s="71">
        <v>1</v>
      </c>
      <c r="C278" s="1133">
        <v>2023</v>
      </c>
      <c r="D278" s="198">
        <v>0</v>
      </c>
      <c r="E278" s="197">
        <v>0</v>
      </c>
      <c r="F278" s="198">
        <v>0</v>
      </c>
      <c r="G278" s="197">
        <v>0</v>
      </c>
      <c r="H278" s="198">
        <v>0</v>
      </c>
      <c r="I278" s="197">
        <v>-4.04</v>
      </c>
      <c r="J278" s="199">
        <v>0</v>
      </c>
      <c r="K278" s="200">
        <v>0</v>
      </c>
      <c r="L278" s="196">
        <f t="shared" si="17"/>
        <v>-4.04</v>
      </c>
      <c r="M278" s="5"/>
      <c r="O278" t="str">
        <f t="shared" si="15"/>
        <v>Regelzone Amprion (gesamt)</v>
      </c>
    </row>
    <row r="279" spans="1:15" hidden="1" outlineLevel="1">
      <c r="A279" s="139" t="s">
        <v>651</v>
      </c>
      <c r="B279" s="71">
        <v>7</v>
      </c>
      <c r="C279" s="1133">
        <v>2023</v>
      </c>
      <c r="D279" s="198">
        <v>0</v>
      </c>
      <c r="E279" s="197">
        <v>0</v>
      </c>
      <c r="F279" s="198">
        <v>522966</v>
      </c>
      <c r="G279" s="197">
        <v>25904.07</v>
      </c>
      <c r="H279" s="198">
        <v>697617</v>
      </c>
      <c r="I279" s="197">
        <v>63930.720000000001</v>
      </c>
      <c r="J279" s="199">
        <v>0</v>
      </c>
      <c r="K279" s="200">
        <v>0</v>
      </c>
      <c r="L279" s="196">
        <f t="shared" si="17"/>
        <v>89834.790000000008</v>
      </c>
      <c r="M279" s="5"/>
      <c r="O279" t="str">
        <f t="shared" si="15"/>
        <v>Regelzone Amprion (gesamt)</v>
      </c>
    </row>
    <row r="280" spans="1:15" hidden="1" outlineLevel="1">
      <c r="A280" s="139" t="s">
        <v>658</v>
      </c>
      <c r="B280" s="71">
        <v>7</v>
      </c>
      <c r="C280" s="1133">
        <v>2023</v>
      </c>
      <c r="D280" s="198">
        <v>0</v>
      </c>
      <c r="E280" s="197">
        <v>0</v>
      </c>
      <c r="F280" s="198">
        <v>0</v>
      </c>
      <c r="G280" s="197">
        <v>0</v>
      </c>
      <c r="H280" s="198">
        <v>6207454</v>
      </c>
      <c r="I280" s="197">
        <v>213447.93</v>
      </c>
      <c r="J280" s="199">
        <v>0</v>
      </c>
      <c r="K280" s="200">
        <v>0</v>
      </c>
      <c r="L280" s="196">
        <f t="shared" si="17"/>
        <v>213447.93</v>
      </c>
      <c r="M280" s="5"/>
      <c r="O280" t="str">
        <f t="shared" si="15"/>
        <v>Regelzone Amprion (gesamt)</v>
      </c>
    </row>
    <row r="281" spans="1:15" hidden="1" outlineLevel="1">
      <c r="A281" s="139" t="s">
        <v>660</v>
      </c>
      <c r="B281" s="71">
        <v>7</v>
      </c>
      <c r="C281" s="1133">
        <v>2023</v>
      </c>
      <c r="D281" s="198">
        <v>0</v>
      </c>
      <c r="E281" s="197">
        <v>0</v>
      </c>
      <c r="F281" s="198">
        <v>0</v>
      </c>
      <c r="G281" s="197">
        <v>0</v>
      </c>
      <c r="H281" s="198">
        <v>163445</v>
      </c>
      <c r="I281" s="197">
        <v>6169.39</v>
      </c>
      <c r="J281" s="199">
        <v>0</v>
      </c>
      <c r="K281" s="200">
        <v>0</v>
      </c>
      <c r="L281" s="196">
        <f t="shared" si="17"/>
        <v>6169.39</v>
      </c>
      <c r="M281" s="5"/>
      <c r="O281" t="str">
        <f t="shared" si="15"/>
        <v>Regelzone Amprion (gesamt)</v>
      </c>
    </row>
    <row r="282" spans="1:15" hidden="1" outlineLevel="1">
      <c r="A282" s="139" t="s">
        <v>664</v>
      </c>
      <c r="B282" s="71">
        <v>7</v>
      </c>
      <c r="C282" s="1133">
        <v>2023</v>
      </c>
      <c r="D282" s="198">
        <v>0</v>
      </c>
      <c r="E282" s="197">
        <v>0</v>
      </c>
      <c r="F282" s="198">
        <v>280291</v>
      </c>
      <c r="G282" s="197">
        <v>15163.72</v>
      </c>
      <c r="H282" s="198">
        <v>656822</v>
      </c>
      <c r="I282" s="197">
        <v>50144.639999999999</v>
      </c>
      <c r="J282" s="199">
        <v>0</v>
      </c>
      <c r="K282" s="200">
        <v>0</v>
      </c>
      <c r="L282" s="196">
        <f t="shared" si="17"/>
        <v>65308.36</v>
      </c>
      <c r="M282" s="5"/>
      <c r="O282" t="str">
        <f t="shared" si="15"/>
        <v>Regelzone Amprion (gesamt)</v>
      </c>
    </row>
    <row r="283" spans="1:15" hidden="1" outlineLevel="1">
      <c r="A283" s="139" t="s">
        <v>676</v>
      </c>
      <c r="B283" s="71">
        <v>7</v>
      </c>
      <c r="C283" s="1133">
        <v>2023</v>
      </c>
      <c r="D283" s="198">
        <v>0</v>
      </c>
      <c r="E283" s="197">
        <v>0</v>
      </c>
      <c r="F283" s="198">
        <v>13329</v>
      </c>
      <c r="G283" s="197">
        <v>721.1</v>
      </c>
      <c r="H283" s="198">
        <v>96048</v>
      </c>
      <c r="I283" s="197">
        <v>7703.09</v>
      </c>
      <c r="J283" s="199">
        <v>0</v>
      </c>
      <c r="K283" s="200">
        <v>0</v>
      </c>
      <c r="L283" s="196">
        <f t="shared" si="17"/>
        <v>8424.19</v>
      </c>
      <c r="M283" s="5"/>
      <c r="O283" t="str">
        <f t="shared" si="15"/>
        <v>Regelzone Amprion (gesamt)</v>
      </c>
    </row>
    <row r="284" spans="1:15" hidden="1" outlineLevel="1">
      <c r="A284" s="139" t="s">
        <v>678</v>
      </c>
      <c r="B284" s="71">
        <v>7</v>
      </c>
      <c r="C284" s="1133">
        <v>2023</v>
      </c>
      <c r="D284" s="198">
        <v>0</v>
      </c>
      <c r="E284" s="197">
        <v>0</v>
      </c>
      <c r="F284" s="198">
        <v>3735</v>
      </c>
      <c r="G284" s="197">
        <v>202.06</v>
      </c>
      <c r="H284" s="198">
        <v>287341</v>
      </c>
      <c r="I284" s="197">
        <v>30958.720000000001</v>
      </c>
      <c r="J284" s="199">
        <v>0</v>
      </c>
      <c r="K284" s="200">
        <v>0</v>
      </c>
      <c r="L284" s="196">
        <f t="shared" si="17"/>
        <v>31160.780000000002</v>
      </c>
      <c r="M284" s="5"/>
      <c r="O284" t="str">
        <f t="shared" si="15"/>
        <v>Regelzone Amprion (gesamt)</v>
      </c>
    </row>
    <row r="285" spans="1:15" hidden="1" outlineLevel="1">
      <c r="A285" s="139" t="s">
        <v>696</v>
      </c>
      <c r="B285" s="71">
        <v>7</v>
      </c>
      <c r="C285" s="1133">
        <v>2023</v>
      </c>
      <c r="D285" s="198">
        <v>0</v>
      </c>
      <c r="E285" s="197">
        <v>0</v>
      </c>
      <c r="F285" s="198">
        <v>0</v>
      </c>
      <c r="G285" s="197">
        <v>0</v>
      </c>
      <c r="H285" s="198">
        <v>-3</v>
      </c>
      <c r="I285" s="197">
        <v>32144.45</v>
      </c>
      <c r="J285" s="199">
        <v>0</v>
      </c>
      <c r="K285" s="200">
        <v>0</v>
      </c>
      <c r="L285" s="196">
        <f t="shared" si="17"/>
        <v>32144.45</v>
      </c>
      <c r="M285" s="5"/>
      <c r="O285" t="str">
        <f t="shared" si="15"/>
        <v>Regelzone Amprion (gesamt)</v>
      </c>
    </row>
    <row r="286" spans="1:15" hidden="1" outlineLevel="1">
      <c r="A286" s="139" t="s">
        <v>698</v>
      </c>
      <c r="B286" s="71">
        <v>1</v>
      </c>
      <c r="C286" s="1133">
        <v>2023</v>
      </c>
      <c r="D286" s="198">
        <v>0</v>
      </c>
      <c r="E286" s="197">
        <v>0</v>
      </c>
      <c r="F286" s="198">
        <v>0</v>
      </c>
      <c r="G286" s="197">
        <v>0</v>
      </c>
      <c r="H286" s="198">
        <v>-1287</v>
      </c>
      <c r="I286" s="197">
        <v>-213.08</v>
      </c>
      <c r="J286" s="199">
        <v>0</v>
      </c>
      <c r="K286" s="200">
        <v>0</v>
      </c>
      <c r="L286" s="196">
        <f t="shared" si="17"/>
        <v>-213.08</v>
      </c>
      <c r="M286" s="5"/>
      <c r="O286" t="str">
        <f t="shared" si="15"/>
        <v>Regelzone Amprion (gesamt)</v>
      </c>
    </row>
    <row r="287" spans="1:15" hidden="1" outlineLevel="1">
      <c r="A287" s="139" t="s">
        <v>708</v>
      </c>
      <c r="B287" s="71">
        <v>7</v>
      </c>
      <c r="C287" s="1133">
        <v>2023</v>
      </c>
      <c r="D287" s="198">
        <v>0</v>
      </c>
      <c r="E287" s="197">
        <v>0</v>
      </c>
      <c r="F287" s="198">
        <v>427817</v>
      </c>
      <c r="G287" s="197">
        <v>23144.91</v>
      </c>
      <c r="H287" s="198">
        <v>1191499</v>
      </c>
      <c r="I287" s="197">
        <v>125142.36</v>
      </c>
      <c r="J287" s="199">
        <v>0</v>
      </c>
      <c r="K287" s="200">
        <v>0</v>
      </c>
      <c r="L287" s="196">
        <f t="shared" si="17"/>
        <v>148287.26999999999</v>
      </c>
      <c r="M287" s="5"/>
      <c r="O287" t="str">
        <f t="shared" si="15"/>
        <v>Regelzone Amprion (gesamt)</v>
      </c>
    </row>
    <row r="288" spans="1:15" hidden="1" outlineLevel="1">
      <c r="A288" s="139" t="s">
        <v>710</v>
      </c>
      <c r="B288" s="71">
        <v>7</v>
      </c>
      <c r="C288" s="1133">
        <v>2023</v>
      </c>
      <c r="D288" s="198">
        <v>0</v>
      </c>
      <c r="E288" s="197">
        <v>0</v>
      </c>
      <c r="F288" s="198">
        <v>0</v>
      </c>
      <c r="G288" s="197">
        <v>0</v>
      </c>
      <c r="H288" s="198">
        <v>4385</v>
      </c>
      <c r="I288" s="197">
        <v>1051.8</v>
      </c>
      <c r="J288" s="199">
        <v>-131.97</v>
      </c>
      <c r="K288" s="200">
        <v>0</v>
      </c>
      <c r="L288" s="196">
        <f t="shared" si="17"/>
        <v>919.82999999999993</v>
      </c>
      <c r="M288" s="5"/>
      <c r="O288" t="str">
        <f t="shared" si="15"/>
        <v>Regelzone Amprion (gesamt)</v>
      </c>
    </row>
    <row r="289" spans="1:15" hidden="1" outlineLevel="1">
      <c r="A289" s="139" t="s">
        <v>712</v>
      </c>
      <c r="B289" s="71">
        <v>7</v>
      </c>
      <c r="C289" s="1133">
        <v>2023</v>
      </c>
      <c r="D289" s="198">
        <v>0</v>
      </c>
      <c r="E289" s="197">
        <v>0</v>
      </c>
      <c r="F289" s="198">
        <v>810152</v>
      </c>
      <c r="G289" s="197">
        <v>34980.11</v>
      </c>
      <c r="H289" s="198">
        <v>638168</v>
      </c>
      <c r="I289" s="197">
        <v>61756.76</v>
      </c>
      <c r="J289" s="199">
        <v>0</v>
      </c>
      <c r="K289" s="200">
        <v>0</v>
      </c>
      <c r="L289" s="196">
        <f t="shared" si="17"/>
        <v>96736.87</v>
      </c>
      <c r="M289" s="5"/>
      <c r="O289" t="str">
        <f t="shared" si="15"/>
        <v>Regelzone Amprion (gesamt)</v>
      </c>
    </row>
    <row r="290" spans="1:15" hidden="1" outlineLevel="1">
      <c r="A290" s="139" t="s">
        <v>716</v>
      </c>
      <c r="B290" s="71">
        <v>1</v>
      </c>
      <c r="C290" s="1133">
        <v>2023</v>
      </c>
      <c r="D290" s="198">
        <v>0</v>
      </c>
      <c r="E290" s="197">
        <v>0</v>
      </c>
      <c r="F290" s="198">
        <v>0</v>
      </c>
      <c r="G290" s="197">
        <v>0</v>
      </c>
      <c r="H290" s="198">
        <v>-23776</v>
      </c>
      <c r="I290" s="197">
        <v>-1902.08</v>
      </c>
      <c r="J290" s="199">
        <v>0</v>
      </c>
      <c r="K290" s="200">
        <v>0</v>
      </c>
      <c r="L290" s="196">
        <f t="shared" si="17"/>
        <v>-1902.08</v>
      </c>
      <c r="M290" s="5"/>
      <c r="O290" t="str">
        <f t="shared" si="15"/>
        <v>Regelzone Amprion (gesamt)</v>
      </c>
    </row>
    <row r="291" spans="1:15" hidden="1" outlineLevel="1">
      <c r="A291" s="139" t="s">
        <v>716</v>
      </c>
      <c r="B291" s="71">
        <v>7</v>
      </c>
      <c r="C291" s="1133">
        <v>2023</v>
      </c>
      <c r="D291" s="198">
        <v>0</v>
      </c>
      <c r="E291" s="197">
        <v>0</v>
      </c>
      <c r="F291" s="198">
        <v>0</v>
      </c>
      <c r="G291" s="197">
        <v>0</v>
      </c>
      <c r="H291" s="198">
        <v>23777</v>
      </c>
      <c r="I291" s="197">
        <v>970.76</v>
      </c>
      <c r="J291" s="199">
        <v>0</v>
      </c>
      <c r="K291" s="200">
        <v>0</v>
      </c>
      <c r="L291" s="196">
        <f t="shared" si="17"/>
        <v>970.76</v>
      </c>
      <c r="M291" s="5"/>
      <c r="O291" t="str">
        <f t="shared" si="15"/>
        <v>Regelzone Amprion (gesamt)</v>
      </c>
    </row>
    <row r="292" spans="1:15" hidden="1" outlineLevel="1">
      <c r="A292" s="139" t="s">
        <v>724</v>
      </c>
      <c r="B292" s="71">
        <v>7</v>
      </c>
      <c r="C292" s="1133">
        <v>2023</v>
      </c>
      <c r="D292" s="198">
        <v>0</v>
      </c>
      <c r="E292" s="197">
        <v>0</v>
      </c>
      <c r="F292" s="198">
        <v>160172</v>
      </c>
      <c r="G292" s="197">
        <v>8665.31</v>
      </c>
      <c r="H292" s="198">
        <v>49503</v>
      </c>
      <c r="I292" s="197">
        <v>2894.36</v>
      </c>
      <c r="J292" s="199">
        <v>0</v>
      </c>
      <c r="K292" s="200">
        <v>0</v>
      </c>
      <c r="L292" s="196">
        <f t="shared" si="17"/>
        <v>11559.67</v>
      </c>
      <c r="M292" s="5"/>
      <c r="O292" t="str">
        <f t="shared" si="15"/>
        <v>Regelzone Amprion (gesamt)</v>
      </c>
    </row>
    <row r="293" spans="1:15" hidden="1" outlineLevel="1">
      <c r="A293" s="139" t="s">
        <v>726</v>
      </c>
      <c r="B293" s="71">
        <v>5</v>
      </c>
      <c r="C293" s="1133">
        <v>2023</v>
      </c>
      <c r="D293" s="198">
        <v>0</v>
      </c>
      <c r="E293" s="197">
        <v>0</v>
      </c>
      <c r="F293" s="198">
        <v>14510</v>
      </c>
      <c r="G293" s="197">
        <v>784.99</v>
      </c>
      <c r="H293" s="198">
        <v>368674</v>
      </c>
      <c r="I293" s="197">
        <v>34238.28</v>
      </c>
      <c r="J293" s="199">
        <v>0</v>
      </c>
      <c r="K293" s="200">
        <v>0</v>
      </c>
      <c r="L293" s="196">
        <f t="shared" si="17"/>
        <v>35023.269999999997</v>
      </c>
      <c r="M293" s="5"/>
      <c r="O293" t="str">
        <f t="shared" si="15"/>
        <v>Regelzone Amprion (gesamt)</v>
      </c>
    </row>
    <row r="294" spans="1:15" hidden="1" outlineLevel="1">
      <c r="A294" s="139" t="s">
        <v>726</v>
      </c>
      <c r="B294" s="71">
        <v>7</v>
      </c>
      <c r="C294" s="1133">
        <v>2023</v>
      </c>
      <c r="D294" s="198">
        <v>0</v>
      </c>
      <c r="E294" s="197">
        <v>0</v>
      </c>
      <c r="F294" s="198">
        <v>0</v>
      </c>
      <c r="G294" s="197">
        <v>0</v>
      </c>
      <c r="H294" s="198">
        <v>-5761</v>
      </c>
      <c r="I294" s="197">
        <v>-230.44</v>
      </c>
      <c r="J294" s="199">
        <v>0</v>
      </c>
      <c r="K294" s="200">
        <v>0</v>
      </c>
      <c r="L294" s="196">
        <f t="shared" si="17"/>
        <v>-230.44</v>
      </c>
      <c r="M294" s="5"/>
      <c r="O294" t="str">
        <f t="shared" si="15"/>
        <v>Regelzone Amprion (gesamt)</v>
      </c>
    </row>
    <row r="295" spans="1:15" hidden="1" outlineLevel="1">
      <c r="A295" s="139" t="s">
        <v>730</v>
      </c>
      <c r="B295" s="71">
        <v>1</v>
      </c>
      <c r="C295" s="1133">
        <v>2023</v>
      </c>
      <c r="D295" s="198">
        <v>0</v>
      </c>
      <c r="E295" s="197">
        <v>0</v>
      </c>
      <c r="F295" s="198">
        <v>-586</v>
      </c>
      <c r="G295" s="197">
        <v>-31.7</v>
      </c>
      <c r="H295" s="198">
        <v>0</v>
      </c>
      <c r="I295" s="197">
        <v>0</v>
      </c>
      <c r="J295" s="199">
        <v>0</v>
      </c>
      <c r="K295" s="200">
        <v>0</v>
      </c>
      <c r="L295" s="196">
        <f t="shared" si="17"/>
        <v>-31.7</v>
      </c>
      <c r="M295" s="5"/>
      <c r="O295" t="str">
        <f t="shared" si="15"/>
        <v>Regelzone Amprion (gesamt)</v>
      </c>
    </row>
    <row r="296" spans="1:15" hidden="1" outlineLevel="1">
      <c r="A296" s="139" t="s">
        <v>730</v>
      </c>
      <c r="B296" s="71">
        <v>7</v>
      </c>
      <c r="C296" s="1133">
        <v>2023</v>
      </c>
      <c r="D296" s="198">
        <v>0</v>
      </c>
      <c r="E296" s="197">
        <v>0</v>
      </c>
      <c r="F296" s="198">
        <v>0</v>
      </c>
      <c r="G296" s="197">
        <v>0</v>
      </c>
      <c r="H296" s="198">
        <v>11842</v>
      </c>
      <c r="I296" s="197">
        <v>1456.8</v>
      </c>
      <c r="J296" s="199">
        <v>0</v>
      </c>
      <c r="K296" s="200">
        <v>0</v>
      </c>
      <c r="L296" s="196">
        <f t="shared" si="17"/>
        <v>1456.8</v>
      </c>
      <c r="M296" s="5"/>
      <c r="O296" t="str">
        <f t="shared" si="15"/>
        <v>Regelzone Amprion (gesamt)</v>
      </c>
    </row>
    <row r="297" spans="1:15" hidden="1" outlineLevel="1">
      <c r="A297" s="139" t="s">
        <v>744</v>
      </c>
      <c r="B297" s="71">
        <v>7</v>
      </c>
      <c r="C297" s="1133">
        <v>2023</v>
      </c>
      <c r="D297" s="198">
        <v>0</v>
      </c>
      <c r="E297" s="197">
        <v>0</v>
      </c>
      <c r="F297" s="198">
        <v>0</v>
      </c>
      <c r="G297" s="197">
        <v>0</v>
      </c>
      <c r="H297" s="198">
        <v>194982</v>
      </c>
      <c r="I297" s="197">
        <v>13745.98</v>
      </c>
      <c r="J297" s="199">
        <v>0</v>
      </c>
      <c r="K297" s="200">
        <v>0</v>
      </c>
      <c r="L297" s="196">
        <f t="shared" si="17"/>
        <v>13745.98</v>
      </c>
      <c r="M297" s="5"/>
      <c r="O297" t="str">
        <f t="shared" si="15"/>
        <v>Regelzone Amprion (gesamt)</v>
      </c>
    </row>
    <row r="298" spans="1:15" hidden="1" outlineLevel="1">
      <c r="A298" s="139" t="s">
        <v>759</v>
      </c>
      <c r="B298" s="71">
        <v>1</v>
      </c>
      <c r="C298" s="1133">
        <v>2023</v>
      </c>
      <c r="D298" s="198">
        <v>0</v>
      </c>
      <c r="E298" s="197">
        <v>0</v>
      </c>
      <c r="F298" s="198">
        <v>-49197</v>
      </c>
      <c r="G298" s="197">
        <v>-2661.56</v>
      </c>
      <c r="H298" s="198">
        <v>0</v>
      </c>
      <c r="I298" s="197">
        <v>0</v>
      </c>
      <c r="J298" s="199">
        <v>0</v>
      </c>
      <c r="K298" s="200">
        <v>0</v>
      </c>
      <c r="L298" s="196">
        <f t="shared" si="17"/>
        <v>-2661.56</v>
      </c>
      <c r="M298" s="5"/>
      <c r="O298" t="str">
        <f t="shared" si="15"/>
        <v>Regelzone Amprion (gesamt)</v>
      </c>
    </row>
    <row r="299" spans="1:15" hidden="1" outlineLevel="1">
      <c r="A299" s="139" t="s">
        <v>759</v>
      </c>
      <c r="B299" s="71">
        <v>7</v>
      </c>
      <c r="C299" s="1133">
        <v>2023</v>
      </c>
      <c r="D299" s="198">
        <v>0</v>
      </c>
      <c r="E299" s="197">
        <v>0</v>
      </c>
      <c r="F299" s="198">
        <v>0</v>
      </c>
      <c r="G299" s="197">
        <v>0</v>
      </c>
      <c r="H299" s="198">
        <v>1871</v>
      </c>
      <c r="I299" s="197">
        <v>386.56</v>
      </c>
      <c r="J299" s="199">
        <v>0</v>
      </c>
      <c r="K299" s="200">
        <v>0</v>
      </c>
      <c r="L299" s="196">
        <f t="shared" si="17"/>
        <v>386.56</v>
      </c>
      <c r="M299" s="5"/>
      <c r="O299" t="str">
        <f t="shared" si="15"/>
        <v>Regelzone Amprion (gesamt)</v>
      </c>
    </row>
    <row r="300" spans="1:15" hidden="1" outlineLevel="1">
      <c r="A300" s="139" t="s">
        <v>765</v>
      </c>
      <c r="B300" s="71">
        <v>7</v>
      </c>
      <c r="C300" s="1133">
        <v>2023</v>
      </c>
      <c r="D300" s="198">
        <v>0</v>
      </c>
      <c r="E300" s="197">
        <v>0</v>
      </c>
      <c r="F300" s="198">
        <v>265281</v>
      </c>
      <c r="G300" s="197">
        <v>14351.7</v>
      </c>
      <c r="H300" s="198">
        <v>400305</v>
      </c>
      <c r="I300" s="197">
        <v>49615.839999999997</v>
      </c>
      <c r="J300" s="199">
        <v>0</v>
      </c>
      <c r="K300" s="200">
        <v>0</v>
      </c>
      <c r="L300" s="196">
        <f t="shared" si="17"/>
        <v>63967.539999999994</v>
      </c>
      <c r="M300" s="5"/>
      <c r="O300" t="str">
        <f t="shared" si="15"/>
        <v>Regelzone Amprion (gesamt)</v>
      </c>
    </row>
    <row r="301" spans="1:15" hidden="1" outlineLevel="1">
      <c r="A301" s="139" t="s">
        <v>773</v>
      </c>
      <c r="B301" s="71">
        <v>7</v>
      </c>
      <c r="C301" s="1133">
        <v>2023</v>
      </c>
      <c r="D301" s="198">
        <v>0</v>
      </c>
      <c r="E301" s="197">
        <v>0</v>
      </c>
      <c r="F301" s="198">
        <v>4260464</v>
      </c>
      <c r="G301" s="197">
        <v>163835.28</v>
      </c>
      <c r="H301" s="198">
        <v>187893</v>
      </c>
      <c r="I301" s="197">
        <v>18851.669999999998</v>
      </c>
      <c r="J301" s="199">
        <v>0</v>
      </c>
      <c r="K301" s="200">
        <v>0</v>
      </c>
      <c r="L301" s="196">
        <f t="shared" si="17"/>
        <v>182686.95</v>
      </c>
      <c r="M301" s="5"/>
      <c r="O301" t="str">
        <f t="shared" si="15"/>
        <v>Regelzone Amprion (gesamt)</v>
      </c>
    </row>
    <row r="302" spans="1:15" hidden="1" outlineLevel="1">
      <c r="A302" s="139" t="s">
        <v>775</v>
      </c>
      <c r="B302" s="71">
        <v>1</v>
      </c>
      <c r="C302" s="1133">
        <v>2023</v>
      </c>
      <c r="D302" s="198">
        <v>0</v>
      </c>
      <c r="E302" s="197">
        <v>0</v>
      </c>
      <c r="F302" s="198">
        <v>-13243</v>
      </c>
      <c r="G302" s="197">
        <v>-716.44</v>
      </c>
      <c r="H302" s="198">
        <v>-22479</v>
      </c>
      <c r="I302" s="197">
        <v>-1271.28</v>
      </c>
      <c r="J302" s="199">
        <v>0</v>
      </c>
      <c r="K302" s="200">
        <v>0</v>
      </c>
      <c r="L302" s="196">
        <f t="shared" si="17"/>
        <v>-1987.72</v>
      </c>
      <c r="M302" s="5"/>
      <c r="O302" t="str">
        <f t="shared" si="15"/>
        <v>Regelzone Amprion (gesamt)</v>
      </c>
    </row>
    <row r="303" spans="1:15" hidden="1" outlineLevel="1">
      <c r="A303" s="139" t="s">
        <v>777</v>
      </c>
      <c r="B303" s="71">
        <v>1</v>
      </c>
      <c r="C303" s="1133">
        <v>2023</v>
      </c>
      <c r="D303" s="198">
        <v>0</v>
      </c>
      <c r="E303" s="197">
        <v>0</v>
      </c>
      <c r="F303" s="198">
        <v>-37998</v>
      </c>
      <c r="G303" s="197">
        <v>-2055.69</v>
      </c>
      <c r="H303" s="198">
        <v>-46265</v>
      </c>
      <c r="I303" s="197">
        <v>-3701.2</v>
      </c>
      <c r="J303" s="199">
        <v>0</v>
      </c>
      <c r="K303" s="200">
        <v>0</v>
      </c>
      <c r="L303" s="196">
        <f t="shared" si="17"/>
        <v>-5756.8899999999994</v>
      </c>
      <c r="M303" s="5"/>
      <c r="O303" t="str">
        <f t="shared" si="15"/>
        <v>Regelzone Amprion (gesamt)</v>
      </c>
    </row>
    <row r="304" spans="1:15" hidden="1" outlineLevel="1">
      <c r="A304" s="139" t="s">
        <v>777</v>
      </c>
      <c r="B304" s="71">
        <v>7</v>
      </c>
      <c r="C304" s="1133">
        <v>2023</v>
      </c>
      <c r="D304" s="198">
        <v>0</v>
      </c>
      <c r="E304" s="197">
        <v>0</v>
      </c>
      <c r="F304" s="198">
        <v>144259</v>
      </c>
      <c r="G304" s="197">
        <v>6653.54</v>
      </c>
      <c r="H304" s="198">
        <v>555187</v>
      </c>
      <c r="I304" s="197">
        <v>50824.6</v>
      </c>
      <c r="J304" s="199">
        <v>0</v>
      </c>
      <c r="K304" s="200">
        <v>0</v>
      </c>
      <c r="L304" s="196">
        <f t="shared" si="17"/>
        <v>57478.14</v>
      </c>
      <c r="M304" s="5"/>
      <c r="O304" t="str">
        <f t="shared" si="15"/>
        <v>Regelzone Amprion (gesamt)</v>
      </c>
    </row>
    <row r="305" spans="1:15" hidden="1" outlineLevel="1">
      <c r="A305" s="139" t="s">
        <v>779</v>
      </c>
      <c r="B305" s="71">
        <v>7</v>
      </c>
      <c r="C305" s="1133">
        <v>2023</v>
      </c>
      <c r="D305" s="198">
        <v>0</v>
      </c>
      <c r="E305" s="197">
        <v>0</v>
      </c>
      <c r="F305" s="198">
        <v>9895</v>
      </c>
      <c r="G305" s="197">
        <v>535.32000000000005</v>
      </c>
      <c r="H305" s="198">
        <v>0</v>
      </c>
      <c r="I305" s="197">
        <v>0</v>
      </c>
      <c r="J305" s="199">
        <v>0</v>
      </c>
      <c r="K305" s="200">
        <v>0</v>
      </c>
      <c r="L305" s="196">
        <f t="shared" si="17"/>
        <v>535.32000000000005</v>
      </c>
      <c r="M305" s="5"/>
      <c r="O305" t="str">
        <f t="shared" si="15"/>
        <v>Regelzone Amprion (gesamt)</v>
      </c>
    </row>
    <row r="306" spans="1:15" hidden="1" outlineLevel="1">
      <c r="A306" s="139" t="s">
        <v>785</v>
      </c>
      <c r="B306" s="71">
        <v>7</v>
      </c>
      <c r="C306" s="1133">
        <v>2023</v>
      </c>
      <c r="D306" s="198">
        <v>0</v>
      </c>
      <c r="E306" s="197">
        <v>0</v>
      </c>
      <c r="F306" s="198">
        <v>0</v>
      </c>
      <c r="G306" s="197">
        <v>0</v>
      </c>
      <c r="H306" s="198">
        <v>-9695559</v>
      </c>
      <c r="I306" s="197">
        <v>-333396.44</v>
      </c>
      <c r="J306" s="199">
        <v>0</v>
      </c>
      <c r="K306" s="200">
        <v>0</v>
      </c>
      <c r="L306" s="196">
        <f t="shared" si="17"/>
        <v>-333396.44</v>
      </c>
      <c r="M306" s="5"/>
      <c r="O306" t="str">
        <f t="shared" si="15"/>
        <v>Regelzone Amprion (gesamt)</v>
      </c>
    </row>
    <row r="307" spans="1:15" hidden="1" outlineLevel="1">
      <c r="A307" s="139" t="s">
        <v>787</v>
      </c>
      <c r="B307" s="71">
        <v>7</v>
      </c>
      <c r="C307" s="1133">
        <v>2023</v>
      </c>
      <c r="D307" s="198">
        <v>0</v>
      </c>
      <c r="E307" s="197">
        <v>0</v>
      </c>
      <c r="F307" s="198">
        <v>0</v>
      </c>
      <c r="G307" s="197">
        <v>0</v>
      </c>
      <c r="H307" s="198">
        <v>11803</v>
      </c>
      <c r="I307" s="197">
        <v>1775.6</v>
      </c>
      <c r="J307" s="199">
        <v>0</v>
      </c>
      <c r="K307" s="200">
        <v>0</v>
      </c>
      <c r="L307" s="196">
        <f t="shared" si="17"/>
        <v>1775.6</v>
      </c>
      <c r="M307" s="5"/>
      <c r="O307" t="str">
        <f t="shared" si="15"/>
        <v>Regelzone Amprion (gesamt)</v>
      </c>
    </row>
    <row r="308" spans="1:15" hidden="1" outlineLevel="1">
      <c r="A308" s="139" t="s">
        <v>791</v>
      </c>
      <c r="B308" s="71">
        <v>7</v>
      </c>
      <c r="C308" s="1133">
        <v>2023</v>
      </c>
      <c r="D308" s="198">
        <v>0</v>
      </c>
      <c r="E308" s="197">
        <v>0</v>
      </c>
      <c r="F308" s="198">
        <v>0</v>
      </c>
      <c r="G308" s="197">
        <v>0</v>
      </c>
      <c r="H308" s="198">
        <v>50072</v>
      </c>
      <c r="I308" s="197">
        <v>7511.68</v>
      </c>
      <c r="J308" s="199">
        <v>0</v>
      </c>
      <c r="K308" s="200">
        <v>0</v>
      </c>
      <c r="L308" s="196">
        <f t="shared" si="17"/>
        <v>7511.68</v>
      </c>
      <c r="M308" s="5"/>
      <c r="O308" t="str">
        <f t="shared" si="15"/>
        <v>Regelzone Amprion (gesamt)</v>
      </c>
    </row>
    <row r="309" spans="1:15" hidden="1" outlineLevel="1">
      <c r="A309" s="139" t="s">
        <v>805</v>
      </c>
      <c r="B309" s="71">
        <v>7</v>
      </c>
      <c r="C309" s="1133">
        <v>2023</v>
      </c>
      <c r="D309" s="198">
        <v>0</v>
      </c>
      <c r="E309" s="197">
        <v>0</v>
      </c>
      <c r="F309" s="198">
        <v>-79</v>
      </c>
      <c r="G309" s="197">
        <v>-4.2699999999999996</v>
      </c>
      <c r="H309" s="198">
        <v>0</v>
      </c>
      <c r="I309" s="197">
        <v>0</v>
      </c>
      <c r="J309" s="199">
        <v>0</v>
      </c>
      <c r="K309" s="200">
        <v>0</v>
      </c>
      <c r="L309" s="196">
        <f t="shared" si="17"/>
        <v>-4.2699999999999996</v>
      </c>
      <c r="M309" s="5"/>
      <c r="O309" t="str">
        <f t="shared" si="15"/>
        <v>Regelzone Amprion (gesamt)</v>
      </c>
    </row>
    <row r="310" spans="1:15" hidden="1" outlineLevel="1">
      <c r="A310" s="139" t="s">
        <v>811</v>
      </c>
      <c r="B310" s="71">
        <v>7</v>
      </c>
      <c r="C310" s="1133">
        <v>2023</v>
      </c>
      <c r="D310" s="198">
        <v>0</v>
      </c>
      <c r="E310" s="197">
        <v>0</v>
      </c>
      <c r="F310" s="198">
        <v>0</v>
      </c>
      <c r="G310" s="197">
        <v>0</v>
      </c>
      <c r="H310" s="198">
        <v>1743</v>
      </c>
      <c r="I310" s="197">
        <v>139.44</v>
      </c>
      <c r="J310" s="199">
        <v>0</v>
      </c>
      <c r="K310" s="200">
        <v>0</v>
      </c>
      <c r="L310" s="196">
        <f t="shared" si="17"/>
        <v>139.44</v>
      </c>
      <c r="M310" s="5"/>
      <c r="O310" t="str">
        <f t="shared" si="15"/>
        <v>Regelzone Amprion (gesamt)</v>
      </c>
    </row>
    <row r="311" spans="1:15" hidden="1" outlineLevel="1">
      <c r="A311" s="139" t="s">
        <v>813</v>
      </c>
      <c r="B311" s="71">
        <v>7</v>
      </c>
      <c r="C311" s="1133">
        <v>2023</v>
      </c>
      <c r="D311" s="198">
        <v>0</v>
      </c>
      <c r="E311" s="197">
        <v>0</v>
      </c>
      <c r="F311" s="198">
        <v>0</v>
      </c>
      <c r="G311" s="197">
        <v>0</v>
      </c>
      <c r="H311" s="198">
        <v>-2338</v>
      </c>
      <c r="I311" s="197">
        <v>-169.76</v>
      </c>
      <c r="J311" s="199">
        <v>0</v>
      </c>
      <c r="K311" s="200">
        <v>0</v>
      </c>
      <c r="L311" s="196">
        <f t="shared" si="17"/>
        <v>-169.76</v>
      </c>
      <c r="M311" s="5"/>
      <c r="O311" t="str">
        <f t="shared" si="15"/>
        <v>Regelzone Amprion (gesamt)</v>
      </c>
    </row>
    <row r="312" spans="1:15" hidden="1" outlineLevel="1">
      <c r="A312" s="139" t="s">
        <v>835</v>
      </c>
      <c r="B312" s="71">
        <v>7</v>
      </c>
      <c r="C312" s="1133">
        <v>2023</v>
      </c>
      <c r="D312" s="198">
        <v>0</v>
      </c>
      <c r="E312" s="197">
        <v>0</v>
      </c>
      <c r="F312" s="198">
        <v>6141</v>
      </c>
      <c r="G312" s="197">
        <v>332.23</v>
      </c>
      <c r="H312" s="198">
        <v>138186</v>
      </c>
      <c r="I312" s="197">
        <v>6063.71</v>
      </c>
      <c r="J312" s="199">
        <v>0</v>
      </c>
      <c r="K312" s="200">
        <v>0</v>
      </c>
      <c r="L312" s="196">
        <f t="shared" si="17"/>
        <v>6395.9400000000005</v>
      </c>
      <c r="M312" s="5"/>
      <c r="O312" t="str">
        <f t="shared" si="15"/>
        <v>Regelzone Amprion (gesamt)</v>
      </c>
    </row>
    <row r="313" spans="1:15" hidden="1" outlineLevel="1">
      <c r="A313" s="139" t="s">
        <v>841</v>
      </c>
      <c r="B313" s="71">
        <v>7</v>
      </c>
      <c r="C313" s="1133">
        <v>2023</v>
      </c>
      <c r="D313" s="198">
        <v>0</v>
      </c>
      <c r="E313" s="197">
        <v>0</v>
      </c>
      <c r="F313" s="198">
        <v>24562</v>
      </c>
      <c r="G313" s="197">
        <v>1328.8</v>
      </c>
      <c r="H313" s="198">
        <v>1732</v>
      </c>
      <c r="I313" s="197">
        <v>148</v>
      </c>
      <c r="J313" s="199">
        <v>0</v>
      </c>
      <c r="K313" s="200">
        <v>0</v>
      </c>
      <c r="L313" s="196">
        <f t="shared" si="17"/>
        <v>1476.8</v>
      </c>
      <c r="M313" s="5"/>
      <c r="O313" t="str">
        <f t="shared" si="15"/>
        <v>Regelzone Amprion (gesamt)</v>
      </c>
    </row>
    <row r="314" spans="1:15" hidden="1" outlineLevel="1">
      <c r="A314" s="139" t="s">
        <v>853</v>
      </c>
      <c r="B314" s="71">
        <v>7</v>
      </c>
      <c r="C314" s="1133">
        <v>2023</v>
      </c>
      <c r="D314" s="198">
        <v>0</v>
      </c>
      <c r="E314" s="197">
        <v>0</v>
      </c>
      <c r="F314" s="198">
        <v>577241</v>
      </c>
      <c r="G314" s="197">
        <v>26977.26</v>
      </c>
      <c r="H314" s="198">
        <v>153294</v>
      </c>
      <c r="I314" s="197">
        <v>14126.8</v>
      </c>
      <c r="J314" s="199">
        <v>0</v>
      </c>
      <c r="K314" s="200">
        <v>0</v>
      </c>
      <c r="L314" s="196">
        <f t="shared" si="17"/>
        <v>41104.06</v>
      </c>
      <c r="M314" s="5"/>
      <c r="O314" t="str">
        <f t="shared" si="15"/>
        <v>Regelzone Amprion (gesamt)</v>
      </c>
    </row>
    <row r="315" spans="1:15" ht="25.5" collapsed="1">
      <c r="A315" s="139" t="s">
        <v>855</v>
      </c>
      <c r="B315" s="69"/>
      <c r="C315" s="1132"/>
      <c r="D315" s="189">
        <f t="shared" ref="D315:K315" si="18">SUM(D316:D478)</f>
        <v>978884.02</v>
      </c>
      <c r="E315" s="188">
        <f t="shared" si="18"/>
        <v>37826.549999999996</v>
      </c>
      <c r="F315" s="189">
        <f t="shared" si="18"/>
        <v>23619742.960000001</v>
      </c>
      <c r="G315" s="188">
        <f t="shared" si="18"/>
        <v>1174317.1699999997</v>
      </c>
      <c r="H315" s="189">
        <f t="shared" si="18"/>
        <v>1307159882.852</v>
      </c>
      <c r="I315" s="188">
        <f t="shared" si="18"/>
        <v>49069985.240000002</v>
      </c>
      <c r="J315" s="201">
        <f t="shared" si="18"/>
        <v>-61322.98</v>
      </c>
      <c r="K315" s="191">
        <f t="shared" si="18"/>
        <v>-2192.58</v>
      </c>
      <c r="L315" s="191">
        <f>E315+G315+I315+J315+K315</f>
        <v>50218613.400000006</v>
      </c>
      <c r="M315" s="5"/>
    </row>
    <row r="316" spans="1:15" hidden="1" outlineLevel="1">
      <c r="A316" s="750" t="s">
        <v>874</v>
      </c>
      <c r="B316" s="751">
        <v>7</v>
      </c>
      <c r="C316" s="753">
        <v>2023</v>
      </c>
      <c r="D316" s="752">
        <v>0</v>
      </c>
      <c r="E316" s="760">
        <v>0</v>
      </c>
      <c r="F316" s="751">
        <v>0</v>
      </c>
      <c r="G316" s="760">
        <v>0</v>
      </c>
      <c r="H316" s="751">
        <v>0</v>
      </c>
      <c r="I316" s="760">
        <v>138.52000000000001</v>
      </c>
      <c r="J316" s="760">
        <v>0</v>
      </c>
      <c r="K316" s="753">
        <v>0</v>
      </c>
      <c r="L316" s="202">
        <f t="shared" ref="L316:L346" si="19">E316+G316+I316+J316+K316</f>
        <v>138.52000000000001</v>
      </c>
      <c r="M316" t="s">
        <v>875</v>
      </c>
      <c r="O316" t="s">
        <v>855</v>
      </c>
    </row>
    <row r="317" spans="1:15" hidden="1" outlineLevel="1">
      <c r="A317" s="750" t="s">
        <v>322</v>
      </c>
      <c r="B317" s="751">
        <v>7</v>
      </c>
      <c r="C317" s="753">
        <v>2022</v>
      </c>
      <c r="D317" s="752">
        <v>0</v>
      </c>
      <c r="E317" s="760">
        <v>0</v>
      </c>
      <c r="F317" s="751">
        <v>0</v>
      </c>
      <c r="G317" s="760">
        <v>0</v>
      </c>
      <c r="H317" s="754">
        <v>1051</v>
      </c>
      <c r="I317" s="760">
        <v>84.08</v>
      </c>
      <c r="J317" s="760">
        <v>0</v>
      </c>
      <c r="K317" s="753">
        <v>0</v>
      </c>
      <c r="L317" s="202">
        <f t="shared" si="19"/>
        <v>84.08</v>
      </c>
      <c r="M317" t="s">
        <v>323</v>
      </c>
      <c r="O317" t="str">
        <f t="shared" ref="O317:O379" si="20">$A$315</f>
        <v>Regelzone TenneT (gesamt)</v>
      </c>
    </row>
    <row r="318" spans="1:15" hidden="1" outlineLevel="1">
      <c r="A318" s="750" t="s">
        <v>322</v>
      </c>
      <c r="B318" s="751">
        <v>7</v>
      </c>
      <c r="C318" s="753">
        <v>2023</v>
      </c>
      <c r="D318" s="752">
        <v>0</v>
      </c>
      <c r="E318" s="760">
        <v>0</v>
      </c>
      <c r="F318" s="751">
        <v>0</v>
      </c>
      <c r="G318" s="760">
        <v>0</v>
      </c>
      <c r="H318" s="751">
        <v>524</v>
      </c>
      <c r="I318" s="760">
        <v>41.92</v>
      </c>
      <c r="J318" s="760">
        <v>0</v>
      </c>
      <c r="K318" s="753">
        <v>0</v>
      </c>
      <c r="L318" s="202">
        <f t="shared" si="19"/>
        <v>41.92</v>
      </c>
      <c r="M318" t="s">
        <v>323</v>
      </c>
      <c r="O318" t="str">
        <f t="shared" si="20"/>
        <v>Regelzone TenneT (gesamt)</v>
      </c>
    </row>
    <row r="319" spans="1:15" hidden="1" outlineLevel="1">
      <c r="A319" s="750" t="s">
        <v>322</v>
      </c>
      <c r="B319" s="751">
        <v>7</v>
      </c>
      <c r="C319" s="753">
        <v>2021</v>
      </c>
      <c r="D319" s="752">
        <v>0</v>
      </c>
      <c r="E319" s="760">
        <v>0</v>
      </c>
      <c r="F319" s="751">
        <v>0</v>
      </c>
      <c r="G319" s="760">
        <v>0</v>
      </c>
      <c r="H319" s="751">
        <v>963</v>
      </c>
      <c r="I319" s="760">
        <v>77.040000000000006</v>
      </c>
      <c r="J319" s="760">
        <v>0</v>
      </c>
      <c r="K319" s="753">
        <v>0</v>
      </c>
      <c r="L319" s="202">
        <f t="shared" si="19"/>
        <v>77.040000000000006</v>
      </c>
      <c r="M319" t="s">
        <v>323</v>
      </c>
      <c r="O319" t="str">
        <f t="shared" si="20"/>
        <v>Regelzone TenneT (gesamt)</v>
      </c>
    </row>
    <row r="320" spans="1:15" hidden="1" outlineLevel="1">
      <c r="A320" s="750" t="s">
        <v>894</v>
      </c>
      <c r="B320" s="751">
        <v>7</v>
      </c>
      <c r="C320" s="753">
        <v>2023</v>
      </c>
      <c r="D320" s="752">
        <v>0</v>
      </c>
      <c r="E320" s="760">
        <v>0</v>
      </c>
      <c r="F320" s="751">
        <v>0</v>
      </c>
      <c r="G320" s="760">
        <v>0</v>
      </c>
      <c r="H320" s="754">
        <v>21828</v>
      </c>
      <c r="I320" s="760">
        <v>1749.44</v>
      </c>
      <c r="J320" s="760">
        <v>0</v>
      </c>
      <c r="K320" s="753">
        <v>0</v>
      </c>
      <c r="L320" s="202">
        <f t="shared" si="19"/>
        <v>1749.44</v>
      </c>
      <c r="M320" t="s">
        <v>895</v>
      </c>
      <c r="O320" t="str">
        <f t="shared" si="20"/>
        <v>Regelzone TenneT (gesamt)</v>
      </c>
    </row>
    <row r="321" spans="1:15" hidden="1" outlineLevel="1">
      <c r="A321" s="750" t="s">
        <v>902</v>
      </c>
      <c r="B321" s="751">
        <v>1</v>
      </c>
      <c r="C321" s="753">
        <v>2023</v>
      </c>
      <c r="D321" s="752">
        <v>0</v>
      </c>
      <c r="E321" s="760">
        <v>0</v>
      </c>
      <c r="F321" s="751">
        <v>0</v>
      </c>
      <c r="G321" s="760">
        <v>0</v>
      </c>
      <c r="H321" s="751">
        <v>0</v>
      </c>
      <c r="I321" s="760">
        <v>-493.6</v>
      </c>
      <c r="J321" s="760">
        <v>0</v>
      </c>
      <c r="K321" s="753">
        <v>0</v>
      </c>
      <c r="L321" s="202">
        <f t="shared" si="19"/>
        <v>-493.6</v>
      </c>
      <c r="M321" t="s">
        <v>903</v>
      </c>
      <c r="O321" t="str">
        <f t="shared" si="20"/>
        <v>Regelzone TenneT (gesamt)</v>
      </c>
    </row>
    <row r="322" spans="1:15" hidden="1" outlineLevel="1">
      <c r="A322" s="750" t="s">
        <v>902</v>
      </c>
      <c r="B322" s="751">
        <v>1</v>
      </c>
      <c r="C322" s="753">
        <v>2022</v>
      </c>
      <c r="D322" s="752">
        <v>0</v>
      </c>
      <c r="E322" s="760">
        <v>0</v>
      </c>
      <c r="F322" s="751">
        <v>0</v>
      </c>
      <c r="G322" s="760">
        <v>0</v>
      </c>
      <c r="H322" s="751">
        <v>0</v>
      </c>
      <c r="I322" s="760">
        <v>-493.56</v>
      </c>
      <c r="J322" s="760">
        <v>0</v>
      </c>
      <c r="K322" s="753">
        <v>0</v>
      </c>
      <c r="L322" s="202">
        <f t="shared" si="19"/>
        <v>-493.56</v>
      </c>
      <c r="M322" t="s">
        <v>903</v>
      </c>
      <c r="O322" t="str">
        <f t="shared" si="20"/>
        <v>Regelzone TenneT (gesamt)</v>
      </c>
    </row>
    <row r="323" spans="1:15" hidden="1" outlineLevel="1">
      <c r="A323" s="750" t="s">
        <v>904</v>
      </c>
      <c r="B323" s="751">
        <v>7</v>
      </c>
      <c r="C323" s="753">
        <v>2023</v>
      </c>
      <c r="D323" s="752">
        <v>0</v>
      </c>
      <c r="E323" s="760">
        <v>0</v>
      </c>
      <c r="F323" s="754">
        <v>14198</v>
      </c>
      <c r="G323" s="760">
        <v>768.11</v>
      </c>
      <c r="H323" s="751">
        <v>-0.218</v>
      </c>
      <c r="I323" s="760">
        <v>1265.8399999999999</v>
      </c>
      <c r="J323" s="760">
        <v>7.0000000000000007E-2</v>
      </c>
      <c r="K323" s="753">
        <v>0</v>
      </c>
      <c r="L323" s="202">
        <f t="shared" si="19"/>
        <v>2034.0199999999998</v>
      </c>
      <c r="M323" t="s">
        <v>905</v>
      </c>
      <c r="O323" t="str">
        <f t="shared" si="20"/>
        <v>Regelzone TenneT (gesamt)</v>
      </c>
    </row>
    <row r="324" spans="1:15" hidden="1" outlineLevel="1">
      <c r="A324" s="750" t="s">
        <v>920</v>
      </c>
      <c r="B324" s="751">
        <v>7</v>
      </c>
      <c r="C324" s="753">
        <v>2023</v>
      </c>
      <c r="D324" s="752">
        <v>0</v>
      </c>
      <c r="E324" s="760">
        <v>0</v>
      </c>
      <c r="F324" s="751">
        <v>-624</v>
      </c>
      <c r="G324" s="760">
        <v>-33.76</v>
      </c>
      <c r="H324" s="751">
        <v>0</v>
      </c>
      <c r="I324" s="760">
        <v>0</v>
      </c>
      <c r="J324" s="760">
        <v>0</v>
      </c>
      <c r="K324" s="753">
        <v>0</v>
      </c>
      <c r="L324" s="202">
        <f t="shared" si="19"/>
        <v>-33.76</v>
      </c>
      <c r="M324" t="s">
        <v>921</v>
      </c>
      <c r="O324" t="str">
        <f t="shared" si="20"/>
        <v>Regelzone TenneT (gesamt)</v>
      </c>
    </row>
    <row r="325" spans="1:15" hidden="1" outlineLevel="1">
      <c r="A325" s="750" t="s">
        <v>928</v>
      </c>
      <c r="B325" s="751">
        <v>7</v>
      </c>
      <c r="C325" s="753">
        <v>2023</v>
      </c>
      <c r="D325" s="752">
        <v>0</v>
      </c>
      <c r="E325" s="760">
        <v>0</v>
      </c>
      <c r="F325" s="751">
        <v>0</v>
      </c>
      <c r="G325" s="760">
        <v>0</v>
      </c>
      <c r="H325" s="751">
        <v>0</v>
      </c>
      <c r="I325" s="760">
        <v>239.12</v>
      </c>
      <c r="J325" s="760">
        <v>0</v>
      </c>
      <c r="K325" s="753">
        <v>0</v>
      </c>
      <c r="L325" s="202">
        <f t="shared" si="19"/>
        <v>239.12</v>
      </c>
      <c r="M325" t="s">
        <v>929</v>
      </c>
      <c r="O325" t="str">
        <f t="shared" si="20"/>
        <v>Regelzone TenneT (gesamt)</v>
      </c>
    </row>
    <row r="326" spans="1:15" hidden="1" outlineLevel="1">
      <c r="A326" s="750" t="s">
        <v>928</v>
      </c>
      <c r="B326" s="751">
        <v>7</v>
      </c>
      <c r="C326" s="753">
        <v>2022</v>
      </c>
      <c r="D326" s="752">
        <v>0</v>
      </c>
      <c r="E326" s="760">
        <v>0</v>
      </c>
      <c r="F326" s="751">
        <v>0</v>
      </c>
      <c r="G326" s="760">
        <v>0</v>
      </c>
      <c r="H326" s="751">
        <v>0</v>
      </c>
      <c r="I326" s="760">
        <v>225.4</v>
      </c>
      <c r="J326" s="760">
        <v>0</v>
      </c>
      <c r="K326" s="753">
        <v>0</v>
      </c>
      <c r="L326" s="202">
        <f t="shared" si="19"/>
        <v>225.4</v>
      </c>
      <c r="M326" t="s">
        <v>929</v>
      </c>
      <c r="O326" t="str">
        <f t="shared" si="20"/>
        <v>Regelzone TenneT (gesamt)</v>
      </c>
    </row>
    <row r="327" spans="1:15" hidden="1" outlineLevel="1">
      <c r="A327" s="750" t="s">
        <v>964</v>
      </c>
      <c r="B327" s="751">
        <v>7</v>
      </c>
      <c r="C327" s="753">
        <v>2023</v>
      </c>
      <c r="D327" s="752">
        <v>0</v>
      </c>
      <c r="E327" s="760">
        <v>0</v>
      </c>
      <c r="F327" s="751">
        <v>0</v>
      </c>
      <c r="G327" s="760">
        <v>0</v>
      </c>
      <c r="H327" s="754">
        <v>401066</v>
      </c>
      <c r="I327" s="760">
        <v>41046.32</v>
      </c>
      <c r="J327" s="760">
        <v>0</v>
      </c>
      <c r="K327" s="753">
        <v>0</v>
      </c>
      <c r="L327" s="202">
        <f t="shared" si="19"/>
        <v>41046.32</v>
      </c>
      <c r="M327" t="s">
        <v>965</v>
      </c>
      <c r="O327" t="str">
        <f t="shared" si="20"/>
        <v>Regelzone TenneT (gesamt)</v>
      </c>
    </row>
    <row r="328" spans="1:15" hidden="1" outlineLevel="1">
      <c r="A328" s="750" t="s">
        <v>978</v>
      </c>
      <c r="B328" s="751">
        <v>7</v>
      </c>
      <c r="C328" s="753">
        <v>2022</v>
      </c>
      <c r="D328" s="752">
        <v>0</v>
      </c>
      <c r="E328" s="760">
        <v>0</v>
      </c>
      <c r="F328" s="751">
        <v>0</v>
      </c>
      <c r="G328" s="760">
        <v>0</v>
      </c>
      <c r="H328" s="754">
        <v>91247</v>
      </c>
      <c r="I328" s="760">
        <v>7236.64</v>
      </c>
      <c r="J328" s="760">
        <v>0</v>
      </c>
      <c r="K328" s="753">
        <v>0</v>
      </c>
      <c r="L328" s="202">
        <f t="shared" si="19"/>
        <v>7236.64</v>
      </c>
      <c r="M328" t="s">
        <v>979</v>
      </c>
      <c r="O328" t="str">
        <f t="shared" si="20"/>
        <v>Regelzone TenneT (gesamt)</v>
      </c>
    </row>
    <row r="329" spans="1:15" hidden="1" outlineLevel="1">
      <c r="A329" s="750" t="s">
        <v>978</v>
      </c>
      <c r="B329" s="751">
        <v>7</v>
      </c>
      <c r="C329" s="753">
        <v>2023</v>
      </c>
      <c r="D329" s="752">
        <v>0</v>
      </c>
      <c r="E329" s="760">
        <v>0</v>
      </c>
      <c r="F329" s="751">
        <v>0</v>
      </c>
      <c r="G329" s="760">
        <v>0</v>
      </c>
      <c r="H329" s="754">
        <v>91639</v>
      </c>
      <c r="I329" s="760">
        <v>7271.8</v>
      </c>
      <c r="J329" s="760">
        <v>0</v>
      </c>
      <c r="K329" s="753">
        <v>0</v>
      </c>
      <c r="L329" s="202">
        <f t="shared" si="19"/>
        <v>7271.8</v>
      </c>
      <c r="M329" t="s">
        <v>979</v>
      </c>
      <c r="O329" t="str">
        <f t="shared" si="20"/>
        <v>Regelzone TenneT (gesamt)</v>
      </c>
    </row>
    <row r="330" spans="1:15" hidden="1" outlineLevel="1">
      <c r="A330" s="750" t="s">
        <v>978</v>
      </c>
      <c r="B330" s="751">
        <v>7</v>
      </c>
      <c r="C330" s="753">
        <v>2021</v>
      </c>
      <c r="D330" s="752">
        <v>0</v>
      </c>
      <c r="E330" s="760">
        <v>0</v>
      </c>
      <c r="F330" s="751">
        <v>0</v>
      </c>
      <c r="G330" s="760">
        <v>0</v>
      </c>
      <c r="H330" s="754">
        <v>101714</v>
      </c>
      <c r="I330" s="760">
        <v>8069.68</v>
      </c>
      <c r="J330" s="760">
        <v>0</v>
      </c>
      <c r="K330" s="753">
        <v>0</v>
      </c>
      <c r="L330" s="202">
        <f t="shared" si="19"/>
        <v>8069.68</v>
      </c>
      <c r="M330" t="s">
        <v>979</v>
      </c>
      <c r="O330" t="str">
        <f t="shared" si="20"/>
        <v>Regelzone TenneT (gesamt)</v>
      </c>
    </row>
    <row r="331" spans="1:15" hidden="1" outlineLevel="1">
      <c r="A331" s="750" t="s">
        <v>980</v>
      </c>
      <c r="B331" s="751">
        <v>7</v>
      </c>
      <c r="C331" s="753">
        <v>2022</v>
      </c>
      <c r="D331" s="756">
        <v>14921</v>
      </c>
      <c r="E331" s="760">
        <v>762.46</v>
      </c>
      <c r="F331" s="751">
        <v>0</v>
      </c>
      <c r="G331" s="760">
        <v>0</v>
      </c>
      <c r="H331" s="754">
        <v>11264.68</v>
      </c>
      <c r="I331" s="760">
        <v>8897.83</v>
      </c>
      <c r="J331" s="760">
        <v>0</v>
      </c>
      <c r="K331" s="753">
        <v>0</v>
      </c>
      <c r="L331" s="202">
        <f t="shared" si="19"/>
        <v>9660.2900000000009</v>
      </c>
      <c r="M331" t="s">
        <v>981</v>
      </c>
      <c r="O331" t="str">
        <f t="shared" si="20"/>
        <v>Regelzone TenneT (gesamt)</v>
      </c>
    </row>
    <row r="332" spans="1:15" hidden="1" outlineLevel="1">
      <c r="A332" s="750" t="s">
        <v>980</v>
      </c>
      <c r="B332" s="751">
        <v>7</v>
      </c>
      <c r="C332" s="753">
        <v>2023</v>
      </c>
      <c r="D332" s="752">
        <v>0</v>
      </c>
      <c r="E332" s="760">
        <v>0</v>
      </c>
      <c r="F332" s="754">
        <v>85954</v>
      </c>
      <c r="G332" s="760">
        <v>4650.1099999999997</v>
      </c>
      <c r="H332" s="754">
        <v>858206.35400000005</v>
      </c>
      <c r="I332" s="760">
        <v>54340.66</v>
      </c>
      <c r="J332" s="760">
        <v>0</v>
      </c>
      <c r="K332" s="753">
        <v>0</v>
      </c>
      <c r="L332" s="202">
        <f t="shared" si="19"/>
        <v>58990.770000000004</v>
      </c>
      <c r="M332" t="s">
        <v>981</v>
      </c>
      <c r="O332" t="str">
        <f t="shared" si="20"/>
        <v>Regelzone TenneT (gesamt)</v>
      </c>
    </row>
    <row r="333" spans="1:15" hidden="1" outlineLevel="1">
      <c r="A333" s="750" t="s">
        <v>980</v>
      </c>
      <c r="B333" s="751">
        <v>7</v>
      </c>
      <c r="C333" s="753">
        <v>2021</v>
      </c>
      <c r="D333" s="752">
        <v>0</v>
      </c>
      <c r="E333" s="760">
        <v>0</v>
      </c>
      <c r="F333" s="751">
        <v>0</v>
      </c>
      <c r="G333" s="760">
        <v>0</v>
      </c>
      <c r="H333" s="754">
        <v>17504.718000000001</v>
      </c>
      <c r="I333" s="760">
        <v>11461.26</v>
      </c>
      <c r="J333" s="760">
        <v>0</v>
      </c>
      <c r="K333" s="753">
        <v>0</v>
      </c>
      <c r="L333" s="202">
        <f t="shared" si="19"/>
        <v>11461.26</v>
      </c>
      <c r="M333" t="s">
        <v>981</v>
      </c>
      <c r="O333" t="str">
        <f t="shared" si="20"/>
        <v>Regelzone TenneT (gesamt)</v>
      </c>
    </row>
    <row r="334" spans="1:15" hidden="1" outlineLevel="1">
      <c r="A334" s="750" t="s">
        <v>984</v>
      </c>
      <c r="B334" s="751">
        <v>7</v>
      </c>
      <c r="C334" s="753">
        <v>2023</v>
      </c>
      <c r="D334" s="752">
        <v>0</v>
      </c>
      <c r="E334" s="760">
        <v>0</v>
      </c>
      <c r="F334" s="754">
        <v>-68273</v>
      </c>
      <c r="G334" s="760">
        <v>-3693.57</v>
      </c>
      <c r="H334" s="751">
        <v>0</v>
      </c>
      <c r="I334" s="760">
        <v>0</v>
      </c>
      <c r="J334" s="760">
        <v>0</v>
      </c>
      <c r="K334" s="753">
        <v>0</v>
      </c>
      <c r="L334" s="202">
        <f t="shared" si="19"/>
        <v>-3693.57</v>
      </c>
      <c r="M334" t="s">
        <v>985</v>
      </c>
      <c r="O334" t="str">
        <f t="shared" si="20"/>
        <v>Regelzone TenneT (gesamt)</v>
      </c>
    </row>
    <row r="335" spans="1:15" hidden="1" outlineLevel="1">
      <c r="A335" s="750" t="s">
        <v>998</v>
      </c>
      <c r="B335" s="751">
        <v>7</v>
      </c>
      <c r="C335" s="753">
        <v>2022</v>
      </c>
      <c r="D335" s="752">
        <v>0</v>
      </c>
      <c r="E335" s="760">
        <v>0</v>
      </c>
      <c r="F335" s="751">
        <v>0</v>
      </c>
      <c r="G335" s="760">
        <v>0</v>
      </c>
      <c r="H335" s="754">
        <v>317045</v>
      </c>
      <c r="I335" s="760">
        <v>19367.12</v>
      </c>
      <c r="J335" s="760">
        <v>0</v>
      </c>
      <c r="K335" s="753">
        <v>0</v>
      </c>
      <c r="L335" s="202">
        <f t="shared" si="19"/>
        <v>19367.12</v>
      </c>
      <c r="M335" t="s">
        <v>999</v>
      </c>
      <c r="O335" t="str">
        <f t="shared" si="20"/>
        <v>Regelzone TenneT (gesamt)</v>
      </c>
    </row>
    <row r="336" spans="1:15" hidden="1" outlineLevel="1">
      <c r="A336" s="750" t="s">
        <v>998</v>
      </c>
      <c r="B336" s="751">
        <v>7</v>
      </c>
      <c r="C336" s="753">
        <v>2023</v>
      </c>
      <c r="D336" s="752">
        <v>0</v>
      </c>
      <c r="E336" s="760">
        <v>0</v>
      </c>
      <c r="F336" s="751">
        <v>0</v>
      </c>
      <c r="G336" s="760">
        <v>0</v>
      </c>
      <c r="H336" s="754">
        <v>311704</v>
      </c>
      <c r="I336" s="760">
        <v>19043.8</v>
      </c>
      <c r="J336" s="760">
        <v>0</v>
      </c>
      <c r="K336" s="753">
        <v>0</v>
      </c>
      <c r="L336" s="202">
        <f t="shared" si="19"/>
        <v>19043.8</v>
      </c>
      <c r="M336" t="s">
        <v>999</v>
      </c>
      <c r="O336" t="str">
        <f t="shared" si="20"/>
        <v>Regelzone TenneT (gesamt)</v>
      </c>
    </row>
    <row r="337" spans="1:15" hidden="1" outlineLevel="1">
      <c r="A337" s="750" t="s">
        <v>998</v>
      </c>
      <c r="B337" s="751">
        <v>7</v>
      </c>
      <c r="C337" s="753">
        <v>2021</v>
      </c>
      <c r="D337" s="752">
        <v>0</v>
      </c>
      <c r="E337" s="760">
        <v>0</v>
      </c>
      <c r="F337" s="751">
        <v>0</v>
      </c>
      <c r="G337" s="760">
        <v>0</v>
      </c>
      <c r="H337" s="754">
        <v>288011</v>
      </c>
      <c r="I337" s="760">
        <v>18291.64</v>
      </c>
      <c r="J337" s="760">
        <v>0</v>
      </c>
      <c r="K337" s="753">
        <v>0</v>
      </c>
      <c r="L337" s="202">
        <f t="shared" si="19"/>
        <v>18291.64</v>
      </c>
      <c r="M337" t="s">
        <v>999</v>
      </c>
      <c r="O337" t="str">
        <f t="shared" si="20"/>
        <v>Regelzone TenneT (gesamt)</v>
      </c>
    </row>
    <row r="338" spans="1:15" hidden="1" outlineLevel="1">
      <c r="A338" s="750" t="s">
        <v>1020</v>
      </c>
      <c r="B338" s="751">
        <v>7</v>
      </c>
      <c r="C338" s="753">
        <v>2022</v>
      </c>
      <c r="D338" s="752">
        <v>0</v>
      </c>
      <c r="E338" s="760">
        <v>0</v>
      </c>
      <c r="F338" s="751">
        <v>0</v>
      </c>
      <c r="G338" s="760">
        <v>0</v>
      </c>
      <c r="H338" s="754">
        <v>-56794</v>
      </c>
      <c r="I338" s="760">
        <v>6811.28</v>
      </c>
      <c r="J338" s="760">
        <v>0</v>
      </c>
      <c r="K338" s="753">
        <v>0</v>
      </c>
      <c r="L338" s="202">
        <f t="shared" si="19"/>
        <v>6811.28</v>
      </c>
      <c r="M338" t="s">
        <v>1021</v>
      </c>
      <c r="O338" t="str">
        <f t="shared" si="20"/>
        <v>Regelzone TenneT (gesamt)</v>
      </c>
    </row>
    <row r="339" spans="1:15" hidden="1" outlineLevel="1">
      <c r="A339" s="750" t="s">
        <v>1020</v>
      </c>
      <c r="B339" s="751">
        <v>7</v>
      </c>
      <c r="C339" s="753">
        <v>2023</v>
      </c>
      <c r="D339" s="752">
        <v>0</v>
      </c>
      <c r="E339" s="760">
        <v>0</v>
      </c>
      <c r="F339" s="751">
        <v>0</v>
      </c>
      <c r="G339" s="760">
        <v>0</v>
      </c>
      <c r="H339" s="754">
        <v>-121161</v>
      </c>
      <c r="I339" s="760">
        <v>1772.92</v>
      </c>
      <c r="J339" s="760">
        <v>0</v>
      </c>
      <c r="K339" s="753">
        <v>0</v>
      </c>
      <c r="L339" s="202">
        <f t="shared" si="19"/>
        <v>1772.92</v>
      </c>
      <c r="M339" t="s">
        <v>1021</v>
      </c>
      <c r="O339" t="str">
        <f t="shared" si="20"/>
        <v>Regelzone TenneT (gesamt)</v>
      </c>
    </row>
    <row r="340" spans="1:15" hidden="1" outlineLevel="1">
      <c r="A340" s="750" t="s">
        <v>1020</v>
      </c>
      <c r="B340" s="751">
        <v>7</v>
      </c>
      <c r="C340" s="753">
        <v>2021</v>
      </c>
      <c r="D340" s="752">
        <v>0</v>
      </c>
      <c r="E340" s="760">
        <v>0</v>
      </c>
      <c r="F340" s="751">
        <v>0</v>
      </c>
      <c r="G340" s="760">
        <v>0</v>
      </c>
      <c r="H340" s="754">
        <v>-93053</v>
      </c>
      <c r="I340" s="760">
        <v>5424.01</v>
      </c>
      <c r="J340" s="760">
        <v>0</v>
      </c>
      <c r="K340" s="753">
        <v>0</v>
      </c>
      <c r="L340" s="202">
        <f t="shared" si="19"/>
        <v>5424.01</v>
      </c>
      <c r="M340" t="s">
        <v>1021</v>
      </c>
      <c r="O340" t="str">
        <f t="shared" si="20"/>
        <v>Regelzone TenneT (gesamt)</v>
      </c>
    </row>
    <row r="341" spans="1:15" hidden="1" outlineLevel="1">
      <c r="A341" s="750" t="s">
        <v>1024</v>
      </c>
      <c r="B341" s="751">
        <v>7</v>
      </c>
      <c r="C341" s="753">
        <v>2022</v>
      </c>
      <c r="D341" s="752">
        <v>0</v>
      </c>
      <c r="E341" s="760">
        <v>0</v>
      </c>
      <c r="F341" s="751">
        <v>0</v>
      </c>
      <c r="G341" s="760">
        <v>0</v>
      </c>
      <c r="H341" s="754">
        <v>27914</v>
      </c>
      <c r="I341" s="760">
        <v>11658.88</v>
      </c>
      <c r="J341" s="760">
        <v>0</v>
      </c>
      <c r="K341" s="753">
        <v>0</v>
      </c>
      <c r="L341" s="202">
        <f t="shared" si="19"/>
        <v>11658.88</v>
      </c>
      <c r="M341" t="s">
        <v>1025</v>
      </c>
      <c r="O341" t="str">
        <f t="shared" si="20"/>
        <v>Regelzone TenneT (gesamt)</v>
      </c>
    </row>
    <row r="342" spans="1:15" hidden="1" outlineLevel="1">
      <c r="A342" s="750" t="s">
        <v>1024</v>
      </c>
      <c r="B342" s="751">
        <v>1</v>
      </c>
      <c r="C342" s="753">
        <v>2023</v>
      </c>
      <c r="D342" s="752">
        <v>0</v>
      </c>
      <c r="E342" s="760">
        <v>0</v>
      </c>
      <c r="F342" s="754">
        <v>-22000</v>
      </c>
      <c r="G342" s="760">
        <v>-1190.2</v>
      </c>
      <c r="H342" s="751">
        <v>0</v>
      </c>
      <c r="I342" s="760">
        <v>0</v>
      </c>
      <c r="J342" s="760">
        <v>0</v>
      </c>
      <c r="K342" s="753">
        <v>0</v>
      </c>
      <c r="L342" s="202">
        <f t="shared" si="19"/>
        <v>-1190.2</v>
      </c>
      <c r="M342" t="s">
        <v>1025</v>
      </c>
      <c r="O342" t="str">
        <f t="shared" si="20"/>
        <v>Regelzone TenneT (gesamt)</v>
      </c>
    </row>
    <row r="343" spans="1:15" hidden="1" outlineLevel="1">
      <c r="A343" s="750" t="s">
        <v>1024</v>
      </c>
      <c r="B343" s="751">
        <v>7</v>
      </c>
      <c r="C343" s="753">
        <v>2023</v>
      </c>
      <c r="D343" s="752">
        <v>0</v>
      </c>
      <c r="E343" s="760">
        <v>0</v>
      </c>
      <c r="F343" s="751">
        <v>0</v>
      </c>
      <c r="G343" s="760">
        <v>0</v>
      </c>
      <c r="H343" s="754">
        <v>60000</v>
      </c>
      <c r="I343" s="760">
        <v>14880</v>
      </c>
      <c r="J343" s="760">
        <v>0</v>
      </c>
      <c r="K343" s="753">
        <v>0</v>
      </c>
      <c r="L343" s="202">
        <f t="shared" si="19"/>
        <v>14880</v>
      </c>
      <c r="M343" t="s">
        <v>1025</v>
      </c>
      <c r="O343" t="str">
        <f t="shared" si="20"/>
        <v>Regelzone TenneT (gesamt)</v>
      </c>
    </row>
    <row r="344" spans="1:15" hidden="1" outlineLevel="1">
      <c r="A344" s="750" t="s">
        <v>1024</v>
      </c>
      <c r="B344" s="751">
        <v>7</v>
      </c>
      <c r="C344" s="753">
        <v>2021</v>
      </c>
      <c r="D344" s="752">
        <v>0</v>
      </c>
      <c r="E344" s="760">
        <v>0</v>
      </c>
      <c r="F344" s="751">
        <v>0</v>
      </c>
      <c r="G344" s="760">
        <v>0</v>
      </c>
      <c r="H344" s="754">
        <v>4667</v>
      </c>
      <c r="I344" s="760">
        <v>5335.84</v>
      </c>
      <c r="J344" s="760">
        <v>0</v>
      </c>
      <c r="K344" s="753">
        <v>0</v>
      </c>
      <c r="L344" s="202">
        <f t="shared" si="19"/>
        <v>5335.84</v>
      </c>
      <c r="M344" t="s">
        <v>1025</v>
      </c>
      <c r="O344" t="str">
        <f t="shared" si="20"/>
        <v>Regelzone TenneT (gesamt)</v>
      </c>
    </row>
    <row r="345" spans="1:15" hidden="1" outlineLevel="1">
      <c r="A345" s="750" t="s">
        <v>1030</v>
      </c>
      <c r="B345" s="751">
        <v>7</v>
      </c>
      <c r="C345" s="753">
        <v>2023</v>
      </c>
      <c r="D345" s="752">
        <v>0</v>
      </c>
      <c r="E345" s="760">
        <v>0</v>
      </c>
      <c r="F345" s="751">
        <v>0</v>
      </c>
      <c r="G345" s="760">
        <v>0</v>
      </c>
      <c r="H345" s="754">
        <v>11239</v>
      </c>
      <c r="I345" s="760">
        <v>853.56</v>
      </c>
      <c r="J345" s="760">
        <v>0</v>
      </c>
      <c r="K345" s="753">
        <v>0</v>
      </c>
      <c r="L345" s="202">
        <f t="shared" si="19"/>
        <v>853.56</v>
      </c>
      <c r="M345" t="s">
        <v>1031</v>
      </c>
      <c r="O345" t="str">
        <f t="shared" si="20"/>
        <v>Regelzone TenneT (gesamt)</v>
      </c>
    </row>
    <row r="346" spans="1:15" hidden="1" outlineLevel="1">
      <c r="A346" s="750" t="s">
        <v>1030</v>
      </c>
      <c r="B346" s="751">
        <v>7</v>
      </c>
      <c r="C346" s="753">
        <v>2022</v>
      </c>
      <c r="D346" s="752">
        <v>0</v>
      </c>
      <c r="E346" s="760">
        <v>0</v>
      </c>
      <c r="F346" s="751">
        <v>0</v>
      </c>
      <c r="G346" s="760">
        <v>0</v>
      </c>
      <c r="H346" s="754">
        <v>52220.002</v>
      </c>
      <c r="I346" s="760">
        <v>4291.5600000000004</v>
      </c>
      <c r="J346" s="760">
        <v>0</v>
      </c>
      <c r="K346" s="753">
        <v>0</v>
      </c>
      <c r="L346" s="202">
        <f t="shared" si="19"/>
        <v>4291.5600000000004</v>
      </c>
      <c r="M346" t="s">
        <v>1031</v>
      </c>
      <c r="O346" t="str">
        <f t="shared" si="20"/>
        <v>Regelzone TenneT (gesamt)</v>
      </c>
    </row>
    <row r="347" spans="1:15" hidden="1" outlineLevel="1">
      <c r="A347" s="750" t="s">
        <v>1034</v>
      </c>
      <c r="B347" s="751">
        <v>7</v>
      </c>
      <c r="C347" s="753">
        <v>2023</v>
      </c>
      <c r="D347" s="752">
        <v>0</v>
      </c>
      <c r="E347" s="760">
        <v>0</v>
      </c>
      <c r="F347" s="751">
        <v>0</v>
      </c>
      <c r="G347" s="760">
        <v>0</v>
      </c>
      <c r="H347" s="751">
        <v>0</v>
      </c>
      <c r="I347" s="760">
        <v>1739.68</v>
      </c>
      <c r="J347" s="760">
        <v>0</v>
      </c>
      <c r="K347" s="753">
        <v>0</v>
      </c>
      <c r="L347" s="202">
        <f t="shared" ref="L347:L378" si="21">E347+G347+I347+J347+K347</f>
        <v>1739.68</v>
      </c>
      <c r="M347" t="s">
        <v>1035</v>
      </c>
      <c r="O347" t="str">
        <f t="shared" si="20"/>
        <v>Regelzone TenneT (gesamt)</v>
      </c>
    </row>
    <row r="348" spans="1:15" hidden="1" outlineLevel="1">
      <c r="A348" s="750" t="s">
        <v>1050</v>
      </c>
      <c r="B348" s="751">
        <v>1</v>
      </c>
      <c r="C348" s="753">
        <v>2022</v>
      </c>
      <c r="D348" s="752">
        <v>0</v>
      </c>
      <c r="E348" s="760">
        <v>0</v>
      </c>
      <c r="F348" s="751">
        <v>0</v>
      </c>
      <c r="G348" s="760">
        <v>0</v>
      </c>
      <c r="H348" s="754">
        <v>-48603</v>
      </c>
      <c r="I348" s="760">
        <v>-1954.8</v>
      </c>
      <c r="J348" s="760">
        <v>0</v>
      </c>
      <c r="K348" s="753">
        <v>0</v>
      </c>
      <c r="L348" s="202">
        <f t="shared" si="21"/>
        <v>-1954.8</v>
      </c>
      <c r="M348" t="s">
        <v>1051</v>
      </c>
      <c r="O348" t="str">
        <f t="shared" si="20"/>
        <v>Regelzone TenneT (gesamt)</v>
      </c>
    </row>
    <row r="349" spans="1:15" hidden="1" outlineLevel="1">
      <c r="A349" s="750" t="s">
        <v>1050</v>
      </c>
      <c r="B349" s="751">
        <v>1</v>
      </c>
      <c r="C349" s="753">
        <v>2023</v>
      </c>
      <c r="D349" s="752">
        <v>0</v>
      </c>
      <c r="E349" s="760">
        <v>0</v>
      </c>
      <c r="F349" s="751">
        <v>0</v>
      </c>
      <c r="G349" s="760">
        <v>0</v>
      </c>
      <c r="H349" s="754">
        <v>-70951</v>
      </c>
      <c r="I349" s="760">
        <v>-2857.6</v>
      </c>
      <c r="J349" s="760">
        <v>0</v>
      </c>
      <c r="K349" s="753">
        <v>0</v>
      </c>
      <c r="L349" s="202">
        <f t="shared" si="21"/>
        <v>-2857.6</v>
      </c>
      <c r="M349" t="s">
        <v>1051</v>
      </c>
      <c r="O349" t="str">
        <f t="shared" si="20"/>
        <v>Regelzone TenneT (gesamt)</v>
      </c>
    </row>
    <row r="350" spans="1:15" hidden="1" outlineLevel="1">
      <c r="A350" s="750" t="s">
        <v>1050</v>
      </c>
      <c r="B350" s="751">
        <v>1</v>
      </c>
      <c r="C350" s="753">
        <v>2021</v>
      </c>
      <c r="D350" s="752">
        <v>0</v>
      </c>
      <c r="E350" s="760">
        <v>0</v>
      </c>
      <c r="F350" s="751">
        <v>0</v>
      </c>
      <c r="G350" s="760">
        <v>0</v>
      </c>
      <c r="H350" s="754">
        <v>-69362</v>
      </c>
      <c r="I350" s="760">
        <v>-2779.88</v>
      </c>
      <c r="J350" s="760">
        <v>0</v>
      </c>
      <c r="K350" s="753">
        <v>0</v>
      </c>
      <c r="L350" s="202">
        <f t="shared" si="21"/>
        <v>-2779.88</v>
      </c>
      <c r="M350" t="s">
        <v>1051</v>
      </c>
      <c r="O350" t="str">
        <f t="shared" si="20"/>
        <v>Regelzone TenneT (gesamt)</v>
      </c>
    </row>
    <row r="351" spans="1:15" hidden="1" outlineLevel="1">
      <c r="A351" s="750" t="s">
        <v>1054</v>
      </c>
      <c r="B351" s="751">
        <v>7</v>
      </c>
      <c r="C351" s="753">
        <v>2022</v>
      </c>
      <c r="D351" s="752">
        <v>0</v>
      </c>
      <c r="E351" s="760">
        <v>0</v>
      </c>
      <c r="F351" s="751">
        <v>0</v>
      </c>
      <c r="G351" s="760">
        <v>0</v>
      </c>
      <c r="H351" s="754">
        <v>13121</v>
      </c>
      <c r="I351" s="760">
        <v>1414.24</v>
      </c>
      <c r="J351" s="760">
        <v>0</v>
      </c>
      <c r="K351" s="753">
        <v>0</v>
      </c>
      <c r="L351" s="202">
        <f t="shared" si="21"/>
        <v>1414.24</v>
      </c>
      <c r="M351" t="s">
        <v>1055</v>
      </c>
      <c r="O351" t="str">
        <f t="shared" si="20"/>
        <v>Regelzone TenneT (gesamt)</v>
      </c>
    </row>
    <row r="352" spans="1:15" hidden="1" outlineLevel="1">
      <c r="A352" s="750" t="s">
        <v>1054</v>
      </c>
      <c r="B352" s="751">
        <v>7</v>
      </c>
      <c r="C352" s="753">
        <v>2023</v>
      </c>
      <c r="D352" s="752">
        <v>0</v>
      </c>
      <c r="E352" s="760">
        <v>0</v>
      </c>
      <c r="F352" s="751">
        <v>0</v>
      </c>
      <c r="G352" s="760">
        <v>0</v>
      </c>
      <c r="H352" s="754">
        <v>26242</v>
      </c>
      <c r="I352" s="760">
        <v>2828.48</v>
      </c>
      <c r="J352" s="760">
        <v>0</v>
      </c>
      <c r="K352" s="753">
        <v>0</v>
      </c>
      <c r="L352" s="202">
        <f t="shared" si="21"/>
        <v>2828.48</v>
      </c>
      <c r="M352" t="s">
        <v>1055</v>
      </c>
      <c r="O352" t="str">
        <f t="shared" si="20"/>
        <v>Regelzone TenneT (gesamt)</v>
      </c>
    </row>
    <row r="353" spans="1:15" hidden="1" outlineLevel="1">
      <c r="A353" s="750" t="s">
        <v>1064</v>
      </c>
      <c r="B353" s="751">
        <v>7</v>
      </c>
      <c r="C353" s="753">
        <v>2022</v>
      </c>
      <c r="D353" s="752">
        <v>0</v>
      </c>
      <c r="E353" s="760">
        <v>0</v>
      </c>
      <c r="F353" s="751">
        <v>0</v>
      </c>
      <c r="G353" s="760">
        <v>0</v>
      </c>
      <c r="H353" s="754">
        <v>88762</v>
      </c>
      <c r="I353" s="760">
        <v>7100.96</v>
      </c>
      <c r="J353" s="760">
        <v>0</v>
      </c>
      <c r="K353" s="753">
        <v>0</v>
      </c>
      <c r="L353" s="202">
        <f t="shared" si="21"/>
        <v>7100.96</v>
      </c>
      <c r="M353" t="s">
        <v>1065</v>
      </c>
      <c r="O353" t="str">
        <f t="shared" si="20"/>
        <v>Regelzone TenneT (gesamt)</v>
      </c>
    </row>
    <row r="354" spans="1:15" hidden="1" outlineLevel="1">
      <c r="A354" s="750" t="s">
        <v>1068</v>
      </c>
      <c r="B354" s="751">
        <v>7</v>
      </c>
      <c r="C354" s="753">
        <v>2023</v>
      </c>
      <c r="D354" s="752">
        <v>0</v>
      </c>
      <c r="E354" s="760">
        <v>0</v>
      </c>
      <c r="F354" s="751">
        <v>0</v>
      </c>
      <c r="G354" s="760">
        <v>0</v>
      </c>
      <c r="H354" s="751">
        <v>-1</v>
      </c>
      <c r="I354" s="760">
        <v>1210.96</v>
      </c>
      <c r="J354" s="760">
        <v>0</v>
      </c>
      <c r="K354" s="753">
        <v>0</v>
      </c>
      <c r="L354" s="202">
        <f t="shared" si="21"/>
        <v>1210.96</v>
      </c>
      <c r="M354" t="s">
        <v>1069</v>
      </c>
      <c r="O354" t="str">
        <f t="shared" si="20"/>
        <v>Regelzone TenneT (gesamt)</v>
      </c>
    </row>
    <row r="355" spans="1:15" hidden="1" outlineLevel="1">
      <c r="A355" s="750" t="s">
        <v>1068</v>
      </c>
      <c r="B355" s="751">
        <v>7</v>
      </c>
      <c r="C355" s="753">
        <v>2021</v>
      </c>
      <c r="D355" s="752">
        <v>0</v>
      </c>
      <c r="E355" s="760">
        <v>0</v>
      </c>
      <c r="F355" s="751">
        <v>0</v>
      </c>
      <c r="G355" s="760">
        <v>0</v>
      </c>
      <c r="H355" s="754">
        <v>95751</v>
      </c>
      <c r="I355" s="760">
        <v>5278.8</v>
      </c>
      <c r="J355" s="760">
        <v>0</v>
      </c>
      <c r="K355" s="753">
        <v>0</v>
      </c>
      <c r="L355" s="202">
        <f t="shared" si="21"/>
        <v>5278.8</v>
      </c>
      <c r="M355" t="s">
        <v>1069</v>
      </c>
      <c r="O355" t="str">
        <f t="shared" si="20"/>
        <v>Regelzone TenneT (gesamt)</v>
      </c>
    </row>
    <row r="356" spans="1:15" hidden="1" outlineLevel="1">
      <c r="A356" s="750" t="s">
        <v>1100</v>
      </c>
      <c r="B356" s="751">
        <v>7</v>
      </c>
      <c r="C356" s="753">
        <v>2021</v>
      </c>
      <c r="D356" s="756">
        <v>26573</v>
      </c>
      <c r="E356" s="760">
        <v>1357.88</v>
      </c>
      <c r="F356" s="754">
        <v>284049</v>
      </c>
      <c r="G356" s="760">
        <v>15367.06</v>
      </c>
      <c r="H356" s="754">
        <v>2422865</v>
      </c>
      <c r="I356" s="760">
        <v>173237.83</v>
      </c>
      <c r="J356" s="760">
        <v>0</v>
      </c>
      <c r="K356" s="753">
        <v>0</v>
      </c>
      <c r="L356" s="202">
        <f t="shared" si="21"/>
        <v>189962.77</v>
      </c>
      <c r="M356" t="s">
        <v>1101</v>
      </c>
      <c r="O356" t="str">
        <f t="shared" si="20"/>
        <v>Regelzone TenneT (gesamt)</v>
      </c>
    </row>
    <row r="357" spans="1:15" hidden="1" outlineLevel="1">
      <c r="A357" s="750" t="s">
        <v>521</v>
      </c>
      <c r="B357" s="751">
        <v>7</v>
      </c>
      <c r="C357" s="753">
        <v>2023</v>
      </c>
      <c r="D357" s="752">
        <v>0</v>
      </c>
      <c r="E357" s="760">
        <v>0</v>
      </c>
      <c r="F357" s="751">
        <v>0</v>
      </c>
      <c r="G357" s="760">
        <v>0</v>
      </c>
      <c r="H357" s="754">
        <v>10712.007</v>
      </c>
      <c r="I357" s="760">
        <v>477.63</v>
      </c>
      <c r="J357" s="760">
        <v>0</v>
      </c>
      <c r="K357" s="753">
        <v>0</v>
      </c>
      <c r="L357" s="202">
        <f t="shared" si="21"/>
        <v>477.63</v>
      </c>
      <c r="M357" t="s">
        <v>522</v>
      </c>
      <c r="O357" t="str">
        <f t="shared" si="20"/>
        <v>Regelzone TenneT (gesamt)</v>
      </c>
    </row>
    <row r="358" spans="1:15" hidden="1" outlineLevel="1">
      <c r="A358" s="750" t="s">
        <v>1112</v>
      </c>
      <c r="B358" s="751">
        <v>7</v>
      </c>
      <c r="C358" s="753">
        <v>2023</v>
      </c>
      <c r="D358" s="752">
        <v>0</v>
      </c>
      <c r="E358" s="760">
        <v>0</v>
      </c>
      <c r="F358" s="751">
        <v>0</v>
      </c>
      <c r="G358" s="760">
        <v>0</v>
      </c>
      <c r="H358" s="754">
        <v>1051</v>
      </c>
      <c r="I358" s="760">
        <v>117.44</v>
      </c>
      <c r="J358" s="760">
        <v>0</v>
      </c>
      <c r="K358" s="753">
        <v>0</v>
      </c>
      <c r="L358" s="202">
        <f t="shared" si="21"/>
        <v>117.44</v>
      </c>
      <c r="M358" t="s">
        <v>1113</v>
      </c>
      <c r="O358" t="str">
        <f t="shared" si="20"/>
        <v>Regelzone TenneT (gesamt)</v>
      </c>
    </row>
    <row r="359" spans="1:15" hidden="1" outlineLevel="1">
      <c r="A359" s="750" t="s">
        <v>1114</v>
      </c>
      <c r="B359" s="751">
        <v>7</v>
      </c>
      <c r="C359" s="753">
        <v>2023</v>
      </c>
      <c r="D359" s="752">
        <v>0</v>
      </c>
      <c r="E359" s="760">
        <v>0</v>
      </c>
      <c r="F359" s="751">
        <v>0</v>
      </c>
      <c r="G359" s="760">
        <v>0</v>
      </c>
      <c r="H359" s="754">
        <v>-9640</v>
      </c>
      <c r="I359" s="760">
        <v>-444.57</v>
      </c>
      <c r="J359" s="760">
        <v>0</v>
      </c>
      <c r="K359" s="753">
        <v>0</v>
      </c>
      <c r="L359" s="202">
        <f t="shared" si="21"/>
        <v>-444.57</v>
      </c>
      <c r="M359" t="s">
        <v>1115</v>
      </c>
      <c r="O359" t="str">
        <f t="shared" si="20"/>
        <v>Regelzone TenneT (gesamt)</v>
      </c>
    </row>
    <row r="360" spans="1:15" hidden="1" outlineLevel="1">
      <c r="A360" s="750" t="s">
        <v>1120</v>
      </c>
      <c r="B360" s="751">
        <v>7</v>
      </c>
      <c r="C360" s="753">
        <v>2022</v>
      </c>
      <c r="D360" s="752">
        <v>0</v>
      </c>
      <c r="E360" s="760">
        <v>0</v>
      </c>
      <c r="F360" s="754">
        <v>154285.4</v>
      </c>
      <c r="G360" s="760">
        <v>8346.84</v>
      </c>
      <c r="H360" s="754">
        <v>54792</v>
      </c>
      <c r="I360" s="760">
        <v>5385.45</v>
      </c>
      <c r="J360" s="760">
        <v>0</v>
      </c>
      <c r="K360" s="753">
        <v>0</v>
      </c>
      <c r="L360" s="202">
        <f t="shared" si="21"/>
        <v>13732.29</v>
      </c>
      <c r="M360" t="s">
        <v>1121</v>
      </c>
      <c r="O360" t="str">
        <f t="shared" si="20"/>
        <v>Regelzone TenneT (gesamt)</v>
      </c>
    </row>
    <row r="361" spans="1:15" hidden="1" outlineLevel="1">
      <c r="A361" s="750" t="s">
        <v>1120</v>
      </c>
      <c r="B361" s="751">
        <v>7</v>
      </c>
      <c r="C361" s="753">
        <v>2023</v>
      </c>
      <c r="D361" s="752">
        <v>0</v>
      </c>
      <c r="E361" s="760">
        <v>0</v>
      </c>
      <c r="F361" s="754">
        <v>1668564.53</v>
      </c>
      <c r="G361" s="760">
        <v>88898.38</v>
      </c>
      <c r="H361" s="754">
        <v>9203570.9140000008</v>
      </c>
      <c r="I361" s="760">
        <v>870849.08</v>
      </c>
      <c r="J361" s="760">
        <v>-1690.29</v>
      </c>
      <c r="K361" s="753">
        <v>0</v>
      </c>
      <c r="L361" s="202">
        <f t="shared" si="21"/>
        <v>958057.16999999993</v>
      </c>
      <c r="M361" t="s">
        <v>1121</v>
      </c>
      <c r="O361" t="str">
        <f t="shared" si="20"/>
        <v>Regelzone TenneT (gesamt)</v>
      </c>
    </row>
    <row r="362" spans="1:15" hidden="1" outlineLevel="1">
      <c r="A362" s="750" t="s">
        <v>1120</v>
      </c>
      <c r="B362" s="751">
        <v>7</v>
      </c>
      <c r="C362" s="753">
        <v>2020</v>
      </c>
      <c r="D362" s="752">
        <v>0</v>
      </c>
      <c r="E362" s="760">
        <v>0</v>
      </c>
      <c r="F362" s="751">
        <v>0</v>
      </c>
      <c r="G362" s="760">
        <v>0</v>
      </c>
      <c r="H362" s="751">
        <v>0</v>
      </c>
      <c r="I362" s="760">
        <v>1800</v>
      </c>
      <c r="J362" s="760">
        <v>0</v>
      </c>
      <c r="K362" s="753">
        <v>0</v>
      </c>
      <c r="L362" s="202">
        <f t="shared" si="21"/>
        <v>1800</v>
      </c>
      <c r="M362" t="s">
        <v>1121</v>
      </c>
      <c r="O362" t="str">
        <f t="shared" si="20"/>
        <v>Regelzone TenneT (gesamt)</v>
      </c>
    </row>
    <row r="363" spans="1:15" hidden="1" outlineLevel="1">
      <c r="A363" s="750" t="s">
        <v>1126</v>
      </c>
      <c r="B363" s="751">
        <v>7</v>
      </c>
      <c r="C363" s="753">
        <v>2023</v>
      </c>
      <c r="D363" s="752">
        <v>0</v>
      </c>
      <c r="E363" s="760">
        <v>0</v>
      </c>
      <c r="F363" s="754">
        <v>-11324</v>
      </c>
      <c r="G363" s="760">
        <v>-612.63</v>
      </c>
      <c r="H363" s="754">
        <v>9323.65</v>
      </c>
      <c r="I363" s="760">
        <v>-4440.71</v>
      </c>
      <c r="J363" s="760">
        <v>0</v>
      </c>
      <c r="K363" s="753">
        <v>0</v>
      </c>
      <c r="L363" s="202">
        <f t="shared" si="21"/>
        <v>-5053.34</v>
      </c>
      <c r="M363" t="s">
        <v>1127</v>
      </c>
      <c r="O363" t="str">
        <f t="shared" si="20"/>
        <v>Regelzone TenneT (gesamt)</v>
      </c>
    </row>
    <row r="364" spans="1:15" hidden="1" outlineLevel="1">
      <c r="A364" s="750" t="s">
        <v>1126</v>
      </c>
      <c r="B364" s="751">
        <v>7</v>
      </c>
      <c r="C364" s="753">
        <v>2022</v>
      </c>
      <c r="D364" s="752">
        <v>0</v>
      </c>
      <c r="E364" s="760">
        <v>0</v>
      </c>
      <c r="F364" s="751">
        <v>0</v>
      </c>
      <c r="G364" s="760">
        <v>0</v>
      </c>
      <c r="H364" s="751">
        <v>0.25</v>
      </c>
      <c r="I364" s="760">
        <v>-267.33</v>
      </c>
      <c r="J364" s="760">
        <v>0</v>
      </c>
      <c r="K364" s="753">
        <v>0</v>
      </c>
      <c r="L364" s="202">
        <f t="shared" si="21"/>
        <v>-267.33</v>
      </c>
      <c r="M364" t="s">
        <v>1127</v>
      </c>
      <c r="O364" t="str">
        <f t="shared" si="20"/>
        <v>Regelzone TenneT (gesamt)</v>
      </c>
    </row>
    <row r="365" spans="1:15" hidden="1" outlineLevel="1">
      <c r="A365" s="750" t="s">
        <v>1134</v>
      </c>
      <c r="B365" s="751">
        <v>7</v>
      </c>
      <c r="C365" s="753">
        <v>2023</v>
      </c>
      <c r="D365" s="752">
        <v>0</v>
      </c>
      <c r="E365" s="760">
        <v>0</v>
      </c>
      <c r="F365" s="751">
        <v>0</v>
      </c>
      <c r="G365" s="760">
        <v>0</v>
      </c>
      <c r="H365" s="751">
        <v>0</v>
      </c>
      <c r="I365" s="760">
        <v>2692.35</v>
      </c>
      <c r="J365" s="760">
        <v>0</v>
      </c>
      <c r="K365" s="753">
        <v>0</v>
      </c>
      <c r="L365" s="202">
        <f t="shared" si="21"/>
        <v>2692.35</v>
      </c>
      <c r="M365" t="s">
        <v>1135</v>
      </c>
      <c r="O365" t="str">
        <f t="shared" si="20"/>
        <v>Regelzone TenneT (gesamt)</v>
      </c>
    </row>
    <row r="366" spans="1:15" hidden="1" outlineLevel="1">
      <c r="A366" s="750" t="s">
        <v>1162</v>
      </c>
      <c r="B366" s="751">
        <v>7</v>
      </c>
      <c r="C366" s="753">
        <v>2023</v>
      </c>
      <c r="D366" s="752">
        <v>0</v>
      </c>
      <c r="E366" s="760">
        <v>0</v>
      </c>
      <c r="F366" s="754">
        <v>249456</v>
      </c>
      <c r="G366" s="760">
        <v>12176.57</v>
      </c>
      <c r="H366" s="754">
        <v>23445</v>
      </c>
      <c r="I366" s="760">
        <v>1992.82</v>
      </c>
      <c r="J366" s="760">
        <v>0</v>
      </c>
      <c r="K366" s="753">
        <v>0</v>
      </c>
      <c r="L366" s="202">
        <f t="shared" si="21"/>
        <v>14169.39</v>
      </c>
      <c r="M366" t="s">
        <v>1163</v>
      </c>
      <c r="O366" t="str">
        <f t="shared" si="20"/>
        <v>Regelzone TenneT (gesamt)</v>
      </c>
    </row>
    <row r="367" spans="1:15" hidden="1" outlineLevel="1">
      <c r="A367" s="750" t="s">
        <v>1166</v>
      </c>
      <c r="B367" s="751">
        <v>7</v>
      </c>
      <c r="C367" s="753">
        <v>2023</v>
      </c>
      <c r="D367" s="752">
        <v>0</v>
      </c>
      <c r="E367" s="760">
        <v>0</v>
      </c>
      <c r="F367" s="751">
        <v>0</v>
      </c>
      <c r="G367" s="760">
        <v>0</v>
      </c>
      <c r="H367" s="751">
        <v>0</v>
      </c>
      <c r="I367" s="760">
        <v>0</v>
      </c>
      <c r="J367" s="760">
        <v>1800</v>
      </c>
      <c r="K367" s="753">
        <v>0</v>
      </c>
      <c r="L367" s="202">
        <f t="shared" si="21"/>
        <v>1800</v>
      </c>
      <c r="M367" t="s">
        <v>1167</v>
      </c>
      <c r="O367" t="str">
        <f t="shared" si="20"/>
        <v>Regelzone TenneT (gesamt)</v>
      </c>
    </row>
    <row r="368" spans="1:15" hidden="1" outlineLevel="1">
      <c r="A368" s="750" t="s">
        <v>1174</v>
      </c>
      <c r="B368" s="751">
        <v>7</v>
      </c>
      <c r="C368" s="753">
        <v>2023</v>
      </c>
      <c r="D368" s="752">
        <v>0</v>
      </c>
      <c r="E368" s="760">
        <v>0</v>
      </c>
      <c r="F368" s="754">
        <v>-373903</v>
      </c>
      <c r="G368" s="760">
        <v>-20219.580000000002</v>
      </c>
      <c r="H368" s="754">
        <v>5792015.7999999998</v>
      </c>
      <c r="I368" s="760">
        <v>368043.66</v>
      </c>
      <c r="J368" s="760">
        <v>0</v>
      </c>
      <c r="K368" s="753">
        <v>0</v>
      </c>
      <c r="L368" s="202">
        <f t="shared" si="21"/>
        <v>347824.07999999996</v>
      </c>
      <c r="M368" t="s">
        <v>1175</v>
      </c>
      <c r="O368" t="str">
        <f t="shared" si="20"/>
        <v>Regelzone TenneT (gesamt)</v>
      </c>
    </row>
    <row r="369" spans="1:15" hidden="1" outlineLevel="1">
      <c r="A369" s="750" t="s">
        <v>1176</v>
      </c>
      <c r="B369" s="751">
        <v>7</v>
      </c>
      <c r="C369" s="753">
        <v>2022</v>
      </c>
      <c r="D369" s="752">
        <v>0</v>
      </c>
      <c r="E369" s="760">
        <v>0</v>
      </c>
      <c r="F369" s="754">
        <v>7352</v>
      </c>
      <c r="G369" s="760">
        <v>397.74</v>
      </c>
      <c r="H369" s="754">
        <v>-92276</v>
      </c>
      <c r="I369" s="760">
        <v>-10439.84</v>
      </c>
      <c r="J369" s="760">
        <v>0</v>
      </c>
      <c r="K369" s="753">
        <v>0</v>
      </c>
      <c r="L369" s="202">
        <f t="shared" si="21"/>
        <v>-10042.1</v>
      </c>
      <c r="M369" t="s">
        <v>1177</v>
      </c>
      <c r="O369" t="str">
        <f t="shared" si="20"/>
        <v>Regelzone TenneT (gesamt)</v>
      </c>
    </row>
    <row r="370" spans="1:15" hidden="1" outlineLevel="1">
      <c r="A370" s="750" t="s">
        <v>1176</v>
      </c>
      <c r="B370" s="751">
        <v>7</v>
      </c>
      <c r="C370" s="753">
        <v>2023</v>
      </c>
      <c r="D370" s="752">
        <v>0</v>
      </c>
      <c r="E370" s="760">
        <v>0</v>
      </c>
      <c r="F370" s="754">
        <v>65924</v>
      </c>
      <c r="G370" s="760">
        <v>3566.49</v>
      </c>
      <c r="H370" s="754">
        <v>-2182.65</v>
      </c>
      <c r="I370" s="760">
        <v>-155.29</v>
      </c>
      <c r="J370" s="760">
        <v>0</v>
      </c>
      <c r="K370" s="753">
        <v>0</v>
      </c>
      <c r="L370" s="202">
        <f t="shared" si="21"/>
        <v>3411.2</v>
      </c>
      <c r="M370" t="s">
        <v>1177</v>
      </c>
      <c r="O370" t="str">
        <f t="shared" si="20"/>
        <v>Regelzone TenneT (gesamt)</v>
      </c>
    </row>
    <row r="371" spans="1:15" hidden="1" outlineLevel="1">
      <c r="A371" s="750" t="s">
        <v>1176</v>
      </c>
      <c r="B371" s="751">
        <v>7</v>
      </c>
      <c r="C371" s="753">
        <v>2021</v>
      </c>
      <c r="D371" s="752">
        <v>0</v>
      </c>
      <c r="E371" s="760">
        <v>0</v>
      </c>
      <c r="F371" s="751">
        <v>0</v>
      </c>
      <c r="G371" s="760">
        <v>0</v>
      </c>
      <c r="H371" s="754">
        <v>-34154</v>
      </c>
      <c r="I371" s="760">
        <v>-1409.8</v>
      </c>
      <c r="J371" s="760">
        <v>0</v>
      </c>
      <c r="K371" s="753">
        <v>0</v>
      </c>
      <c r="L371" s="202">
        <f t="shared" si="21"/>
        <v>-1409.8</v>
      </c>
      <c r="M371" t="s">
        <v>1177</v>
      </c>
      <c r="O371" t="str">
        <f t="shared" si="20"/>
        <v>Regelzone TenneT (gesamt)</v>
      </c>
    </row>
    <row r="372" spans="1:15" hidden="1" outlineLevel="1">
      <c r="A372" s="750" t="s">
        <v>1190</v>
      </c>
      <c r="B372" s="751">
        <v>1</v>
      </c>
      <c r="C372" s="753">
        <v>2023</v>
      </c>
      <c r="D372" s="752">
        <v>0</v>
      </c>
      <c r="E372" s="760">
        <v>0</v>
      </c>
      <c r="F372" s="754">
        <v>-7887</v>
      </c>
      <c r="G372" s="760">
        <v>-426.69</v>
      </c>
      <c r="H372" s="751">
        <v>0</v>
      </c>
      <c r="I372" s="760">
        <v>0</v>
      </c>
      <c r="J372" s="760">
        <v>0</v>
      </c>
      <c r="K372" s="753">
        <v>0</v>
      </c>
      <c r="L372" s="202">
        <f t="shared" si="21"/>
        <v>-426.69</v>
      </c>
      <c r="M372" t="s">
        <v>1191</v>
      </c>
      <c r="O372" t="str">
        <f t="shared" si="20"/>
        <v>Regelzone TenneT (gesamt)</v>
      </c>
    </row>
    <row r="373" spans="1:15" hidden="1" outlineLevel="1">
      <c r="A373" s="750" t="s">
        <v>1198</v>
      </c>
      <c r="B373" s="751">
        <v>7</v>
      </c>
      <c r="C373" s="753">
        <v>2022</v>
      </c>
      <c r="D373" s="752">
        <v>0</v>
      </c>
      <c r="E373" s="760">
        <v>0</v>
      </c>
      <c r="F373" s="754">
        <v>347161</v>
      </c>
      <c r="G373" s="760">
        <v>18781.419999999998</v>
      </c>
      <c r="H373" s="754">
        <v>1546807</v>
      </c>
      <c r="I373" s="760">
        <v>97540.6</v>
      </c>
      <c r="J373" s="760">
        <v>0</v>
      </c>
      <c r="K373" s="753">
        <v>0</v>
      </c>
      <c r="L373" s="202">
        <f t="shared" si="21"/>
        <v>116322.02</v>
      </c>
      <c r="M373" t="s">
        <v>1199</v>
      </c>
      <c r="O373" t="str">
        <f t="shared" si="20"/>
        <v>Regelzone TenneT (gesamt)</v>
      </c>
    </row>
    <row r="374" spans="1:15" hidden="1" outlineLevel="1">
      <c r="A374" s="750" t="s">
        <v>1198</v>
      </c>
      <c r="B374" s="751">
        <v>7</v>
      </c>
      <c r="C374" s="753">
        <v>2023</v>
      </c>
      <c r="D374" s="752">
        <v>0</v>
      </c>
      <c r="E374" s="760">
        <v>0</v>
      </c>
      <c r="F374" s="754">
        <v>582824</v>
      </c>
      <c r="G374" s="760">
        <v>31530.78</v>
      </c>
      <c r="H374" s="754">
        <v>46139534</v>
      </c>
      <c r="I374" s="760">
        <v>1676463.28</v>
      </c>
      <c r="J374" s="760">
        <v>0</v>
      </c>
      <c r="K374" s="753">
        <v>0</v>
      </c>
      <c r="L374" s="202">
        <f t="shared" si="21"/>
        <v>1707994.06</v>
      </c>
      <c r="M374" t="s">
        <v>1199</v>
      </c>
      <c r="O374" t="str">
        <f t="shared" si="20"/>
        <v>Regelzone TenneT (gesamt)</v>
      </c>
    </row>
    <row r="375" spans="1:15" hidden="1" outlineLevel="1">
      <c r="A375" s="750" t="s">
        <v>1198</v>
      </c>
      <c r="B375" s="751">
        <v>7</v>
      </c>
      <c r="C375" s="753">
        <v>2021</v>
      </c>
      <c r="D375" s="756">
        <v>407295</v>
      </c>
      <c r="E375" s="760">
        <v>20812.77</v>
      </c>
      <c r="F375" s="754">
        <v>5639</v>
      </c>
      <c r="G375" s="760">
        <v>305.07</v>
      </c>
      <c r="H375" s="754">
        <v>172555</v>
      </c>
      <c r="I375" s="760">
        <v>11465.04</v>
      </c>
      <c r="J375" s="760">
        <v>0</v>
      </c>
      <c r="K375" s="753">
        <v>0</v>
      </c>
      <c r="L375" s="202">
        <f t="shared" si="21"/>
        <v>32582.880000000001</v>
      </c>
      <c r="M375" t="s">
        <v>1199</v>
      </c>
      <c r="O375" t="str">
        <f t="shared" si="20"/>
        <v>Regelzone TenneT (gesamt)</v>
      </c>
    </row>
    <row r="376" spans="1:15" hidden="1" outlineLevel="1">
      <c r="A376" s="750" t="s">
        <v>1204</v>
      </c>
      <c r="B376" s="751">
        <v>1</v>
      </c>
      <c r="C376" s="753">
        <v>2022</v>
      </c>
      <c r="D376" s="752">
        <v>0</v>
      </c>
      <c r="E376" s="760">
        <v>0</v>
      </c>
      <c r="F376" s="754">
        <v>-7475</v>
      </c>
      <c r="G376" s="760">
        <v>-404.39</v>
      </c>
      <c r="H376" s="754">
        <v>-42325</v>
      </c>
      <c r="I376" s="760">
        <v>-4842</v>
      </c>
      <c r="J376" s="760">
        <v>0</v>
      </c>
      <c r="K376" s="753">
        <v>0</v>
      </c>
      <c r="L376" s="202">
        <f t="shared" si="21"/>
        <v>-5246.39</v>
      </c>
      <c r="M376" t="s">
        <v>1205</v>
      </c>
      <c r="O376" t="str">
        <f t="shared" si="20"/>
        <v>Regelzone TenneT (gesamt)</v>
      </c>
    </row>
    <row r="377" spans="1:15" hidden="1" outlineLevel="1">
      <c r="A377" s="750" t="s">
        <v>1204</v>
      </c>
      <c r="B377" s="751">
        <v>7</v>
      </c>
      <c r="C377" s="753">
        <v>2022</v>
      </c>
      <c r="D377" s="752">
        <v>0</v>
      </c>
      <c r="E377" s="760">
        <v>0</v>
      </c>
      <c r="F377" s="754">
        <v>309986</v>
      </c>
      <c r="G377" s="760">
        <v>16770.240000000002</v>
      </c>
      <c r="H377" s="754">
        <v>88668.091</v>
      </c>
      <c r="I377" s="760">
        <v>5105.1899999999996</v>
      </c>
      <c r="J377" s="760">
        <v>-47.23</v>
      </c>
      <c r="K377" s="753">
        <v>0</v>
      </c>
      <c r="L377" s="202">
        <f t="shared" si="21"/>
        <v>21828.2</v>
      </c>
      <c r="M377" t="s">
        <v>1205</v>
      </c>
      <c r="O377" t="str">
        <f t="shared" si="20"/>
        <v>Regelzone TenneT (gesamt)</v>
      </c>
    </row>
    <row r="378" spans="1:15" hidden="1" outlineLevel="1">
      <c r="A378" s="750" t="s">
        <v>1204</v>
      </c>
      <c r="B378" s="751">
        <v>1</v>
      </c>
      <c r="C378" s="753">
        <v>2023</v>
      </c>
      <c r="D378" s="752">
        <v>0</v>
      </c>
      <c r="E378" s="760">
        <v>0</v>
      </c>
      <c r="F378" s="751">
        <v>0</v>
      </c>
      <c r="G378" s="760">
        <v>0</v>
      </c>
      <c r="H378" s="754">
        <v>-231103</v>
      </c>
      <c r="I378" s="760">
        <v>-34859.19</v>
      </c>
      <c r="J378" s="760">
        <v>0</v>
      </c>
      <c r="K378" s="753">
        <v>0</v>
      </c>
      <c r="L378" s="202">
        <f t="shared" si="21"/>
        <v>-34859.19</v>
      </c>
      <c r="M378" t="s">
        <v>1205</v>
      </c>
      <c r="O378" t="str">
        <f t="shared" si="20"/>
        <v>Regelzone TenneT (gesamt)</v>
      </c>
    </row>
    <row r="379" spans="1:15" hidden="1" outlineLevel="1">
      <c r="A379" s="750" t="s">
        <v>1204</v>
      </c>
      <c r="B379" s="751">
        <v>7</v>
      </c>
      <c r="C379" s="753">
        <v>2023</v>
      </c>
      <c r="D379" s="752">
        <v>0</v>
      </c>
      <c r="E379" s="760">
        <v>0</v>
      </c>
      <c r="F379" s="754">
        <v>2231646</v>
      </c>
      <c r="G379" s="760">
        <v>86593.32</v>
      </c>
      <c r="H379" s="754">
        <v>2170029</v>
      </c>
      <c r="I379" s="760">
        <v>213918.3</v>
      </c>
      <c r="J379" s="760">
        <v>0</v>
      </c>
      <c r="K379" s="753">
        <v>0</v>
      </c>
      <c r="L379" s="202">
        <f t="shared" ref="L379:L410" si="22">E379+G379+I379+J379+K379</f>
        <v>300511.62</v>
      </c>
      <c r="M379" t="s">
        <v>1205</v>
      </c>
      <c r="O379" t="str">
        <f t="shared" si="20"/>
        <v>Regelzone TenneT (gesamt)</v>
      </c>
    </row>
    <row r="380" spans="1:15" hidden="1" outlineLevel="1">
      <c r="A380" s="750" t="s">
        <v>1204</v>
      </c>
      <c r="B380" s="751">
        <v>7</v>
      </c>
      <c r="C380" s="753">
        <v>2021</v>
      </c>
      <c r="D380" s="752">
        <v>0</v>
      </c>
      <c r="E380" s="760">
        <v>0</v>
      </c>
      <c r="F380" s="751">
        <v>0</v>
      </c>
      <c r="G380" s="760">
        <v>0</v>
      </c>
      <c r="H380" s="754">
        <v>95700</v>
      </c>
      <c r="I380" s="760">
        <v>3828</v>
      </c>
      <c r="J380" s="760">
        <v>0</v>
      </c>
      <c r="K380" s="753">
        <v>0</v>
      </c>
      <c r="L380" s="202">
        <f t="shared" si="22"/>
        <v>3828</v>
      </c>
      <c r="M380" t="s">
        <v>1205</v>
      </c>
      <c r="O380" t="str">
        <f t="shared" ref="O380:O442" si="23">$A$315</f>
        <v>Regelzone TenneT (gesamt)</v>
      </c>
    </row>
    <row r="381" spans="1:15" hidden="1" outlineLevel="1">
      <c r="A381" s="750" t="s">
        <v>1476</v>
      </c>
      <c r="B381" s="751">
        <v>7</v>
      </c>
      <c r="C381" s="753">
        <v>2023</v>
      </c>
      <c r="D381" s="752">
        <v>0</v>
      </c>
      <c r="E381" s="760">
        <v>0</v>
      </c>
      <c r="F381" s="751">
        <v>0</v>
      </c>
      <c r="G381" s="760">
        <v>0</v>
      </c>
      <c r="H381" s="754">
        <v>2646522</v>
      </c>
      <c r="I381" s="760">
        <v>280592.58</v>
      </c>
      <c r="J381" s="760">
        <v>0</v>
      </c>
      <c r="K381" s="753">
        <v>0</v>
      </c>
      <c r="L381" s="202">
        <f t="shared" si="22"/>
        <v>280592.58</v>
      </c>
      <c r="M381" t="s">
        <v>1477</v>
      </c>
      <c r="O381" t="str">
        <f t="shared" si="23"/>
        <v>Regelzone TenneT (gesamt)</v>
      </c>
    </row>
    <row r="382" spans="1:15" hidden="1" outlineLevel="1">
      <c r="A382" s="750" t="s">
        <v>1228</v>
      </c>
      <c r="B382" s="751">
        <v>1</v>
      </c>
      <c r="C382" s="753">
        <v>2023</v>
      </c>
      <c r="D382" s="752">
        <v>0</v>
      </c>
      <c r="E382" s="760">
        <v>0</v>
      </c>
      <c r="F382" s="751">
        <v>0</v>
      </c>
      <c r="G382" s="760">
        <v>0</v>
      </c>
      <c r="H382" s="754">
        <v>-6120</v>
      </c>
      <c r="I382" s="760">
        <v>-483.44</v>
      </c>
      <c r="J382" s="760">
        <v>0</v>
      </c>
      <c r="K382" s="753">
        <v>0</v>
      </c>
      <c r="L382" s="202">
        <f t="shared" si="22"/>
        <v>-483.44</v>
      </c>
      <c r="M382" t="s">
        <v>1229</v>
      </c>
      <c r="O382" t="str">
        <f t="shared" si="23"/>
        <v>Regelzone TenneT (gesamt)</v>
      </c>
    </row>
    <row r="383" spans="1:15" hidden="1" outlineLevel="1">
      <c r="A383" s="750" t="s">
        <v>1228</v>
      </c>
      <c r="B383" s="751">
        <v>7</v>
      </c>
      <c r="C383" s="753">
        <v>2023</v>
      </c>
      <c r="D383" s="752">
        <v>0</v>
      </c>
      <c r="E383" s="760">
        <v>0</v>
      </c>
      <c r="F383" s="754">
        <v>5205</v>
      </c>
      <c r="G383" s="760">
        <v>281.58999999999997</v>
      </c>
      <c r="H383" s="751">
        <v>0</v>
      </c>
      <c r="I383" s="760">
        <v>0</v>
      </c>
      <c r="J383" s="760">
        <v>0</v>
      </c>
      <c r="K383" s="753">
        <v>0</v>
      </c>
      <c r="L383" s="202">
        <f t="shared" si="22"/>
        <v>281.58999999999997</v>
      </c>
      <c r="M383" t="s">
        <v>1229</v>
      </c>
      <c r="O383" t="str">
        <f t="shared" si="23"/>
        <v>Regelzone TenneT (gesamt)</v>
      </c>
    </row>
    <row r="384" spans="1:15" hidden="1" outlineLevel="1">
      <c r="A384" s="750" t="s">
        <v>1228</v>
      </c>
      <c r="B384" s="751">
        <v>1</v>
      </c>
      <c r="C384" s="753">
        <v>2022</v>
      </c>
      <c r="D384" s="752">
        <v>0</v>
      </c>
      <c r="E384" s="760">
        <v>0</v>
      </c>
      <c r="F384" s="751">
        <v>0</v>
      </c>
      <c r="G384" s="760">
        <v>0</v>
      </c>
      <c r="H384" s="751">
        <v>1</v>
      </c>
      <c r="I384" s="760">
        <v>-174.04</v>
      </c>
      <c r="J384" s="760">
        <v>0</v>
      </c>
      <c r="K384" s="753">
        <v>0</v>
      </c>
      <c r="L384" s="202">
        <f t="shared" si="22"/>
        <v>-174.04</v>
      </c>
      <c r="M384" t="s">
        <v>1229</v>
      </c>
      <c r="O384" t="str">
        <f t="shared" si="23"/>
        <v>Regelzone TenneT (gesamt)</v>
      </c>
    </row>
    <row r="385" spans="1:15" hidden="1" outlineLevel="1">
      <c r="A385" s="750" t="s">
        <v>1238</v>
      </c>
      <c r="B385" s="751">
        <v>7</v>
      </c>
      <c r="C385" s="753">
        <v>2022</v>
      </c>
      <c r="D385" s="752">
        <v>0</v>
      </c>
      <c r="E385" s="760">
        <v>0</v>
      </c>
      <c r="F385" s="754">
        <v>-3830165.11</v>
      </c>
      <c r="G385" s="760">
        <v>-153909.51</v>
      </c>
      <c r="H385" s="754">
        <v>24238</v>
      </c>
      <c r="I385" s="760">
        <v>1209.52</v>
      </c>
      <c r="J385" s="760">
        <v>0</v>
      </c>
      <c r="K385" s="753">
        <v>0</v>
      </c>
      <c r="L385" s="202">
        <f t="shared" si="22"/>
        <v>-152699.99000000002</v>
      </c>
      <c r="M385" t="s">
        <v>1239</v>
      </c>
      <c r="O385" t="str">
        <f t="shared" si="23"/>
        <v>Regelzone TenneT (gesamt)</v>
      </c>
    </row>
    <row r="386" spans="1:15" hidden="1" outlineLevel="1">
      <c r="A386" s="750" t="s">
        <v>1238</v>
      </c>
      <c r="B386" s="751">
        <v>7</v>
      </c>
      <c r="C386" s="753">
        <v>2023</v>
      </c>
      <c r="D386" s="752">
        <v>0</v>
      </c>
      <c r="E386" s="760">
        <v>0</v>
      </c>
      <c r="F386" s="751">
        <v>-314.637</v>
      </c>
      <c r="G386" s="760">
        <v>-17.02</v>
      </c>
      <c r="H386" s="754">
        <v>104959.99</v>
      </c>
      <c r="I386" s="760">
        <v>11614.05</v>
      </c>
      <c r="J386" s="760">
        <v>0</v>
      </c>
      <c r="K386" s="753">
        <v>0</v>
      </c>
      <c r="L386" s="202">
        <f t="shared" si="22"/>
        <v>11597.029999999999</v>
      </c>
      <c r="M386" t="s">
        <v>1239</v>
      </c>
      <c r="O386" t="str">
        <f t="shared" si="23"/>
        <v>Regelzone TenneT (gesamt)</v>
      </c>
    </row>
    <row r="387" spans="1:15" hidden="1" outlineLevel="1">
      <c r="A387" s="750" t="s">
        <v>1238</v>
      </c>
      <c r="B387" s="751">
        <v>7</v>
      </c>
      <c r="C387" s="753">
        <v>2021</v>
      </c>
      <c r="D387" s="752">
        <v>0</v>
      </c>
      <c r="E387" s="760">
        <v>0</v>
      </c>
      <c r="F387" s="751">
        <v>0</v>
      </c>
      <c r="G387" s="760">
        <v>0</v>
      </c>
      <c r="H387" s="754">
        <v>24238</v>
      </c>
      <c r="I387" s="760">
        <v>1199.52</v>
      </c>
      <c r="J387" s="760">
        <v>0</v>
      </c>
      <c r="K387" s="753">
        <v>0</v>
      </c>
      <c r="L387" s="202">
        <f t="shared" si="22"/>
        <v>1199.52</v>
      </c>
      <c r="M387" t="s">
        <v>1239</v>
      </c>
      <c r="O387" t="str">
        <f t="shared" si="23"/>
        <v>Regelzone TenneT (gesamt)</v>
      </c>
    </row>
    <row r="388" spans="1:15" hidden="1" outlineLevel="1">
      <c r="A388" s="750" t="s">
        <v>1242</v>
      </c>
      <c r="B388" s="751">
        <v>7</v>
      </c>
      <c r="C388" s="753">
        <v>2023</v>
      </c>
      <c r="D388" s="752">
        <v>0</v>
      </c>
      <c r="E388" s="760">
        <v>0</v>
      </c>
      <c r="F388" s="754">
        <v>37233</v>
      </c>
      <c r="G388" s="760">
        <v>2014.31</v>
      </c>
      <c r="H388" s="751">
        <v>279</v>
      </c>
      <c r="I388" s="760">
        <v>25.9</v>
      </c>
      <c r="J388" s="760">
        <v>0</v>
      </c>
      <c r="K388" s="753">
        <v>0</v>
      </c>
      <c r="L388" s="202">
        <f t="shared" si="22"/>
        <v>2040.21</v>
      </c>
      <c r="M388" t="s">
        <v>1243</v>
      </c>
      <c r="O388" t="str">
        <f t="shared" si="23"/>
        <v>Regelzone TenneT (gesamt)</v>
      </c>
    </row>
    <row r="389" spans="1:15" hidden="1" outlineLevel="1">
      <c r="A389" s="750" t="s">
        <v>1242</v>
      </c>
      <c r="B389" s="751">
        <v>7</v>
      </c>
      <c r="C389" s="753">
        <v>2022</v>
      </c>
      <c r="D389" s="752">
        <v>0</v>
      </c>
      <c r="E389" s="760">
        <v>0</v>
      </c>
      <c r="F389" s="754">
        <v>-2489</v>
      </c>
      <c r="G389" s="760">
        <v>-134.65</v>
      </c>
      <c r="H389" s="751">
        <v>0</v>
      </c>
      <c r="I389" s="760">
        <v>0</v>
      </c>
      <c r="J389" s="760">
        <v>0</v>
      </c>
      <c r="K389" s="753">
        <v>0</v>
      </c>
      <c r="L389" s="202">
        <f t="shared" si="22"/>
        <v>-134.65</v>
      </c>
      <c r="M389" t="s">
        <v>1243</v>
      </c>
      <c r="O389" t="str">
        <f t="shared" si="23"/>
        <v>Regelzone TenneT (gesamt)</v>
      </c>
    </row>
    <row r="390" spans="1:15" hidden="1" outlineLevel="1">
      <c r="A390" s="750" t="s">
        <v>1246</v>
      </c>
      <c r="B390" s="751">
        <v>7</v>
      </c>
      <c r="C390" s="753">
        <v>2023</v>
      </c>
      <c r="D390" s="756">
        <v>-15156</v>
      </c>
      <c r="E390" s="760">
        <v>-774.47</v>
      </c>
      <c r="F390" s="751">
        <v>0</v>
      </c>
      <c r="G390" s="760">
        <v>0</v>
      </c>
      <c r="H390" s="754">
        <v>4574.2</v>
      </c>
      <c r="I390" s="760">
        <v>658.66</v>
      </c>
      <c r="J390" s="760">
        <v>0</v>
      </c>
      <c r="K390" s="753">
        <v>0</v>
      </c>
      <c r="L390" s="202">
        <f t="shared" si="22"/>
        <v>-115.81000000000006</v>
      </c>
      <c r="M390" t="s">
        <v>1247</v>
      </c>
      <c r="O390" t="str">
        <f t="shared" si="23"/>
        <v>Regelzone TenneT (gesamt)</v>
      </c>
    </row>
    <row r="391" spans="1:15" hidden="1" outlineLevel="1">
      <c r="A391" s="750" t="s">
        <v>1250</v>
      </c>
      <c r="B391" s="751">
        <v>7</v>
      </c>
      <c r="C391" s="753">
        <v>2023</v>
      </c>
      <c r="D391" s="752">
        <v>0</v>
      </c>
      <c r="E391" s="760">
        <v>0</v>
      </c>
      <c r="F391" s="754">
        <v>15289</v>
      </c>
      <c r="G391" s="760">
        <v>827.14</v>
      </c>
      <c r="H391" s="754">
        <v>-30947.87</v>
      </c>
      <c r="I391" s="760">
        <v>-2419.11</v>
      </c>
      <c r="J391" s="760">
        <v>0</v>
      </c>
      <c r="K391" s="753">
        <v>0</v>
      </c>
      <c r="L391" s="202">
        <f t="shared" si="22"/>
        <v>-1591.9700000000003</v>
      </c>
      <c r="M391" t="s">
        <v>1251</v>
      </c>
      <c r="O391" t="str">
        <f t="shared" si="23"/>
        <v>Regelzone TenneT (gesamt)</v>
      </c>
    </row>
    <row r="392" spans="1:15" hidden="1" outlineLevel="1">
      <c r="A392" s="750" t="s">
        <v>1260</v>
      </c>
      <c r="B392" s="751">
        <v>7</v>
      </c>
      <c r="C392" s="753">
        <v>2021</v>
      </c>
      <c r="D392" s="756">
        <v>-26192</v>
      </c>
      <c r="E392" s="760">
        <v>-1338.41</v>
      </c>
      <c r="F392" s="754">
        <v>190142</v>
      </c>
      <c r="G392" s="760">
        <v>10286.68</v>
      </c>
      <c r="H392" s="754">
        <v>144800.88800000001</v>
      </c>
      <c r="I392" s="760">
        <v>9500.9599999999991</v>
      </c>
      <c r="J392" s="760">
        <v>0</v>
      </c>
      <c r="K392" s="753">
        <v>0</v>
      </c>
      <c r="L392" s="202">
        <f t="shared" si="22"/>
        <v>18449.23</v>
      </c>
      <c r="M392" t="s">
        <v>1261</v>
      </c>
      <c r="O392" t="str">
        <f t="shared" si="23"/>
        <v>Regelzone TenneT (gesamt)</v>
      </c>
    </row>
    <row r="393" spans="1:15" hidden="1" outlineLevel="1">
      <c r="A393" s="750" t="s">
        <v>1260</v>
      </c>
      <c r="B393" s="751">
        <v>7</v>
      </c>
      <c r="C393" s="753">
        <v>2022</v>
      </c>
      <c r="D393" s="752">
        <v>142</v>
      </c>
      <c r="E393" s="760">
        <v>7.26</v>
      </c>
      <c r="F393" s="754">
        <v>344987.14299999998</v>
      </c>
      <c r="G393" s="760">
        <v>18663.82</v>
      </c>
      <c r="H393" s="754">
        <v>347520.533</v>
      </c>
      <c r="I393" s="760">
        <v>18980.2</v>
      </c>
      <c r="J393" s="760">
        <v>0</v>
      </c>
      <c r="K393" s="753">
        <v>0</v>
      </c>
      <c r="L393" s="202">
        <f t="shared" si="22"/>
        <v>37651.279999999999</v>
      </c>
      <c r="M393" t="s">
        <v>1261</v>
      </c>
      <c r="O393" t="str">
        <f t="shared" si="23"/>
        <v>Regelzone TenneT (gesamt)</v>
      </c>
    </row>
    <row r="394" spans="1:15" hidden="1" outlineLevel="1">
      <c r="A394" s="750" t="s">
        <v>1266</v>
      </c>
      <c r="B394" s="751">
        <v>2</v>
      </c>
      <c r="C394" s="753">
        <v>2021</v>
      </c>
      <c r="D394" s="752">
        <v>0</v>
      </c>
      <c r="E394" s="760">
        <v>0</v>
      </c>
      <c r="F394" s="754">
        <v>1823</v>
      </c>
      <c r="G394" s="760">
        <v>98.62</v>
      </c>
      <c r="H394" s="751">
        <v>0</v>
      </c>
      <c r="I394" s="760">
        <v>0</v>
      </c>
      <c r="J394" s="760">
        <v>0</v>
      </c>
      <c r="K394" s="753">
        <v>0</v>
      </c>
      <c r="L394" s="202">
        <f t="shared" si="22"/>
        <v>98.62</v>
      </c>
      <c r="M394" t="s">
        <v>1267</v>
      </c>
      <c r="O394" t="str">
        <f t="shared" si="23"/>
        <v>Regelzone TenneT (gesamt)</v>
      </c>
    </row>
    <row r="395" spans="1:15" hidden="1" outlineLevel="1">
      <c r="A395" s="750" t="s">
        <v>1266</v>
      </c>
      <c r="B395" s="751">
        <v>2</v>
      </c>
      <c r="C395" s="753">
        <v>2022</v>
      </c>
      <c r="D395" s="752">
        <v>0</v>
      </c>
      <c r="E395" s="760">
        <v>0</v>
      </c>
      <c r="F395" s="754">
        <v>2870</v>
      </c>
      <c r="G395" s="760">
        <v>155.27000000000001</v>
      </c>
      <c r="H395" s="751">
        <v>0</v>
      </c>
      <c r="I395" s="760">
        <v>0</v>
      </c>
      <c r="J395" s="760">
        <v>0</v>
      </c>
      <c r="K395" s="753">
        <v>0</v>
      </c>
      <c r="L395" s="202">
        <f t="shared" si="22"/>
        <v>155.27000000000001</v>
      </c>
      <c r="M395" t="s">
        <v>1267</v>
      </c>
      <c r="O395" t="str">
        <f t="shared" si="23"/>
        <v>Regelzone TenneT (gesamt)</v>
      </c>
    </row>
    <row r="396" spans="1:15" hidden="1" outlineLevel="1">
      <c r="A396" s="750" t="s">
        <v>1266</v>
      </c>
      <c r="B396" s="751">
        <v>7</v>
      </c>
      <c r="C396" s="753">
        <v>2023</v>
      </c>
      <c r="D396" s="752">
        <v>0</v>
      </c>
      <c r="E396" s="760">
        <v>0</v>
      </c>
      <c r="F396" s="751">
        <v>0</v>
      </c>
      <c r="G396" s="760">
        <v>0</v>
      </c>
      <c r="H396" s="754">
        <v>8697</v>
      </c>
      <c r="I396" s="760">
        <v>692.48</v>
      </c>
      <c r="J396" s="760">
        <v>0</v>
      </c>
      <c r="K396" s="753">
        <v>0</v>
      </c>
      <c r="L396" s="202">
        <f t="shared" si="22"/>
        <v>692.48</v>
      </c>
      <c r="M396" t="s">
        <v>1267</v>
      </c>
      <c r="O396" t="str">
        <f t="shared" si="23"/>
        <v>Regelzone TenneT (gesamt)</v>
      </c>
    </row>
    <row r="397" spans="1:15" hidden="1" outlineLevel="1">
      <c r="A397" s="750" t="s">
        <v>1266</v>
      </c>
      <c r="B397" s="751">
        <v>2</v>
      </c>
      <c r="C397" s="753">
        <v>2023</v>
      </c>
      <c r="D397" s="752">
        <v>0</v>
      </c>
      <c r="E397" s="760">
        <v>0</v>
      </c>
      <c r="F397" s="754">
        <v>2071</v>
      </c>
      <c r="G397" s="760">
        <v>112.04</v>
      </c>
      <c r="H397" s="751">
        <v>0</v>
      </c>
      <c r="I397" s="760">
        <v>0</v>
      </c>
      <c r="J397" s="760">
        <v>0</v>
      </c>
      <c r="K397" s="753">
        <v>0</v>
      </c>
      <c r="L397" s="202">
        <f t="shared" si="22"/>
        <v>112.04</v>
      </c>
      <c r="M397" t="s">
        <v>1267</v>
      </c>
      <c r="O397" t="str">
        <f t="shared" si="23"/>
        <v>Regelzone TenneT (gesamt)</v>
      </c>
    </row>
    <row r="398" spans="1:15" hidden="1" outlineLevel="1">
      <c r="A398" s="750" t="s">
        <v>1282</v>
      </c>
      <c r="B398" s="751">
        <v>7</v>
      </c>
      <c r="C398" s="753">
        <v>2021</v>
      </c>
      <c r="D398" s="752">
        <v>0</v>
      </c>
      <c r="E398" s="760">
        <v>0</v>
      </c>
      <c r="F398" s="751">
        <v>0</v>
      </c>
      <c r="G398" s="760">
        <v>0</v>
      </c>
      <c r="H398" s="754">
        <v>772720</v>
      </c>
      <c r="I398" s="760">
        <v>32771.620000000003</v>
      </c>
      <c r="J398" s="760">
        <v>0</v>
      </c>
      <c r="K398" s="753">
        <v>0</v>
      </c>
      <c r="L398" s="202">
        <f t="shared" si="22"/>
        <v>32771.620000000003</v>
      </c>
      <c r="M398" t="s">
        <v>1283</v>
      </c>
      <c r="O398" t="str">
        <f t="shared" si="23"/>
        <v>Regelzone TenneT (gesamt)</v>
      </c>
    </row>
    <row r="399" spans="1:15" hidden="1" outlineLevel="1">
      <c r="A399" s="750" t="s">
        <v>1282</v>
      </c>
      <c r="B399" s="751">
        <v>7</v>
      </c>
      <c r="C399" s="753">
        <v>2020</v>
      </c>
      <c r="D399" s="752">
        <v>0</v>
      </c>
      <c r="E399" s="760">
        <v>0</v>
      </c>
      <c r="F399" s="751">
        <v>0</v>
      </c>
      <c r="G399" s="760">
        <v>0</v>
      </c>
      <c r="H399" s="754">
        <v>321600</v>
      </c>
      <c r="I399" s="760">
        <v>14759.56</v>
      </c>
      <c r="J399" s="760">
        <v>0</v>
      </c>
      <c r="K399" s="753">
        <v>0</v>
      </c>
      <c r="L399" s="202">
        <f t="shared" si="22"/>
        <v>14759.56</v>
      </c>
      <c r="M399" t="s">
        <v>1283</v>
      </c>
      <c r="O399" t="str">
        <f t="shared" si="23"/>
        <v>Regelzone TenneT (gesamt)</v>
      </c>
    </row>
    <row r="400" spans="1:15" hidden="1" outlineLevel="1">
      <c r="A400" s="750" t="s">
        <v>1284</v>
      </c>
      <c r="B400" s="751">
        <v>7</v>
      </c>
      <c r="C400" s="753">
        <v>2022</v>
      </c>
      <c r="D400" s="752">
        <v>0</v>
      </c>
      <c r="E400" s="760">
        <v>0</v>
      </c>
      <c r="F400" s="751">
        <v>0</v>
      </c>
      <c r="G400" s="760">
        <v>0</v>
      </c>
      <c r="H400" s="751">
        <v>0</v>
      </c>
      <c r="I400" s="760">
        <v>786.68</v>
      </c>
      <c r="J400" s="760">
        <v>0</v>
      </c>
      <c r="K400" s="753">
        <v>0</v>
      </c>
      <c r="L400" s="202">
        <f t="shared" si="22"/>
        <v>786.68</v>
      </c>
      <c r="M400" t="s">
        <v>1285</v>
      </c>
      <c r="O400" t="str">
        <f t="shared" si="23"/>
        <v>Regelzone TenneT (gesamt)</v>
      </c>
    </row>
    <row r="401" spans="1:15" hidden="1" outlineLevel="1">
      <c r="A401" s="750" t="s">
        <v>1284</v>
      </c>
      <c r="B401" s="751">
        <v>7</v>
      </c>
      <c r="C401" s="753">
        <v>2023</v>
      </c>
      <c r="D401" s="752">
        <v>0</v>
      </c>
      <c r="E401" s="760">
        <v>0</v>
      </c>
      <c r="F401" s="751">
        <v>0</v>
      </c>
      <c r="G401" s="760">
        <v>0</v>
      </c>
      <c r="H401" s="751">
        <v>0</v>
      </c>
      <c r="I401" s="760">
        <v>1042.6400000000001</v>
      </c>
      <c r="J401" s="760">
        <v>0</v>
      </c>
      <c r="K401" s="753">
        <v>0</v>
      </c>
      <c r="L401" s="202">
        <f t="shared" si="22"/>
        <v>1042.6400000000001</v>
      </c>
      <c r="M401" t="s">
        <v>1285</v>
      </c>
      <c r="O401" t="str">
        <f t="shared" si="23"/>
        <v>Regelzone TenneT (gesamt)</v>
      </c>
    </row>
    <row r="402" spans="1:15" hidden="1" outlineLevel="1">
      <c r="A402" s="750" t="s">
        <v>1284</v>
      </c>
      <c r="B402" s="751">
        <v>7</v>
      </c>
      <c r="C402" s="753">
        <v>2021</v>
      </c>
      <c r="D402" s="752">
        <v>0</v>
      </c>
      <c r="E402" s="760">
        <v>0</v>
      </c>
      <c r="F402" s="751">
        <v>0</v>
      </c>
      <c r="G402" s="760">
        <v>0</v>
      </c>
      <c r="H402" s="751">
        <v>0</v>
      </c>
      <c r="I402" s="760">
        <v>162.4</v>
      </c>
      <c r="J402" s="760">
        <v>0</v>
      </c>
      <c r="K402" s="753">
        <v>0</v>
      </c>
      <c r="L402" s="202">
        <f t="shared" si="22"/>
        <v>162.4</v>
      </c>
      <c r="M402" t="s">
        <v>1285</v>
      </c>
      <c r="O402" t="str">
        <f t="shared" si="23"/>
        <v>Regelzone TenneT (gesamt)</v>
      </c>
    </row>
    <row r="403" spans="1:15" hidden="1" outlineLevel="1">
      <c r="A403" s="750" t="s">
        <v>1286</v>
      </c>
      <c r="B403" s="751">
        <v>7</v>
      </c>
      <c r="C403" s="753">
        <v>2022</v>
      </c>
      <c r="D403" s="752">
        <v>0</v>
      </c>
      <c r="E403" s="760">
        <v>0</v>
      </c>
      <c r="F403" s="754">
        <v>42832</v>
      </c>
      <c r="G403" s="760">
        <v>2317.21</v>
      </c>
      <c r="H403" s="754">
        <v>-20460</v>
      </c>
      <c r="I403" s="760">
        <v>-1277.5999999999999</v>
      </c>
      <c r="J403" s="760">
        <v>0</v>
      </c>
      <c r="K403" s="753">
        <v>0</v>
      </c>
      <c r="L403" s="202">
        <f t="shared" si="22"/>
        <v>1039.6100000000001</v>
      </c>
      <c r="M403" t="s">
        <v>1287</v>
      </c>
      <c r="O403" t="str">
        <f t="shared" si="23"/>
        <v>Regelzone TenneT (gesamt)</v>
      </c>
    </row>
    <row r="404" spans="1:15" hidden="1" outlineLevel="1">
      <c r="A404" s="750" t="s">
        <v>1286</v>
      </c>
      <c r="B404" s="751">
        <v>7</v>
      </c>
      <c r="C404" s="753">
        <v>2023</v>
      </c>
      <c r="D404" s="752">
        <v>0</v>
      </c>
      <c r="E404" s="760">
        <v>0</v>
      </c>
      <c r="F404" s="754">
        <v>-71115</v>
      </c>
      <c r="G404" s="760">
        <v>-4563</v>
      </c>
      <c r="H404" s="754">
        <v>180793</v>
      </c>
      <c r="I404" s="760">
        <v>-5084.47</v>
      </c>
      <c r="J404" s="760">
        <v>0</v>
      </c>
      <c r="K404" s="753">
        <v>0</v>
      </c>
      <c r="L404" s="202">
        <f t="shared" si="22"/>
        <v>-9647.4700000000012</v>
      </c>
      <c r="M404" t="s">
        <v>1287</v>
      </c>
      <c r="O404" t="str">
        <f t="shared" si="23"/>
        <v>Regelzone TenneT (gesamt)</v>
      </c>
    </row>
    <row r="405" spans="1:15" hidden="1" outlineLevel="1">
      <c r="A405" s="750" t="s">
        <v>1286</v>
      </c>
      <c r="B405" s="751">
        <v>7</v>
      </c>
      <c r="C405" s="753">
        <v>2021</v>
      </c>
      <c r="D405" s="752">
        <v>0</v>
      </c>
      <c r="E405" s="760">
        <v>0</v>
      </c>
      <c r="F405" s="754">
        <v>55678</v>
      </c>
      <c r="G405" s="760">
        <v>3012.18</v>
      </c>
      <c r="H405" s="751">
        <v>163</v>
      </c>
      <c r="I405" s="760">
        <v>26.08</v>
      </c>
      <c r="J405" s="760">
        <v>0</v>
      </c>
      <c r="K405" s="753">
        <v>0</v>
      </c>
      <c r="L405" s="202">
        <f t="shared" si="22"/>
        <v>3038.2599999999998</v>
      </c>
      <c r="M405" t="s">
        <v>1287</v>
      </c>
      <c r="O405" t="str">
        <f t="shared" si="23"/>
        <v>Regelzone TenneT (gesamt)</v>
      </c>
    </row>
    <row r="406" spans="1:15" hidden="1" outlineLevel="1">
      <c r="A406" s="750" t="s">
        <v>1288</v>
      </c>
      <c r="B406" s="751">
        <v>7</v>
      </c>
      <c r="C406" s="753">
        <v>2022</v>
      </c>
      <c r="D406" s="752">
        <v>0</v>
      </c>
      <c r="E406" s="760">
        <v>0</v>
      </c>
      <c r="F406" s="754">
        <v>340560</v>
      </c>
      <c r="G406" s="760">
        <v>18424.3</v>
      </c>
      <c r="H406" s="754">
        <v>72330</v>
      </c>
      <c r="I406" s="760">
        <v>4442.18</v>
      </c>
      <c r="J406" s="760">
        <v>-879.25</v>
      </c>
      <c r="K406" s="753">
        <v>0</v>
      </c>
      <c r="L406" s="202">
        <f t="shared" si="22"/>
        <v>21987.23</v>
      </c>
      <c r="M406" t="s">
        <v>1289</v>
      </c>
      <c r="O406" t="str">
        <f t="shared" si="23"/>
        <v>Regelzone TenneT (gesamt)</v>
      </c>
    </row>
    <row r="407" spans="1:15" hidden="1" outlineLevel="1">
      <c r="A407" s="750" t="s">
        <v>1288</v>
      </c>
      <c r="B407" s="751">
        <v>7</v>
      </c>
      <c r="C407" s="753">
        <v>2023</v>
      </c>
      <c r="D407" s="752">
        <v>0</v>
      </c>
      <c r="E407" s="760">
        <v>0</v>
      </c>
      <c r="F407" s="754">
        <v>111815</v>
      </c>
      <c r="G407" s="760">
        <v>6049.19</v>
      </c>
      <c r="H407" s="754">
        <v>482048</v>
      </c>
      <c r="I407" s="760">
        <v>62879.64</v>
      </c>
      <c r="J407" s="760">
        <v>0</v>
      </c>
      <c r="K407" s="753">
        <v>0</v>
      </c>
      <c r="L407" s="202">
        <f t="shared" si="22"/>
        <v>68928.83</v>
      </c>
      <c r="M407" t="s">
        <v>1289</v>
      </c>
      <c r="O407" t="str">
        <f t="shared" si="23"/>
        <v>Regelzone TenneT (gesamt)</v>
      </c>
    </row>
    <row r="408" spans="1:15" hidden="1" outlineLevel="1">
      <c r="A408" s="750" t="s">
        <v>1288</v>
      </c>
      <c r="B408" s="751">
        <v>7</v>
      </c>
      <c r="C408" s="753">
        <v>2021</v>
      </c>
      <c r="D408" s="756">
        <v>2405</v>
      </c>
      <c r="E408" s="760">
        <v>122.89</v>
      </c>
      <c r="F408" s="754">
        <v>90795</v>
      </c>
      <c r="G408" s="760">
        <v>4912.01</v>
      </c>
      <c r="H408" s="754">
        <v>71051</v>
      </c>
      <c r="I408" s="760">
        <v>7527.04</v>
      </c>
      <c r="J408" s="760">
        <v>-995.02</v>
      </c>
      <c r="K408" s="753">
        <v>0</v>
      </c>
      <c r="L408" s="202">
        <f t="shared" si="22"/>
        <v>11566.92</v>
      </c>
      <c r="M408" t="s">
        <v>1289</v>
      </c>
      <c r="O408" t="str">
        <f t="shared" si="23"/>
        <v>Regelzone TenneT (gesamt)</v>
      </c>
    </row>
    <row r="409" spans="1:15" hidden="1" outlineLevel="1">
      <c r="A409" s="750" t="s">
        <v>1290</v>
      </c>
      <c r="B409" s="751">
        <v>7</v>
      </c>
      <c r="C409" s="753">
        <v>2023</v>
      </c>
      <c r="D409" s="752">
        <v>0</v>
      </c>
      <c r="E409" s="760">
        <v>0</v>
      </c>
      <c r="F409" s="751">
        <v>-869</v>
      </c>
      <c r="G409" s="760">
        <v>-47.01</v>
      </c>
      <c r="H409" s="751">
        <v>0</v>
      </c>
      <c r="I409" s="760">
        <v>0</v>
      </c>
      <c r="J409" s="760">
        <v>0</v>
      </c>
      <c r="K409" s="753">
        <v>0</v>
      </c>
      <c r="L409" s="202">
        <f t="shared" si="22"/>
        <v>-47.01</v>
      </c>
      <c r="M409" t="s">
        <v>1291</v>
      </c>
      <c r="O409" t="str">
        <f t="shared" si="23"/>
        <v>Regelzone TenneT (gesamt)</v>
      </c>
    </row>
    <row r="410" spans="1:15" hidden="1" outlineLevel="1">
      <c r="A410" s="750" t="s">
        <v>1316</v>
      </c>
      <c r="B410" s="751">
        <v>7</v>
      </c>
      <c r="C410" s="753">
        <v>2021</v>
      </c>
      <c r="D410" s="752">
        <v>0</v>
      </c>
      <c r="E410" s="760">
        <v>0</v>
      </c>
      <c r="F410" s="754">
        <v>26238</v>
      </c>
      <c r="G410" s="760">
        <v>1419.48</v>
      </c>
      <c r="H410" s="754">
        <v>14317</v>
      </c>
      <c r="I410" s="760">
        <v>874.88</v>
      </c>
      <c r="J410" s="760">
        <v>0</v>
      </c>
      <c r="K410" s="753">
        <v>0</v>
      </c>
      <c r="L410" s="202">
        <f t="shared" si="22"/>
        <v>2294.36</v>
      </c>
      <c r="M410" t="s">
        <v>1317</v>
      </c>
      <c r="O410" t="str">
        <f t="shared" si="23"/>
        <v>Regelzone TenneT (gesamt)</v>
      </c>
    </row>
    <row r="411" spans="1:15" hidden="1" outlineLevel="1">
      <c r="A411" s="750" t="s">
        <v>1316</v>
      </c>
      <c r="B411" s="751">
        <v>7</v>
      </c>
      <c r="C411" s="753">
        <v>2022</v>
      </c>
      <c r="D411" s="752">
        <v>0</v>
      </c>
      <c r="E411" s="760">
        <v>0</v>
      </c>
      <c r="F411" s="754">
        <v>16510</v>
      </c>
      <c r="G411" s="760">
        <v>893.19</v>
      </c>
      <c r="H411" s="754">
        <v>66289</v>
      </c>
      <c r="I411" s="760">
        <v>6062.28</v>
      </c>
      <c r="J411" s="760">
        <v>0</v>
      </c>
      <c r="K411" s="753">
        <v>0</v>
      </c>
      <c r="L411" s="202">
        <f t="shared" ref="L411:L441" si="24">E411+G411+I411+J411+K411</f>
        <v>6955.4699999999993</v>
      </c>
      <c r="M411" t="s">
        <v>1317</v>
      </c>
      <c r="O411" t="str">
        <f t="shared" si="23"/>
        <v>Regelzone TenneT (gesamt)</v>
      </c>
    </row>
    <row r="412" spans="1:15" hidden="1" outlineLevel="1">
      <c r="A412" s="750" t="s">
        <v>1316</v>
      </c>
      <c r="B412" s="751">
        <v>7</v>
      </c>
      <c r="C412" s="753">
        <v>2023</v>
      </c>
      <c r="D412" s="752">
        <v>0</v>
      </c>
      <c r="E412" s="760">
        <v>0</v>
      </c>
      <c r="F412" s="754">
        <v>284848</v>
      </c>
      <c r="G412" s="760">
        <v>15410.27</v>
      </c>
      <c r="H412" s="754">
        <v>403823</v>
      </c>
      <c r="I412" s="760">
        <v>22620</v>
      </c>
      <c r="J412" s="760">
        <v>0</v>
      </c>
      <c r="K412" s="753">
        <v>0</v>
      </c>
      <c r="L412" s="202">
        <f t="shared" si="24"/>
        <v>38030.270000000004</v>
      </c>
      <c r="M412" t="s">
        <v>1317</v>
      </c>
      <c r="O412" t="str">
        <f t="shared" si="23"/>
        <v>Regelzone TenneT (gesamt)</v>
      </c>
    </row>
    <row r="413" spans="1:15" hidden="1" outlineLevel="1">
      <c r="A413" s="750" t="s">
        <v>1316</v>
      </c>
      <c r="B413" s="751">
        <v>7</v>
      </c>
      <c r="C413" s="753">
        <v>2020</v>
      </c>
      <c r="D413" s="752">
        <v>0</v>
      </c>
      <c r="E413" s="760">
        <v>0</v>
      </c>
      <c r="F413" s="751">
        <v>0</v>
      </c>
      <c r="G413" s="760">
        <v>0</v>
      </c>
      <c r="H413" s="754">
        <v>70298</v>
      </c>
      <c r="I413" s="760">
        <v>5278.2</v>
      </c>
      <c r="J413" s="760">
        <v>0</v>
      </c>
      <c r="K413" s="753">
        <v>0</v>
      </c>
      <c r="L413" s="202">
        <f t="shared" si="24"/>
        <v>5278.2</v>
      </c>
      <c r="M413" t="s">
        <v>1317</v>
      </c>
      <c r="O413" t="str">
        <f t="shared" si="23"/>
        <v>Regelzone TenneT (gesamt)</v>
      </c>
    </row>
    <row r="414" spans="1:15" hidden="1" outlineLevel="1">
      <c r="A414" s="750" t="s">
        <v>1326</v>
      </c>
      <c r="B414" s="751">
        <v>7</v>
      </c>
      <c r="C414" s="753">
        <v>2023</v>
      </c>
      <c r="D414" s="752">
        <v>0</v>
      </c>
      <c r="E414" s="760">
        <v>0</v>
      </c>
      <c r="F414" s="751">
        <v>0</v>
      </c>
      <c r="G414" s="760">
        <v>0</v>
      </c>
      <c r="H414" s="754">
        <v>30091</v>
      </c>
      <c r="I414" s="760">
        <v>2479.6</v>
      </c>
      <c r="J414" s="760">
        <v>0</v>
      </c>
      <c r="K414" s="753">
        <v>0</v>
      </c>
      <c r="L414" s="202">
        <f t="shared" si="24"/>
        <v>2479.6</v>
      </c>
      <c r="M414" t="s">
        <v>1327</v>
      </c>
      <c r="O414" t="str">
        <f t="shared" si="23"/>
        <v>Regelzone TenneT (gesamt)</v>
      </c>
    </row>
    <row r="415" spans="1:15" hidden="1" outlineLevel="1">
      <c r="A415" s="750" t="s">
        <v>1330</v>
      </c>
      <c r="B415" s="751">
        <v>7</v>
      </c>
      <c r="C415" s="753">
        <v>2022</v>
      </c>
      <c r="D415" s="752">
        <v>0</v>
      </c>
      <c r="E415" s="760">
        <v>0</v>
      </c>
      <c r="F415" s="751">
        <v>0</v>
      </c>
      <c r="G415" s="760">
        <v>0</v>
      </c>
      <c r="H415" s="754">
        <v>607638760</v>
      </c>
      <c r="I415" s="760">
        <v>20766588</v>
      </c>
      <c r="J415" s="760">
        <v>0</v>
      </c>
      <c r="K415" s="753">
        <v>0</v>
      </c>
      <c r="L415" s="202">
        <f t="shared" si="24"/>
        <v>20766588</v>
      </c>
      <c r="M415" t="s">
        <v>1331</v>
      </c>
      <c r="O415" t="str">
        <f t="shared" si="23"/>
        <v>Regelzone TenneT (gesamt)</v>
      </c>
    </row>
    <row r="416" spans="1:15" hidden="1" outlineLevel="1">
      <c r="A416" s="750" t="s">
        <v>1330</v>
      </c>
      <c r="B416" s="751">
        <v>7</v>
      </c>
      <c r="C416" s="753">
        <v>2023</v>
      </c>
      <c r="D416" s="752">
        <v>0</v>
      </c>
      <c r="E416" s="760">
        <v>0</v>
      </c>
      <c r="F416" s="751">
        <v>0</v>
      </c>
      <c r="G416" s="760">
        <v>0</v>
      </c>
      <c r="H416" s="754">
        <v>520618473</v>
      </c>
      <c r="I416" s="760">
        <v>17792593</v>
      </c>
      <c r="J416" s="760">
        <v>0</v>
      </c>
      <c r="K416" s="753">
        <v>0</v>
      </c>
      <c r="L416" s="202">
        <f t="shared" si="24"/>
        <v>17792593</v>
      </c>
      <c r="M416" t="s">
        <v>1331</v>
      </c>
      <c r="O416" t="str">
        <f t="shared" si="23"/>
        <v>Regelzone TenneT (gesamt)</v>
      </c>
    </row>
    <row r="417" spans="1:15" hidden="1" outlineLevel="1">
      <c r="A417" s="750" t="s">
        <v>1330</v>
      </c>
      <c r="B417" s="751">
        <v>7</v>
      </c>
      <c r="C417" s="753">
        <v>2021</v>
      </c>
      <c r="D417" s="752">
        <v>0</v>
      </c>
      <c r="E417" s="760">
        <v>0</v>
      </c>
      <c r="F417" s="751">
        <v>0</v>
      </c>
      <c r="G417" s="760">
        <v>0</v>
      </c>
      <c r="H417" s="754">
        <v>6561222</v>
      </c>
      <c r="I417" s="760">
        <v>224236</v>
      </c>
      <c r="J417" s="760">
        <v>0</v>
      </c>
      <c r="K417" s="753">
        <v>0</v>
      </c>
      <c r="L417" s="202">
        <f t="shared" si="24"/>
        <v>224236</v>
      </c>
      <c r="M417" t="s">
        <v>1331</v>
      </c>
      <c r="O417" t="str">
        <f t="shared" si="23"/>
        <v>Regelzone TenneT (gesamt)</v>
      </c>
    </row>
    <row r="418" spans="1:15" hidden="1" outlineLevel="1">
      <c r="A418" s="750" t="s">
        <v>1332</v>
      </c>
      <c r="B418" s="751">
        <v>7</v>
      </c>
      <c r="C418" s="753">
        <v>2023</v>
      </c>
      <c r="D418" s="752">
        <v>0</v>
      </c>
      <c r="E418" s="760">
        <v>0</v>
      </c>
      <c r="F418" s="751">
        <v>0</v>
      </c>
      <c r="G418" s="760">
        <v>0</v>
      </c>
      <c r="H418" s="754">
        <v>36898</v>
      </c>
      <c r="I418" s="760">
        <v>4788.32</v>
      </c>
      <c r="J418" s="760">
        <v>0</v>
      </c>
      <c r="K418" s="753">
        <v>0</v>
      </c>
      <c r="L418" s="202">
        <f t="shared" si="24"/>
        <v>4788.32</v>
      </c>
      <c r="M418" t="s">
        <v>1333</v>
      </c>
      <c r="O418" t="str">
        <f t="shared" si="23"/>
        <v>Regelzone TenneT (gesamt)</v>
      </c>
    </row>
    <row r="419" spans="1:15" hidden="1" outlineLevel="1">
      <c r="A419" s="750" t="s">
        <v>499</v>
      </c>
      <c r="B419" s="751">
        <v>7</v>
      </c>
      <c r="C419" s="753">
        <v>2023</v>
      </c>
      <c r="D419" s="752">
        <v>0</v>
      </c>
      <c r="E419" s="760">
        <v>0</v>
      </c>
      <c r="F419" s="751">
        <v>0</v>
      </c>
      <c r="G419" s="760">
        <v>0</v>
      </c>
      <c r="H419" s="754">
        <v>1643</v>
      </c>
      <c r="I419" s="760">
        <v>131.44</v>
      </c>
      <c r="J419" s="760">
        <v>0</v>
      </c>
      <c r="K419" s="753">
        <v>0</v>
      </c>
      <c r="L419" s="202">
        <f t="shared" si="24"/>
        <v>131.44</v>
      </c>
      <c r="M419" t="s">
        <v>500</v>
      </c>
      <c r="O419" t="str">
        <f t="shared" si="23"/>
        <v>Regelzone TenneT (gesamt)</v>
      </c>
    </row>
    <row r="420" spans="1:15" hidden="1" outlineLevel="1">
      <c r="A420" s="750" t="s">
        <v>499</v>
      </c>
      <c r="B420" s="751">
        <v>1</v>
      </c>
      <c r="C420" s="753">
        <v>2022</v>
      </c>
      <c r="D420" s="752">
        <v>0</v>
      </c>
      <c r="E420" s="760">
        <v>0</v>
      </c>
      <c r="F420" s="751">
        <v>0</v>
      </c>
      <c r="G420" s="760">
        <v>0</v>
      </c>
      <c r="H420" s="754">
        <v>-208371</v>
      </c>
      <c r="I420" s="760">
        <v>-11050.16</v>
      </c>
      <c r="J420" s="760">
        <v>0</v>
      </c>
      <c r="K420" s="755">
        <v>-2192.58</v>
      </c>
      <c r="L420" s="202">
        <f t="shared" si="24"/>
        <v>-13242.74</v>
      </c>
      <c r="M420" t="s">
        <v>500</v>
      </c>
      <c r="O420" t="str">
        <f t="shared" si="23"/>
        <v>Regelzone TenneT (gesamt)</v>
      </c>
    </row>
    <row r="421" spans="1:15" hidden="1" outlineLevel="1">
      <c r="A421" s="750" t="s">
        <v>1334</v>
      </c>
      <c r="B421" s="751">
        <v>7</v>
      </c>
      <c r="C421" s="753">
        <v>2023</v>
      </c>
      <c r="D421" s="752">
        <v>0</v>
      </c>
      <c r="E421" s="760">
        <v>0</v>
      </c>
      <c r="F421" s="751">
        <v>0</v>
      </c>
      <c r="G421" s="760">
        <v>0</v>
      </c>
      <c r="H421" s="754">
        <v>66268</v>
      </c>
      <c r="I421" s="760">
        <v>8280.66</v>
      </c>
      <c r="J421" s="760">
        <v>0</v>
      </c>
      <c r="K421" s="753">
        <v>0</v>
      </c>
      <c r="L421" s="202">
        <f t="shared" si="24"/>
        <v>8280.66</v>
      </c>
      <c r="M421" t="s">
        <v>1335</v>
      </c>
      <c r="O421" t="str">
        <f t="shared" si="23"/>
        <v>Regelzone TenneT (gesamt)</v>
      </c>
    </row>
    <row r="422" spans="1:15" hidden="1" outlineLevel="1">
      <c r="A422" s="750" t="s">
        <v>1339</v>
      </c>
      <c r="B422" s="751">
        <v>7</v>
      </c>
      <c r="C422" s="753">
        <v>2023</v>
      </c>
      <c r="D422" s="752">
        <v>0</v>
      </c>
      <c r="E422" s="760">
        <v>0</v>
      </c>
      <c r="F422" s="754">
        <v>7263</v>
      </c>
      <c r="G422" s="760">
        <v>392.93</v>
      </c>
      <c r="H422" s="751">
        <v>0</v>
      </c>
      <c r="I422" s="760">
        <v>0</v>
      </c>
      <c r="J422" s="760">
        <v>0</v>
      </c>
      <c r="K422" s="753">
        <v>0</v>
      </c>
      <c r="L422" s="202">
        <f t="shared" si="24"/>
        <v>392.93</v>
      </c>
      <c r="M422" t="s">
        <v>1340</v>
      </c>
      <c r="O422" t="str">
        <f t="shared" si="23"/>
        <v>Regelzone TenneT (gesamt)</v>
      </c>
    </row>
    <row r="423" spans="1:15" hidden="1" outlineLevel="1">
      <c r="A423" s="750" t="s">
        <v>1341</v>
      </c>
      <c r="B423" s="751">
        <v>1</v>
      </c>
      <c r="C423" s="753">
        <v>2023</v>
      </c>
      <c r="D423" s="752">
        <v>0</v>
      </c>
      <c r="E423" s="760">
        <v>0</v>
      </c>
      <c r="F423" s="751">
        <v>0</v>
      </c>
      <c r="G423" s="760">
        <v>0</v>
      </c>
      <c r="H423" s="754">
        <v>-4214</v>
      </c>
      <c r="I423" s="760">
        <v>-245.82</v>
      </c>
      <c r="J423" s="760">
        <v>0</v>
      </c>
      <c r="K423" s="753">
        <v>0</v>
      </c>
      <c r="L423" s="202">
        <f t="shared" si="24"/>
        <v>-245.82</v>
      </c>
      <c r="M423" t="s">
        <v>1342</v>
      </c>
      <c r="O423" t="str">
        <f t="shared" si="23"/>
        <v>Regelzone TenneT (gesamt)</v>
      </c>
    </row>
    <row r="424" spans="1:15" hidden="1" outlineLevel="1">
      <c r="A424" s="750" t="s">
        <v>1341</v>
      </c>
      <c r="B424" s="751">
        <v>7</v>
      </c>
      <c r="C424" s="753">
        <v>2023</v>
      </c>
      <c r="D424" s="752">
        <v>0</v>
      </c>
      <c r="E424" s="760">
        <v>0</v>
      </c>
      <c r="F424" s="751">
        <v>0</v>
      </c>
      <c r="G424" s="760">
        <v>0</v>
      </c>
      <c r="H424" s="754">
        <v>50651</v>
      </c>
      <c r="I424" s="760">
        <v>5321.68</v>
      </c>
      <c r="J424" s="760">
        <v>0</v>
      </c>
      <c r="K424" s="753">
        <v>0</v>
      </c>
      <c r="L424" s="202">
        <f t="shared" si="24"/>
        <v>5321.68</v>
      </c>
      <c r="M424" t="s">
        <v>1342</v>
      </c>
      <c r="O424" t="str">
        <f t="shared" si="23"/>
        <v>Regelzone TenneT (gesamt)</v>
      </c>
    </row>
    <row r="425" spans="1:15" hidden="1" outlineLevel="1">
      <c r="A425" s="750" t="s">
        <v>1361</v>
      </c>
      <c r="B425" s="751">
        <v>7</v>
      </c>
      <c r="C425" s="753">
        <v>2022</v>
      </c>
      <c r="D425" s="752">
        <v>0</v>
      </c>
      <c r="E425" s="760">
        <v>0</v>
      </c>
      <c r="F425" s="754">
        <v>-184701</v>
      </c>
      <c r="G425" s="760">
        <v>-9992.32</v>
      </c>
      <c r="H425" s="754">
        <v>125000</v>
      </c>
      <c r="I425" s="760">
        <v>11137.79</v>
      </c>
      <c r="J425" s="760">
        <v>0</v>
      </c>
      <c r="K425" s="753">
        <v>0</v>
      </c>
      <c r="L425" s="202">
        <f t="shared" si="24"/>
        <v>1145.4700000000012</v>
      </c>
      <c r="M425" t="s">
        <v>1362</v>
      </c>
      <c r="O425" t="str">
        <f t="shared" si="23"/>
        <v>Regelzone TenneT (gesamt)</v>
      </c>
    </row>
    <row r="426" spans="1:15" hidden="1" outlineLevel="1">
      <c r="A426" s="750" t="s">
        <v>1361</v>
      </c>
      <c r="B426" s="751">
        <v>7</v>
      </c>
      <c r="C426" s="753">
        <v>2023</v>
      </c>
      <c r="D426" s="752">
        <v>0</v>
      </c>
      <c r="E426" s="760">
        <v>0</v>
      </c>
      <c r="F426" s="754">
        <v>-127500</v>
      </c>
      <c r="G426" s="760">
        <v>-6897.75</v>
      </c>
      <c r="H426" s="754">
        <v>100000</v>
      </c>
      <c r="I426" s="760">
        <v>8664.65</v>
      </c>
      <c r="J426" s="760">
        <v>0</v>
      </c>
      <c r="K426" s="753">
        <v>0</v>
      </c>
      <c r="L426" s="202">
        <f t="shared" si="24"/>
        <v>1766.8999999999996</v>
      </c>
      <c r="M426" t="s">
        <v>1362</v>
      </c>
      <c r="O426" t="str">
        <f t="shared" si="23"/>
        <v>Regelzone TenneT (gesamt)</v>
      </c>
    </row>
    <row r="427" spans="1:15" hidden="1" outlineLevel="1">
      <c r="A427" s="750" t="s">
        <v>1361</v>
      </c>
      <c r="B427" s="751">
        <v>7</v>
      </c>
      <c r="C427" s="753">
        <v>2021</v>
      </c>
      <c r="D427" s="752">
        <v>0</v>
      </c>
      <c r="E427" s="760">
        <v>0</v>
      </c>
      <c r="F427" s="754">
        <v>-201961</v>
      </c>
      <c r="G427" s="760">
        <v>-10926.09</v>
      </c>
      <c r="H427" s="754">
        <v>125000</v>
      </c>
      <c r="I427" s="760">
        <v>12975.13</v>
      </c>
      <c r="J427" s="760">
        <v>0</v>
      </c>
      <c r="K427" s="753">
        <v>0</v>
      </c>
      <c r="L427" s="202">
        <f t="shared" si="24"/>
        <v>2049.0399999999991</v>
      </c>
      <c r="M427" t="s">
        <v>1362</v>
      </c>
      <c r="O427" t="str">
        <f t="shared" si="23"/>
        <v>Regelzone TenneT (gesamt)</v>
      </c>
    </row>
    <row r="428" spans="1:15" hidden="1" outlineLevel="1">
      <c r="A428" s="750" t="s">
        <v>1478</v>
      </c>
      <c r="B428" s="751">
        <v>1</v>
      </c>
      <c r="C428" s="753">
        <v>2022</v>
      </c>
      <c r="D428" s="752">
        <v>0</v>
      </c>
      <c r="E428" s="760">
        <v>0</v>
      </c>
      <c r="F428" s="751">
        <v>0</v>
      </c>
      <c r="G428" s="760">
        <v>0</v>
      </c>
      <c r="H428" s="754">
        <v>-86806</v>
      </c>
      <c r="I428" s="760">
        <v>-6026.4</v>
      </c>
      <c r="J428" s="760">
        <v>0</v>
      </c>
      <c r="K428" s="753">
        <v>0</v>
      </c>
      <c r="L428" s="202">
        <f t="shared" si="24"/>
        <v>-6026.4</v>
      </c>
      <c r="M428" t="s">
        <v>1479</v>
      </c>
      <c r="O428" t="str">
        <f t="shared" si="23"/>
        <v>Regelzone TenneT (gesamt)</v>
      </c>
    </row>
    <row r="429" spans="1:15" hidden="1" outlineLevel="1">
      <c r="A429" s="750" t="s">
        <v>1478</v>
      </c>
      <c r="B429" s="751">
        <v>1</v>
      </c>
      <c r="C429" s="753">
        <v>2023</v>
      </c>
      <c r="D429" s="752">
        <v>0</v>
      </c>
      <c r="E429" s="760">
        <v>0</v>
      </c>
      <c r="F429" s="751">
        <v>0</v>
      </c>
      <c r="G429" s="760">
        <v>0</v>
      </c>
      <c r="H429" s="754">
        <v>-28753</v>
      </c>
      <c r="I429" s="760">
        <v>-2015.62</v>
      </c>
      <c r="J429" s="760">
        <v>0</v>
      </c>
      <c r="K429" s="753">
        <v>0</v>
      </c>
      <c r="L429" s="202">
        <f t="shared" si="24"/>
        <v>-2015.62</v>
      </c>
      <c r="M429" t="s">
        <v>1479</v>
      </c>
      <c r="O429" t="str">
        <f t="shared" si="23"/>
        <v>Regelzone TenneT (gesamt)</v>
      </c>
    </row>
    <row r="430" spans="1:15" hidden="1" outlineLevel="1">
      <c r="A430" s="750" t="s">
        <v>1478</v>
      </c>
      <c r="B430" s="751">
        <v>1</v>
      </c>
      <c r="C430" s="753">
        <v>2021</v>
      </c>
      <c r="D430" s="752">
        <v>0</v>
      </c>
      <c r="E430" s="760">
        <v>0</v>
      </c>
      <c r="F430" s="751">
        <v>0</v>
      </c>
      <c r="G430" s="760">
        <v>0</v>
      </c>
      <c r="H430" s="754">
        <v>-38163</v>
      </c>
      <c r="I430" s="760">
        <v>-2671.42</v>
      </c>
      <c r="J430" s="760">
        <v>0</v>
      </c>
      <c r="K430" s="753">
        <v>0</v>
      </c>
      <c r="L430" s="202">
        <f t="shared" si="24"/>
        <v>-2671.42</v>
      </c>
      <c r="M430" t="s">
        <v>1479</v>
      </c>
      <c r="O430" t="str">
        <f t="shared" si="23"/>
        <v>Regelzone TenneT (gesamt)</v>
      </c>
    </row>
    <row r="431" spans="1:15" hidden="1" outlineLevel="1">
      <c r="A431" s="750" t="s">
        <v>1375</v>
      </c>
      <c r="B431" s="751">
        <v>7</v>
      </c>
      <c r="C431" s="753">
        <v>2023</v>
      </c>
      <c r="D431" s="752">
        <v>0</v>
      </c>
      <c r="E431" s="760">
        <v>0</v>
      </c>
      <c r="F431" s="754">
        <v>-1044</v>
      </c>
      <c r="G431" s="760">
        <v>-56.48</v>
      </c>
      <c r="H431" s="754">
        <v>19459</v>
      </c>
      <c r="I431" s="760">
        <v>1872.56</v>
      </c>
      <c r="J431" s="760">
        <v>0</v>
      </c>
      <c r="K431" s="753">
        <v>0</v>
      </c>
      <c r="L431" s="202">
        <f t="shared" si="24"/>
        <v>1816.08</v>
      </c>
      <c r="M431" t="s">
        <v>1376</v>
      </c>
      <c r="O431" t="str">
        <f t="shared" si="23"/>
        <v>Regelzone TenneT (gesamt)</v>
      </c>
    </row>
    <row r="432" spans="1:15" hidden="1" outlineLevel="1">
      <c r="A432" s="750" t="s">
        <v>1391</v>
      </c>
      <c r="B432" s="751">
        <v>7</v>
      </c>
      <c r="C432" s="753">
        <v>2023</v>
      </c>
      <c r="D432" s="752">
        <v>0</v>
      </c>
      <c r="E432" s="760">
        <v>0</v>
      </c>
      <c r="F432" s="751">
        <v>272</v>
      </c>
      <c r="G432" s="760">
        <v>14.72</v>
      </c>
      <c r="H432" s="751">
        <v>0</v>
      </c>
      <c r="I432" s="760">
        <v>0</v>
      </c>
      <c r="J432" s="760">
        <v>0</v>
      </c>
      <c r="K432" s="753">
        <v>0</v>
      </c>
      <c r="L432" s="202">
        <f t="shared" si="24"/>
        <v>14.72</v>
      </c>
      <c r="M432" t="s">
        <v>1392</v>
      </c>
      <c r="O432" t="str">
        <f t="shared" si="23"/>
        <v>Regelzone TenneT (gesamt)</v>
      </c>
    </row>
    <row r="433" spans="1:15" hidden="1" outlineLevel="1">
      <c r="A433" s="750" t="s">
        <v>194</v>
      </c>
      <c r="B433" s="751">
        <v>7</v>
      </c>
      <c r="C433" s="753">
        <v>2022</v>
      </c>
      <c r="D433" s="752">
        <v>0</v>
      </c>
      <c r="E433" s="760">
        <v>0</v>
      </c>
      <c r="F433" s="751">
        <v>0</v>
      </c>
      <c r="G433" s="760">
        <v>0</v>
      </c>
      <c r="H433" s="754">
        <v>172313</v>
      </c>
      <c r="I433" s="760">
        <v>12504.92</v>
      </c>
      <c r="J433" s="760">
        <v>0</v>
      </c>
      <c r="K433" s="753">
        <v>0</v>
      </c>
      <c r="L433" s="202">
        <f t="shared" si="24"/>
        <v>12504.92</v>
      </c>
      <c r="M433" t="s">
        <v>195</v>
      </c>
      <c r="O433" t="str">
        <f t="shared" si="23"/>
        <v>Regelzone TenneT (gesamt)</v>
      </c>
    </row>
    <row r="434" spans="1:15" hidden="1" outlineLevel="1">
      <c r="A434" s="750" t="s">
        <v>194</v>
      </c>
      <c r="B434" s="751">
        <v>7</v>
      </c>
      <c r="C434" s="753">
        <v>2023</v>
      </c>
      <c r="D434" s="752">
        <v>0</v>
      </c>
      <c r="E434" s="760">
        <v>0</v>
      </c>
      <c r="F434" s="751">
        <v>0</v>
      </c>
      <c r="G434" s="760">
        <v>0</v>
      </c>
      <c r="H434" s="754">
        <v>832226</v>
      </c>
      <c r="I434" s="760">
        <v>54882.68</v>
      </c>
      <c r="J434" s="760">
        <v>0</v>
      </c>
      <c r="K434" s="753">
        <v>0</v>
      </c>
      <c r="L434" s="202">
        <f t="shared" si="24"/>
        <v>54882.68</v>
      </c>
      <c r="M434" t="s">
        <v>195</v>
      </c>
      <c r="O434" t="str">
        <f t="shared" si="23"/>
        <v>Regelzone TenneT (gesamt)</v>
      </c>
    </row>
    <row r="435" spans="1:15" hidden="1" outlineLevel="1">
      <c r="A435" s="750" t="s">
        <v>194</v>
      </c>
      <c r="B435" s="751">
        <v>7</v>
      </c>
      <c r="C435" s="753">
        <v>2021</v>
      </c>
      <c r="D435" s="752">
        <v>0</v>
      </c>
      <c r="E435" s="760">
        <v>0</v>
      </c>
      <c r="F435" s="751">
        <v>0</v>
      </c>
      <c r="G435" s="760">
        <v>0</v>
      </c>
      <c r="H435" s="754">
        <v>174047</v>
      </c>
      <c r="I435" s="760">
        <v>12120.68</v>
      </c>
      <c r="J435" s="760">
        <v>0</v>
      </c>
      <c r="K435" s="753">
        <v>0</v>
      </c>
      <c r="L435" s="202">
        <f t="shared" si="24"/>
        <v>12120.68</v>
      </c>
      <c r="M435" t="s">
        <v>195</v>
      </c>
      <c r="O435" t="str">
        <f t="shared" si="23"/>
        <v>Regelzone TenneT (gesamt)</v>
      </c>
    </row>
    <row r="436" spans="1:15" hidden="1" outlineLevel="1">
      <c r="A436" s="750" t="s">
        <v>1399</v>
      </c>
      <c r="B436" s="751">
        <v>7</v>
      </c>
      <c r="C436" s="753">
        <v>2021</v>
      </c>
      <c r="D436" s="752">
        <v>0</v>
      </c>
      <c r="E436" s="760">
        <v>0</v>
      </c>
      <c r="F436" s="754">
        <v>1361610</v>
      </c>
      <c r="G436" s="760">
        <v>59641.22</v>
      </c>
      <c r="H436" s="754">
        <v>530916</v>
      </c>
      <c r="I436" s="760">
        <v>48582.92</v>
      </c>
      <c r="J436" s="760">
        <v>-6.62</v>
      </c>
      <c r="K436" s="753">
        <v>0</v>
      </c>
      <c r="L436" s="202">
        <f t="shared" si="24"/>
        <v>108217.52</v>
      </c>
      <c r="M436" t="s">
        <v>1400</v>
      </c>
      <c r="O436" t="str">
        <f t="shared" si="23"/>
        <v>Regelzone TenneT (gesamt)</v>
      </c>
    </row>
    <row r="437" spans="1:15" hidden="1" outlineLevel="1">
      <c r="A437" s="750" t="s">
        <v>1399</v>
      </c>
      <c r="B437" s="751">
        <v>7</v>
      </c>
      <c r="C437" s="753">
        <v>2022</v>
      </c>
      <c r="D437" s="752">
        <v>0</v>
      </c>
      <c r="E437" s="760">
        <v>0</v>
      </c>
      <c r="F437" s="754">
        <v>1243931</v>
      </c>
      <c r="G437" s="760">
        <v>56447.63</v>
      </c>
      <c r="H437" s="754">
        <v>842197</v>
      </c>
      <c r="I437" s="760">
        <v>96153.89</v>
      </c>
      <c r="J437" s="760">
        <v>-2835.94</v>
      </c>
      <c r="K437" s="753">
        <v>0</v>
      </c>
      <c r="L437" s="202">
        <f t="shared" si="24"/>
        <v>149765.57999999999</v>
      </c>
      <c r="M437" t="s">
        <v>1400</v>
      </c>
      <c r="O437" t="str">
        <f t="shared" si="23"/>
        <v>Regelzone TenneT (gesamt)</v>
      </c>
    </row>
    <row r="438" spans="1:15" hidden="1" outlineLevel="1">
      <c r="A438" s="750" t="s">
        <v>1399</v>
      </c>
      <c r="B438" s="751">
        <v>7</v>
      </c>
      <c r="C438" s="753">
        <v>2023</v>
      </c>
      <c r="D438" s="752">
        <v>0</v>
      </c>
      <c r="E438" s="760">
        <v>0</v>
      </c>
      <c r="F438" s="754">
        <v>330783</v>
      </c>
      <c r="G438" s="760">
        <v>17895.36</v>
      </c>
      <c r="H438" s="754">
        <v>728774</v>
      </c>
      <c r="I438" s="760">
        <v>73290.62</v>
      </c>
      <c r="J438" s="760">
        <v>0</v>
      </c>
      <c r="K438" s="753">
        <v>0</v>
      </c>
      <c r="L438" s="202">
        <f t="shared" si="24"/>
        <v>91185.98</v>
      </c>
      <c r="M438" t="s">
        <v>1400</v>
      </c>
      <c r="O438" t="str">
        <f t="shared" si="23"/>
        <v>Regelzone TenneT (gesamt)</v>
      </c>
    </row>
    <row r="439" spans="1:15" hidden="1" outlineLevel="1">
      <c r="A439" s="750" t="s">
        <v>1401</v>
      </c>
      <c r="B439" s="751">
        <v>7</v>
      </c>
      <c r="C439" s="753">
        <v>2021</v>
      </c>
      <c r="D439" s="756">
        <v>-44473</v>
      </c>
      <c r="E439" s="760">
        <v>-2272.5700000000002</v>
      </c>
      <c r="F439" s="754">
        <v>185933</v>
      </c>
      <c r="G439" s="760">
        <v>10058.98</v>
      </c>
      <c r="H439" s="754">
        <v>255270</v>
      </c>
      <c r="I439" s="760">
        <v>18429.72</v>
      </c>
      <c r="J439" s="760">
        <v>-1155.43</v>
      </c>
      <c r="K439" s="753">
        <v>0</v>
      </c>
      <c r="L439" s="202">
        <f t="shared" si="24"/>
        <v>25060.7</v>
      </c>
      <c r="M439" t="s">
        <v>1402</v>
      </c>
      <c r="O439" t="str">
        <f t="shared" si="23"/>
        <v>Regelzone TenneT (gesamt)</v>
      </c>
    </row>
    <row r="440" spans="1:15" hidden="1" outlineLevel="1">
      <c r="A440" s="750" t="s">
        <v>1401</v>
      </c>
      <c r="B440" s="751">
        <v>7</v>
      </c>
      <c r="C440" s="753">
        <v>2022</v>
      </c>
      <c r="D440" s="756">
        <v>180370</v>
      </c>
      <c r="E440" s="760">
        <v>4668.62</v>
      </c>
      <c r="F440" s="754">
        <v>421742</v>
      </c>
      <c r="G440" s="760">
        <v>22816.25</v>
      </c>
      <c r="H440" s="754">
        <v>-135752</v>
      </c>
      <c r="I440" s="760">
        <v>-29810.19</v>
      </c>
      <c r="J440" s="760">
        <v>-6055.01</v>
      </c>
      <c r="K440" s="753">
        <v>0</v>
      </c>
      <c r="L440" s="202">
        <f t="shared" si="24"/>
        <v>-8380.33</v>
      </c>
      <c r="M440" t="s">
        <v>1402</v>
      </c>
      <c r="O440" t="str">
        <f t="shared" si="23"/>
        <v>Regelzone TenneT (gesamt)</v>
      </c>
    </row>
    <row r="441" spans="1:15" hidden="1" outlineLevel="1">
      <c r="A441" s="750" t="s">
        <v>1401</v>
      </c>
      <c r="B441" s="751">
        <v>1</v>
      </c>
      <c r="C441" s="753">
        <v>2023</v>
      </c>
      <c r="D441" s="752">
        <v>0</v>
      </c>
      <c r="E441" s="760">
        <v>0</v>
      </c>
      <c r="F441" s="754">
        <v>-431518</v>
      </c>
      <c r="G441" s="760">
        <v>-19993.490000000002</v>
      </c>
      <c r="H441" s="754">
        <v>-107334</v>
      </c>
      <c r="I441" s="760">
        <v>-12012.76</v>
      </c>
      <c r="J441" s="760">
        <v>0</v>
      </c>
      <c r="K441" s="753">
        <v>0</v>
      </c>
      <c r="L441" s="202">
        <f t="shared" si="24"/>
        <v>-32006.25</v>
      </c>
      <c r="M441" t="s">
        <v>1402</v>
      </c>
      <c r="O441" t="str">
        <f t="shared" si="23"/>
        <v>Regelzone TenneT (gesamt)</v>
      </c>
    </row>
    <row r="442" spans="1:15" hidden="1" outlineLevel="1">
      <c r="A442" s="750" t="s">
        <v>1401</v>
      </c>
      <c r="B442" s="751">
        <v>7</v>
      </c>
      <c r="C442" s="753">
        <v>2023</v>
      </c>
      <c r="D442" s="756">
        <v>264452</v>
      </c>
      <c r="E442" s="760">
        <v>5818.86</v>
      </c>
      <c r="F442" s="754">
        <v>2768949</v>
      </c>
      <c r="G442" s="760">
        <v>149800.14000000001</v>
      </c>
      <c r="H442" s="754">
        <v>18830573</v>
      </c>
      <c r="I442" s="760">
        <v>892199.66</v>
      </c>
      <c r="J442" s="760">
        <v>-13138.7</v>
      </c>
      <c r="K442" s="753">
        <v>0</v>
      </c>
      <c r="L442" s="202">
        <f t="shared" ref="L442:L472" si="25">E442+G442+I442+J442+K442</f>
        <v>1034679.9600000001</v>
      </c>
      <c r="M442" t="s">
        <v>1402</v>
      </c>
      <c r="O442" t="str">
        <f t="shared" si="23"/>
        <v>Regelzone TenneT (gesamt)</v>
      </c>
    </row>
    <row r="443" spans="1:15" hidden="1" outlineLevel="1">
      <c r="A443" s="750" t="s">
        <v>1401</v>
      </c>
      <c r="B443" s="751">
        <v>7</v>
      </c>
      <c r="C443" s="753">
        <v>2020</v>
      </c>
      <c r="D443" s="752">
        <v>-711</v>
      </c>
      <c r="E443" s="760">
        <v>-36.33</v>
      </c>
      <c r="F443" s="754">
        <v>18261</v>
      </c>
      <c r="G443" s="760">
        <v>987.92</v>
      </c>
      <c r="H443" s="754">
        <v>71546</v>
      </c>
      <c r="I443" s="760">
        <v>5025.32</v>
      </c>
      <c r="J443" s="760">
        <v>0</v>
      </c>
      <c r="K443" s="753">
        <v>0</v>
      </c>
      <c r="L443" s="202">
        <f t="shared" si="25"/>
        <v>5976.91</v>
      </c>
      <c r="M443" t="s">
        <v>1402</v>
      </c>
      <c r="O443" t="str">
        <f t="shared" ref="O443:O478" si="26">$A$315</f>
        <v>Regelzone TenneT (gesamt)</v>
      </c>
    </row>
    <row r="444" spans="1:15" hidden="1" outlineLevel="1">
      <c r="A444" s="750" t="s">
        <v>1401</v>
      </c>
      <c r="B444" s="751">
        <v>7</v>
      </c>
      <c r="C444" s="753">
        <v>2019</v>
      </c>
      <c r="D444" s="756">
        <v>-5470</v>
      </c>
      <c r="E444" s="760">
        <v>-279.52</v>
      </c>
      <c r="F444" s="751">
        <v>0</v>
      </c>
      <c r="G444" s="760">
        <v>0</v>
      </c>
      <c r="H444" s="751">
        <v>0</v>
      </c>
      <c r="I444" s="760">
        <v>0</v>
      </c>
      <c r="J444" s="760">
        <v>0</v>
      </c>
      <c r="K444" s="753">
        <v>0</v>
      </c>
      <c r="L444" s="202">
        <f t="shared" si="25"/>
        <v>-279.52</v>
      </c>
      <c r="M444" t="s">
        <v>1402</v>
      </c>
      <c r="O444" t="str">
        <f t="shared" si="26"/>
        <v>Regelzone TenneT (gesamt)</v>
      </c>
    </row>
    <row r="445" spans="1:15" hidden="1" outlineLevel="1">
      <c r="A445" s="750" t="s">
        <v>1405</v>
      </c>
      <c r="B445" s="751">
        <v>7</v>
      </c>
      <c r="C445" s="753">
        <v>2021</v>
      </c>
      <c r="D445" s="756">
        <v>350478.01</v>
      </c>
      <c r="E445" s="760">
        <v>17957.919999999998</v>
      </c>
      <c r="F445" s="754">
        <v>7132101.0199999996</v>
      </c>
      <c r="G445" s="760">
        <v>320562.18</v>
      </c>
      <c r="H445" s="754">
        <v>40003082.020000003</v>
      </c>
      <c r="I445" s="760">
        <v>2620423.65</v>
      </c>
      <c r="J445" s="760">
        <v>-26569.24</v>
      </c>
      <c r="K445" s="753">
        <v>0</v>
      </c>
      <c r="L445" s="202">
        <f t="shared" si="25"/>
        <v>2932374.51</v>
      </c>
      <c r="M445" t="s">
        <v>1406</v>
      </c>
      <c r="O445" t="str">
        <f t="shared" si="26"/>
        <v>Regelzone TenneT (gesamt)</v>
      </c>
    </row>
    <row r="446" spans="1:15" hidden="1" outlineLevel="1">
      <c r="A446" s="750" t="s">
        <v>1407</v>
      </c>
      <c r="B446" s="751">
        <v>7</v>
      </c>
      <c r="C446" s="753">
        <v>2020</v>
      </c>
      <c r="D446" s="752">
        <v>0</v>
      </c>
      <c r="E446" s="760">
        <v>0</v>
      </c>
      <c r="F446" s="754">
        <v>143093</v>
      </c>
      <c r="G446" s="760">
        <v>7741.33</v>
      </c>
      <c r="H446" s="754">
        <v>1256426</v>
      </c>
      <c r="I446" s="760">
        <v>85318.5</v>
      </c>
      <c r="J446" s="760">
        <v>-61.12</v>
      </c>
      <c r="K446" s="753">
        <v>0</v>
      </c>
      <c r="L446" s="202">
        <f t="shared" si="25"/>
        <v>92998.71</v>
      </c>
      <c r="M446" t="s">
        <v>1408</v>
      </c>
      <c r="O446" t="str">
        <f t="shared" si="26"/>
        <v>Regelzone TenneT (gesamt)</v>
      </c>
    </row>
    <row r="447" spans="1:15" hidden="1" outlineLevel="1">
      <c r="A447" s="750" t="s">
        <v>1409</v>
      </c>
      <c r="B447" s="751">
        <v>7</v>
      </c>
      <c r="C447" s="753">
        <v>2023</v>
      </c>
      <c r="D447" s="752">
        <v>0</v>
      </c>
      <c r="E447" s="760">
        <v>0</v>
      </c>
      <c r="F447" s="754">
        <v>21500</v>
      </c>
      <c r="G447" s="760">
        <v>1163.1500000000001</v>
      </c>
      <c r="H447" s="754">
        <v>233385</v>
      </c>
      <c r="I447" s="760">
        <v>23188.959999999999</v>
      </c>
      <c r="J447" s="760">
        <v>0</v>
      </c>
      <c r="K447" s="753">
        <v>0</v>
      </c>
      <c r="L447" s="202">
        <f t="shared" si="25"/>
        <v>24352.11</v>
      </c>
      <c r="M447" t="s">
        <v>1410</v>
      </c>
      <c r="O447" t="str">
        <f t="shared" si="26"/>
        <v>Regelzone TenneT (gesamt)</v>
      </c>
    </row>
    <row r="448" spans="1:15" hidden="1" outlineLevel="1">
      <c r="A448" s="750" t="s">
        <v>1409</v>
      </c>
      <c r="B448" s="751">
        <v>7</v>
      </c>
      <c r="C448" s="753">
        <v>2022</v>
      </c>
      <c r="D448" s="752">
        <v>0</v>
      </c>
      <c r="E448" s="760">
        <v>0</v>
      </c>
      <c r="F448" s="751">
        <v>0</v>
      </c>
      <c r="G448" s="760">
        <v>0</v>
      </c>
      <c r="H448" s="754">
        <v>-7649</v>
      </c>
      <c r="I448" s="760">
        <v>1524.24</v>
      </c>
      <c r="J448" s="760">
        <v>0</v>
      </c>
      <c r="K448" s="753">
        <v>0</v>
      </c>
      <c r="L448" s="202">
        <f t="shared" si="25"/>
        <v>1524.24</v>
      </c>
      <c r="M448" t="s">
        <v>1410</v>
      </c>
      <c r="O448" t="str">
        <f t="shared" si="26"/>
        <v>Regelzone TenneT (gesamt)</v>
      </c>
    </row>
    <row r="449" spans="1:15" hidden="1" outlineLevel="1">
      <c r="A449" s="750" t="s">
        <v>509</v>
      </c>
      <c r="B449" s="751">
        <v>7</v>
      </c>
      <c r="C449" s="753">
        <v>2022</v>
      </c>
      <c r="D449" s="756">
        <v>-115765</v>
      </c>
      <c r="E449" s="760">
        <v>-5915.57</v>
      </c>
      <c r="F449" s="754">
        <v>837503</v>
      </c>
      <c r="G449" s="760">
        <v>33051</v>
      </c>
      <c r="H449" s="754">
        <v>1108102</v>
      </c>
      <c r="I449" s="760">
        <v>76145.78</v>
      </c>
      <c r="J449" s="760">
        <v>1199.94</v>
      </c>
      <c r="K449" s="753">
        <v>0</v>
      </c>
      <c r="L449" s="202">
        <f t="shared" si="25"/>
        <v>104481.15</v>
      </c>
      <c r="M449" t="s">
        <v>510</v>
      </c>
      <c r="O449" t="str">
        <f t="shared" si="26"/>
        <v>Regelzone TenneT (gesamt)</v>
      </c>
    </row>
    <row r="450" spans="1:15" hidden="1" outlineLevel="1">
      <c r="A450" s="750" t="s">
        <v>509</v>
      </c>
      <c r="B450" s="751">
        <v>7</v>
      </c>
      <c r="C450" s="753">
        <v>2023</v>
      </c>
      <c r="D450" s="752">
        <v>0</v>
      </c>
      <c r="E450" s="760">
        <v>0</v>
      </c>
      <c r="F450" s="754">
        <v>2484529</v>
      </c>
      <c r="G450" s="760">
        <v>126913.63</v>
      </c>
      <c r="H450" s="754">
        <v>6678137</v>
      </c>
      <c r="I450" s="760">
        <v>520375.86</v>
      </c>
      <c r="J450" s="760">
        <v>-907.59</v>
      </c>
      <c r="K450" s="753">
        <v>0</v>
      </c>
      <c r="L450" s="202">
        <f t="shared" si="25"/>
        <v>646381.9</v>
      </c>
      <c r="M450" t="s">
        <v>510</v>
      </c>
      <c r="O450" t="str">
        <f t="shared" si="26"/>
        <v>Regelzone TenneT (gesamt)</v>
      </c>
    </row>
    <row r="451" spans="1:15" hidden="1" outlineLevel="1">
      <c r="A451" s="750" t="s">
        <v>509</v>
      </c>
      <c r="B451" s="751">
        <v>7</v>
      </c>
      <c r="C451" s="753">
        <v>2021</v>
      </c>
      <c r="D451" s="752">
        <v>-320</v>
      </c>
      <c r="E451" s="760">
        <v>-16.350000000000001</v>
      </c>
      <c r="F451" s="754">
        <v>1020102</v>
      </c>
      <c r="G451" s="760">
        <v>42521.89</v>
      </c>
      <c r="H451" s="754">
        <v>556713</v>
      </c>
      <c r="I451" s="760">
        <v>31330.01</v>
      </c>
      <c r="J451" s="760">
        <v>-2188.4</v>
      </c>
      <c r="K451" s="753">
        <v>0</v>
      </c>
      <c r="L451" s="202">
        <f t="shared" si="25"/>
        <v>71647.150000000009</v>
      </c>
      <c r="M451" t="s">
        <v>510</v>
      </c>
      <c r="O451" t="str">
        <f t="shared" si="26"/>
        <v>Regelzone TenneT (gesamt)</v>
      </c>
    </row>
    <row r="452" spans="1:15" hidden="1" outlineLevel="1">
      <c r="A452" s="750" t="s">
        <v>1411</v>
      </c>
      <c r="B452" s="751">
        <v>7</v>
      </c>
      <c r="C452" s="753">
        <v>2023</v>
      </c>
      <c r="D452" s="752">
        <v>0</v>
      </c>
      <c r="E452" s="760">
        <v>0</v>
      </c>
      <c r="F452" s="751">
        <v>0</v>
      </c>
      <c r="G452" s="760">
        <v>0</v>
      </c>
      <c r="H452" s="754">
        <v>76963</v>
      </c>
      <c r="I452" s="760">
        <v>7185.44</v>
      </c>
      <c r="J452" s="760">
        <v>0</v>
      </c>
      <c r="K452" s="753">
        <v>0</v>
      </c>
      <c r="L452" s="202">
        <f t="shared" si="25"/>
        <v>7185.44</v>
      </c>
      <c r="M452" t="s">
        <v>1412</v>
      </c>
      <c r="O452" t="str">
        <f t="shared" si="26"/>
        <v>Regelzone TenneT (gesamt)</v>
      </c>
    </row>
    <row r="453" spans="1:15" hidden="1" outlineLevel="1">
      <c r="A453" s="750" t="s">
        <v>1411</v>
      </c>
      <c r="B453" s="751">
        <v>7</v>
      </c>
      <c r="C453" s="753">
        <v>2022</v>
      </c>
      <c r="D453" s="752">
        <v>0</v>
      </c>
      <c r="E453" s="760">
        <v>0</v>
      </c>
      <c r="F453" s="751">
        <v>0</v>
      </c>
      <c r="G453" s="760">
        <v>0</v>
      </c>
      <c r="H453" s="754">
        <v>79978</v>
      </c>
      <c r="I453" s="760">
        <v>7834.24</v>
      </c>
      <c r="J453" s="760">
        <v>0</v>
      </c>
      <c r="K453" s="753">
        <v>0</v>
      </c>
      <c r="L453" s="202">
        <f t="shared" si="25"/>
        <v>7834.24</v>
      </c>
      <c r="M453" t="s">
        <v>1412</v>
      </c>
      <c r="O453" t="str">
        <f t="shared" si="26"/>
        <v>Regelzone TenneT (gesamt)</v>
      </c>
    </row>
    <row r="454" spans="1:15" hidden="1" outlineLevel="1">
      <c r="A454" s="750" t="s">
        <v>388</v>
      </c>
      <c r="B454" s="751">
        <v>1</v>
      </c>
      <c r="C454" s="753">
        <v>2021</v>
      </c>
      <c r="D454" s="756">
        <v>-54398</v>
      </c>
      <c r="E454" s="760">
        <v>-2779.74</v>
      </c>
      <c r="F454" s="754">
        <v>-325957</v>
      </c>
      <c r="G454" s="760">
        <v>-17094.16</v>
      </c>
      <c r="H454" s="754">
        <v>-122306</v>
      </c>
      <c r="I454" s="760">
        <v>-14017.4</v>
      </c>
      <c r="J454" s="760">
        <v>-410.92</v>
      </c>
      <c r="K454" s="753">
        <v>0</v>
      </c>
      <c r="L454" s="202">
        <f t="shared" si="25"/>
        <v>-34302.22</v>
      </c>
      <c r="M454" t="s">
        <v>389</v>
      </c>
      <c r="O454" t="str">
        <f t="shared" si="26"/>
        <v>Regelzone TenneT (gesamt)</v>
      </c>
    </row>
    <row r="455" spans="1:15" hidden="1" outlineLevel="1">
      <c r="A455" s="750" t="s">
        <v>388</v>
      </c>
      <c r="B455" s="751">
        <v>7</v>
      </c>
      <c r="C455" s="753">
        <v>2021</v>
      </c>
      <c r="D455" s="756">
        <v>49672.01</v>
      </c>
      <c r="E455" s="760">
        <v>2538.2399999999998</v>
      </c>
      <c r="F455" s="754">
        <v>881703</v>
      </c>
      <c r="G455" s="760">
        <v>47700.15</v>
      </c>
      <c r="H455" s="754">
        <v>8748672.0099999998</v>
      </c>
      <c r="I455" s="760">
        <v>491782.46</v>
      </c>
      <c r="J455" s="760">
        <v>-2744.76</v>
      </c>
      <c r="K455" s="753">
        <v>0</v>
      </c>
      <c r="L455" s="202">
        <f t="shared" si="25"/>
        <v>539276.09</v>
      </c>
      <c r="M455" t="s">
        <v>389</v>
      </c>
      <c r="O455" t="str">
        <f t="shared" si="26"/>
        <v>Regelzone TenneT (gesamt)</v>
      </c>
    </row>
    <row r="456" spans="1:15" hidden="1" outlineLevel="1">
      <c r="A456" s="750" t="s">
        <v>388</v>
      </c>
      <c r="B456" s="751">
        <v>1</v>
      </c>
      <c r="C456" s="753">
        <v>2020</v>
      </c>
      <c r="D456" s="756">
        <v>-102112</v>
      </c>
      <c r="E456" s="760">
        <v>-5217.92</v>
      </c>
      <c r="F456" s="754">
        <v>-46000</v>
      </c>
      <c r="G456" s="760">
        <v>-2488.6</v>
      </c>
      <c r="H456" s="754">
        <v>-253107</v>
      </c>
      <c r="I456" s="760">
        <v>-14408.2</v>
      </c>
      <c r="J456" s="760">
        <v>376.26</v>
      </c>
      <c r="K456" s="753">
        <v>0</v>
      </c>
      <c r="L456" s="202">
        <f t="shared" si="25"/>
        <v>-21738.460000000003</v>
      </c>
      <c r="M456" t="s">
        <v>389</v>
      </c>
      <c r="O456" t="str">
        <f t="shared" si="26"/>
        <v>Regelzone TenneT (gesamt)</v>
      </c>
    </row>
    <row r="457" spans="1:15" hidden="1" outlineLevel="1">
      <c r="A457" s="750" t="s">
        <v>388</v>
      </c>
      <c r="B457" s="751">
        <v>7</v>
      </c>
      <c r="C457" s="753">
        <v>2020</v>
      </c>
      <c r="D457" s="756">
        <v>66806</v>
      </c>
      <c r="E457" s="760">
        <v>3413.78</v>
      </c>
      <c r="F457" s="754">
        <v>890141</v>
      </c>
      <c r="G457" s="760">
        <v>47565.53</v>
      </c>
      <c r="H457" s="754">
        <v>3398382</v>
      </c>
      <c r="I457" s="760">
        <v>266273.55</v>
      </c>
      <c r="J457" s="760">
        <v>-6581.78</v>
      </c>
      <c r="K457" s="753">
        <v>0</v>
      </c>
      <c r="L457" s="202">
        <f t="shared" si="25"/>
        <v>310671.07999999996</v>
      </c>
      <c r="M457" t="s">
        <v>389</v>
      </c>
      <c r="O457" t="str">
        <f t="shared" ref="O457:O469" si="27">$A$315</f>
        <v>Regelzone TenneT (gesamt)</v>
      </c>
    </row>
    <row r="458" spans="1:15" hidden="1" outlineLevel="1">
      <c r="A458" s="750" t="s">
        <v>724</v>
      </c>
      <c r="B458" s="751">
        <v>7</v>
      </c>
      <c r="C458" s="753">
        <v>2022</v>
      </c>
      <c r="D458" s="756">
        <v>-19633</v>
      </c>
      <c r="E458" s="760">
        <v>-1003.25</v>
      </c>
      <c r="F458" s="754">
        <v>-16371</v>
      </c>
      <c r="G458" s="760">
        <v>-885.69</v>
      </c>
      <c r="H458" s="754">
        <v>216909</v>
      </c>
      <c r="I458" s="760">
        <v>37874.11</v>
      </c>
      <c r="J458" s="760">
        <v>283.95999999999998</v>
      </c>
      <c r="K458" s="753">
        <v>0</v>
      </c>
      <c r="L458" s="202">
        <f t="shared" si="25"/>
        <v>36269.129999999997</v>
      </c>
      <c r="M458" t="s">
        <v>725</v>
      </c>
      <c r="O458" t="str">
        <f t="shared" si="27"/>
        <v>Regelzone TenneT (gesamt)</v>
      </c>
    </row>
    <row r="459" spans="1:15" hidden="1" outlineLevel="1">
      <c r="A459" s="750" t="s">
        <v>724</v>
      </c>
      <c r="B459" s="751">
        <v>7</v>
      </c>
      <c r="C459" s="753">
        <v>2023</v>
      </c>
      <c r="D459" s="752">
        <v>0</v>
      </c>
      <c r="E459" s="760">
        <v>0</v>
      </c>
      <c r="F459" s="754">
        <v>1010487</v>
      </c>
      <c r="G459" s="760">
        <v>54667.39</v>
      </c>
      <c r="H459" s="754">
        <v>1522866.0560000001</v>
      </c>
      <c r="I459" s="760">
        <v>118266.39</v>
      </c>
      <c r="J459" s="760">
        <v>-2096.83</v>
      </c>
      <c r="K459" s="753">
        <v>0</v>
      </c>
      <c r="L459" s="202">
        <f t="shared" si="25"/>
        <v>170836.95</v>
      </c>
      <c r="M459" t="s">
        <v>725</v>
      </c>
      <c r="O459" t="str">
        <f t="shared" si="27"/>
        <v>Regelzone TenneT (gesamt)</v>
      </c>
    </row>
    <row r="460" spans="1:15" hidden="1" outlineLevel="1">
      <c r="A460" s="750" t="s">
        <v>724</v>
      </c>
      <c r="B460" s="751">
        <v>7</v>
      </c>
      <c r="C460" s="753">
        <v>2021</v>
      </c>
      <c r="D460" s="752">
        <v>0</v>
      </c>
      <c r="E460" s="760">
        <v>0</v>
      </c>
      <c r="F460" s="754">
        <v>-86300</v>
      </c>
      <c r="G460" s="760">
        <v>-4668.82</v>
      </c>
      <c r="H460" s="754">
        <v>73155</v>
      </c>
      <c r="I460" s="760">
        <v>11768.64</v>
      </c>
      <c r="J460" s="760">
        <v>423.39</v>
      </c>
      <c r="K460" s="753">
        <v>0</v>
      </c>
      <c r="L460" s="202">
        <f t="shared" si="25"/>
        <v>7523.21</v>
      </c>
      <c r="M460" t="s">
        <v>725</v>
      </c>
      <c r="O460" t="str">
        <f t="shared" si="27"/>
        <v>Regelzone TenneT (gesamt)</v>
      </c>
    </row>
    <row r="461" spans="1:15" hidden="1" outlineLevel="1">
      <c r="A461" s="750" t="s">
        <v>1417</v>
      </c>
      <c r="B461" s="751">
        <v>7</v>
      </c>
      <c r="C461" s="753">
        <v>2022</v>
      </c>
      <c r="D461" s="752">
        <v>0</v>
      </c>
      <c r="E461" s="760">
        <v>0</v>
      </c>
      <c r="F461" s="754">
        <v>6729.32</v>
      </c>
      <c r="G461" s="760">
        <v>364.06</v>
      </c>
      <c r="H461" s="754">
        <v>17633</v>
      </c>
      <c r="I461" s="760">
        <v>2061.13</v>
      </c>
      <c r="J461" s="760">
        <v>0</v>
      </c>
      <c r="K461" s="753">
        <v>0</v>
      </c>
      <c r="L461" s="202">
        <f t="shared" si="25"/>
        <v>2425.19</v>
      </c>
      <c r="M461" t="s">
        <v>1418</v>
      </c>
      <c r="O461" t="str">
        <f t="shared" si="27"/>
        <v>Regelzone TenneT (gesamt)</v>
      </c>
    </row>
    <row r="462" spans="1:15" hidden="1" outlineLevel="1">
      <c r="A462" s="750" t="s">
        <v>1417</v>
      </c>
      <c r="B462" s="751">
        <v>7</v>
      </c>
      <c r="C462" s="753">
        <v>2021</v>
      </c>
      <c r="D462" s="752">
        <v>0</v>
      </c>
      <c r="E462" s="760">
        <v>0</v>
      </c>
      <c r="F462" s="751">
        <v>556</v>
      </c>
      <c r="G462" s="760">
        <v>30.08</v>
      </c>
      <c r="H462" s="751">
        <v>0</v>
      </c>
      <c r="I462" s="760">
        <v>0</v>
      </c>
      <c r="J462" s="760">
        <v>0</v>
      </c>
      <c r="K462" s="753">
        <v>0</v>
      </c>
      <c r="L462" s="202">
        <f t="shared" si="25"/>
        <v>30.08</v>
      </c>
      <c r="M462" t="s">
        <v>1418</v>
      </c>
      <c r="O462" t="str">
        <f t="shared" si="27"/>
        <v>Regelzone TenneT (gesamt)</v>
      </c>
    </row>
    <row r="463" spans="1:15" hidden="1" outlineLevel="1">
      <c r="A463" s="750" t="s">
        <v>1419</v>
      </c>
      <c r="B463" s="751">
        <v>7</v>
      </c>
      <c r="C463" s="753">
        <v>2021</v>
      </c>
      <c r="D463" s="752">
        <v>0</v>
      </c>
      <c r="E463" s="760">
        <v>0</v>
      </c>
      <c r="F463" s="751">
        <v>0</v>
      </c>
      <c r="G463" s="760">
        <v>0</v>
      </c>
      <c r="H463" s="754">
        <v>20285</v>
      </c>
      <c r="I463" s="760">
        <v>2787.92</v>
      </c>
      <c r="J463" s="760">
        <v>1783.92</v>
      </c>
      <c r="K463" s="753">
        <v>0</v>
      </c>
      <c r="L463" s="202">
        <f t="shared" si="25"/>
        <v>4571.84</v>
      </c>
      <c r="M463" t="s">
        <v>1420</v>
      </c>
      <c r="O463" t="str">
        <f t="shared" si="27"/>
        <v>Regelzone TenneT (gesamt)</v>
      </c>
    </row>
    <row r="464" spans="1:15" hidden="1" outlineLevel="1">
      <c r="A464" s="750" t="s">
        <v>1425</v>
      </c>
      <c r="B464" s="751">
        <v>7</v>
      </c>
      <c r="C464" s="753">
        <v>2022</v>
      </c>
      <c r="D464" s="752">
        <v>0</v>
      </c>
      <c r="E464" s="760">
        <v>0</v>
      </c>
      <c r="F464" s="751">
        <v>0</v>
      </c>
      <c r="G464" s="760">
        <v>0</v>
      </c>
      <c r="H464" s="754">
        <v>3665302</v>
      </c>
      <c r="I464" s="760">
        <v>247419.85</v>
      </c>
      <c r="J464" s="760">
        <v>0</v>
      </c>
      <c r="K464" s="753">
        <v>0</v>
      </c>
      <c r="L464" s="202">
        <f t="shared" si="25"/>
        <v>247419.85</v>
      </c>
      <c r="M464" t="s">
        <v>1426</v>
      </c>
      <c r="O464" t="str">
        <f t="shared" si="27"/>
        <v>Regelzone TenneT (gesamt)</v>
      </c>
    </row>
    <row r="465" spans="1:16" hidden="1" outlineLevel="1">
      <c r="A465" s="750" t="s">
        <v>1425</v>
      </c>
      <c r="B465" s="751">
        <v>7</v>
      </c>
      <c r="C465" s="753">
        <v>2023</v>
      </c>
      <c r="D465" s="752">
        <v>0</v>
      </c>
      <c r="E465" s="760">
        <v>0</v>
      </c>
      <c r="F465" s="751">
        <v>0</v>
      </c>
      <c r="G465" s="760">
        <v>0</v>
      </c>
      <c r="H465" s="754">
        <v>4819491</v>
      </c>
      <c r="I465" s="760">
        <v>321831.09999999998</v>
      </c>
      <c r="J465" s="760">
        <v>0</v>
      </c>
      <c r="K465" s="753">
        <v>0</v>
      </c>
      <c r="L465" s="202">
        <f t="shared" si="25"/>
        <v>321831.09999999998</v>
      </c>
      <c r="M465" t="s">
        <v>1426</v>
      </c>
      <c r="O465" t="str">
        <f t="shared" si="27"/>
        <v>Regelzone TenneT (gesamt)</v>
      </c>
    </row>
    <row r="466" spans="1:16" hidden="1" outlineLevel="1">
      <c r="A466" s="750" t="s">
        <v>1425</v>
      </c>
      <c r="B466" s="751">
        <v>7</v>
      </c>
      <c r="C466" s="753">
        <v>2021</v>
      </c>
      <c r="D466" s="752">
        <v>0</v>
      </c>
      <c r="E466" s="760">
        <v>0</v>
      </c>
      <c r="F466" s="751">
        <v>0</v>
      </c>
      <c r="G466" s="760">
        <v>0</v>
      </c>
      <c r="H466" s="754">
        <v>1690826</v>
      </c>
      <c r="I466" s="760">
        <v>114942.33</v>
      </c>
      <c r="J466" s="760">
        <v>0</v>
      </c>
      <c r="K466" s="753">
        <v>0</v>
      </c>
      <c r="L466" s="202">
        <f t="shared" si="25"/>
        <v>114942.33</v>
      </c>
      <c r="M466" t="s">
        <v>1426</v>
      </c>
      <c r="O466" t="str">
        <f t="shared" si="27"/>
        <v>Regelzone TenneT (gesamt)</v>
      </c>
    </row>
    <row r="467" spans="1:16" hidden="1" outlineLevel="1">
      <c r="A467" s="750" t="s">
        <v>664</v>
      </c>
      <c r="B467" s="751">
        <v>7</v>
      </c>
      <c r="C467" s="753">
        <v>2023</v>
      </c>
      <c r="D467" s="752">
        <v>0</v>
      </c>
      <c r="E467" s="760">
        <v>0</v>
      </c>
      <c r="F467" s="754">
        <v>65813.005000000005</v>
      </c>
      <c r="G467" s="760">
        <v>3560.48</v>
      </c>
      <c r="H467" s="751">
        <v>0</v>
      </c>
      <c r="I467" s="760">
        <v>0</v>
      </c>
      <c r="J467" s="760">
        <v>0</v>
      </c>
      <c r="K467" s="753">
        <v>0</v>
      </c>
      <c r="L467" s="202">
        <f t="shared" si="25"/>
        <v>3560.48</v>
      </c>
      <c r="M467" t="s">
        <v>665</v>
      </c>
      <c r="O467" t="str">
        <f t="shared" si="27"/>
        <v>Regelzone TenneT (gesamt)</v>
      </c>
    </row>
    <row r="468" spans="1:16" hidden="1" outlineLevel="1">
      <c r="A468" s="750" t="s">
        <v>664</v>
      </c>
      <c r="B468" s="751">
        <v>7</v>
      </c>
      <c r="C468" s="753">
        <v>2022</v>
      </c>
      <c r="D468" s="752">
        <v>0</v>
      </c>
      <c r="E468" s="760">
        <v>0</v>
      </c>
      <c r="F468" s="754">
        <v>132129.88500000001</v>
      </c>
      <c r="G468" s="760">
        <v>7148.23</v>
      </c>
      <c r="H468" s="751">
        <v>0</v>
      </c>
      <c r="I468" s="760">
        <v>0</v>
      </c>
      <c r="J468" s="760">
        <v>0</v>
      </c>
      <c r="K468" s="753">
        <v>0</v>
      </c>
      <c r="L468" s="202">
        <f t="shared" si="25"/>
        <v>7148.23</v>
      </c>
      <c r="M468" t="s">
        <v>665</v>
      </c>
      <c r="O468" t="str">
        <f t="shared" si="27"/>
        <v>Regelzone TenneT (gesamt)</v>
      </c>
    </row>
    <row r="469" spans="1:16" hidden="1" outlineLevel="1">
      <c r="A469" s="750" t="s">
        <v>469</v>
      </c>
      <c r="B469" s="751">
        <v>7</v>
      </c>
      <c r="C469" s="753">
        <v>2023</v>
      </c>
      <c r="D469" s="752">
        <v>0</v>
      </c>
      <c r="E469" s="760">
        <v>0</v>
      </c>
      <c r="F469" s="751">
        <v>0</v>
      </c>
      <c r="G469" s="760">
        <v>0</v>
      </c>
      <c r="H469" s="751">
        <v>22</v>
      </c>
      <c r="I469" s="760">
        <v>0.84</v>
      </c>
      <c r="J469" s="760">
        <v>0</v>
      </c>
      <c r="K469" s="753">
        <v>0</v>
      </c>
      <c r="L469" s="202">
        <f t="shared" si="25"/>
        <v>0.84</v>
      </c>
      <c r="M469" t="s">
        <v>1437</v>
      </c>
      <c r="O469" t="str">
        <f t="shared" si="27"/>
        <v>Regelzone TenneT (gesamt)</v>
      </c>
    </row>
    <row r="470" spans="1:16" hidden="1" outlineLevel="1">
      <c r="A470" s="750" t="s">
        <v>469</v>
      </c>
      <c r="B470" s="751">
        <v>1</v>
      </c>
      <c r="C470" s="753">
        <v>2022</v>
      </c>
      <c r="D470" s="752">
        <v>0</v>
      </c>
      <c r="E470" s="760">
        <v>0</v>
      </c>
      <c r="F470" s="751">
        <v>0</v>
      </c>
      <c r="G470" s="760">
        <v>0</v>
      </c>
      <c r="H470" s="751">
        <v>-270</v>
      </c>
      <c r="I470" s="760">
        <v>-11.08</v>
      </c>
      <c r="J470" s="760">
        <v>0</v>
      </c>
      <c r="K470" s="753">
        <v>0</v>
      </c>
      <c r="L470" s="202">
        <f t="shared" si="25"/>
        <v>-11.08</v>
      </c>
      <c r="M470" t="s">
        <v>1437</v>
      </c>
      <c r="O470" t="str">
        <f t="shared" si="26"/>
        <v>Regelzone TenneT (gesamt)</v>
      </c>
    </row>
    <row r="471" spans="1:16" hidden="1" outlineLevel="1">
      <c r="A471" s="750" t="s">
        <v>469</v>
      </c>
      <c r="B471" s="751">
        <v>7</v>
      </c>
      <c r="C471" s="753">
        <v>2022</v>
      </c>
      <c r="D471" s="752">
        <v>0</v>
      </c>
      <c r="E471" s="760">
        <v>0</v>
      </c>
      <c r="F471" s="754">
        <v>423437</v>
      </c>
      <c r="G471" s="760">
        <v>22907.94</v>
      </c>
      <c r="H471" s="751">
        <v>0</v>
      </c>
      <c r="I471" s="760">
        <v>0</v>
      </c>
      <c r="J471" s="760">
        <v>0</v>
      </c>
      <c r="K471" s="753">
        <v>0</v>
      </c>
      <c r="L471" s="202">
        <f t="shared" si="25"/>
        <v>22907.94</v>
      </c>
      <c r="M471" t="s">
        <v>1437</v>
      </c>
      <c r="O471" t="str">
        <f t="shared" si="26"/>
        <v>Regelzone TenneT (gesamt)</v>
      </c>
    </row>
    <row r="472" spans="1:16" hidden="1" outlineLevel="1">
      <c r="A472" s="750" t="s">
        <v>1446</v>
      </c>
      <c r="B472" s="751">
        <v>7</v>
      </c>
      <c r="C472" s="753">
        <v>2023</v>
      </c>
      <c r="D472" s="752">
        <v>0</v>
      </c>
      <c r="E472" s="760">
        <v>0</v>
      </c>
      <c r="F472" s="754">
        <v>41782</v>
      </c>
      <c r="G472" s="760">
        <v>2260.41</v>
      </c>
      <c r="H472" s="751">
        <v>0</v>
      </c>
      <c r="I472" s="760">
        <v>0</v>
      </c>
      <c r="J472" s="760">
        <v>0</v>
      </c>
      <c r="K472" s="753">
        <v>0</v>
      </c>
      <c r="L472" s="202">
        <f t="shared" si="25"/>
        <v>2260.41</v>
      </c>
      <c r="M472" t="s">
        <v>1447</v>
      </c>
      <c r="O472" t="str">
        <f t="shared" si="26"/>
        <v>Regelzone TenneT (gesamt)</v>
      </c>
    </row>
    <row r="473" spans="1:16" hidden="1" outlineLevel="1">
      <c r="A473" s="750" t="s">
        <v>1446</v>
      </c>
      <c r="B473" s="751">
        <v>7</v>
      </c>
      <c r="C473" s="753">
        <v>2022</v>
      </c>
      <c r="D473" s="752">
        <v>0</v>
      </c>
      <c r="E473" s="760">
        <v>0</v>
      </c>
      <c r="F473" s="754">
        <v>2588</v>
      </c>
      <c r="G473" s="760">
        <v>140.01</v>
      </c>
      <c r="H473" s="754">
        <v>579342.04</v>
      </c>
      <c r="I473" s="760">
        <v>13374.23</v>
      </c>
      <c r="J473" s="760">
        <v>0</v>
      </c>
      <c r="K473" s="753">
        <v>0</v>
      </c>
      <c r="L473" s="202">
        <f t="shared" ref="L473:L479" si="28">E473+G473+I473+J473+K473</f>
        <v>13514.24</v>
      </c>
      <c r="M473" t="s">
        <v>1447</v>
      </c>
      <c r="O473" t="str">
        <f t="shared" si="26"/>
        <v>Regelzone TenneT (gesamt)</v>
      </c>
    </row>
    <row r="474" spans="1:16" hidden="1" outlineLevel="1">
      <c r="A474" s="750" t="s">
        <v>1480</v>
      </c>
      <c r="B474" s="751">
        <v>7</v>
      </c>
      <c r="C474" s="753">
        <v>2023</v>
      </c>
      <c r="D474" s="752">
        <v>0</v>
      </c>
      <c r="E474" s="760">
        <v>0</v>
      </c>
      <c r="F474" s="751">
        <v>0</v>
      </c>
      <c r="G474" s="760">
        <v>0</v>
      </c>
      <c r="H474" s="754">
        <v>50577</v>
      </c>
      <c r="I474" s="760">
        <v>6885.72</v>
      </c>
      <c r="J474" s="760">
        <v>0</v>
      </c>
      <c r="K474" s="753">
        <v>0</v>
      </c>
      <c r="L474" s="202">
        <f t="shared" si="28"/>
        <v>6885.72</v>
      </c>
      <c r="M474" t="s">
        <v>1481</v>
      </c>
      <c r="O474" t="str">
        <f t="shared" si="26"/>
        <v>Regelzone TenneT (gesamt)</v>
      </c>
    </row>
    <row r="475" spans="1:16" hidden="1" outlineLevel="1">
      <c r="A475" s="750" t="s">
        <v>1462</v>
      </c>
      <c r="B475" s="751">
        <v>7</v>
      </c>
      <c r="C475" s="753">
        <v>2023</v>
      </c>
      <c r="D475" s="752">
        <v>0</v>
      </c>
      <c r="E475" s="760">
        <v>0</v>
      </c>
      <c r="F475" s="754">
        <v>428660.40399999998</v>
      </c>
      <c r="G475" s="760">
        <v>23190.54</v>
      </c>
      <c r="H475" s="754">
        <v>66257.591</v>
      </c>
      <c r="I475" s="760">
        <v>5561.83</v>
      </c>
      <c r="J475" s="760">
        <v>1173.6099999999999</v>
      </c>
      <c r="K475" s="753">
        <v>0</v>
      </c>
      <c r="L475" s="202">
        <f t="shared" si="28"/>
        <v>29925.980000000003</v>
      </c>
      <c r="M475" t="s">
        <v>1463</v>
      </c>
      <c r="O475" t="str">
        <f t="shared" si="26"/>
        <v>Regelzone TenneT (gesamt)</v>
      </c>
    </row>
    <row r="476" spans="1:16" hidden="1" outlineLevel="1">
      <c r="A476" s="750" t="s">
        <v>1462</v>
      </c>
      <c r="B476" s="751">
        <v>7</v>
      </c>
      <c r="C476" s="753">
        <v>2022</v>
      </c>
      <c r="D476" s="752">
        <v>0</v>
      </c>
      <c r="E476" s="760">
        <v>0</v>
      </c>
      <c r="F476" s="751">
        <v>0</v>
      </c>
      <c r="G476" s="760">
        <v>0</v>
      </c>
      <c r="H476" s="754">
        <v>14250.741</v>
      </c>
      <c r="I476" s="760">
        <v>723.79</v>
      </c>
      <c r="J476" s="760">
        <v>0</v>
      </c>
      <c r="K476" s="753">
        <v>0</v>
      </c>
      <c r="L476" s="202">
        <f t="shared" si="28"/>
        <v>723.79</v>
      </c>
      <c r="M476" t="s">
        <v>1463</v>
      </c>
      <c r="O476" t="str">
        <f t="shared" si="26"/>
        <v>Regelzone TenneT (gesamt)</v>
      </c>
    </row>
    <row r="477" spans="1:16" hidden="1" outlineLevel="1">
      <c r="A477" s="750" t="s">
        <v>1466</v>
      </c>
      <c r="B477" s="751">
        <v>1</v>
      </c>
      <c r="C477" s="753">
        <v>2023</v>
      </c>
      <c r="D477" s="752">
        <v>0</v>
      </c>
      <c r="E477" s="760">
        <v>0</v>
      </c>
      <c r="F477" s="751">
        <v>0</v>
      </c>
      <c r="G477" s="760">
        <v>0</v>
      </c>
      <c r="H477" s="754">
        <v>7643.0550000000003</v>
      </c>
      <c r="I477" s="760">
        <v>-6718.6</v>
      </c>
      <c r="J477" s="760">
        <v>0</v>
      </c>
      <c r="K477" s="753">
        <v>0</v>
      </c>
      <c r="L477" s="202">
        <f t="shared" si="28"/>
        <v>-6718.6</v>
      </c>
      <c r="M477" t="s">
        <v>1467</v>
      </c>
      <c r="O477" t="str">
        <f t="shared" si="26"/>
        <v>Regelzone TenneT (gesamt)</v>
      </c>
    </row>
    <row r="478" spans="1:16" hidden="1" outlineLevel="1">
      <c r="A478" s="750" t="s">
        <v>1466</v>
      </c>
      <c r="B478" s="751">
        <v>1</v>
      </c>
      <c r="C478" s="753">
        <v>2022</v>
      </c>
      <c r="D478" s="752">
        <v>0</v>
      </c>
      <c r="E478" s="760">
        <v>0</v>
      </c>
      <c r="F478" s="751">
        <v>0</v>
      </c>
      <c r="G478" s="760">
        <v>0</v>
      </c>
      <c r="H478" s="751">
        <v>0</v>
      </c>
      <c r="I478" s="760">
        <v>-9363.11</v>
      </c>
      <c r="J478" s="760">
        <v>0</v>
      </c>
      <c r="K478" s="753">
        <v>0</v>
      </c>
      <c r="L478" s="202">
        <f t="shared" si="28"/>
        <v>-9363.11</v>
      </c>
      <c r="M478" t="s">
        <v>1467</v>
      </c>
      <c r="O478" t="str">
        <f t="shared" si="26"/>
        <v>Regelzone TenneT (gesamt)</v>
      </c>
    </row>
    <row r="479" spans="1:16" ht="39" collapsed="1" thickBot="1">
      <c r="A479" s="1134" t="s">
        <v>1486</v>
      </c>
      <c r="B479" s="1135"/>
      <c r="C479" s="1136"/>
      <c r="D479" s="189">
        <f t="shared" ref="D479:K479" si="29">SUM(D480:D588)</f>
        <v>633198</v>
      </c>
      <c r="E479" s="188">
        <f t="shared" si="29"/>
        <v>31417.579999999998</v>
      </c>
      <c r="F479" s="189">
        <f t="shared" si="29"/>
        <v>27868628</v>
      </c>
      <c r="G479" s="188">
        <f t="shared" si="29"/>
        <v>1482943.55</v>
      </c>
      <c r="H479" s="189">
        <f t="shared" si="29"/>
        <v>229750593</v>
      </c>
      <c r="I479" s="188">
        <f t="shared" si="29"/>
        <v>10497139.030000001</v>
      </c>
      <c r="J479" s="201">
        <f t="shared" si="29"/>
        <v>-35717.85</v>
      </c>
      <c r="K479" s="191">
        <f t="shared" si="29"/>
        <v>0</v>
      </c>
      <c r="L479" s="191">
        <f t="shared" si="28"/>
        <v>11975782.310000002</v>
      </c>
      <c r="M479" s="5"/>
      <c r="P479" s="127"/>
    </row>
    <row r="480" spans="1:16" hidden="1" outlineLevel="1">
      <c r="A480" s="139" t="s">
        <v>1571</v>
      </c>
      <c r="B480" s="14" t="s">
        <v>1742</v>
      </c>
      <c r="C480" s="494">
        <v>2021</v>
      </c>
      <c r="D480" s="193">
        <v>0</v>
      </c>
      <c r="E480" s="192">
        <v>0</v>
      </c>
      <c r="F480" s="193">
        <v>24605</v>
      </c>
      <c r="G480" s="192">
        <v>1331.13</v>
      </c>
      <c r="H480" s="193">
        <v>5178</v>
      </c>
      <c r="I480" s="192">
        <v>401.96</v>
      </c>
      <c r="J480" s="194">
        <v>0</v>
      </c>
      <c r="K480" s="195">
        <v>0</v>
      </c>
      <c r="L480" s="195">
        <v>1733.09</v>
      </c>
      <c r="M480" s="5" t="s">
        <v>1490</v>
      </c>
    </row>
    <row r="481" spans="1:13" hidden="1" outlineLevel="1">
      <c r="A481" s="139" t="s">
        <v>1581</v>
      </c>
      <c r="B481" s="14" t="s">
        <v>1742</v>
      </c>
      <c r="C481" s="494">
        <v>2021</v>
      </c>
      <c r="D481" s="193">
        <v>0</v>
      </c>
      <c r="E481" s="192">
        <v>0</v>
      </c>
      <c r="F481" s="193">
        <v>282173</v>
      </c>
      <c r="G481" s="192">
        <v>15265.57</v>
      </c>
      <c r="H481" s="193">
        <v>100000</v>
      </c>
      <c r="I481" s="192">
        <v>16000</v>
      </c>
      <c r="J481" s="194">
        <v>0</v>
      </c>
      <c r="K481" s="195">
        <v>0</v>
      </c>
      <c r="L481" s="195">
        <v>31265.57</v>
      </c>
      <c r="M481" s="5" t="s">
        <v>1490</v>
      </c>
    </row>
    <row r="482" spans="1:13" hidden="1" outlineLevel="1">
      <c r="A482" s="139" t="s">
        <v>1581</v>
      </c>
      <c r="B482" s="14" t="s">
        <v>1742</v>
      </c>
      <c r="C482" s="494">
        <v>2022</v>
      </c>
      <c r="D482" s="193">
        <v>0</v>
      </c>
      <c r="E482" s="192">
        <v>0</v>
      </c>
      <c r="F482" s="193">
        <v>337522</v>
      </c>
      <c r="G482" s="192">
        <v>18259.939999999999</v>
      </c>
      <c r="H482" s="193">
        <v>194020</v>
      </c>
      <c r="I482" s="192">
        <v>23790</v>
      </c>
      <c r="J482" s="194">
        <v>-94.45</v>
      </c>
      <c r="K482" s="195">
        <v>0</v>
      </c>
      <c r="L482" s="195">
        <v>41955.49</v>
      </c>
      <c r="M482" s="5" t="s">
        <v>1492</v>
      </c>
    </row>
    <row r="483" spans="1:13" hidden="1" outlineLevel="1">
      <c r="A483" s="139" t="s">
        <v>1581</v>
      </c>
      <c r="B483" s="14" t="s">
        <v>1742</v>
      </c>
      <c r="C483" s="494">
        <v>2023</v>
      </c>
      <c r="D483" s="193">
        <v>0</v>
      </c>
      <c r="E483" s="192">
        <v>0</v>
      </c>
      <c r="F483" s="193">
        <v>803582</v>
      </c>
      <c r="G483" s="192">
        <v>43473.79</v>
      </c>
      <c r="H483" s="193">
        <v>1943827</v>
      </c>
      <c r="I483" s="192">
        <v>164659.29</v>
      </c>
      <c r="J483" s="194">
        <v>-247.29</v>
      </c>
      <c r="K483" s="195">
        <v>0</v>
      </c>
      <c r="L483" s="195">
        <v>207885.79</v>
      </c>
      <c r="M483" s="5" t="s">
        <v>1492</v>
      </c>
    </row>
    <row r="484" spans="1:13" hidden="1" outlineLevel="1">
      <c r="A484" s="139" t="s">
        <v>1533</v>
      </c>
      <c r="B484" s="14" t="s">
        <v>1742</v>
      </c>
      <c r="C484" s="494">
        <v>2021</v>
      </c>
      <c r="D484" s="193">
        <v>0</v>
      </c>
      <c r="E484" s="192">
        <v>0</v>
      </c>
      <c r="F484" s="193">
        <v>15931</v>
      </c>
      <c r="G484" s="192">
        <v>861.87</v>
      </c>
      <c r="H484" s="193">
        <v>0</v>
      </c>
      <c r="I484" s="192">
        <v>0</v>
      </c>
      <c r="J484" s="194">
        <v>0</v>
      </c>
      <c r="K484" s="195">
        <v>0</v>
      </c>
      <c r="L484" s="195">
        <v>861.87</v>
      </c>
      <c r="M484" s="5" t="s">
        <v>1492</v>
      </c>
    </row>
    <row r="485" spans="1:13" hidden="1" outlineLevel="1">
      <c r="A485" s="139" t="s">
        <v>1533</v>
      </c>
      <c r="B485" s="14" t="s">
        <v>1742</v>
      </c>
      <c r="C485" s="494">
        <v>2023</v>
      </c>
      <c r="D485" s="193">
        <v>0</v>
      </c>
      <c r="E485" s="192">
        <v>0</v>
      </c>
      <c r="F485" s="193">
        <v>46117</v>
      </c>
      <c r="G485" s="192">
        <v>2494.9299999999998</v>
      </c>
      <c r="H485" s="193">
        <v>416605</v>
      </c>
      <c r="I485" s="192">
        <v>30836.06</v>
      </c>
      <c r="J485" s="194">
        <v>0</v>
      </c>
      <c r="K485" s="195">
        <v>0</v>
      </c>
      <c r="L485" s="195">
        <v>33330.99</v>
      </c>
      <c r="M485" s="5" t="s">
        <v>1494</v>
      </c>
    </row>
    <row r="486" spans="1:13" hidden="1" outlineLevel="1">
      <c r="A486" s="139" t="s">
        <v>1611</v>
      </c>
      <c r="B486" s="14" t="s">
        <v>1742</v>
      </c>
      <c r="C486" s="494">
        <v>2021</v>
      </c>
      <c r="D486" s="193">
        <v>0</v>
      </c>
      <c r="E486" s="192">
        <v>0</v>
      </c>
      <c r="F486" s="193">
        <v>-4001</v>
      </c>
      <c r="G486" s="192">
        <v>-216.45</v>
      </c>
      <c r="H486" s="193">
        <v>74999</v>
      </c>
      <c r="I486" s="192">
        <v>7796.8</v>
      </c>
      <c r="J486" s="194">
        <v>0</v>
      </c>
      <c r="K486" s="195">
        <v>0</v>
      </c>
      <c r="L486" s="195">
        <v>7580.35</v>
      </c>
      <c r="M486" s="5" t="s">
        <v>1506</v>
      </c>
    </row>
    <row r="487" spans="1:13" hidden="1" outlineLevel="1">
      <c r="A487" s="139" t="s">
        <v>1611</v>
      </c>
      <c r="B487" s="14" t="s">
        <v>1742</v>
      </c>
      <c r="C487" s="494">
        <v>2022</v>
      </c>
      <c r="D487" s="193">
        <v>0</v>
      </c>
      <c r="E487" s="192">
        <v>0</v>
      </c>
      <c r="F487" s="193">
        <v>-2959</v>
      </c>
      <c r="G487" s="192">
        <v>-160.08000000000001</v>
      </c>
      <c r="H487" s="193">
        <v>64642</v>
      </c>
      <c r="I487" s="192">
        <v>7372.88</v>
      </c>
      <c r="J487" s="194">
        <v>0</v>
      </c>
      <c r="K487" s="195">
        <v>0</v>
      </c>
      <c r="L487" s="195">
        <v>7212.8</v>
      </c>
      <c r="M487" s="5" t="s">
        <v>1516</v>
      </c>
    </row>
    <row r="488" spans="1:13" hidden="1" outlineLevel="1">
      <c r="A488" s="139" t="s">
        <v>1611</v>
      </c>
      <c r="B488" s="14" t="s">
        <v>1742</v>
      </c>
      <c r="C488" s="494">
        <v>2023</v>
      </c>
      <c r="D488" s="193">
        <v>0</v>
      </c>
      <c r="E488" s="192">
        <v>0</v>
      </c>
      <c r="F488" s="193">
        <v>306</v>
      </c>
      <c r="G488" s="192">
        <v>16.55</v>
      </c>
      <c r="H488" s="193">
        <v>66099</v>
      </c>
      <c r="I488" s="192">
        <v>8343.2000000000007</v>
      </c>
      <c r="J488" s="194">
        <v>0</v>
      </c>
      <c r="K488" s="195">
        <v>0</v>
      </c>
      <c r="L488" s="195">
        <v>8359.75</v>
      </c>
      <c r="M488" s="5" t="s">
        <v>1516</v>
      </c>
    </row>
    <row r="489" spans="1:13" hidden="1" outlineLevel="1">
      <c r="A489" s="139" t="s">
        <v>1559</v>
      </c>
      <c r="B489" s="14" t="s">
        <v>1742</v>
      </c>
      <c r="C489" s="494">
        <v>2023</v>
      </c>
      <c r="D489" s="193">
        <v>0</v>
      </c>
      <c r="E489" s="192">
        <v>0</v>
      </c>
      <c r="F489" s="193">
        <v>0</v>
      </c>
      <c r="G489" s="192">
        <v>0</v>
      </c>
      <c r="H489" s="193">
        <v>67654</v>
      </c>
      <c r="I489" s="192">
        <v>4864.16</v>
      </c>
      <c r="J489" s="194">
        <v>0</v>
      </c>
      <c r="K489" s="195">
        <v>0</v>
      </c>
      <c r="L489" s="195">
        <v>4864.16</v>
      </c>
      <c r="M489" s="5" t="s">
        <v>1518</v>
      </c>
    </row>
    <row r="490" spans="1:13" hidden="1" outlineLevel="1">
      <c r="A490" s="139" t="s">
        <v>1505</v>
      </c>
      <c r="B490" s="14" t="s">
        <v>1742</v>
      </c>
      <c r="C490" s="494">
        <v>2023</v>
      </c>
      <c r="D490" s="193">
        <v>0</v>
      </c>
      <c r="E490" s="192">
        <v>0</v>
      </c>
      <c r="F490" s="193">
        <v>0</v>
      </c>
      <c r="G490" s="192">
        <v>0</v>
      </c>
      <c r="H490" s="193">
        <v>80000</v>
      </c>
      <c r="I490" s="192">
        <v>6400</v>
      </c>
      <c r="J490" s="194">
        <v>0</v>
      </c>
      <c r="K490" s="195">
        <v>0</v>
      </c>
      <c r="L490" s="195">
        <v>6400</v>
      </c>
      <c r="M490" s="5" t="s">
        <v>1518</v>
      </c>
    </row>
    <row r="491" spans="1:13" hidden="1" outlineLevel="1">
      <c r="A491" s="139" t="s">
        <v>1643</v>
      </c>
      <c r="B491" s="14" t="s">
        <v>1742</v>
      </c>
      <c r="C491" s="494">
        <v>2022</v>
      </c>
      <c r="D491" s="193">
        <v>0</v>
      </c>
      <c r="E491" s="192">
        <v>0</v>
      </c>
      <c r="F491" s="193">
        <v>0</v>
      </c>
      <c r="G491" s="192">
        <v>0</v>
      </c>
      <c r="H491" s="193">
        <v>4286</v>
      </c>
      <c r="I491" s="192">
        <v>685.76</v>
      </c>
      <c r="J491" s="194">
        <v>0</v>
      </c>
      <c r="K491" s="195">
        <v>0</v>
      </c>
      <c r="L491" s="195">
        <v>685.76</v>
      </c>
      <c r="M491" s="5" t="s">
        <v>1518</v>
      </c>
    </row>
    <row r="492" spans="1:13" hidden="1" outlineLevel="1">
      <c r="A492" s="139" t="s">
        <v>1643</v>
      </c>
      <c r="B492" s="14" t="s">
        <v>1742</v>
      </c>
      <c r="C492" s="494">
        <v>2023</v>
      </c>
      <c r="D492" s="193">
        <v>0</v>
      </c>
      <c r="E492" s="192">
        <v>0</v>
      </c>
      <c r="F492" s="193">
        <v>0</v>
      </c>
      <c r="G492" s="192">
        <v>0</v>
      </c>
      <c r="H492" s="193">
        <v>54678</v>
      </c>
      <c r="I492" s="192">
        <v>7743.04</v>
      </c>
      <c r="J492" s="194">
        <v>0</v>
      </c>
      <c r="K492" s="195">
        <v>0</v>
      </c>
      <c r="L492" s="195">
        <v>7743.04</v>
      </c>
      <c r="M492" s="5" t="s">
        <v>1522</v>
      </c>
    </row>
    <row r="493" spans="1:13" hidden="1" outlineLevel="1">
      <c r="A493" s="139" t="s">
        <v>1579</v>
      </c>
      <c r="B493" s="14" t="s">
        <v>1742</v>
      </c>
      <c r="C493" s="494">
        <v>2022</v>
      </c>
      <c r="D493" s="193">
        <v>0</v>
      </c>
      <c r="E493" s="192">
        <v>0</v>
      </c>
      <c r="F493" s="193">
        <v>0</v>
      </c>
      <c r="G493" s="192">
        <v>0</v>
      </c>
      <c r="H493" s="193">
        <v>5509</v>
      </c>
      <c r="I493" s="192">
        <v>1027.48</v>
      </c>
      <c r="J493" s="194">
        <v>0</v>
      </c>
      <c r="K493" s="195">
        <v>0</v>
      </c>
      <c r="L493" s="195">
        <v>1027.48</v>
      </c>
      <c r="M493" s="5" t="s">
        <v>1522</v>
      </c>
    </row>
    <row r="494" spans="1:13" hidden="1" outlineLevel="1">
      <c r="A494" s="139" t="s">
        <v>1579</v>
      </c>
      <c r="B494" s="14" t="s">
        <v>1742</v>
      </c>
      <c r="C494" s="494">
        <v>2023</v>
      </c>
      <c r="D494" s="193">
        <v>0</v>
      </c>
      <c r="E494" s="192">
        <v>0</v>
      </c>
      <c r="F494" s="193">
        <v>-1018</v>
      </c>
      <c r="G494" s="192">
        <v>-55.07</v>
      </c>
      <c r="H494" s="193">
        <v>185472</v>
      </c>
      <c r="I494" s="192">
        <v>10674.74</v>
      </c>
      <c r="J494" s="194">
        <v>-332.82</v>
      </c>
      <c r="K494" s="195">
        <v>0</v>
      </c>
      <c r="L494" s="195">
        <v>10286.85</v>
      </c>
      <c r="M494" s="5" t="s">
        <v>1522</v>
      </c>
    </row>
    <row r="495" spans="1:13" hidden="1" outlineLevel="1">
      <c r="A495" s="139" t="s">
        <v>767</v>
      </c>
      <c r="B495" s="14" t="s">
        <v>1742</v>
      </c>
      <c r="C495" s="494">
        <v>2023</v>
      </c>
      <c r="D495" s="193">
        <v>0</v>
      </c>
      <c r="E495" s="192">
        <v>0</v>
      </c>
      <c r="F495" s="193">
        <v>34750</v>
      </c>
      <c r="G495" s="192">
        <v>1510.91</v>
      </c>
      <c r="H495" s="193">
        <v>29794</v>
      </c>
      <c r="I495" s="192">
        <v>2164.39</v>
      </c>
      <c r="J495" s="194">
        <v>0</v>
      </c>
      <c r="K495" s="195">
        <v>0</v>
      </c>
      <c r="L495" s="195">
        <v>3675.3</v>
      </c>
      <c r="M495" s="5" t="s">
        <v>1526</v>
      </c>
    </row>
    <row r="496" spans="1:13" hidden="1" outlineLevel="1">
      <c r="A496" s="139" t="s">
        <v>1705</v>
      </c>
      <c r="B496" s="14" t="s">
        <v>1742</v>
      </c>
      <c r="C496" s="494">
        <v>2022</v>
      </c>
      <c r="D496" s="193">
        <v>0</v>
      </c>
      <c r="E496" s="192">
        <v>0</v>
      </c>
      <c r="F496" s="193">
        <v>-59365</v>
      </c>
      <c r="G496" s="192">
        <v>-3211.65</v>
      </c>
      <c r="H496" s="193">
        <v>57979</v>
      </c>
      <c r="I496" s="192">
        <v>5794.92</v>
      </c>
      <c r="J496" s="194">
        <v>0</v>
      </c>
      <c r="K496" s="195">
        <v>0</v>
      </c>
      <c r="L496" s="195">
        <v>2583.27</v>
      </c>
      <c r="M496" s="5" t="s">
        <v>1526</v>
      </c>
    </row>
    <row r="497" spans="1:13" hidden="1" outlineLevel="1">
      <c r="A497" s="139" t="s">
        <v>1705</v>
      </c>
      <c r="B497" s="14" t="s">
        <v>1742</v>
      </c>
      <c r="C497" s="494">
        <v>2023</v>
      </c>
      <c r="D497" s="193">
        <v>0</v>
      </c>
      <c r="E497" s="192">
        <v>0</v>
      </c>
      <c r="F497" s="193">
        <v>39905</v>
      </c>
      <c r="G497" s="192">
        <v>2158.86</v>
      </c>
      <c r="H497" s="193">
        <v>314854</v>
      </c>
      <c r="I497" s="192">
        <v>27700.6</v>
      </c>
      <c r="J497" s="194">
        <v>0</v>
      </c>
      <c r="K497" s="195">
        <v>0</v>
      </c>
      <c r="L497" s="195">
        <v>29859.46</v>
      </c>
      <c r="M497" s="5" t="s">
        <v>1526</v>
      </c>
    </row>
    <row r="498" spans="1:13" hidden="1" outlineLevel="1">
      <c r="A498" s="139" t="s">
        <v>1689</v>
      </c>
      <c r="B498" s="14" t="s">
        <v>1742</v>
      </c>
      <c r="C498" s="494">
        <v>2022</v>
      </c>
      <c r="D498" s="193">
        <v>0</v>
      </c>
      <c r="E498" s="192">
        <v>0</v>
      </c>
      <c r="F498" s="193">
        <v>-24559</v>
      </c>
      <c r="G498" s="192">
        <v>-1328.64</v>
      </c>
      <c r="H498" s="193">
        <v>43</v>
      </c>
      <c r="I498" s="192">
        <v>42.24</v>
      </c>
      <c r="J498" s="194">
        <v>0</v>
      </c>
      <c r="K498" s="195">
        <v>0</v>
      </c>
      <c r="L498" s="195">
        <v>-1286.4000000000001</v>
      </c>
      <c r="M498" s="5" t="s">
        <v>1534</v>
      </c>
    </row>
    <row r="499" spans="1:13" hidden="1" outlineLevel="1">
      <c r="A499" s="139" t="s">
        <v>1689</v>
      </c>
      <c r="B499" s="14" t="s">
        <v>1742</v>
      </c>
      <c r="C499" s="494">
        <v>2023</v>
      </c>
      <c r="D499" s="193">
        <v>0</v>
      </c>
      <c r="E499" s="192">
        <v>0</v>
      </c>
      <c r="F499" s="193">
        <v>-23471</v>
      </c>
      <c r="G499" s="192">
        <v>-1269.78</v>
      </c>
      <c r="H499" s="193">
        <v>0</v>
      </c>
      <c r="I499" s="192">
        <v>0</v>
      </c>
      <c r="J499" s="194">
        <v>0</v>
      </c>
      <c r="K499" s="195">
        <v>0</v>
      </c>
      <c r="L499" s="195">
        <v>-1269.78</v>
      </c>
      <c r="M499" s="5" t="s">
        <v>1534</v>
      </c>
    </row>
    <row r="500" spans="1:13" hidden="1" outlineLevel="1">
      <c r="A500" s="139" t="s">
        <v>1577</v>
      </c>
      <c r="B500" s="14" t="s">
        <v>1742</v>
      </c>
      <c r="C500" s="494">
        <v>2021</v>
      </c>
      <c r="D500" s="193">
        <v>0</v>
      </c>
      <c r="E500" s="192">
        <v>0</v>
      </c>
      <c r="F500" s="193">
        <v>0</v>
      </c>
      <c r="G500" s="192">
        <v>0</v>
      </c>
      <c r="H500" s="193">
        <v>-6300</v>
      </c>
      <c r="I500" s="192">
        <v>-272.32</v>
      </c>
      <c r="J500" s="194">
        <v>0</v>
      </c>
      <c r="K500" s="195">
        <v>0</v>
      </c>
      <c r="L500" s="195">
        <v>-272.32</v>
      </c>
      <c r="M500" s="5" t="s">
        <v>1542</v>
      </c>
    </row>
    <row r="501" spans="1:13" hidden="1" outlineLevel="1">
      <c r="A501" s="139" t="s">
        <v>1577</v>
      </c>
      <c r="B501" s="14" t="s">
        <v>1742</v>
      </c>
      <c r="C501" s="494">
        <v>2022</v>
      </c>
      <c r="D501" s="193">
        <v>0</v>
      </c>
      <c r="E501" s="192">
        <v>0</v>
      </c>
      <c r="F501" s="193">
        <v>0</v>
      </c>
      <c r="G501" s="192">
        <v>0</v>
      </c>
      <c r="H501" s="193">
        <v>-11412</v>
      </c>
      <c r="I501" s="192">
        <v>-490.24</v>
      </c>
      <c r="J501" s="194">
        <v>0</v>
      </c>
      <c r="K501" s="195">
        <v>0</v>
      </c>
      <c r="L501" s="195">
        <v>-490.24</v>
      </c>
      <c r="M501" s="5" t="s">
        <v>1542</v>
      </c>
    </row>
    <row r="502" spans="1:13" hidden="1" outlineLevel="1">
      <c r="A502" s="139" t="s">
        <v>1577</v>
      </c>
      <c r="B502" s="14" t="s">
        <v>1742</v>
      </c>
      <c r="C502" s="494">
        <v>2023</v>
      </c>
      <c r="D502" s="193">
        <v>0</v>
      </c>
      <c r="E502" s="192">
        <v>0</v>
      </c>
      <c r="F502" s="193">
        <v>0</v>
      </c>
      <c r="G502" s="192">
        <v>0</v>
      </c>
      <c r="H502" s="193">
        <v>-8920</v>
      </c>
      <c r="I502" s="192">
        <v>-525.52</v>
      </c>
      <c r="J502" s="194">
        <v>0</v>
      </c>
      <c r="K502" s="195">
        <v>0</v>
      </c>
      <c r="L502" s="195">
        <v>-525.52</v>
      </c>
      <c r="M502" s="5" t="s">
        <v>1542</v>
      </c>
    </row>
    <row r="503" spans="1:13" hidden="1" outlineLevel="1">
      <c r="A503" s="139" t="s">
        <v>1621</v>
      </c>
      <c r="B503" s="14" t="s">
        <v>1742</v>
      </c>
      <c r="C503" s="494">
        <v>2022</v>
      </c>
      <c r="D503" s="193">
        <v>0</v>
      </c>
      <c r="E503" s="192">
        <v>0</v>
      </c>
      <c r="F503" s="193">
        <v>256242</v>
      </c>
      <c r="G503" s="192">
        <v>13862.69</v>
      </c>
      <c r="H503" s="193">
        <v>-90640</v>
      </c>
      <c r="I503" s="192">
        <v>-3625.6</v>
      </c>
      <c r="J503" s="194">
        <v>0</v>
      </c>
      <c r="K503" s="195">
        <v>0</v>
      </c>
      <c r="L503" s="195">
        <v>10237.09</v>
      </c>
      <c r="M503" s="5" t="s">
        <v>1560</v>
      </c>
    </row>
    <row r="504" spans="1:13" hidden="1" outlineLevel="1">
      <c r="A504" s="139" t="s">
        <v>1621</v>
      </c>
      <c r="B504" s="14" t="s">
        <v>1742</v>
      </c>
      <c r="C504" s="494">
        <v>2023</v>
      </c>
      <c r="D504" s="193">
        <v>0</v>
      </c>
      <c r="E504" s="192">
        <v>0</v>
      </c>
      <c r="F504" s="193">
        <v>284797</v>
      </c>
      <c r="G504" s="192">
        <v>15407.52</v>
      </c>
      <c r="H504" s="193">
        <v>-119811</v>
      </c>
      <c r="I504" s="192">
        <v>-4105.04</v>
      </c>
      <c r="J504" s="194">
        <v>0</v>
      </c>
      <c r="K504" s="195">
        <v>0</v>
      </c>
      <c r="L504" s="195">
        <v>11302.48</v>
      </c>
      <c r="M504" s="5" t="s">
        <v>1562</v>
      </c>
    </row>
    <row r="505" spans="1:13" hidden="1" outlineLevel="1">
      <c r="A505" s="139" t="s">
        <v>1635</v>
      </c>
      <c r="B505" s="14" t="s">
        <v>1742</v>
      </c>
      <c r="C505" s="494">
        <v>2021</v>
      </c>
      <c r="D505" s="193">
        <v>0</v>
      </c>
      <c r="E505" s="192">
        <v>0</v>
      </c>
      <c r="F505" s="193">
        <v>0</v>
      </c>
      <c r="G505" s="192">
        <v>0</v>
      </c>
      <c r="H505" s="193">
        <v>3259</v>
      </c>
      <c r="I505" s="192">
        <v>521.44000000000005</v>
      </c>
      <c r="J505" s="194">
        <v>0</v>
      </c>
      <c r="K505" s="195">
        <v>0</v>
      </c>
      <c r="L505" s="195">
        <v>521.44000000000005</v>
      </c>
      <c r="M505" s="5" t="s">
        <v>1562</v>
      </c>
    </row>
    <row r="506" spans="1:13" hidden="1" outlineLevel="1">
      <c r="A506" s="139" t="s">
        <v>1635</v>
      </c>
      <c r="B506" s="14" t="s">
        <v>1742</v>
      </c>
      <c r="C506" s="494">
        <v>2022</v>
      </c>
      <c r="D506" s="193">
        <v>0</v>
      </c>
      <c r="E506" s="192">
        <v>0</v>
      </c>
      <c r="F506" s="193">
        <v>0</v>
      </c>
      <c r="G506" s="192">
        <v>0</v>
      </c>
      <c r="H506" s="193">
        <v>16652</v>
      </c>
      <c r="I506" s="192">
        <v>3050.32</v>
      </c>
      <c r="J506" s="194">
        <v>0</v>
      </c>
      <c r="K506" s="195">
        <v>0</v>
      </c>
      <c r="L506" s="195">
        <v>3050.32</v>
      </c>
      <c r="M506" s="5" t="s">
        <v>1562</v>
      </c>
    </row>
    <row r="507" spans="1:13" hidden="1" outlineLevel="1">
      <c r="A507" s="139" t="s">
        <v>1635</v>
      </c>
      <c r="B507" s="14" t="s">
        <v>1742</v>
      </c>
      <c r="C507" s="494">
        <v>2023</v>
      </c>
      <c r="D507" s="193">
        <v>0</v>
      </c>
      <c r="E507" s="192">
        <v>0</v>
      </c>
      <c r="F507" s="193">
        <v>345037</v>
      </c>
      <c r="G507" s="192">
        <v>18666.5</v>
      </c>
      <c r="H507" s="193">
        <v>37803</v>
      </c>
      <c r="I507" s="192">
        <v>5744.67</v>
      </c>
      <c r="J507" s="194">
        <v>0</v>
      </c>
      <c r="K507" s="195">
        <v>0</v>
      </c>
      <c r="L507" s="195">
        <v>24411.17</v>
      </c>
      <c r="M507" s="5" t="s">
        <v>614</v>
      </c>
    </row>
    <row r="508" spans="1:13" hidden="1" outlineLevel="1">
      <c r="A508" s="139" t="s">
        <v>1633</v>
      </c>
      <c r="B508" s="14" t="s">
        <v>1742</v>
      </c>
      <c r="C508" s="494">
        <v>2020</v>
      </c>
      <c r="D508" s="193">
        <v>0</v>
      </c>
      <c r="E508" s="192">
        <v>0</v>
      </c>
      <c r="F508" s="193">
        <v>0</v>
      </c>
      <c r="G508" s="192">
        <v>0</v>
      </c>
      <c r="H508" s="193">
        <v>-10186043</v>
      </c>
      <c r="I508" s="192">
        <v>-244055.2</v>
      </c>
      <c r="J508" s="194">
        <v>0</v>
      </c>
      <c r="K508" s="195">
        <v>0</v>
      </c>
      <c r="L508" s="195">
        <v>-244055.2</v>
      </c>
      <c r="M508" s="5" t="s">
        <v>614</v>
      </c>
    </row>
    <row r="509" spans="1:13" hidden="1" outlineLevel="1">
      <c r="A509" s="139" t="s">
        <v>1633</v>
      </c>
      <c r="B509" s="14" t="s">
        <v>1742</v>
      </c>
      <c r="C509" s="494">
        <v>2021</v>
      </c>
      <c r="D509" s="193">
        <v>0</v>
      </c>
      <c r="E509" s="192">
        <v>0</v>
      </c>
      <c r="F509" s="193">
        <v>0</v>
      </c>
      <c r="G509" s="192">
        <v>0</v>
      </c>
      <c r="H509" s="193">
        <v>1652699</v>
      </c>
      <c r="I509" s="192">
        <v>34873.089999999997</v>
      </c>
      <c r="J509" s="194">
        <v>0</v>
      </c>
      <c r="K509" s="195">
        <v>0</v>
      </c>
      <c r="L509" s="195">
        <v>34873.089999999997</v>
      </c>
      <c r="M509" s="5" t="s">
        <v>614</v>
      </c>
    </row>
    <row r="510" spans="1:13" hidden="1" outlineLevel="1">
      <c r="A510" s="139" t="s">
        <v>1633</v>
      </c>
      <c r="B510" s="14" t="s">
        <v>1742</v>
      </c>
      <c r="C510" s="494">
        <v>2022</v>
      </c>
      <c r="D510" s="193">
        <v>0</v>
      </c>
      <c r="E510" s="192">
        <v>0</v>
      </c>
      <c r="F510" s="193">
        <v>28747</v>
      </c>
      <c r="G510" s="192">
        <v>1555.21</v>
      </c>
      <c r="H510" s="193">
        <v>707650</v>
      </c>
      <c r="I510" s="192">
        <v>19710.53</v>
      </c>
      <c r="J510" s="194">
        <v>0</v>
      </c>
      <c r="K510" s="195">
        <v>0</v>
      </c>
      <c r="L510" s="195">
        <v>21265.74</v>
      </c>
      <c r="M510" s="5" t="s">
        <v>614</v>
      </c>
    </row>
    <row r="511" spans="1:13" hidden="1" outlineLevel="1">
      <c r="A511" s="139" t="s">
        <v>1633</v>
      </c>
      <c r="B511" s="14" t="s">
        <v>1742</v>
      </c>
      <c r="C511" s="494">
        <v>2023</v>
      </c>
      <c r="D511" s="193">
        <v>0</v>
      </c>
      <c r="E511" s="192">
        <v>0</v>
      </c>
      <c r="F511" s="193">
        <v>481659</v>
      </c>
      <c r="G511" s="192">
        <v>26057.75</v>
      </c>
      <c r="H511" s="193">
        <v>2992291</v>
      </c>
      <c r="I511" s="192">
        <v>90380.54</v>
      </c>
      <c r="J511" s="194">
        <v>0</v>
      </c>
      <c r="K511" s="195">
        <v>0</v>
      </c>
      <c r="L511" s="195">
        <v>116438.29</v>
      </c>
      <c r="M511" s="5" t="s">
        <v>614</v>
      </c>
    </row>
    <row r="512" spans="1:13" hidden="1" outlineLevel="1">
      <c r="A512" s="139" t="s">
        <v>1631</v>
      </c>
      <c r="B512" s="14" t="s">
        <v>1742</v>
      </c>
      <c r="C512" s="494">
        <v>2023</v>
      </c>
      <c r="D512" s="193">
        <v>0</v>
      </c>
      <c r="E512" s="192">
        <v>0</v>
      </c>
      <c r="F512" s="193">
        <v>0</v>
      </c>
      <c r="G512" s="192">
        <v>0</v>
      </c>
      <c r="H512" s="193">
        <v>13964</v>
      </c>
      <c r="I512" s="192">
        <v>1292.32</v>
      </c>
      <c r="J512" s="194">
        <v>0</v>
      </c>
      <c r="K512" s="195">
        <v>0</v>
      </c>
      <c r="L512" s="195">
        <v>1292.32</v>
      </c>
      <c r="M512" s="5" t="s">
        <v>1568</v>
      </c>
    </row>
    <row r="513" spans="1:13" hidden="1" outlineLevel="1">
      <c r="A513" s="139" t="s">
        <v>1515</v>
      </c>
      <c r="B513" s="14" t="s">
        <v>1742</v>
      </c>
      <c r="C513" s="494">
        <v>2021</v>
      </c>
      <c r="D513" s="193">
        <v>0</v>
      </c>
      <c r="E513" s="192">
        <v>0</v>
      </c>
      <c r="F513" s="193">
        <v>11211</v>
      </c>
      <c r="G513" s="192">
        <v>606.52</v>
      </c>
      <c r="H513" s="193">
        <v>18388</v>
      </c>
      <c r="I513" s="192">
        <v>1470.8</v>
      </c>
      <c r="J513" s="194">
        <v>0</v>
      </c>
      <c r="K513" s="195">
        <v>0</v>
      </c>
      <c r="L513" s="195">
        <v>2077.3200000000002</v>
      </c>
      <c r="M513" s="5" t="s">
        <v>1568</v>
      </c>
    </row>
    <row r="514" spans="1:13" hidden="1" outlineLevel="1">
      <c r="A514" s="139" t="s">
        <v>1515</v>
      </c>
      <c r="B514" s="14" t="s">
        <v>1742</v>
      </c>
      <c r="C514" s="494">
        <v>2022</v>
      </c>
      <c r="D514" s="193">
        <v>0</v>
      </c>
      <c r="E514" s="192">
        <v>0</v>
      </c>
      <c r="F514" s="193">
        <v>0</v>
      </c>
      <c r="G514" s="192">
        <v>0</v>
      </c>
      <c r="H514" s="193">
        <v>14135</v>
      </c>
      <c r="I514" s="192">
        <v>1124.8</v>
      </c>
      <c r="J514" s="194">
        <v>0</v>
      </c>
      <c r="K514" s="195">
        <v>0</v>
      </c>
      <c r="L514" s="195">
        <v>1124.8</v>
      </c>
      <c r="M514" s="5" t="s">
        <v>1568</v>
      </c>
    </row>
    <row r="515" spans="1:13" hidden="1" outlineLevel="1">
      <c r="A515" s="139" t="s">
        <v>1491</v>
      </c>
      <c r="B515" s="14" t="s">
        <v>1742</v>
      </c>
      <c r="C515" s="494">
        <v>2021</v>
      </c>
      <c r="D515" s="193">
        <v>21091</v>
      </c>
      <c r="E515" s="192">
        <v>1077.75</v>
      </c>
      <c r="F515" s="193">
        <v>73179</v>
      </c>
      <c r="G515" s="192">
        <v>3953.28</v>
      </c>
      <c r="H515" s="193">
        <v>426913</v>
      </c>
      <c r="I515" s="192">
        <v>44257.88</v>
      </c>
      <c r="J515" s="194">
        <v>-55.7</v>
      </c>
      <c r="K515" s="195">
        <v>0</v>
      </c>
      <c r="L515" s="195">
        <v>49233.21</v>
      </c>
      <c r="M515" s="5" t="s">
        <v>1570</v>
      </c>
    </row>
    <row r="516" spans="1:13" hidden="1" outlineLevel="1">
      <c r="A516" s="139" t="s">
        <v>1491</v>
      </c>
      <c r="B516" s="14" t="s">
        <v>1742</v>
      </c>
      <c r="C516" s="494">
        <v>2022</v>
      </c>
      <c r="D516" s="193">
        <v>0</v>
      </c>
      <c r="E516" s="192">
        <v>0</v>
      </c>
      <c r="F516" s="193">
        <v>797519</v>
      </c>
      <c r="G516" s="192">
        <v>43153.75</v>
      </c>
      <c r="H516" s="193">
        <v>782795</v>
      </c>
      <c r="I516" s="192">
        <v>64368.87</v>
      </c>
      <c r="J516" s="194">
        <v>-445.55</v>
      </c>
      <c r="K516" s="195">
        <v>0</v>
      </c>
      <c r="L516" s="195">
        <v>107077.07</v>
      </c>
      <c r="M516" s="5" t="s">
        <v>1572</v>
      </c>
    </row>
    <row r="517" spans="1:13" hidden="1" outlineLevel="1">
      <c r="A517" s="139" t="s">
        <v>1491</v>
      </c>
      <c r="B517" s="14" t="s">
        <v>1742</v>
      </c>
      <c r="C517" s="494">
        <v>2023</v>
      </c>
      <c r="D517" s="193">
        <v>0</v>
      </c>
      <c r="E517" s="192">
        <v>0</v>
      </c>
      <c r="F517" s="193">
        <v>-8215</v>
      </c>
      <c r="G517" s="192">
        <v>10374.94</v>
      </c>
      <c r="H517" s="193">
        <v>3383883</v>
      </c>
      <c r="I517" s="192">
        <v>271890.09000000003</v>
      </c>
      <c r="J517" s="194">
        <v>-93.64</v>
      </c>
      <c r="K517" s="195">
        <v>0</v>
      </c>
      <c r="L517" s="195">
        <v>282171.39</v>
      </c>
      <c r="M517" s="5" t="s">
        <v>1578</v>
      </c>
    </row>
    <row r="518" spans="1:13" hidden="1" outlineLevel="1">
      <c r="A518" s="139" t="s">
        <v>1641</v>
      </c>
      <c r="B518" s="14" t="s">
        <v>1742</v>
      </c>
      <c r="C518" s="494">
        <v>2022</v>
      </c>
      <c r="D518" s="193">
        <v>0</v>
      </c>
      <c r="E518" s="192">
        <v>0</v>
      </c>
      <c r="F518" s="193">
        <v>0</v>
      </c>
      <c r="G518" s="192">
        <v>0</v>
      </c>
      <c r="H518" s="193">
        <v>2568</v>
      </c>
      <c r="I518" s="192">
        <v>136.6</v>
      </c>
      <c r="J518" s="194">
        <v>0</v>
      </c>
      <c r="K518" s="195">
        <v>0</v>
      </c>
      <c r="L518" s="195">
        <v>136.6</v>
      </c>
      <c r="M518" s="5" t="s">
        <v>1578</v>
      </c>
    </row>
    <row r="519" spans="1:13" hidden="1" outlineLevel="1">
      <c r="A519" s="139" t="s">
        <v>1641</v>
      </c>
      <c r="B519" s="14" t="s">
        <v>1742</v>
      </c>
      <c r="C519" s="494">
        <v>2023</v>
      </c>
      <c r="D519" s="193">
        <v>0</v>
      </c>
      <c r="E519" s="192">
        <v>0</v>
      </c>
      <c r="F519" s="193">
        <v>0</v>
      </c>
      <c r="G519" s="192">
        <v>0</v>
      </c>
      <c r="H519" s="193">
        <v>66475</v>
      </c>
      <c r="I519" s="192">
        <v>10364.92</v>
      </c>
      <c r="J519" s="194">
        <v>0</v>
      </c>
      <c r="K519" s="195">
        <v>0</v>
      </c>
      <c r="L519" s="195">
        <v>10364.92</v>
      </c>
      <c r="M519" s="5" t="s">
        <v>1578</v>
      </c>
    </row>
    <row r="520" spans="1:13" hidden="1" outlineLevel="1">
      <c r="A520" s="139" t="s">
        <v>1617</v>
      </c>
      <c r="B520" s="14" t="s">
        <v>1742</v>
      </c>
      <c r="C520" s="494">
        <v>2023</v>
      </c>
      <c r="D520" s="193">
        <v>0</v>
      </c>
      <c r="E520" s="192">
        <v>0</v>
      </c>
      <c r="F520" s="193">
        <v>160437</v>
      </c>
      <c r="G520" s="192">
        <v>8679.64</v>
      </c>
      <c r="H520" s="193">
        <v>380515</v>
      </c>
      <c r="I520" s="192">
        <v>22116.560000000001</v>
      </c>
      <c r="J520" s="194">
        <v>0</v>
      </c>
      <c r="K520" s="195">
        <v>0</v>
      </c>
      <c r="L520" s="195">
        <v>30796.2</v>
      </c>
      <c r="M520" s="5" t="s">
        <v>1580</v>
      </c>
    </row>
    <row r="521" spans="1:13" hidden="1" outlineLevel="1">
      <c r="A521" s="139" t="s">
        <v>1589</v>
      </c>
      <c r="B521" s="14" t="s">
        <v>1742</v>
      </c>
      <c r="C521" s="494">
        <v>2023</v>
      </c>
      <c r="D521" s="193">
        <v>0</v>
      </c>
      <c r="E521" s="192">
        <v>0</v>
      </c>
      <c r="F521" s="193">
        <v>0</v>
      </c>
      <c r="G521" s="192">
        <v>0</v>
      </c>
      <c r="H521" s="193">
        <v>8442</v>
      </c>
      <c r="I521" s="192">
        <v>1272.96</v>
      </c>
      <c r="J521" s="194">
        <v>0</v>
      </c>
      <c r="K521" s="195">
        <v>0</v>
      </c>
      <c r="L521" s="195">
        <v>1272.96</v>
      </c>
      <c r="M521" s="5" t="s">
        <v>1580</v>
      </c>
    </row>
    <row r="522" spans="1:13" hidden="1" outlineLevel="1">
      <c r="A522" s="139" t="s">
        <v>1691</v>
      </c>
      <c r="B522" s="14" t="s">
        <v>1742</v>
      </c>
      <c r="C522" s="494">
        <v>2019</v>
      </c>
      <c r="D522" s="193">
        <v>0</v>
      </c>
      <c r="E522" s="192">
        <v>0</v>
      </c>
      <c r="F522" s="193">
        <v>0</v>
      </c>
      <c r="G522" s="192">
        <v>0</v>
      </c>
      <c r="H522" s="193">
        <v>10377</v>
      </c>
      <c r="I522" s="192">
        <v>830.16</v>
      </c>
      <c r="J522" s="194">
        <v>0</v>
      </c>
      <c r="K522" s="195">
        <v>0</v>
      </c>
      <c r="L522" s="195">
        <v>830.16</v>
      </c>
      <c r="M522" s="5" t="s">
        <v>1582</v>
      </c>
    </row>
    <row r="523" spans="1:13" hidden="1" outlineLevel="1">
      <c r="A523" s="139" t="s">
        <v>1691</v>
      </c>
      <c r="B523" s="14" t="s">
        <v>1742</v>
      </c>
      <c r="C523" s="494">
        <v>2020</v>
      </c>
      <c r="D523" s="193">
        <v>0</v>
      </c>
      <c r="E523" s="192">
        <v>0</v>
      </c>
      <c r="F523" s="193">
        <v>318620</v>
      </c>
      <c r="G523" s="192">
        <v>14349.28</v>
      </c>
      <c r="H523" s="193">
        <v>10123</v>
      </c>
      <c r="I523" s="192">
        <v>809.84</v>
      </c>
      <c r="J523" s="194">
        <v>0</v>
      </c>
      <c r="K523" s="195">
        <v>0</v>
      </c>
      <c r="L523" s="195">
        <v>15159.12</v>
      </c>
      <c r="M523" s="5" t="s">
        <v>1582</v>
      </c>
    </row>
    <row r="524" spans="1:13" hidden="1" outlineLevel="1">
      <c r="A524" s="139" t="s">
        <v>1691</v>
      </c>
      <c r="B524" s="14" t="s">
        <v>1742</v>
      </c>
      <c r="C524" s="494">
        <v>2021</v>
      </c>
      <c r="D524" s="193">
        <v>0</v>
      </c>
      <c r="E524" s="192">
        <v>0</v>
      </c>
      <c r="F524" s="193">
        <v>65132</v>
      </c>
      <c r="G524" s="192">
        <v>2933.26</v>
      </c>
      <c r="H524" s="193">
        <v>53263</v>
      </c>
      <c r="I524" s="192">
        <v>5048.4799999999996</v>
      </c>
      <c r="J524" s="194">
        <v>-191.84</v>
      </c>
      <c r="K524" s="195">
        <v>0</v>
      </c>
      <c r="L524" s="195">
        <v>7789.9</v>
      </c>
      <c r="M524" s="5" t="s">
        <v>1582</v>
      </c>
    </row>
    <row r="525" spans="1:13" hidden="1" outlineLevel="1">
      <c r="A525" s="139" t="s">
        <v>1691</v>
      </c>
      <c r="B525" s="14" t="s">
        <v>1742</v>
      </c>
      <c r="C525" s="494">
        <v>2022</v>
      </c>
      <c r="D525" s="193">
        <v>0</v>
      </c>
      <c r="E525" s="192">
        <v>0</v>
      </c>
      <c r="F525" s="193">
        <v>26566</v>
      </c>
      <c r="G525" s="192">
        <v>1196.42</v>
      </c>
      <c r="H525" s="193">
        <v>234062</v>
      </c>
      <c r="I525" s="192">
        <v>24516.639999999999</v>
      </c>
      <c r="J525" s="194">
        <v>-202.33</v>
      </c>
      <c r="K525" s="195">
        <v>0</v>
      </c>
      <c r="L525" s="195">
        <v>25510.73</v>
      </c>
      <c r="M525" s="5" t="s">
        <v>1584</v>
      </c>
    </row>
    <row r="526" spans="1:13" hidden="1" outlineLevel="1">
      <c r="A526" s="139" t="s">
        <v>1691</v>
      </c>
      <c r="B526" s="14" t="s">
        <v>1742</v>
      </c>
      <c r="C526" s="494">
        <v>2023</v>
      </c>
      <c r="D526" s="193">
        <v>0</v>
      </c>
      <c r="E526" s="192">
        <v>0</v>
      </c>
      <c r="F526" s="193">
        <v>257145</v>
      </c>
      <c r="G526" s="192">
        <v>13911.54</v>
      </c>
      <c r="H526" s="193">
        <v>61869</v>
      </c>
      <c r="I526" s="192">
        <v>6788.8</v>
      </c>
      <c r="J526" s="194">
        <v>0</v>
      </c>
      <c r="K526" s="195">
        <v>0</v>
      </c>
      <c r="L526" s="195">
        <v>20700.34</v>
      </c>
      <c r="M526" s="5" t="s">
        <v>1584</v>
      </c>
    </row>
    <row r="527" spans="1:13" hidden="1" outlineLevel="1">
      <c r="A527" s="139" t="s">
        <v>1525</v>
      </c>
      <c r="B527" s="14" t="s">
        <v>1742</v>
      </c>
      <c r="C527" s="494">
        <v>2021</v>
      </c>
      <c r="D527" s="193">
        <v>0</v>
      </c>
      <c r="E527" s="192">
        <v>0</v>
      </c>
      <c r="F527" s="193">
        <v>0</v>
      </c>
      <c r="G527" s="192">
        <v>0</v>
      </c>
      <c r="H527" s="193">
        <v>-407573</v>
      </c>
      <c r="I527" s="192">
        <v>-14850.82</v>
      </c>
      <c r="J527" s="194">
        <v>0</v>
      </c>
      <c r="K527" s="195">
        <v>0</v>
      </c>
      <c r="L527" s="195">
        <v>-14850.82</v>
      </c>
      <c r="M527" s="5" t="s">
        <v>1590</v>
      </c>
    </row>
    <row r="528" spans="1:13" hidden="1" outlineLevel="1">
      <c r="A528" s="139" t="s">
        <v>1525</v>
      </c>
      <c r="B528" s="14" t="s">
        <v>1742</v>
      </c>
      <c r="C528" s="494">
        <v>2022</v>
      </c>
      <c r="D528" s="193">
        <v>0</v>
      </c>
      <c r="E528" s="192">
        <v>0</v>
      </c>
      <c r="F528" s="193">
        <v>0</v>
      </c>
      <c r="G528" s="192">
        <v>0</v>
      </c>
      <c r="H528" s="193">
        <v>-383551</v>
      </c>
      <c r="I528" s="192">
        <v>-13505.42</v>
      </c>
      <c r="J528" s="194">
        <v>0</v>
      </c>
      <c r="K528" s="195">
        <v>0</v>
      </c>
      <c r="L528" s="195">
        <v>-13505.42</v>
      </c>
      <c r="M528" s="5" t="s">
        <v>1602</v>
      </c>
    </row>
    <row r="529" spans="1:13" hidden="1" outlineLevel="1">
      <c r="A529" s="139" t="s">
        <v>1525</v>
      </c>
      <c r="B529" s="14" t="s">
        <v>1742</v>
      </c>
      <c r="C529" s="494">
        <v>2023</v>
      </c>
      <c r="D529" s="193">
        <v>0</v>
      </c>
      <c r="E529" s="192">
        <v>0</v>
      </c>
      <c r="F529" s="193">
        <v>0</v>
      </c>
      <c r="G529" s="192">
        <v>0</v>
      </c>
      <c r="H529" s="193">
        <v>723000</v>
      </c>
      <c r="I529" s="192">
        <v>36029.5</v>
      </c>
      <c r="J529" s="194">
        <v>0</v>
      </c>
      <c r="K529" s="195">
        <v>0</v>
      </c>
      <c r="L529" s="195">
        <v>36029.5</v>
      </c>
      <c r="M529" s="5" t="s">
        <v>1602</v>
      </c>
    </row>
    <row r="530" spans="1:13" hidden="1" outlineLevel="1">
      <c r="A530" s="139" t="s">
        <v>613</v>
      </c>
      <c r="B530" s="14" t="s">
        <v>1742</v>
      </c>
      <c r="C530" s="494">
        <v>2019</v>
      </c>
      <c r="D530" s="193">
        <v>21</v>
      </c>
      <c r="E530" s="192">
        <v>1.07</v>
      </c>
      <c r="F530" s="193">
        <v>852212</v>
      </c>
      <c r="G530" s="192">
        <v>43238.87</v>
      </c>
      <c r="H530" s="193">
        <v>156085</v>
      </c>
      <c r="I530" s="192">
        <v>8527.68</v>
      </c>
      <c r="J530" s="194">
        <v>-459.96</v>
      </c>
      <c r="K530" s="195">
        <v>0</v>
      </c>
      <c r="L530" s="195">
        <v>51307.66</v>
      </c>
      <c r="M530" s="5" t="s">
        <v>1602</v>
      </c>
    </row>
    <row r="531" spans="1:13" hidden="1" outlineLevel="1">
      <c r="A531" s="139" t="s">
        <v>613</v>
      </c>
      <c r="B531" s="14" t="s">
        <v>1742</v>
      </c>
      <c r="C531" s="494">
        <v>2020</v>
      </c>
      <c r="D531" s="193">
        <v>0</v>
      </c>
      <c r="E531" s="192">
        <v>0</v>
      </c>
      <c r="F531" s="193">
        <v>1297370</v>
      </c>
      <c r="G531" s="192">
        <v>65824.91</v>
      </c>
      <c r="H531" s="193">
        <v>1995008</v>
      </c>
      <c r="I531" s="192">
        <v>107228.49</v>
      </c>
      <c r="J531" s="194">
        <v>-1839.23</v>
      </c>
      <c r="K531" s="195">
        <v>0</v>
      </c>
      <c r="L531" s="195">
        <v>171214.17</v>
      </c>
      <c r="M531" s="5" t="s">
        <v>1610</v>
      </c>
    </row>
    <row r="532" spans="1:13" hidden="1" outlineLevel="1">
      <c r="A532" s="139" t="s">
        <v>613</v>
      </c>
      <c r="B532" s="14" t="s">
        <v>1742</v>
      </c>
      <c r="C532" s="494">
        <v>2021</v>
      </c>
      <c r="D532" s="193">
        <v>391411</v>
      </c>
      <c r="E532" s="192">
        <v>20001.11</v>
      </c>
      <c r="F532" s="193">
        <v>2541357</v>
      </c>
      <c r="G532" s="192">
        <v>133174.5</v>
      </c>
      <c r="H532" s="193">
        <v>5075781</v>
      </c>
      <c r="I532" s="192">
        <v>344688.28</v>
      </c>
      <c r="J532" s="194">
        <v>-5035.09</v>
      </c>
      <c r="K532" s="195">
        <v>0</v>
      </c>
      <c r="L532" s="195">
        <v>492828.8</v>
      </c>
      <c r="M532" s="5" t="s">
        <v>1610</v>
      </c>
    </row>
    <row r="533" spans="1:13" hidden="1" outlineLevel="1">
      <c r="A533" s="139" t="s">
        <v>613</v>
      </c>
      <c r="B533" s="14" t="s">
        <v>1742</v>
      </c>
      <c r="C533" s="494">
        <v>2022</v>
      </c>
      <c r="D533" s="193">
        <v>163004</v>
      </c>
      <c r="E533" s="192">
        <v>8329.48</v>
      </c>
      <c r="F533" s="193">
        <v>8380517</v>
      </c>
      <c r="G533" s="192">
        <v>446581.63</v>
      </c>
      <c r="H533" s="193">
        <v>13555487</v>
      </c>
      <c r="I533" s="192">
        <v>1053681.96</v>
      </c>
      <c r="J533" s="194">
        <v>-13750.05</v>
      </c>
      <c r="K533" s="195">
        <v>0</v>
      </c>
      <c r="L533" s="195">
        <v>1494843.02</v>
      </c>
      <c r="M533" s="5" t="s">
        <v>1612</v>
      </c>
    </row>
    <row r="534" spans="1:13" hidden="1" outlineLevel="1">
      <c r="A534" s="139" t="s">
        <v>613</v>
      </c>
      <c r="B534" s="14" t="s">
        <v>1742</v>
      </c>
      <c r="C534" s="494">
        <v>2023</v>
      </c>
      <c r="D534" s="193">
        <v>0</v>
      </c>
      <c r="E534" s="192">
        <v>0</v>
      </c>
      <c r="F534" s="193">
        <v>5882423</v>
      </c>
      <c r="G534" s="192">
        <v>318239.03000000003</v>
      </c>
      <c r="H534" s="193">
        <v>193696544</v>
      </c>
      <c r="I534" s="192">
        <v>7395123.9000000004</v>
      </c>
      <c r="J534" s="194">
        <v>-5428.23</v>
      </c>
      <c r="K534" s="195">
        <v>0</v>
      </c>
      <c r="L534" s="195">
        <v>7707934.7000000002</v>
      </c>
      <c r="M534" s="5" t="s">
        <v>1612</v>
      </c>
    </row>
    <row r="535" spans="1:13" hidden="1" outlineLevel="1">
      <c r="A535" s="139" t="s">
        <v>1651</v>
      </c>
      <c r="B535" s="14" t="s">
        <v>1742</v>
      </c>
      <c r="C535" s="494">
        <v>2023</v>
      </c>
      <c r="D535" s="193">
        <v>0</v>
      </c>
      <c r="E535" s="192">
        <v>0</v>
      </c>
      <c r="F535" s="193">
        <v>0</v>
      </c>
      <c r="G535" s="192">
        <v>0</v>
      </c>
      <c r="H535" s="193">
        <v>-48226</v>
      </c>
      <c r="I535" s="192">
        <v>-735.33</v>
      </c>
      <c r="J535" s="194">
        <v>0</v>
      </c>
      <c r="K535" s="195">
        <v>0</v>
      </c>
      <c r="L535" s="195">
        <v>-735.33</v>
      </c>
      <c r="M535" s="5" t="s">
        <v>1612</v>
      </c>
    </row>
    <row r="536" spans="1:13" hidden="1" outlineLevel="1">
      <c r="A536" s="139" t="s">
        <v>1695</v>
      </c>
      <c r="B536" s="14" t="s">
        <v>1742</v>
      </c>
      <c r="C536" s="494">
        <v>2020</v>
      </c>
      <c r="D536" s="193">
        <v>0</v>
      </c>
      <c r="E536" s="192">
        <v>0</v>
      </c>
      <c r="F536" s="193">
        <v>0</v>
      </c>
      <c r="G536" s="192">
        <v>0</v>
      </c>
      <c r="H536" s="193">
        <v>123777</v>
      </c>
      <c r="I536" s="192">
        <v>5855.76</v>
      </c>
      <c r="J536" s="194">
        <v>0</v>
      </c>
      <c r="K536" s="195">
        <v>0</v>
      </c>
      <c r="L536" s="195">
        <v>5855.76</v>
      </c>
      <c r="M536" s="5" t="s">
        <v>1618</v>
      </c>
    </row>
    <row r="537" spans="1:13" hidden="1" outlineLevel="1">
      <c r="A537" s="139" t="s">
        <v>1695</v>
      </c>
      <c r="B537" s="14" t="s">
        <v>1742</v>
      </c>
      <c r="C537" s="494">
        <v>2021</v>
      </c>
      <c r="D537" s="193">
        <v>10</v>
      </c>
      <c r="E537" s="192">
        <v>0.51</v>
      </c>
      <c r="F537" s="193">
        <v>357441</v>
      </c>
      <c r="G537" s="192">
        <v>19337.560000000001</v>
      </c>
      <c r="H537" s="193">
        <v>275989</v>
      </c>
      <c r="I537" s="192">
        <v>21850.76</v>
      </c>
      <c r="J537" s="194">
        <v>0</v>
      </c>
      <c r="K537" s="195">
        <v>0</v>
      </c>
      <c r="L537" s="195">
        <v>41188.83</v>
      </c>
      <c r="M537" s="5" t="s">
        <v>1622</v>
      </c>
    </row>
    <row r="538" spans="1:13" hidden="1" outlineLevel="1">
      <c r="A538" s="139" t="s">
        <v>1695</v>
      </c>
      <c r="B538" s="14" t="s">
        <v>1742</v>
      </c>
      <c r="C538" s="494">
        <v>2022</v>
      </c>
      <c r="D538" s="193">
        <v>0</v>
      </c>
      <c r="E538" s="192">
        <v>0</v>
      </c>
      <c r="F538" s="193">
        <v>182842</v>
      </c>
      <c r="G538" s="192">
        <v>9891.75</v>
      </c>
      <c r="H538" s="193">
        <v>437717</v>
      </c>
      <c r="I538" s="192">
        <v>34279.519999999997</v>
      </c>
      <c r="J538" s="194">
        <v>0</v>
      </c>
      <c r="K538" s="195">
        <v>0</v>
      </c>
      <c r="L538" s="195">
        <v>44171.27</v>
      </c>
      <c r="M538" s="5" t="s">
        <v>1622</v>
      </c>
    </row>
    <row r="539" spans="1:13" hidden="1" outlineLevel="1">
      <c r="A539" s="139" t="s">
        <v>1695</v>
      </c>
      <c r="B539" s="14" t="s">
        <v>1742</v>
      </c>
      <c r="C539" s="494">
        <v>2023</v>
      </c>
      <c r="D539" s="193">
        <v>0</v>
      </c>
      <c r="E539" s="192">
        <v>0</v>
      </c>
      <c r="F539" s="193">
        <v>670854</v>
      </c>
      <c r="G539" s="192">
        <v>36293.21</v>
      </c>
      <c r="H539" s="193">
        <v>3101436</v>
      </c>
      <c r="I539" s="192">
        <v>233396.96</v>
      </c>
      <c r="J539" s="194">
        <v>-582.08000000000004</v>
      </c>
      <c r="K539" s="195">
        <v>0</v>
      </c>
      <c r="L539" s="195">
        <v>269108.09000000003</v>
      </c>
      <c r="M539" s="5" t="s">
        <v>1626</v>
      </c>
    </row>
    <row r="540" spans="1:13" hidden="1" outlineLevel="1">
      <c r="A540" s="139" t="s">
        <v>1645</v>
      </c>
      <c r="B540" s="14" t="s">
        <v>1742</v>
      </c>
      <c r="C540" s="494">
        <v>2023</v>
      </c>
      <c r="D540" s="193">
        <v>56343</v>
      </c>
      <c r="E540" s="192">
        <v>1940.31</v>
      </c>
      <c r="F540" s="193">
        <v>0</v>
      </c>
      <c r="G540" s="192">
        <v>0</v>
      </c>
      <c r="H540" s="193">
        <v>0</v>
      </c>
      <c r="I540" s="192">
        <v>0</v>
      </c>
      <c r="J540" s="194">
        <v>0</v>
      </c>
      <c r="K540" s="195">
        <v>0</v>
      </c>
      <c r="L540" s="195">
        <v>1940.31</v>
      </c>
      <c r="M540" s="5" t="s">
        <v>1626</v>
      </c>
    </row>
    <row r="541" spans="1:13" hidden="1" outlineLevel="1">
      <c r="A541" s="139" t="s">
        <v>1561</v>
      </c>
      <c r="B541" s="14" t="s">
        <v>1742</v>
      </c>
      <c r="C541" s="494">
        <v>2021</v>
      </c>
      <c r="D541" s="193">
        <v>0</v>
      </c>
      <c r="E541" s="192">
        <v>0</v>
      </c>
      <c r="F541" s="193">
        <v>0</v>
      </c>
      <c r="G541" s="192">
        <v>0</v>
      </c>
      <c r="H541" s="193">
        <v>4644</v>
      </c>
      <c r="I541" s="192">
        <v>264.36</v>
      </c>
      <c r="J541" s="194">
        <v>0</v>
      </c>
      <c r="K541" s="195">
        <v>0</v>
      </c>
      <c r="L541" s="195">
        <v>264.36</v>
      </c>
      <c r="M541" s="5" t="s">
        <v>1632</v>
      </c>
    </row>
    <row r="542" spans="1:13" hidden="1" outlineLevel="1">
      <c r="A542" s="139" t="s">
        <v>1561</v>
      </c>
      <c r="B542" s="14" t="s">
        <v>1742</v>
      </c>
      <c r="C542" s="494">
        <v>2022</v>
      </c>
      <c r="D542" s="193">
        <v>1318</v>
      </c>
      <c r="E542" s="192">
        <v>67.349999999999994</v>
      </c>
      <c r="F542" s="193">
        <v>278237</v>
      </c>
      <c r="G542" s="192">
        <v>15052.63</v>
      </c>
      <c r="H542" s="193">
        <v>72646</v>
      </c>
      <c r="I542" s="192">
        <v>4967.92</v>
      </c>
      <c r="J542" s="194">
        <v>0</v>
      </c>
      <c r="K542" s="195">
        <v>0</v>
      </c>
      <c r="L542" s="195">
        <v>20087.900000000001</v>
      </c>
      <c r="M542" s="5" t="s">
        <v>1634</v>
      </c>
    </row>
    <row r="543" spans="1:13" hidden="1" outlineLevel="1">
      <c r="A543" s="139" t="s">
        <v>1561</v>
      </c>
      <c r="B543" s="14" t="s">
        <v>1742</v>
      </c>
      <c r="C543" s="494">
        <v>2023</v>
      </c>
      <c r="D543" s="193">
        <v>0</v>
      </c>
      <c r="E543" s="192">
        <v>0</v>
      </c>
      <c r="F543" s="193">
        <v>395212</v>
      </c>
      <c r="G543" s="192">
        <v>21380.95</v>
      </c>
      <c r="H543" s="193">
        <v>1329431</v>
      </c>
      <c r="I543" s="192">
        <v>88242</v>
      </c>
      <c r="J543" s="194">
        <v>0</v>
      </c>
      <c r="K543" s="195">
        <v>0</v>
      </c>
      <c r="L543" s="195">
        <v>109622.95</v>
      </c>
      <c r="M543" s="5" t="s">
        <v>1634</v>
      </c>
    </row>
    <row r="544" spans="1:13" hidden="1" outlineLevel="1">
      <c r="A544" s="139" t="s">
        <v>1661</v>
      </c>
      <c r="B544" s="14" t="s">
        <v>1742</v>
      </c>
      <c r="C544" s="494">
        <v>2022</v>
      </c>
      <c r="D544" s="193">
        <v>0</v>
      </c>
      <c r="E544" s="192">
        <v>0</v>
      </c>
      <c r="F544" s="193">
        <v>0</v>
      </c>
      <c r="G544" s="192">
        <v>0</v>
      </c>
      <c r="H544" s="193">
        <v>77622</v>
      </c>
      <c r="I544" s="192">
        <v>4634.7</v>
      </c>
      <c r="J544" s="194">
        <v>0</v>
      </c>
      <c r="K544" s="195">
        <v>0</v>
      </c>
      <c r="L544" s="195">
        <v>5870.7</v>
      </c>
      <c r="M544" s="5" t="s">
        <v>1634</v>
      </c>
    </row>
    <row r="545" spans="1:13" hidden="1" outlineLevel="1">
      <c r="A545" s="139" t="s">
        <v>1661</v>
      </c>
      <c r="B545" s="14" t="s">
        <v>1742</v>
      </c>
      <c r="C545" s="494">
        <v>2023</v>
      </c>
      <c r="D545" s="193">
        <v>0</v>
      </c>
      <c r="E545" s="192">
        <v>0</v>
      </c>
      <c r="F545" s="193">
        <v>0</v>
      </c>
      <c r="G545" s="192">
        <v>0</v>
      </c>
      <c r="H545" s="193">
        <v>337807</v>
      </c>
      <c r="I545" s="192">
        <v>20170.03</v>
      </c>
      <c r="J545" s="194">
        <v>0</v>
      </c>
      <c r="K545" s="195">
        <v>0</v>
      </c>
      <c r="L545" s="195">
        <v>21818.03</v>
      </c>
      <c r="M545" s="5" t="s">
        <v>1634</v>
      </c>
    </row>
    <row r="546" spans="1:13" hidden="1" outlineLevel="1">
      <c r="A546" s="139" t="s">
        <v>1541</v>
      </c>
      <c r="B546" s="14" t="s">
        <v>1742</v>
      </c>
      <c r="C546" s="494">
        <v>2021</v>
      </c>
      <c r="D546" s="193">
        <v>0</v>
      </c>
      <c r="E546" s="192">
        <v>0</v>
      </c>
      <c r="F546" s="193">
        <v>0</v>
      </c>
      <c r="G546" s="192">
        <v>0</v>
      </c>
      <c r="H546" s="193">
        <v>-1541</v>
      </c>
      <c r="I546" s="192">
        <v>-118.28</v>
      </c>
      <c r="J546" s="194">
        <v>0</v>
      </c>
      <c r="K546" s="195">
        <v>0</v>
      </c>
      <c r="L546" s="195">
        <v>-118.28</v>
      </c>
      <c r="M546" s="5" t="s">
        <v>1636</v>
      </c>
    </row>
    <row r="547" spans="1:13" hidden="1" outlineLevel="1">
      <c r="A547" s="139" t="s">
        <v>1541</v>
      </c>
      <c r="B547" s="14" t="s">
        <v>1742</v>
      </c>
      <c r="C547" s="494">
        <v>2022</v>
      </c>
      <c r="D547" s="193">
        <v>0</v>
      </c>
      <c r="E547" s="192">
        <v>0</v>
      </c>
      <c r="F547" s="193">
        <v>0</v>
      </c>
      <c r="G547" s="192">
        <v>0</v>
      </c>
      <c r="H547" s="193">
        <v>-4436</v>
      </c>
      <c r="I547" s="192">
        <v>-343.48</v>
      </c>
      <c r="J547" s="194">
        <v>0</v>
      </c>
      <c r="K547" s="195">
        <v>0</v>
      </c>
      <c r="L547" s="195">
        <v>-343.48</v>
      </c>
      <c r="M547" s="5" t="s">
        <v>1636</v>
      </c>
    </row>
    <row r="548" spans="1:13" hidden="1" outlineLevel="1">
      <c r="A548" s="139" t="s">
        <v>1541</v>
      </c>
      <c r="B548" s="14" t="s">
        <v>1742</v>
      </c>
      <c r="C548" s="494">
        <v>2023</v>
      </c>
      <c r="D548" s="193">
        <v>0</v>
      </c>
      <c r="E548" s="192">
        <v>0</v>
      </c>
      <c r="F548" s="193">
        <v>0</v>
      </c>
      <c r="G548" s="192">
        <v>0</v>
      </c>
      <c r="H548" s="193">
        <v>-748</v>
      </c>
      <c r="I548" s="192">
        <v>1786.4</v>
      </c>
      <c r="J548" s="194">
        <v>0</v>
      </c>
      <c r="K548" s="195">
        <v>0</v>
      </c>
      <c r="L548" s="195">
        <v>1786.4</v>
      </c>
      <c r="M548" s="5" t="s">
        <v>1636</v>
      </c>
    </row>
    <row r="549" spans="1:13" hidden="1" outlineLevel="1">
      <c r="A549" s="139" t="s">
        <v>1583</v>
      </c>
      <c r="B549" s="14" t="s">
        <v>1742</v>
      </c>
      <c r="C549" s="494">
        <v>2022</v>
      </c>
      <c r="D549" s="193">
        <v>0</v>
      </c>
      <c r="E549" s="192">
        <v>0</v>
      </c>
      <c r="F549" s="193">
        <v>-2348</v>
      </c>
      <c r="G549" s="192">
        <v>-127.03</v>
      </c>
      <c r="H549" s="193">
        <v>0</v>
      </c>
      <c r="I549" s="192">
        <v>0</v>
      </c>
      <c r="J549" s="194">
        <v>0</v>
      </c>
      <c r="K549" s="195">
        <v>0</v>
      </c>
      <c r="L549" s="195">
        <v>-127.03</v>
      </c>
      <c r="M549" s="5" t="s">
        <v>768</v>
      </c>
    </row>
    <row r="550" spans="1:13" hidden="1" outlineLevel="1">
      <c r="A550" s="139" t="s">
        <v>1583</v>
      </c>
      <c r="B550" s="14" t="s">
        <v>1742</v>
      </c>
      <c r="C550" s="494">
        <v>2023</v>
      </c>
      <c r="D550" s="193">
        <v>0</v>
      </c>
      <c r="E550" s="192">
        <v>0</v>
      </c>
      <c r="F550" s="193">
        <v>16870</v>
      </c>
      <c r="G550" s="192">
        <v>912.66</v>
      </c>
      <c r="H550" s="193">
        <v>53455</v>
      </c>
      <c r="I550" s="192">
        <v>7991.8</v>
      </c>
      <c r="J550" s="194">
        <v>0</v>
      </c>
      <c r="K550" s="195">
        <v>0</v>
      </c>
      <c r="L550" s="195">
        <v>8904.4599999999991</v>
      </c>
      <c r="M550" s="5" t="s">
        <v>1642</v>
      </c>
    </row>
    <row r="551" spans="1:13" hidden="1" outlineLevel="1">
      <c r="A551" s="139" t="s">
        <v>1521</v>
      </c>
      <c r="B551" s="14" t="s">
        <v>1742</v>
      </c>
      <c r="C551" s="494">
        <v>2021</v>
      </c>
      <c r="D551" s="193">
        <v>0</v>
      </c>
      <c r="E551" s="192">
        <v>0</v>
      </c>
      <c r="F551" s="193">
        <v>0</v>
      </c>
      <c r="G551" s="192">
        <v>0</v>
      </c>
      <c r="H551" s="193">
        <v>177886</v>
      </c>
      <c r="I551" s="192">
        <v>12797.92</v>
      </c>
      <c r="J551" s="194">
        <v>0</v>
      </c>
      <c r="K551" s="195">
        <v>0</v>
      </c>
      <c r="L551" s="195">
        <v>12797.92</v>
      </c>
      <c r="M551" s="5" t="s">
        <v>1642</v>
      </c>
    </row>
    <row r="552" spans="1:13" hidden="1" outlineLevel="1">
      <c r="A552" s="139" t="s">
        <v>1521</v>
      </c>
      <c r="B552" s="14" t="s">
        <v>1742</v>
      </c>
      <c r="C552" s="494">
        <v>2022</v>
      </c>
      <c r="D552" s="193">
        <v>0</v>
      </c>
      <c r="E552" s="192">
        <v>0</v>
      </c>
      <c r="F552" s="193">
        <v>0</v>
      </c>
      <c r="G552" s="192">
        <v>0</v>
      </c>
      <c r="H552" s="193">
        <v>225332</v>
      </c>
      <c r="I552" s="192">
        <v>18612.96</v>
      </c>
      <c r="J552" s="194">
        <v>0</v>
      </c>
      <c r="K552" s="195">
        <v>0</v>
      </c>
      <c r="L552" s="195">
        <v>18612.96</v>
      </c>
      <c r="M552" s="5" t="s">
        <v>1644</v>
      </c>
    </row>
    <row r="553" spans="1:13" hidden="1" outlineLevel="1">
      <c r="A553" s="139" t="s">
        <v>1521</v>
      </c>
      <c r="B553" s="14" t="s">
        <v>1742</v>
      </c>
      <c r="C553" s="494">
        <v>2023</v>
      </c>
      <c r="D553" s="193">
        <v>0</v>
      </c>
      <c r="E553" s="192">
        <v>0</v>
      </c>
      <c r="F553" s="193">
        <v>0</v>
      </c>
      <c r="G553" s="192">
        <v>0</v>
      </c>
      <c r="H553" s="193">
        <v>200000</v>
      </c>
      <c r="I553" s="192">
        <v>16416.240000000002</v>
      </c>
      <c r="J553" s="194">
        <v>0</v>
      </c>
      <c r="K553" s="195">
        <v>0</v>
      </c>
      <c r="L553" s="195">
        <v>16416.240000000002</v>
      </c>
      <c r="M553" s="5" t="s">
        <v>1644</v>
      </c>
    </row>
    <row r="554" spans="1:13" hidden="1" outlineLevel="1">
      <c r="A554" s="139" t="s">
        <v>1687</v>
      </c>
      <c r="B554" s="14" t="s">
        <v>1742</v>
      </c>
      <c r="C554" s="494">
        <v>2023</v>
      </c>
      <c r="D554" s="193">
        <v>0</v>
      </c>
      <c r="E554" s="192">
        <v>0</v>
      </c>
      <c r="F554" s="193">
        <v>6983</v>
      </c>
      <c r="G554" s="192">
        <v>377.78</v>
      </c>
      <c r="H554" s="193">
        <v>0</v>
      </c>
      <c r="I554" s="192">
        <v>0</v>
      </c>
      <c r="J554" s="194">
        <v>0</v>
      </c>
      <c r="K554" s="195">
        <v>0</v>
      </c>
      <c r="L554" s="195">
        <v>377.78</v>
      </c>
      <c r="M554" s="5" t="s">
        <v>1646</v>
      </c>
    </row>
    <row r="555" spans="1:13" hidden="1" outlineLevel="1">
      <c r="A555" s="139" t="s">
        <v>1569</v>
      </c>
      <c r="B555" s="14" t="s">
        <v>1742</v>
      </c>
      <c r="C555" s="494">
        <v>2023</v>
      </c>
      <c r="D555" s="193">
        <v>0</v>
      </c>
      <c r="E555" s="192">
        <v>0</v>
      </c>
      <c r="F555" s="193">
        <v>997039</v>
      </c>
      <c r="G555" s="192">
        <v>45609.29</v>
      </c>
      <c r="H555" s="193">
        <v>21999</v>
      </c>
      <c r="I555" s="192">
        <v>2061.12</v>
      </c>
      <c r="J555" s="194">
        <v>0</v>
      </c>
      <c r="K555" s="195">
        <v>0</v>
      </c>
      <c r="L555" s="195">
        <v>47670.41</v>
      </c>
      <c r="M555" s="5" t="s">
        <v>1650</v>
      </c>
    </row>
    <row r="556" spans="1:13" hidden="1" outlineLevel="1">
      <c r="A556" s="139" t="s">
        <v>1609</v>
      </c>
      <c r="B556" s="14" t="s">
        <v>1743</v>
      </c>
      <c r="C556" s="494">
        <v>2023</v>
      </c>
      <c r="D556" s="193">
        <v>0</v>
      </c>
      <c r="E556" s="192">
        <v>0</v>
      </c>
      <c r="F556" s="193">
        <v>-98698</v>
      </c>
      <c r="G556" s="192">
        <v>-5339.56</v>
      </c>
      <c r="H556" s="193">
        <v>-23645</v>
      </c>
      <c r="I556" s="192">
        <v>-1891.6</v>
      </c>
      <c r="J556" s="194">
        <v>0</v>
      </c>
      <c r="K556" s="195">
        <v>0</v>
      </c>
      <c r="L556" s="195">
        <v>-7231.16</v>
      </c>
      <c r="M556" s="5" t="s">
        <v>1652</v>
      </c>
    </row>
    <row r="557" spans="1:13" hidden="1" outlineLevel="1">
      <c r="A557" s="139" t="s">
        <v>1609</v>
      </c>
      <c r="B557" s="14" t="s">
        <v>1742</v>
      </c>
      <c r="C557" s="494">
        <v>2023</v>
      </c>
      <c r="D557" s="193">
        <v>0</v>
      </c>
      <c r="E557" s="192">
        <v>0</v>
      </c>
      <c r="F557" s="193">
        <v>0</v>
      </c>
      <c r="G557" s="192">
        <v>0</v>
      </c>
      <c r="H557" s="193">
        <v>58625</v>
      </c>
      <c r="I557" s="192">
        <v>6581.6</v>
      </c>
      <c r="J557" s="194">
        <v>0</v>
      </c>
      <c r="K557" s="195">
        <v>0</v>
      </c>
      <c r="L557" s="195">
        <v>6581.6</v>
      </c>
      <c r="M557" s="5" t="s">
        <v>1658</v>
      </c>
    </row>
    <row r="558" spans="1:13" hidden="1" outlineLevel="1">
      <c r="A558" s="139" t="s">
        <v>1567</v>
      </c>
      <c r="B558" s="14" t="s">
        <v>1742</v>
      </c>
      <c r="C558" s="494">
        <v>2021</v>
      </c>
      <c r="D558" s="193">
        <v>0</v>
      </c>
      <c r="E558" s="192">
        <v>0</v>
      </c>
      <c r="F558" s="193">
        <v>0</v>
      </c>
      <c r="G558" s="192">
        <v>0</v>
      </c>
      <c r="H558" s="193">
        <v>67108</v>
      </c>
      <c r="I558" s="192">
        <v>4602.6400000000003</v>
      </c>
      <c r="J558" s="194">
        <v>0</v>
      </c>
      <c r="K558" s="195">
        <v>0</v>
      </c>
      <c r="L558" s="195">
        <v>4602.6400000000003</v>
      </c>
      <c r="M558" s="5" t="s">
        <v>1658</v>
      </c>
    </row>
    <row r="559" spans="1:13" hidden="1" outlineLevel="1">
      <c r="A559" s="139" t="s">
        <v>1567</v>
      </c>
      <c r="B559" s="14" t="s">
        <v>1742</v>
      </c>
      <c r="C559" s="494">
        <v>2022</v>
      </c>
      <c r="D559" s="193">
        <v>0</v>
      </c>
      <c r="E559" s="192">
        <v>0</v>
      </c>
      <c r="F559" s="193">
        <v>0</v>
      </c>
      <c r="G559" s="192">
        <v>0</v>
      </c>
      <c r="H559" s="193">
        <v>33655</v>
      </c>
      <c r="I559" s="192">
        <v>2369.7199999999998</v>
      </c>
      <c r="J559" s="194">
        <v>0</v>
      </c>
      <c r="K559" s="195">
        <v>0</v>
      </c>
      <c r="L559" s="195">
        <v>2369.7199999999998</v>
      </c>
      <c r="M559" s="5" t="s">
        <v>1658</v>
      </c>
    </row>
    <row r="560" spans="1:13" hidden="1" outlineLevel="1">
      <c r="A560" s="139" t="s">
        <v>1567</v>
      </c>
      <c r="B560" s="14" t="s">
        <v>1742</v>
      </c>
      <c r="C560" s="494">
        <v>2023</v>
      </c>
      <c r="D560" s="193">
        <v>0</v>
      </c>
      <c r="E560" s="192">
        <v>0</v>
      </c>
      <c r="F560" s="193">
        <v>0</v>
      </c>
      <c r="G560" s="192">
        <v>0</v>
      </c>
      <c r="H560" s="193">
        <v>52048</v>
      </c>
      <c r="I560" s="192">
        <v>3671.96</v>
      </c>
      <c r="J560" s="194">
        <v>0</v>
      </c>
      <c r="K560" s="195">
        <v>0</v>
      </c>
      <c r="L560" s="195">
        <v>3671.96</v>
      </c>
      <c r="M560" s="5" t="s">
        <v>1662</v>
      </c>
    </row>
    <row r="561" spans="1:13" hidden="1" outlineLevel="1">
      <c r="A561" s="139" t="s">
        <v>1681</v>
      </c>
      <c r="B561" s="14" t="s">
        <v>1742</v>
      </c>
      <c r="C561" s="494">
        <v>2023</v>
      </c>
      <c r="D561" s="193">
        <v>0</v>
      </c>
      <c r="E561" s="192">
        <v>0</v>
      </c>
      <c r="F561" s="193">
        <v>75946</v>
      </c>
      <c r="G561" s="192">
        <v>4108.68</v>
      </c>
      <c r="H561" s="193">
        <v>379182</v>
      </c>
      <c r="I561" s="192">
        <v>58268</v>
      </c>
      <c r="J561" s="194">
        <v>0</v>
      </c>
      <c r="K561" s="195">
        <v>0</v>
      </c>
      <c r="L561" s="195">
        <v>62376.68</v>
      </c>
      <c r="M561" s="5" t="s">
        <v>1662</v>
      </c>
    </row>
    <row r="562" spans="1:13" hidden="1" outlineLevel="1">
      <c r="A562" s="139" t="s">
        <v>1699</v>
      </c>
      <c r="B562" s="14" t="s">
        <v>1742</v>
      </c>
      <c r="C562" s="494">
        <v>2022</v>
      </c>
      <c r="D562" s="193">
        <v>0</v>
      </c>
      <c r="E562" s="192">
        <v>0</v>
      </c>
      <c r="F562" s="193">
        <v>0</v>
      </c>
      <c r="G562" s="192">
        <v>0</v>
      </c>
      <c r="H562" s="193">
        <v>65987</v>
      </c>
      <c r="I562" s="192">
        <v>6587.56</v>
      </c>
      <c r="J562" s="194">
        <v>-128</v>
      </c>
      <c r="K562" s="195">
        <v>0</v>
      </c>
      <c r="L562" s="195">
        <v>6459.56</v>
      </c>
      <c r="M562" s="5" t="s">
        <v>1666</v>
      </c>
    </row>
    <row r="563" spans="1:13" hidden="1" outlineLevel="1">
      <c r="A563" s="139" t="s">
        <v>1699</v>
      </c>
      <c r="B563" s="14" t="s">
        <v>1742</v>
      </c>
      <c r="C563" s="494">
        <v>2023</v>
      </c>
      <c r="D563" s="193">
        <v>0</v>
      </c>
      <c r="E563" s="192">
        <v>0</v>
      </c>
      <c r="F563" s="193">
        <v>8522</v>
      </c>
      <c r="G563" s="192">
        <v>461.04</v>
      </c>
      <c r="H563" s="193">
        <v>923923</v>
      </c>
      <c r="I563" s="192">
        <v>43544.13</v>
      </c>
      <c r="J563" s="194">
        <v>-1280</v>
      </c>
      <c r="K563" s="195">
        <v>0</v>
      </c>
      <c r="L563" s="195">
        <v>42725.17</v>
      </c>
      <c r="M563" s="5" t="s">
        <v>1674</v>
      </c>
    </row>
    <row r="564" spans="1:13" hidden="1" outlineLevel="1">
      <c r="A564" s="139" t="s">
        <v>1489</v>
      </c>
      <c r="B564" s="14" t="s">
        <v>1742</v>
      </c>
      <c r="C564" s="494">
        <v>2022</v>
      </c>
      <c r="D564" s="193">
        <v>0</v>
      </c>
      <c r="E564" s="192">
        <v>0</v>
      </c>
      <c r="F564" s="193">
        <v>0</v>
      </c>
      <c r="G564" s="192">
        <v>0</v>
      </c>
      <c r="H564" s="193">
        <v>12490</v>
      </c>
      <c r="I564" s="192">
        <v>554.76</v>
      </c>
      <c r="J564" s="194">
        <v>0</v>
      </c>
      <c r="K564" s="195">
        <v>0</v>
      </c>
      <c r="L564" s="195">
        <v>554.76</v>
      </c>
      <c r="M564" s="5" t="s">
        <v>1674</v>
      </c>
    </row>
    <row r="565" spans="1:13" hidden="1" outlineLevel="1">
      <c r="A565" s="139" t="s">
        <v>1489</v>
      </c>
      <c r="B565" s="14" t="s">
        <v>1742</v>
      </c>
      <c r="C565" s="494">
        <v>2023</v>
      </c>
      <c r="D565" s="193">
        <v>0</v>
      </c>
      <c r="E565" s="192">
        <v>0</v>
      </c>
      <c r="F565" s="193">
        <v>1007</v>
      </c>
      <c r="G565" s="192">
        <v>54.48</v>
      </c>
      <c r="H565" s="193">
        <v>79133</v>
      </c>
      <c r="I565" s="192">
        <v>14632.48</v>
      </c>
      <c r="J565" s="194">
        <v>509.91</v>
      </c>
      <c r="K565" s="195">
        <v>0</v>
      </c>
      <c r="L565" s="195">
        <v>15196.87</v>
      </c>
      <c r="M565" s="5" t="s">
        <v>1674</v>
      </c>
    </row>
    <row r="566" spans="1:13" hidden="1" outlineLevel="1">
      <c r="A566" s="139" t="s">
        <v>1493</v>
      </c>
      <c r="B566" s="14" t="s">
        <v>1742</v>
      </c>
      <c r="C566" s="494">
        <v>2023</v>
      </c>
      <c r="D566" s="193">
        <v>0</v>
      </c>
      <c r="E566" s="192">
        <v>0</v>
      </c>
      <c r="F566" s="193">
        <v>-2498</v>
      </c>
      <c r="G566" s="192">
        <v>-135.13999999999999</v>
      </c>
      <c r="H566" s="193">
        <v>5816</v>
      </c>
      <c r="I566" s="192">
        <v>875.84</v>
      </c>
      <c r="J566" s="194">
        <v>0</v>
      </c>
      <c r="K566" s="195">
        <v>0</v>
      </c>
      <c r="L566" s="195">
        <v>740.7</v>
      </c>
      <c r="M566" s="5" t="s">
        <v>1678</v>
      </c>
    </row>
    <row r="567" spans="1:13" hidden="1" outlineLevel="1">
      <c r="A567" s="139" t="s">
        <v>1665</v>
      </c>
      <c r="B567" s="14" t="s">
        <v>1742</v>
      </c>
      <c r="C567" s="494">
        <v>2023</v>
      </c>
      <c r="D567" s="193">
        <v>0</v>
      </c>
      <c r="E567" s="192">
        <v>0</v>
      </c>
      <c r="F567" s="193">
        <v>0</v>
      </c>
      <c r="G567" s="192">
        <v>0</v>
      </c>
      <c r="H567" s="193">
        <v>4043</v>
      </c>
      <c r="I567" s="192">
        <v>321.16000000000003</v>
      </c>
      <c r="J567" s="194">
        <v>0</v>
      </c>
      <c r="K567" s="195">
        <v>0</v>
      </c>
      <c r="L567" s="195">
        <v>321.16000000000003</v>
      </c>
      <c r="M567" s="5" t="s">
        <v>1678</v>
      </c>
    </row>
    <row r="568" spans="1:13" hidden="1" outlineLevel="1">
      <c r="A568" s="139" t="s">
        <v>1649</v>
      </c>
      <c r="B568" s="14" t="s">
        <v>1742</v>
      </c>
      <c r="C568" s="494">
        <v>2023</v>
      </c>
      <c r="D568" s="193">
        <v>0</v>
      </c>
      <c r="E568" s="192">
        <v>0</v>
      </c>
      <c r="F568" s="193">
        <v>0</v>
      </c>
      <c r="G568" s="192">
        <v>0</v>
      </c>
      <c r="H568" s="193">
        <v>91782</v>
      </c>
      <c r="I568" s="192">
        <v>14685.12</v>
      </c>
      <c r="J568" s="194">
        <v>0</v>
      </c>
      <c r="K568" s="195">
        <v>0</v>
      </c>
      <c r="L568" s="195">
        <v>14685.12</v>
      </c>
      <c r="M568" s="5" t="s">
        <v>1680</v>
      </c>
    </row>
    <row r="569" spans="1:13" hidden="1" outlineLevel="1">
      <c r="A569" s="139" t="s">
        <v>1625</v>
      </c>
      <c r="B569" s="14" t="s">
        <v>1742</v>
      </c>
      <c r="C569" s="494">
        <v>2022</v>
      </c>
      <c r="D569" s="193">
        <v>0</v>
      </c>
      <c r="E569" s="192">
        <v>0</v>
      </c>
      <c r="F569" s="193">
        <v>12160</v>
      </c>
      <c r="G569" s="192">
        <v>657.86</v>
      </c>
      <c r="H569" s="193">
        <v>0</v>
      </c>
      <c r="I569" s="192">
        <v>0</v>
      </c>
      <c r="J569" s="194">
        <v>0</v>
      </c>
      <c r="K569" s="195">
        <v>0</v>
      </c>
      <c r="L569" s="195">
        <v>657.86</v>
      </c>
      <c r="M569" s="5" t="s">
        <v>1682</v>
      </c>
    </row>
    <row r="570" spans="1:13" hidden="1" outlineLevel="1">
      <c r="A570" s="139" t="s">
        <v>1625</v>
      </c>
      <c r="B570" s="14" t="s">
        <v>1742</v>
      </c>
      <c r="C570" s="494">
        <v>2023</v>
      </c>
      <c r="D570" s="193">
        <v>0</v>
      </c>
      <c r="E570" s="192">
        <v>0</v>
      </c>
      <c r="F570" s="193">
        <v>32226</v>
      </c>
      <c r="G570" s="192">
        <v>1743.43</v>
      </c>
      <c r="H570" s="193">
        <v>0</v>
      </c>
      <c r="I570" s="192">
        <v>0</v>
      </c>
      <c r="J570" s="194">
        <v>0</v>
      </c>
      <c r="K570" s="195">
        <v>0</v>
      </c>
      <c r="L570" s="195">
        <v>1743.43</v>
      </c>
      <c r="M570" s="5" t="s">
        <v>1688</v>
      </c>
    </row>
    <row r="571" spans="1:13" hidden="1" outlineLevel="1">
      <c r="A571" s="139" t="s">
        <v>1673</v>
      </c>
      <c r="B571" s="14" t="s">
        <v>1742</v>
      </c>
      <c r="C571" s="494">
        <v>2021</v>
      </c>
      <c r="D571" s="193">
        <v>0</v>
      </c>
      <c r="E571" s="192">
        <v>0</v>
      </c>
      <c r="F571" s="193">
        <v>0</v>
      </c>
      <c r="G571" s="192">
        <v>0</v>
      </c>
      <c r="H571" s="193">
        <v>17786</v>
      </c>
      <c r="I571" s="192">
        <v>2192.4</v>
      </c>
      <c r="J571" s="194">
        <v>0</v>
      </c>
      <c r="K571" s="195">
        <v>0</v>
      </c>
      <c r="L571" s="195">
        <v>2192.4</v>
      </c>
      <c r="M571" s="5" t="s">
        <v>1690</v>
      </c>
    </row>
    <row r="572" spans="1:13" hidden="1" outlineLevel="1">
      <c r="A572" s="139" t="s">
        <v>1673</v>
      </c>
      <c r="B572" s="14" t="s">
        <v>1742</v>
      </c>
      <c r="C572" s="494">
        <v>2022</v>
      </c>
      <c r="D572" s="193">
        <v>0</v>
      </c>
      <c r="E572" s="192">
        <v>0</v>
      </c>
      <c r="F572" s="193">
        <v>0</v>
      </c>
      <c r="G572" s="192">
        <v>0</v>
      </c>
      <c r="H572" s="193">
        <v>98084</v>
      </c>
      <c r="I572" s="192">
        <v>8836.08</v>
      </c>
      <c r="J572" s="194">
        <v>0</v>
      </c>
      <c r="K572" s="195">
        <v>0</v>
      </c>
      <c r="L572" s="195">
        <v>8836.08</v>
      </c>
      <c r="M572" s="5" t="s">
        <v>1690</v>
      </c>
    </row>
    <row r="573" spans="1:13" hidden="1" outlineLevel="1">
      <c r="A573" s="139" t="s">
        <v>1673</v>
      </c>
      <c r="B573" s="14" t="s">
        <v>1742</v>
      </c>
      <c r="C573" s="494">
        <v>2023</v>
      </c>
      <c r="D573" s="193">
        <v>0</v>
      </c>
      <c r="E573" s="192">
        <v>0</v>
      </c>
      <c r="F573" s="193">
        <v>0</v>
      </c>
      <c r="G573" s="192">
        <v>0</v>
      </c>
      <c r="H573" s="193">
        <v>10303</v>
      </c>
      <c r="I573" s="192">
        <v>1064.44</v>
      </c>
      <c r="J573" s="194">
        <v>0</v>
      </c>
      <c r="K573" s="195">
        <v>0</v>
      </c>
      <c r="L573" s="195">
        <v>1064.44</v>
      </c>
      <c r="M573" s="5" t="s">
        <v>1692</v>
      </c>
    </row>
    <row r="574" spans="1:13" hidden="1" outlineLevel="1">
      <c r="A574" s="139" t="s">
        <v>1679</v>
      </c>
      <c r="B574" s="14" t="s">
        <v>1742</v>
      </c>
      <c r="C574" s="494">
        <v>2023</v>
      </c>
      <c r="D574" s="193">
        <v>0</v>
      </c>
      <c r="E574" s="192">
        <v>0</v>
      </c>
      <c r="F574" s="193">
        <v>0</v>
      </c>
      <c r="G574" s="192">
        <v>0</v>
      </c>
      <c r="H574" s="193">
        <v>-2000</v>
      </c>
      <c r="I574" s="192">
        <v>-80</v>
      </c>
      <c r="J574" s="194">
        <v>0</v>
      </c>
      <c r="K574" s="195">
        <v>0</v>
      </c>
      <c r="L574" s="195">
        <v>-80</v>
      </c>
      <c r="M574" s="5" t="s">
        <v>1692</v>
      </c>
    </row>
    <row r="575" spans="1:13" hidden="1" outlineLevel="1">
      <c r="A575" s="139" t="s">
        <v>449</v>
      </c>
      <c r="B575" s="14" t="s">
        <v>1742</v>
      </c>
      <c r="C575" s="494">
        <v>2020</v>
      </c>
      <c r="D575" s="193">
        <v>0</v>
      </c>
      <c r="E575" s="192">
        <v>0</v>
      </c>
      <c r="F575" s="193">
        <v>648311</v>
      </c>
      <c r="G575" s="192">
        <v>30267.49</v>
      </c>
      <c r="H575" s="193">
        <v>166597</v>
      </c>
      <c r="I575" s="192">
        <v>20337.88</v>
      </c>
      <c r="J575" s="194">
        <v>-3717.69</v>
      </c>
      <c r="K575" s="195">
        <v>0</v>
      </c>
      <c r="L575" s="195">
        <v>46887.68</v>
      </c>
      <c r="M575" s="5" t="s">
        <v>1692</v>
      </c>
    </row>
    <row r="576" spans="1:13" hidden="1" outlineLevel="1">
      <c r="A576" s="139" t="s">
        <v>449</v>
      </c>
      <c r="B576" s="14" t="s">
        <v>1742</v>
      </c>
      <c r="C576" s="494">
        <v>2021</v>
      </c>
      <c r="D576" s="193">
        <v>0</v>
      </c>
      <c r="E576" s="192">
        <v>0</v>
      </c>
      <c r="F576" s="193">
        <v>339688</v>
      </c>
      <c r="G576" s="192">
        <v>18377.12</v>
      </c>
      <c r="H576" s="193">
        <v>-105942</v>
      </c>
      <c r="I576" s="192">
        <v>-10022</v>
      </c>
      <c r="J576" s="194">
        <v>-29.52</v>
      </c>
      <c r="K576" s="195">
        <v>0</v>
      </c>
      <c r="L576" s="195">
        <v>8325.6</v>
      </c>
      <c r="M576" s="5" t="s">
        <v>1692</v>
      </c>
    </row>
    <row r="577" spans="1:13" hidden="1" outlineLevel="1">
      <c r="A577" s="139" t="s">
        <v>449</v>
      </c>
      <c r="B577" s="14" t="s">
        <v>1742</v>
      </c>
      <c r="C577" s="494">
        <v>2022</v>
      </c>
      <c r="D577" s="193">
        <v>0</v>
      </c>
      <c r="E577" s="192">
        <v>0</v>
      </c>
      <c r="F577" s="193">
        <v>314404</v>
      </c>
      <c r="G577" s="192">
        <v>17009.25</v>
      </c>
      <c r="H577" s="193">
        <v>14887</v>
      </c>
      <c r="I577" s="192">
        <v>1114.5999999999999</v>
      </c>
      <c r="J577" s="194">
        <v>-27.2</v>
      </c>
      <c r="K577" s="195">
        <v>0</v>
      </c>
      <c r="L577" s="195">
        <v>18096.650000000001</v>
      </c>
      <c r="M577" s="5" t="s">
        <v>1692</v>
      </c>
    </row>
    <row r="578" spans="1:13" hidden="1" outlineLevel="1">
      <c r="A578" s="139" t="s">
        <v>1677</v>
      </c>
      <c r="B578" s="14" t="s">
        <v>1742</v>
      </c>
      <c r="C578" s="494">
        <v>2022</v>
      </c>
      <c r="D578" s="193">
        <v>0</v>
      </c>
      <c r="E578" s="192">
        <v>0</v>
      </c>
      <c r="F578" s="193">
        <v>0</v>
      </c>
      <c r="G578" s="192">
        <v>0</v>
      </c>
      <c r="H578" s="193">
        <v>1357</v>
      </c>
      <c r="I578" s="192">
        <v>168</v>
      </c>
      <c r="J578" s="194">
        <v>0</v>
      </c>
      <c r="K578" s="195">
        <v>0</v>
      </c>
      <c r="L578" s="195">
        <v>168</v>
      </c>
      <c r="M578" s="5" t="s">
        <v>1696</v>
      </c>
    </row>
    <row r="579" spans="1:13" hidden="1" outlineLevel="1">
      <c r="A579" s="139" t="s">
        <v>1677</v>
      </c>
      <c r="B579" s="14" t="s">
        <v>1742</v>
      </c>
      <c r="C579" s="494">
        <v>2023</v>
      </c>
      <c r="D579" s="193">
        <v>0</v>
      </c>
      <c r="E579" s="192">
        <v>0</v>
      </c>
      <c r="F579" s="193">
        <v>0</v>
      </c>
      <c r="G579" s="192">
        <v>0</v>
      </c>
      <c r="H579" s="193">
        <v>619930</v>
      </c>
      <c r="I579" s="192">
        <v>78810.12</v>
      </c>
      <c r="J579" s="194">
        <v>0</v>
      </c>
      <c r="K579" s="195">
        <v>0</v>
      </c>
      <c r="L579" s="195">
        <v>78810.12</v>
      </c>
      <c r="M579" s="5" t="s">
        <v>1696</v>
      </c>
    </row>
    <row r="580" spans="1:13" hidden="1" outlineLevel="1">
      <c r="A580" s="139" t="s">
        <v>1657</v>
      </c>
      <c r="B580" s="14" t="s">
        <v>1742</v>
      </c>
      <c r="C580" s="494">
        <v>2021</v>
      </c>
      <c r="D580" s="193">
        <v>0</v>
      </c>
      <c r="E580" s="192">
        <v>0</v>
      </c>
      <c r="F580" s="193">
        <v>0</v>
      </c>
      <c r="G580" s="192">
        <v>0</v>
      </c>
      <c r="H580" s="193">
        <v>142978</v>
      </c>
      <c r="I580" s="192">
        <v>17471.919999999998</v>
      </c>
      <c r="J580" s="194">
        <v>-931.55</v>
      </c>
      <c r="K580" s="195">
        <v>0</v>
      </c>
      <c r="L580" s="195">
        <v>16540.37</v>
      </c>
      <c r="M580" s="5" t="s">
        <v>1696</v>
      </c>
    </row>
    <row r="581" spans="1:13" hidden="1" outlineLevel="1">
      <c r="A581" s="139" t="s">
        <v>1657</v>
      </c>
      <c r="B581" s="14" t="s">
        <v>1742</v>
      </c>
      <c r="C581" s="494">
        <v>2022</v>
      </c>
      <c r="D581" s="193">
        <v>0</v>
      </c>
      <c r="E581" s="192">
        <v>0</v>
      </c>
      <c r="F581" s="193">
        <v>84415</v>
      </c>
      <c r="G581" s="192">
        <v>4566.8500000000004</v>
      </c>
      <c r="H581" s="193">
        <v>212005</v>
      </c>
      <c r="I581" s="192">
        <v>29626.400000000001</v>
      </c>
      <c r="J581" s="194">
        <v>-911.12</v>
      </c>
      <c r="K581" s="195">
        <v>0</v>
      </c>
      <c r="L581" s="195">
        <v>33282.129999999997</v>
      </c>
      <c r="M581" s="5" t="s">
        <v>1696</v>
      </c>
    </row>
    <row r="582" spans="1:13" hidden="1" outlineLevel="1">
      <c r="A582" s="139" t="s">
        <v>1657</v>
      </c>
      <c r="B582" s="14" t="s">
        <v>1742</v>
      </c>
      <c r="C582" s="494">
        <v>2023</v>
      </c>
      <c r="D582" s="193">
        <v>0</v>
      </c>
      <c r="E582" s="192">
        <v>0</v>
      </c>
      <c r="F582" s="193">
        <v>51321</v>
      </c>
      <c r="G582" s="192">
        <v>2776.47</v>
      </c>
      <c r="H582" s="193">
        <v>103285</v>
      </c>
      <c r="I582" s="192">
        <v>9000.1200000000008</v>
      </c>
      <c r="J582" s="194">
        <v>-444.42</v>
      </c>
      <c r="K582" s="195">
        <v>0</v>
      </c>
      <c r="L582" s="195">
        <v>11332.17</v>
      </c>
      <c r="M582" s="5" t="s">
        <v>1700</v>
      </c>
    </row>
    <row r="583" spans="1:13" hidden="1" outlineLevel="1">
      <c r="A583" s="139" t="s">
        <v>1517</v>
      </c>
      <c r="B583" s="14" t="s">
        <v>1742</v>
      </c>
      <c r="C583" s="869">
        <v>2021</v>
      </c>
      <c r="D583" s="193">
        <v>0</v>
      </c>
      <c r="E583" s="192">
        <v>0</v>
      </c>
      <c r="F583" s="193">
        <v>0</v>
      </c>
      <c r="G583" s="192">
        <v>0</v>
      </c>
      <c r="H583" s="193">
        <v>610542</v>
      </c>
      <c r="I583" s="192">
        <v>36965.68</v>
      </c>
      <c r="J583" s="194">
        <v>0</v>
      </c>
      <c r="K583" s="195">
        <v>0</v>
      </c>
      <c r="L583" s="195">
        <v>36965.68</v>
      </c>
      <c r="M583" s="5" t="s">
        <v>1700</v>
      </c>
    </row>
    <row r="584" spans="1:13" hidden="1" outlineLevel="1">
      <c r="A584" s="142" t="s">
        <v>1517</v>
      </c>
      <c r="B584" s="14" t="s">
        <v>1742</v>
      </c>
      <c r="C584" s="869">
        <v>2022</v>
      </c>
      <c r="D584" s="193">
        <v>0</v>
      </c>
      <c r="E584" s="192">
        <v>0</v>
      </c>
      <c r="F584" s="193">
        <v>0</v>
      </c>
      <c r="G584" s="192">
        <v>0</v>
      </c>
      <c r="H584" s="193">
        <v>611921</v>
      </c>
      <c r="I584" s="192">
        <v>39658.639999999999</v>
      </c>
      <c r="J584" s="194">
        <v>0</v>
      </c>
      <c r="K584" s="195">
        <v>0</v>
      </c>
      <c r="L584" s="195">
        <v>39658.639999999999</v>
      </c>
      <c r="M584" s="5" t="s">
        <v>450</v>
      </c>
    </row>
    <row r="585" spans="1:13" hidden="1" outlineLevel="1">
      <c r="A585" s="142" t="s">
        <v>1517</v>
      </c>
      <c r="B585" s="14" t="s">
        <v>1742</v>
      </c>
      <c r="C585" s="869">
        <v>2023</v>
      </c>
      <c r="D585" s="193">
        <v>0</v>
      </c>
      <c r="E585" s="192">
        <v>0</v>
      </c>
      <c r="F585" s="193">
        <v>-22779</v>
      </c>
      <c r="G585" s="192">
        <v>-1232.3399999999999</v>
      </c>
      <c r="H585" s="193">
        <v>579466</v>
      </c>
      <c r="I585" s="192">
        <v>36209.24</v>
      </c>
      <c r="J585" s="194">
        <v>0</v>
      </c>
      <c r="K585" s="195">
        <v>0</v>
      </c>
      <c r="L585" s="195">
        <v>31016.9</v>
      </c>
      <c r="M585" s="5" t="s">
        <v>450</v>
      </c>
    </row>
    <row r="586" spans="1:13" hidden="1" outlineLevel="1">
      <c r="A586" s="142" t="s">
        <v>1601</v>
      </c>
      <c r="B586" s="14" t="s">
        <v>1742</v>
      </c>
      <c r="C586" s="869">
        <v>2021</v>
      </c>
      <c r="D586" s="193">
        <v>0</v>
      </c>
      <c r="E586" s="192">
        <v>0</v>
      </c>
      <c r="F586" s="193">
        <v>0</v>
      </c>
      <c r="G586" s="192">
        <v>0</v>
      </c>
      <c r="H586" s="193">
        <v>2</v>
      </c>
      <c r="I586" s="192">
        <v>-1109.6400000000001</v>
      </c>
      <c r="J586" s="194">
        <v>0</v>
      </c>
      <c r="K586" s="195">
        <v>0</v>
      </c>
      <c r="L586" s="195">
        <v>-1109.6400000000001</v>
      </c>
      <c r="M586" s="5" t="s">
        <v>450</v>
      </c>
    </row>
    <row r="587" spans="1:13" hidden="1" outlineLevel="1">
      <c r="A587" s="142" t="s">
        <v>1601</v>
      </c>
      <c r="B587" s="14" t="s">
        <v>1742</v>
      </c>
      <c r="C587" s="869">
        <v>2022</v>
      </c>
      <c r="D587" s="193">
        <v>0</v>
      </c>
      <c r="E587" s="192">
        <v>0</v>
      </c>
      <c r="F587" s="193">
        <v>0</v>
      </c>
      <c r="G587" s="192">
        <v>0</v>
      </c>
      <c r="H587" s="193">
        <v>3037</v>
      </c>
      <c r="I587" s="192">
        <v>-334.47</v>
      </c>
      <c r="J587" s="194">
        <v>0</v>
      </c>
      <c r="K587" s="195">
        <v>0</v>
      </c>
      <c r="L587" s="195">
        <v>-334.47</v>
      </c>
      <c r="M587" s="5" t="s">
        <v>1706</v>
      </c>
    </row>
    <row r="588" spans="1:13" ht="13.5" hidden="1" outlineLevel="1" thickBot="1">
      <c r="A588" s="511" t="s">
        <v>1601</v>
      </c>
      <c r="B588" s="184" t="s">
        <v>1742</v>
      </c>
      <c r="C588" s="512">
        <v>2023</v>
      </c>
      <c r="D588" s="193">
        <v>0</v>
      </c>
      <c r="E588" s="192">
        <v>0</v>
      </c>
      <c r="F588" s="193">
        <v>0</v>
      </c>
      <c r="G588" s="192">
        <v>0</v>
      </c>
      <c r="H588" s="193">
        <v>-2</v>
      </c>
      <c r="I588" s="192">
        <v>-422.59</v>
      </c>
      <c r="J588" s="194">
        <v>0</v>
      </c>
      <c r="K588" s="195">
        <v>0</v>
      </c>
      <c r="L588" s="195">
        <v>-422.59</v>
      </c>
      <c r="M588" s="5" t="s">
        <v>1706</v>
      </c>
    </row>
    <row r="589" spans="1:13" ht="13.5" collapsed="1" thickBot="1">
      <c r="A589" s="508" t="s">
        <v>1715</v>
      </c>
      <c r="B589" s="509"/>
      <c r="C589" s="510"/>
      <c r="D589" s="266">
        <f t="shared" ref="D589:L589" si="30">D11+D79+D315+D479</f>
        <v>7635201.0199999996</v>
      </c>
      <c r="E589" s="246">
        <f t="shared" si="30"/>
        <v>316227.26</v>
      </c>
      <c r="F589" s="266">
        <f t="shared" si="30"/>
        <v>164229704.96000001</v>
      </c>
      <c r="G589" s="246">
        <f t="shared" si="30"/>
        <v>6958191.0799999982</v>
      </c>
      <c r="H589" s="266">
        <f t="shared" si="30"/>
        <v>2040092922.852</v>
      </c>
      <c r="I589" s="246">
        <f t="shared" si="30"/>
        <v>80544056.890000015</v>
      </c>
      <c r="J589" s="505">
        <f t="shared" si="30"/>
        <v>-181917.46000000002</v>
      </c>
      <c r="K589" s="505">
        <f t="shared" si="30"/>
        <v>-2192.58</v>
      </c>
      <c r="L589" s="505">
        <f t="shared" si="30"/>
        <v>87634365.190000013</v>
      </c>
    </row>
    <row r="590" spans="1:13">
      <c r="A590" s="9"/>
      <c r="B590" s="2"/>
      <c r="C590" s="2"/>
      <c r="D590" s="278"/>
      <c r="E590" s="278"/>
      <c r="F590" s="278"/>
      <c r="G590" s="278"/>
      <c r="H590" s="278"/>
      <c r="I590" s="278"/>
      <c r="J590" s="278"/>
      <c r="K590" s="278"/>
      <c r="L590" s="278"/>
    </row>
    <row r="591" spans="1:13" hidden="1">
      <c r="A591" s="9"/>
      <c r="B591" s="2"/>
      <c r="C591" s="2"/>
      <c r="D591" s="187"/>
      <c r="E591" s="187"/>
      <c r="F591" s="187"/>
      <c r="G591" s="187"/>
      <c r="H591" s="187"/>
      <c r="I591" s="187"/>
      <c r="J591" s="187"/>
      <c r="K591" s="187"/>
      <c r="L591" s="187"/>
    </row>
    <row r="592" spans="1:13" hidden="1">
      <c r="A592" s="9"/>
      <c r="B592" s="2"/>
      <c r="C592" s="2"/>
      <c r="D592" s="278"/>
      <c r="E592" s="278"/>
      <c r="F592" s="278"/>
      <c r="G592" s="278"/>
      <c r="H592" s="278"/>
      <c r="I592" s="278"/>
      <c r="J592" s="278"/>
      <c r="K592" s="278"/>
      <c r="L592" s="278"/>
    </row>
    <row r="593" spans="1:12" hidden="1">
      <c r="A593" s="9"/>
      <c r="B593" s="2"/>
      <c r="C593" s="2"/>
      <c r="D593" s="187"/>
      <c r="E593" s="187"/>
      <c r="F593" s="187"/>
      <c r="G593" s="187"/>
      <c r="H593" s="187"/>
      <c r="I593" s="187"/>
      <c r="J593" s="187"/>
      <c r="K593" s="187"/>
      <c r="L593" s="187"/>
    </row>
    <row r="594" spans="1:12" hidden="1">
      <c r="A594" s="9"/>
      <c r="B594" s="2"/>
      <c r="C594" s="2"/>
      <c r="D594" s="187"/>
      <c r="E594" s="187"/>
      <c r="F594" s="187"/>
      <c r="G594" s="187"/>
      <c r="H594" s="187"/>
      <c r="I594" s="187"/>
      <c r="J594" s="187"/>
      <c r="K594" s="187"/>
      <c r="L594" s="187"/>
    </row>
    <row r="595" spans="1:12" hidden="1">
      <c r="A595" s="9"/>
      <c r="B595" s="2"/>
      <c r="C595" s="2"/>
      <c r="D595" s="187"/>
      <c r="E595" s="187"/>
      <c r="F595" s="187"/>
      <c r="G595" s="187"/>
      <c r="H595" s="187"/>
      <c r="I595" s="187"/>
      <c r="J595" s="187"/>
      <c r="K595" s="187"/>
      <c r="L595" s="187"/>
    </row>
    <row r="596" spans="1:12" hidden="1">
      <c r="A596" s="9"/>
      <c r="B596" s="2"/>
      <c r="C596" s="2"/>
      <c r="D596" s="278"/>
      <c r="E596" s="278"/>
      <c r="F596" s="278"/>
      <c r="G596" s="278"/>
      <c r="H596" s="278"/>
      <c r="I596" s="278"/>
      <c r="J596" s="278"/>
      <c r="K596" s="278"/>
      <c r="L596" s="187"/>
    </row>
    <row r="597" spans="1:12" hidden="1">
      <c r="A597" s="9"/>
      <c r="B597" s="2"/>
      <c r="C597" s="2"/>
      <c r="D597" s="278"/>
      <c r="E597" s="278"/>
      <c r="F597" s="278"/>
      <c r="G597" s="278"/>
      <c r="H597" s="278"/>
      <c r="I597" s="278"/>
      <c r="J597" s="278"/>
      <c r="K597" s="278"/>
      <c r="L597" s="278"/>
    </row>
    <row r="598" spans="1:12" hidden="1">
      <c r="A598" s="9"/>
      <c r="B598" s="2"/>
      <c r="C598" s="2"/>
      <c r="D598" s="278"/>
      <c r="E598" s="278"/>
      <c r="F598" s="278"/>
      <c r="G598" s="278"/>
      <c r="H598" s="278"/>
      <c r="I598" s="278"/>
      <c r="J598" s="278"/>
      <c r="K598" s="278"/>
      <c r="L598" s="278"/>
    </row>
    <row r="599" spans="1:12" hidden="1">
      <c r="A599" s="9"/>
      <c r="B599" s="2"/>
      <c r="C599" s="2"/>
      <c r="D599" s="187"/>
      <c r="E599" s="187"/>
      <c r="F599" s="187"/>
      <c r="G599" s="187"/>
      <c r="H599" s="187"/>
      <c r="I599" s="187"/>
      <c r="J599" s="187"/>
      <c r="K599" s="187"/>
      <c r="L599" s="187"/>
    </row>
    <row r="600" spans="1:12" hidden="1">
      <c r="A600" s="9"/>
      <c r="B600" s="2"/>
      <c r="C600" s="2"/>
      <c r="D600" s="278"/>
      <c r="E600" s="278"/>
      <c r="F600" s="278"/>
      <c r="G600" s="278"/>
      <c r="H600" s="278"/>
      <c r="I600" s="278"/>
      <c r="J600" s="278"/>
      <c r="K600" s="278"/>
      <c r="L600" s="278"/>
    </row>
    <row r="601" spans="1:12" hidden="1">
      <c r="A601" s="9"/>
      <c r="B601" s="2"/>
      <c r="C601" s="2"/>
      <c r="D601" s="187"/>
      <c r="E601" s="187"/>
      <c r="F601" s="187"/>
      <c r="G601" s="187"/>
      <c r="H601" s="187"/>
      <c r="I601" s="187"/>
      <c r="J601" s="187"/>
      <c r="K601" s="187"/>
      <c r="L601" s="187"/>
    </row>
    <row r="602" spans="1:12" hidden="1">
      <c r="A602" s="9"/>
      <c r="B602" s="2"/>
      <c r="C602" s="2"/>
      <c r="D602" s="187"/>
      <c r="E602" s="187"/>
      <c r="F602" s="187"/>
      <c r="G602" s="187"/>
      <c r="H602" s="187"/>
      <c r="I602" s="187"/>
      <c r="J602" s="187"/>
      <c r="K602" s="187"/>
      <c r="L602" s="187"/>
    </row>
    <row r="603" spans="1:12" hidden="1">
      <c r="A603" s="9"/>
      <c r="B603" s="2"/>
      <c r="C603" s="2"/>
      <c r="D603" s="278"/>
      <c r="E603" s="278"/>
      <c r="F603" s="278"/>
      <c r="G603" s="278"/>
      <c r="H603" s="278"/>
      <c r="I603" s="278"/>
      <c r="J603" s="278"/>
      <c r="K603" s="278"/>
      <c r="L603" s="278"/>
    </row>
    <row r="604" spans="1:12">
      <c r="A604" s="9"/>
      <c r="B604" s="2"/>
      <c r="C604" s="2"/>
      <c r="D604" s="187"/>
      <c r="E604" s="187"/>
      <c r="F604" s="187"/>
      <c r="G604" s="187"/>
      <c r="H604" s="187"/>
      <c r="I604" s="187"/>
      <c r="J604" s="187"/>
      <c r="K604" s="187"/>
      <c r="L604" s="187"/>
    </row>
    <row r="605" spans="1:12">
      <c r="A605" s="640" t="s">
        <v>1744</v>
      </c>
      <c r="B605" s="2"/>
      <c r="C605" s="2"/>
      <c r="D605" s="187"/>
      <c r="E605" s="187"/>
      <c r="F605" s="187"/>
      <c r="G605" s="187"/>
      <c r="H605" s="187"/>
      <c r="I605" s="187"/>
      <c r="J605" s="187"/>
      <c r="K605" s="187"/>
      <c r="L605" s="187"/>
    </row>
    <row r="606" spans="1:12" ht="13.5" thickBot="1">
      <c r="A606" s="9"/>
      <c r="B606" s="2"/>
      <c r="C606" s="2"/>
      <c r="D606" s="187"/>
      <c r="E606" s="187"/>
      <c r="F606" s="187"/>
      <c r="G606" s="187"/>
      <c r="H606" s="187"/>
      <c r="I606" s="187"/>
      <c r="J606" s="187"/>
      <c r="K606" s="187"/>
      <c r="L606" s="187"/>
    </row>
    <row r="607" spans="1:12" ht="25.5">
      <c r="A607" s="1127"/>
      <c r="B607" s="1137" t="s">
        <v>1738</v>
      </c>
      <c r="C607" s="1138" t="s">
        <v>1739</v>
      </c>
      <c r="D607" s="500" t="s">
        <v>1726</v>
      </c>
      <c r="E607" s="415"/>
      <c r="F607" s="187"/>
      <c r="G607" s="187"/>
      <c r="H607" s="187"/>
      <c r="I607" s="187"/>
      <c r="J607" s="187"/>
      <c r="K607" s="187"/>
      <c r="L607" s="187"/>
    </row>
    <row r="608" spans="1:12" ht="13.5" thickBot="1">
      <c r="A608" s="1139"/>
      <c r="B608" s="517"/>
      <c r="C608" s="1140"/>
      <c r="D608" s="641" t="s">
        <v>1722</v>
      </c>
    </row>
    <row r="609" spans="1:15" ht="25.5">
      <c r="A609" s="139" t="s">
        <v>85</v>
      </c>
      <c r="B609" s="69"/>
      <c r="C609" s="1132"/>
      <c r="D609" s="190">
        <f>SUM(D610:D676)</f>
        <v>-1592</v>
      </c>
      <c r="E609" s="416"/>
      <c r="F609" s="187"/>
      <c r="G609" s="187"/>
      <c r="H609" s="187"/>
      <c r="I609" s="187"/>
      <c r="J609" s="187"/>
      <c r="K609" s="187"/>
      <c r="L609" s="187"/>
    </row>
    <row r="610" spans="1:15" hidden="1" outlineLevel="1">
      <c r="A610" s="140" t="s">
        <v>318</v>
      </c>
      <c r="B610" s="14">
        <v>7</v>
      </c>
      <c r="C610" s="141">
        <v>2019</v>
      </c>
      <c r="D610" s="194">
        <v>0</v>
      </c>
      <c r="E610" s="416"/>
      <c r="F610" s="187"/>
      <c r="G610" s="187"/>
      <c r="H610" s="187"/>
      <c r="I610" s="187"/>
      <c r="J610" s="187"/>
      <c r="K610" s="187"/>
      <c r="L610" s="187"/>
      <c r="M610" t="s">
        <v>319</v>
      </c>
      <c r="O610" t="str">
        <f>$A$609</f>
        <v>Regelzone 50Hertz (gesamt)</v>
      </c>
    </row>
    <row r="611" spans="1:15" hidden="1" outlineLevel="1">
      <c r="A611" s="140" t="s">
        <v>388</v>
      </c>
      <c r="B611" s="14">
        <v>1</v>
      </c>
      <c r="C611" s="141">
        <v>2020</v>
      </c>
      <c r="D611" s="194">
        <v>0</v>
      </c>
      <c r="E611" s="416"/>
      <c r="F611" s="187"/>
      <c r="G611" s="187"/>
      <c r="H611" s="187"/>
      <c r="I611" s="187"/>
      <c r="J611" s="187"/>
      <c r="K611" s="187"/>
      <c r="L611" s="187"/>
      <c r="M611" t="s">
        <v>389</v>
      </c>
      <c r="O611" t="str">
        <f t="shared" ref="O611:O676" si="31">$A$609</f>
        <v>Regelzone 50Hertz (gesamt)</v>
      </c>
    </row>
    <row r="612" spans="1:15" hidden="1" outlineLevel="1">
      <c r="A612" s="140" t="s">
        <v>238</v>
      </c>
      <c r="B612" s="14">
        <v>7</v>
      </c>
      <c r="C612" s="141">
        <v>2020</v>
      </c>
      <c r="D612" s="194">
        <v>0</v>
      </c>
      <c r="E612" s="416"/>
      <c r="F612" s="187"/>
      <c r="G612" s="187"/>
      <c r="H612" s="187"/>
      <c r="I612" s="187"/>
      <c r="J612" s="187"/>
      <c r="K612" s="187"/>
      <c r="L612" s="187"/>
      <c r="M612" t="s">
        <v>239</v>
      </c>
      <c r="O612" t="str">
        <f t="shared" si="31"/>
        <v>Regelzone 50Hertz (gesamt)</v>
      </c>
    </row>
    <row r="613" spans="1:15" hidden="1" outlineLevel="1">
      <c r="A613" s="140" t="s">
        <v>318</v>
      </c>
      <c r="B613" s="14">
        <v>7</v>
      </c>
      <c r="C613" s="141">
        <v>2020</v>
      </c>
      <c r="D613" s="194">
        <v>0</v>
      </c>
      <c r="E613" s="416"/>
      <c r="F613" s="187"/>
      <c r="G613" s="187"/>
      <c r="H613" s="187"/>
      <c r="I613" s="187"/>
      <c r="J613" s="187"/>
      <c r="K613" s="187"/>
      <c r="L613" s="187"/>
      <c r="M613" t="s">
        <v>319</v>
      </c>
      <c r="O613" t="str">
        <f t="shared" si="31"/>
        <v>Regelzone 50Hertz (gesamt)</v>
      </c>
    </row>
    <row r="614" spans="1:15" hidden="1" outlineLevel="1">
      <c r="A614" s="140" t="s">
        <v>352</v>
      </c>
      <c r="B614" s="14">
        <v>7</v>
      </c>
      <c r="C614" s="141">
        <v>2020</v>
      </c>
      <c r="D614" s="194">
        <v>0</v>
      </c>
      <c r="E614" s="416"/>
      <c r="F614" s="187"/>
      <c r="G614" s="187"/>
      <c r="H614" s="187"/>
      <c r="I614" s="187"/>
      <c r="J614" s="187"/>
      <c r="K614" s="187"/>
      <c r="L614" s="187"/>
      <c r="M614" t="s">
        <v>353</v>
      </c>
      <c r="O614" t="str">
        <f t="shared" si="31"/>
        <v>Regelzone 50Hertz (gesamt)</v>
      </c>
    </row>
    <row r="615" spans="1:15" hidden="1" outlineLevel="1">
      <c r="A615" s="140" t="s">
        <v>388</v>
      </c>
      <c r="B615" s="14">
        <v>7</v>
      </c>
      <c r="C615" s="141">
        <v>2020</v>
      </c>
      <c r="D615" s="194">
        <v>0</v>
      </c>
      <c r="E615" s="416"/>
      <c r="F615" s="187"/>
      <c r="G615" s="187"/>
      <c r="H615" s="187"/>
      <c r="I615" s="187"/>
      <c r="J615" s="187"/>
      <c r="K615" s="187"/>
      <c r="L615" s="187"/>
      <c r="M615" t="s">
        <v>389</v>
      </c>
      <c r="O615" t="str">
        <f t="shared" si="31"/>
        <v>Regelzone 50Hertz (gesamt)</v>
      </c>
    </row>
    <row r="616" spans="1:15" hidden="1" outlineLevel="1">
      <c r="A616" s="140" t="s">
        <v>310</v>
      </c>
      <c r="B616" s="14">
        <v>1</v>
      </c>
      <c r="C616" s="141">
        <v>2021</v>
      </c>
      <c r="D616" s="194">
        <v>0</v>
      </c>
      <c r="E616" s="416"/>
      <c r="F616" s="187"/>
      <c r="G616" s="187"/>
      <c r="H616" s="187"/>
      <c r="I616" s="187"/>
      <c r="J616" s="187"/>
      <c r="K616" s="187"/>
      <c r="L616" s="187"/>
      <c r="M616" t="s">
        <v>311</v>
      </c>
      <c r="O616" t="str">
        <f t="shared" si="31"/>
        <v>Regelzone 50Hertz (gesamt)</v>
      </c>
    </row>
    <row r="617" spans="1:15" hidden="1" outlineLevel="1">
      <c r="A617" s="140" t="s">
        <v>316</v>
      </c>
      <c r="B617" s="14">
        <v>1</v>
      </c>
      <c r="C617" s="141">
        <v>2021</v>
      </c>
      <c r="D617" s="194">
        <v>0</v>
      </c>
      <c r="E617" s="416"/>
      <c r="F617" s="187"/>
      <c r="G617" s="187"/>
      <c r="H617" s="187"/>
      <c r="I617" s="187"/>
      <c r="J617" s="187"/>
      <c r="K617" s="187"/>
      <c r="L617" s="187"/>
      <c r="M617" t="s">
        <v>317</v>
      </c>
      <c r="O617" t="str">
        <f t="shared" si="31"/>
        <v>Regelzone 50Hertz (gesamt)</v>
      </c>
    </row>
    <row r="618" spans="1:15" hidden="1" outlineLevel="1">
      <c r="A618" s="140" t="s">
        <v>352</v>
      </c>
      <c r="B618" s="14">
        <v>1</v>
      </c>
      <c r="C618" s="141">
        <v>2021</v>
      </c>
      <c r="D618" s="194">
        <v>0</v>
      </c>
      <c r="E618" s="416"/>
      <c r="F618" s="187"/>
      <c r="G618" s="187"/>
      <c r="H618" s="187"/>
      <c r="I618" s="187"/>
      <c r="J618" s="187"/>
      <c r="K618" s="187"/>
      <c r="L618" s="187"/>
      <c r="M618" t="s">
        <v>353</v>
      </c>
      <c r="O618" t="str">
        <f t="shared" si="31"/>
        <v>Regelzone 50Hertz (gesamt)</v>
      </c>
    </row>
    <row r="619" spans="1:15" hidden="1" outlineLevel="1">
      <c r="A619" s="140" t="s">
        <v>388</v>
      </c>
      <c r="B619" s="14">
        <v>1</v>
      </c>
      <c r="C619" s="141">
        <v>2021</v>
      </c>
      <c r="D619" s="194">
        <v>0</v>
      </c>
      <c r="E619" s="416"/>
      <c r="M619" t="s">
        <v>389</v>
      </c>
      <c r="O619" t="str">
        <f t="shared" si="31"/>
        <v>Regelzone 50Hertz (gesamt)</v>
      </c>
    </row>
    <row r="620" spans="1:15" hidden="1" outlineLevel="1">
      <c r="A620" s="140" t="s">
        <v>238</v>
      </c>
      <c r="B620" s="14">
        <v>7</v>
      </c>
      <c r="C620" s="141">
        <v>2021</v>
      </c>
      <c r="D620" s="194">
        <v>0</v>
      </c>
      <c r="E620" s="416"/>
      <c r="M620" t="s">
        <v>239</v>
      </c>
      <c r="O620" t="str">
        <f t="shared" si="31"/>
        <v>Regelzone 50Hertz (gesamt)</v>
      </c>
    </row>
    <row r="621" spans="1:15" hidden="1" outlineLevel="1">
      <c r="A621" s="140" t="s">
        <v>252</v>
      </c>
      <c r="B621" s="14">
        <v>7</v>
      </c>
      <c r="C621" s="141">
        <v>2021</v>
      </c>
      <c r="D621" s="194">
        <v>0</v>
      </c>
      <c r="E621" s="416"/>
      <c r="M621" t="s">
        <v>253</v>
      </c>
      <c r="O621" t="str">
        <f t="shared" si="31"/>
        <v>Regelzone 50Hertz (gesamt)</v>
      </c>
    </row>
    <row r="622" spans="1:15" hidden="1" outlineLevel="1">
      <c r="A622" s="140" t="s">
        <v>310</v>
      </c>
      <c r="B622" s="14">
        <v>7</v>
      </c>
      <c r="C622" s="141">
        <v>2021</v>
      </c>
      <c r="D622" s="194">
        <v>0</v>
      </c>
      <c r="E622" s="416"/>
      <c r="M622" t="s">
        <v>311</v>
      </c>
      <c r="O622" t="str">
        <f t="shared" si="31"/>
        <v>Regelzone 50Hertz (gesamt)</v>
      </c>
    </row>
    <row r="623" spans="1:15" hidden="1" outlineLevel="1">
      <c r="A623" s="140" t="s">
        <v>316</v>
      </c>
      <c r="B623" s="14">
        <v>7</v>
      </c>
      <c r="C623" s="141">
        <v>2021</v>
      </c>
      <c r="D623" s="194">
        <v>0</v>
      </c>
      <c r="E623" s="416"/>
      <c r="M623" t="s">
        <v>317</v>
      </c>
      <c r="O623" t="str">
        <f t="shared" si="31"/>
        <v>Regelzone 50Hertz (gesamt)</v>
      </c>
    </row>
    <row r="624" spans="1:15" hidden="1" outlineLevel="1">
      <c r="A624" s="140" t="s">
        <v>318</v>
      </c>
      <c r="B624" s="14">
        <v>7</v>
      </c>
      <c r="C624" s="141">
        <v>2021</v>
      </c>
      <c r="D624" s="194">
        <v>0</v>
      </c>
      <c r="E624" s="416"/>
      <c r="M624" t="s">
        <v>319</v>
      </c>
      <c r="O624" t="str">
        <f t="shared" si="31"/>
        <v>Regelzone 50Hertz (gesamt)</v>
      </c>
    </row>
    <row r="625" spans="1:15" hidden="1" outlineLevel="1">
      <c r="A625" s="140" t="s">
        <v>352</v>
      </c>
      <c r="B625" s="14">
        <v>7</v>
      </c>
      <c r="C625" s="141">
        <v>2021</v>
      </c>
      <c r="D625" s="194">
        <v>0</v>
      </c>
      <c r="E625" s="416"/>
      <c r="M625" t="s">
        <v>353</v>
      </c>
      <c r="O625" t="str">
        <f t="shared" si="31"/>
        <v>Regelzone 50Hertz (gesamt)</v>
      </c>
    </row>
    <row r="626" spans="1:15" hidden="1" outlineLevel="1">
      <c r="A626" s="140" t="s">
        <v>388</v>
      </c>
      <c r="B626" s="14">
        <v>7</v>
      </c>
      <c r="C626" s="141">
        <v>2021</v>
      </c>
      <c r="D626" s="194">
        <v>0</v>
      </c>
      <c r="E626" s="416"/>
      <c r="M626" t="s">
        <v>389</v>
      </c>
      <c r="O626" t="str">
        <f t="shared" si="31"/>
        <v>Regelzone 50Hertz (gesamt)</v>
      </c>
    </row>
    <row r="627" spans="1:15" hidden="1" outlineLevel="1">
      <c r="A627" s="140" t="s">
        <v>114</v>
      </c>
      <c r="B627" s="14">
        <v>1</v>
      </c>
      <c r="C627" s="141">
        <v>2022</v>
      </c>
      <c r="D627" s="194">
        <v>0</v>
      </c>
      <c r="E627" s="416"/>
      <c r="M627" t="s">
        <v>115</v>
      </c>
      <c r="O627" t="str">
        <f t="shared" si="31"/>
        <v>Regelzone 50Hertz (gesamt)</v>
      </c>
    </row>
    <row r="628" spans="1:15" hidden="1" outlineLevel="1">
      <c r="A628" s="140" t="s">
        <v>238</v>
      </c>
      <c r="B628" s="14">
        <v>1</v>
      </c>
      <c r="C628" s="141">
        <v>2022</v>
      </c>
      <c r="D628" s="194">
        <v>0</v>
      </c>
      <c r="E628" s="416"/>
      <c r="M628" t="s">
        <v>239</v>
      </c>
      <c r="O628" t="str">
        <f t="shared" si="31"/>
        <v>Regelzone 50Hertz (gesamt)</v>
      </c>
    </row>
    <row r="629" spans="1:15" hidden="1" outlineLevel="1">
      <c r="A629" s="140" t="s">
        <v>310</v>
      </c>
      <c r="B629" s="14">
        <v>1</v>
      </c>
      <c r="C629" s="141">
        <v>2022</v>
      </c>
      <c r="D629" s="194">
        <v>0</v>
      </c>
      <c r="E629" s="416"/>
      <c r="M629" t="s">
        <v>311</v>
      </c>
      <c r="O629" t="str">
        <f t="shared" si="31"/>
        <v>Regelzone 50Hertz (gesamt)</v>
      </c>
    </row>
    <row r="630" spans="1:15" hidden="1" outlineLevel="1">
      <c r="A630" s="140" t="s">
        <v>316</v>
      </c>
      <c r="B630" s="14">
        <v>1</v>
      </c>
      <c r="C630" s="141">
        <v>2022</v>
      </c>
      <c r="D630" s="194">
        <v>0</v>
      </c>
      <c r="E630" s="416"/>
      <c r="M630" t="s">
        <v>317</v>
      </c>
      <c r="O630" t="str">
        <f t="shared" si="31"/>
        <v>Regelzone 50Hertz (gesamt)</v>
      </c>
    </row>
    <row r="631" spans="1:15" hidden="1" outlineLevel="1">
      <c r="A631" s="140" t="s">
        <v>318</v>
      </c>
      <c r="B631" s="14">
        <v>1</v>
      </c>
      <c r="C631" s="141">
        <v>2022</v>
      </c>
      <c r="D631" s="194">
        <v>0</v>
      </c>
      <c r="E631" s="416"/>
      <c r="M631" t="s">
        <v>319</v>
      </c>
      <c r="O631" t="str">
        <f t="shared" si="31"/>
        <v>Regelzone 50Hertz (gesamt)</v>
      </c>
    </row>
    <row r="632" spans="1:15" hidden="1" outlineLevel="1">
      <c r="A632" s="140" t="s">
        <v>94</v>
      </c>
      <c r="B632" s="14">
        <v>7</v>
      </c>
      <c r="C632" s="141">
        <v>2022</v>
      </c>
      <c r="D632" s="194">
        <v>0</v>
      </c>
      <c r="E632" s="416"/>
      <c r="M632" t="s">
        <v>95</v>
      </c>
      <c r="O632" t="str">
        <f t="shared" si="31"/>
        <v>Regelzone 50Hertz (gesamt)</v>
      </c>
    </row>
    <row r="633" spans="1:15" hidden="1" outlineLevel="1">
      <c r="A633" s="140" t="s">
        <v>114</v>
      </c>
      <c r="B633" s="14">
        <v>7</v>
      </c>
      <c r="C633" s="141">
        <v>2022</v>
      </c>
      <c r="D633" s="194">
        <v>0</v>
      </c>
      <c r="E633" s="416"/>
      <c r="M633" t="s">
        <v>115</v>
      </c>
      <c r="O633" t="str">
        <f t="shared" si="31"/>
        <v>Regelzone 50Hertz (gesamt)</v>
      </c>
    </row>
    <row r="634" spans="1:15" hidden="1" outlineLevel="1">
      <c r="A634" s="140" t="s">
        <v>126</v>
      </c>
      <c r="B634" s="14">
        <v>7</v>
      </c>
      <c r="C634" s="141">
        <v>2022</v>
      </c>
      <c r="D634" s="194">
        <v>0</v>
      </c>
      <c r="E634" s="416"/>
      <c r="M634" t="s">
        <v>127</v>
      </c>
      <c r="O634" t="str">
        <f t="shared" si="31"/>
        <v>Regelzone 50Hertz (gesamt)</v>
      </c>
    </row>
    <row r="635" spans="1:15" hidden="1" outlineLevel="1">
      <c r="A635" s="140" t="s">
        <v>136</v>
      </c>
      <c r="B635" s="14">
        <v>7</v>
      </c>
      <c r="C635" s="141">
        <v>2022</v>
      </c>
      <c r="D635" s="194">
        <v>0</v>
      </c>
      <c r="E635" s="416"/>
      <c r="M635" t="s">
        <v>137</v>
      </c>
      <c r="O635" t="str">
        <f t="shared" si="31"/>
        <v>Regelzone 50Hertz (gesamt)</v>
      </c>
    </row>
    <row r="636" spans="1:15" hidden="1" outlineLevel="1">
      <c r="A636" s="140" t="s">
        <v>238</v>
      </c>
      <c r="B636" s="14">
        <v>7</v>
      </c>
      <c r="C636" s="141">
        <v>2022</v>
      </c>
      <c r="D636" s="194">
        <v>0</v>
      </c>
      <c r="E636" s="416"/>
      <c r="M636" t="s">
        <v>239</v>
      </c>
      <c r="O636" t="str">
        <f t="shared" si="31"/>
        <v>Regelzone 50Hertz (gesamt)</v>
      </c>
    </row>
    <row r="637" spans="1:15" hidden="1" outlineLevel="1">
      <c r="A637" s="140" t="s">
        <v>250</v>
      </c>
      <c r="B637" s="14">
        <v>7</v>
      </c>
      <c r="C637" s="141">
        <v>2022</v>
      </c>
      <c r="D637" s="194">
        <v>0</v>
      </c>
      <c r="E637" s="416"/>
      <c r="M637" t="s">
        <v>251</v>
      </c>
      <c r="O637" t="str">
        <f t="shared" si="31"/>
        <v>Regelzone 50Hertz (gesamt)</v>
      </c>
    </row>
    <row r="638" spans="1:15" hidden="1" outlineLevel="1">
      <c r="A638" s="140" t="s">
        <v>252</v>
      </c>
      <c r="B638" s="14">
        <v>7</v>
      </c>
      <c r="C638" s="141">
        <v>2022</v>
      </c>
      <c r="D638" s="194">
        <v>0</v>
      </c>
      <c r="E638" s="416"/>
      <c r="M638" t="s">
        <v>253</v>
      </c>
      <c r="O638" t="str">
        <f t="shared" si="31"/>
        <v>Regelzone 50Hertz (gesamt)</v>
      </c>
    </row>
    <row r="639" spans="1:15" hidden="1" outlineLevel="1">
      <c r="A639" s="140" t="s">
        <v>280</v>
      </c>
      <c r="B639" s="14">
        <v>7</v>
      </c>
      <c r="C639" s="141">
        <v>2022</v>
      </c>
      <c r="D639" s="194">
        <v>0</v>
      </c>
      <c r="E639" s="416"/>
      <c r="M639" t="s">
        <v>281</v>
      </c>
      <c r="O639" t="str">
        <f t="shared" si="31"/>
        <v>Regelzone 50Hertz (gesamt)</v>
      </c>
    </row>
    <row r="640" spans="1:15" hidden="1" outlineLevel="1">
      <c r="A640" s="140" t="s">
        <v>310</v>
      </c>
      <c r="B640" s="14">
        <v>7</v>
      </c>
      <c r="C640" s="141">
        <v>2022</v>
      </c>
      <c r="D640" s="194">
        <v>0</v>
      </c>
      <c r="E640" s="416"/>
      <c r="M640" t="s">
        <v>311</v>
      </c>
      <c r="O640" t="str">
        <f t="shared" si="31"/>
        <v>Regelzone 50Hertz (gesamt)</v>
      </c>
    </row>
    <row r="641" spans="1:15" hidden="1" outlineLevel="1">
      <c r="A641" s="140" t="s">
        <v>312</v>
      </c>
      <c r="B641" s="14">
        <v>7</v>
      </c>
      <c r="C641" s="141">
        <v>2022</v>
      </c>
      <c r="D641" s="194">
        <v>0</v>
      </c>
      <c r="E641" s="416"/>
      <c r="M641" t="s">
        <v>313</v>
      </c>
      <c r="O641" t="str">
        <f t="shared" si="31"/>
        <v>Regelzone 50Hertz (gesamt)</v>
      </c>
    </row>
    <row r="642" spans="1:15" hidden="1" outlineLevel="1">
      <c r="A642" s="140" t="s">
        <v>316</v>
      </c>
      <c r="B642" s="14">
        <v>7</v>
      </c>
      <c r="C642" s="141">
        <v>2022</v>
      </c>
      <c r="D642" s="194">
        <v>0</v>
      </c>
      <c r="E642" s="416"/>
      <c r="M642" t="s">
        <v>317</v>
      </c>
      <c r="O642" t="str">
        <f t="shared" si="31"/>
        <v>Regelzone 50Hertz (gesamt)</v>
      </c>
    </row>
    <row r="643" spans="1:15" hidden="1" outlineLevel="1">
      <c r="A643" s="140" t="s">
        <v>318</v>
      </c>
      <c r="B643" s="14">
        <v>7</v>
      </c>
      <c r="C643" s="141">
        <v>2022</v>
      </c>
      <c r="D643" s="194">
        <v>0</v>
      </c>
      <c r="E643" s="416"/>
      <c r="M643" t="s">
        <v>319</v>
      </c>
      <c r="O643" t="str">
        <f t="shared" si="31"/>
        <v>Regelzone 50Hertz (gesamt)</v>
      </c>
    </row>
    <row r="644" spans="1:15" hidden="1" outlineLevel="1">
      <c r="A644" s="140" t="s">
        <v>358</v>
      </c>
      <c r="B644" s="14">
        <v>7</v>
      </c>
      <c r="C644" s="141">
        <v>2022</v>
      </c>
      <c r="D644" s="194">
        <v>0</v>
      </c>
      <c r="E644" s="416"/>
      <c r="M644" t="s">
        <v>359</v>
      </c>
      <c r="O644" t="str">
        <f t="shared" si="31"/>
        <v>Regelzone 50Hertz (gesamt)</v>
      </c>
    </row>
    <row r="645" spans="1:15" hidden="1" outlineLevel="1">
      <c r="A645" s="140" t="s">
        <v>114</v>
      </c>
      <c r="B645" s="14">
        <v>1</v>
      </c>
      <c r="C645" s="141">
        <v>2023</v>
      </c>
      <c r="D645" s="194">
        <v>0</v>
      </c>
      <c r="E645" s="416"/>
      <c r="M645" t="s">
        <v>115</v>
      </c>
      <c r="O645" t="str">
        <f t="shared" si="31"/>
        <v>Regelzone 50Hertz (gesamt)</v>
      </c>
    </row>
    <row r="646" spans="1:15" hidden="1" outlineLevel="1">
      <c r="A646" s="140" t="s">
        <v>238</v>
      </c>
      <c r="B646" s="14">
        <v>1</v>
      </c>
      <c r="C646" s="141">
        <v>2023</v>
      </c>
      <c r="D646" s="194">
        <v>0</v>
      </c>
      <c r="E646" s="416"/>
      <c r="M646" t="s">
        <v>239</v>
      </c>
      <c r="O646" t="str">
        <f t="shared" si="31"/>
        <v>Regelzone 50Hertz (gesamt)</v>
      </c>
    </row>
    <row r="647" spans="1:15" hidden="1" outlineLevel="1">
      <c r="A647" s="140" t="s">
        <v>268</v>
      </c>
      <c r="B647" s="14">
        <v>1</v>
      </c>
      <c r="C647" s="141">
        <v>2023</v>
      </c>
      <c r="D647" s="194">
        <v>0</v>
      </c>
      <c r="E647" s="416"/>
      <c r="M647" t="s">
        <v>269</v>
      </c>
      <c r="O647" t="str">
        <f t="shared" si="31"/>
        <v>Regelzone 50Hertz (gesamt)</v>
      </c>
    </row>
    <row r="648" spans="1:15" hidden="1" outlineLevel="1">
      <c r="A648" s="140" t="s">
        <v>310</v>
      </c>
      <c r="B648" s="14">
        <v>1</v>
      </c>
      <c r="C648" s="141">
        <v>2023</v>
      </c>
      <c r="D648" s="194">
        <v>-400</v>
      </c>
      <c r="E648" s="416"/>
      <c r="M648" t="s">
        <v>311</v>
      </c>
      <c r="O648" t="str">
        <f t="shared" si="31"/>
        <v>Regelzone 50Hertz (gesamt)</v>
      </c>
    </row>
    <row r="649" spans="1:15" hidden="1" outlineLevel="1">
      <c r="A649" s="140" t="s">
        <v>316</v>
      </c>
      <c r="B649" s="14">
        <v>1</v>
      </c>
      <c r="C649" s="141">
        <v>2023</v>
      </c>
      <c r="D649" s="194">
        <v>0</v>
      </c>
      <c r="E649" s="416"/>
      <c r="M649" t="s">
        <v>317</v>
      </c>
      <c r="O649" t="str">
        <f t="shared" si="31"/>
        <v>Regelzone 50Hertz (gesamt)</v>
      </c>
    </row>
    <row r="650" spans="1:15" hidden="1" outlineLevel="1">
      <c r="A650" s="140" t="s">
        <v>318</v>
      </c>
      <c r="B650" s="14">
        <v>1</v>
      </c>
      <c r="C650" s="141">
        <v>2023</v>
      </c>
      <c r="D650" s="194">
        <v>0</v>
      </c>
      <c r="E650" s="416"/>
      <c r="M650" t="s">
        <v>319</v>
      </c>
      <c r="O650" t="str">
        <f t="shared" si="31"/>
        <v>Regelzone 50Hertz (gesamt)</v>
      </c>
    </row>
    <row r="651" spans="1:15" hidden="1" outlineLevel="1">
      <c r="A651" s="140" t="s">
        <v>354</v>
      </c>
      <c r="B651" s="14">
        <v>1</v>
      </c>
      <c r="C651" s="141">
        <v>2023</v>
      </c>
      <c r="D651" s="194">
        <v>0</v>
      </c>
      <c r="E651" s="416"/>
      <c r="M651" t="s">
        <v>355</v>
      </c>
      <c r="O651" t="str">
        <f t="shared" si="31"/>
        <v>Regelzone 50Hertz (gesamt)</v>
      </c>
    </row>
    <row r="652" spans="1:15" hidden="1" outlineLevel="1">
      <c r="A652" s="140" t="s">
        <v>94</v>
      </c>
      <c r="B652" s="14">
        <v>7</v>
      </c>
      <c r="C652" s="141">
        <v>2023</v>
      </c>
      <c r="D652" s="194">
        <v>0</v>
      </c>
      <c r="E652" s="416"/>
      <c r="M652" t="s">
        <v>95</v>
      </c>
      <c r="O652" t="str">
        <f t="shared" si="31"/>
        <v>Regelzone 50Hertz (gesamt)</v>
      </c>
    </row>
    <row r="653" spans="1:15" hidden="1" outlineLevel="1">
      <c r="A653" s="140" t="s">
        <v>114</v>
      </c>
      <c r="B653" s="14">
        <v>7</v>
      </c>
      <c r="C653" s="141">
        <v>2023</v>
      </c>
      <c r="D653" s="194">
        <v>0</v>
      </c>
      <c r="E653" s="416"/>
      <c r="M653" t="s">
        <v>115</v>
      </c>
      <c r="O653" t="str">
        <f t="shared" si="31"/>
        <v>Regelzone 50Hertz (gesamt)</v>
      </c>
    </row>
    <row r="654" spans="1:15" hidden="1" outlineLevel="1">
      <c r="A654" s="140" t="s">
        <v>126</v>
      </c>
      <c r="B654" s="14">
        <v>7</v>
      </c>
      <c r="C654" s="141">
        <v>2023</v>
      </c>
      <c r="D654" s="194">
        <v>0</v>
      </c>
      <c r="E654" s="416"/>
      <c r="M654" t="s">
        <v>127</v>
      </c>
      <c r="O654" t="str">
        <f t="shared" si="31"/>
        <v>Regelzone 50Hertz (gesamt)</v>
      </c>
    </row>
    <row r="655" spans="1:15" hidden="1" outlineLevel="1">
      <c r="A655" s="140" t="s">
        <v>166</v>
      </c>
      <c r="B655" s="14">
        <v>7</v>
      </c>
      <c r="C655" s="141">
        <v>2023</v>
      </c>
      <c r="D655" s="194">
        <v>0</v>
      </c>
      <c r="E655" s="416"/>
      <c r="M655" t="s">
        <v>167</v>
      </c>
      <c r="O655" t="str">
        <f t="shared" si="31"/>
        <v>Regelzone 50Hertz (gesamt)</v>
      </c>
    </row>
    <row r="656" spans="1:15" hidden="1" outlineLevel="1">
      <c r="A656" s="140" t="s">
        <v>176</v>
      </c>
      <c r="B656" s="14">
        <v>7</v>
      </c>
      <c r="C656" s="141">
        <v>2023</v>
      </c>
      <c r="D656" s="194">
        <v>0</v>
      </c>
      <c r="E656" s="416"/>
      <c r="M656" t="s">
        <v>177</v>
      </c>
      <c r="O656" t="str">
        <f t="shared" si="31"/>
        <v>Regelzone 50Hertz (gesamt)</v>
      </c>
    </row>
    <row r="657" spans="1:15" hidden="1" outlineLevel="1">
      <c r="A657" s="140" t="s">
        <v>180</v>
      </c>
      <c r="B657" s="14">
        <v>7</v>
      </c>
      <c r="C657" s="141">
        <v>2023</v>
      </c>
      <c r="D657" s="194">
        <v>0</v>
      </c>
      <c r="E657" s="416"/>
      <c r="M657" t="s">
        <v>181</v>
      </c>
      <c r="O657" t="str">
        <f t="shared" si="31"/>
        <v>Regelzone 50Hertz (gesamt)</v>
      </c>
    </row>
    <row r="658" spans="1:15" hidden="1" outlineLevel="1">
      <c r="A658" s="140" t="s">
        <v>202</v>
      </c>
      <c r="B658" s="14">
        <v>7</v>
      </c>
      <c r="C658" s="141">
        <v>2023</v>
      </c>
      <c r="D658" s="194">
        <v>0</v>
      </c>
      <c r="E658" s="416"/>
      <c r="M658" t="s">
        <v>203</v>
      </c>
      <c r="O658" t="str">
        <f t="shared" si="31"/>
        <v>Regelzone 50Hertz (gesamt)</v>
      </c>
    </row>
    <row r="659" spans="1:15" hidden="1" outlineLevel="1">
      <c r="A659" s="140" t="s">
        <v>230</v>
      </c>
      <c r="B659" s="14">
        <v>7</v>
      </c>
      <c r="C659" s="141">
        <v>2023</v>
      </c>
      <c r="D659" s="194">
        <v>0</v>
      </c>
      <c r="E659" s="416"/>
      <c r="M659" t="s">
        <v>231</v>
      </c>
      <c r="O659" t="str">
        <f t="shared" si="31"/>
        <v>Regelzone 50Hertz (gesamt)</v>
      </c>
    </row>
    <row r="660" spans="1:15" hidden="1" outlineLevel="1">
      <c r="A660" s="140" t="s">
        <v>238</v>
      </c>
      <c r="B660" s="14">
        <v>7</v>
      </c>
      <c r="C660" s="141">
        <v>2023</v>
      </c>
      <c r="D660" s="194">
        <v>0</v>
      </c>
      <c r="E660" s="416"/>
      <c r="M660" t="s">
        <v>239</v>
      </c>
      <c r="O660" t="str">
        <f t="shared" si="31"/>
        <v>Regelzone 50Hertz (gesamt)</v>
      </c>
    </row>
    <row r="661" spans="1:15" hidden="1" outlineLevel="1">
      <c r="A661" s="140" t="s">
        <v>250</v>
      </c>
      <c r="B661" s="14">
        <v>7</v>
      </c>
      <c r="C661" s="141">
        <v>2023</v>
      </c>
      <c r="D661" s="194">
        <v>0</v>
      </c>
      <c r="E661" s="416"/>
      <c r="M661" t="s">
        <v>251</v>
      </c>
      <c r="O661" t="str">
        <f t="shared" si="31"/>
        <v>Regelzone 50Hertz (gesamt)</v>
      </c>
    </row>
    <row r="662" spans="1:15" hidden="1" outlineLevel="1">
      <c r="A662" s="140" t="s">
        <v>252</v>
      </c>
      <c r="B662" s="14">
        <v>7</v>
      </c>
      <c r="C662" s="141">
        <v>2023</v>
      </c>
      <c r="D662" s="194">
        <v>0</v>
      </c>
      <c r="E662" s="416"/>
      <c r="M662" t="s">
        <v>253</v>
      </c>
      <c r="O662" t="str">
        <f t="shared" si="31"/>
        <v>Regelzone 50Hertz (gesamt)</v>
      </c>
    </row>
    <row r="663" spans="1:15" hidden="1" outlineLevel="1">
      <c r="A663" s="140" t="s">
        <v>264</v>
      </c>
      <c r="B663" s="14">
        <v>7</v>
      </c>
      <c r="C663" s="141">
        <v>2023</v>
      </c>
      <c r="D663" s="194">
        <v>0</v>
      </c>
      <c r="E663" s="416"/>
      <c r="M663" t="s">
        <v>265</v>
      </c>
      <c r="O663" t="str">
        <f t="shared" si="31"/>
        <v>Regelzone 50Hertz (gesamt)</v>
      </c>
    </row>
    <row r="664" spans="1:15" hidden="1" outlineLevel="1">
      <c r="A664" s="140" t="s">
        <v>298</v>
      </c>
      <c r="B664" s="14">
        <v>7</v>
      </c>
      <c r="C664" s="141">
        <v>2023</v>
      </c>
      <c r="D664" s="194">
        <v>0</v>
      </c>
      <c r="E664" s="416"/>
      <c r="M664" t="s">
        <v>299</v>
      </c>
      <c r="O664" t="str">
        <f t="shared" si="31"/>
        <v>Regelzone 50Hertz (gesamt)</v>
      </c>
    </row>
    <row r="665" spans="1:15" hidden="1" outlineLevel="1">
      <c r="A665" s="140" t="s">
        <v>300</v>
      </c>
      <c r="B665" s="14">
        <v>7</v>
      </c>
      <c r="C665" s="141">
        <v>2023</v>
      </c>
      <c r="D665" s="194">
        <v>0</v>
      </c>
      <c r="E665" s="416"/>
      <c r="M665" t="s">
        <v>301</v>
      </c>
      <c r="O665" t="str">
        <f t="shared" si="31"/>
        <v>Regelzone 50Hertz (gesamt)</v>
      </c>
    </row>
    <row r="666" spans="1:15" hidden="1" outlineLevel="1">
      <c r="A666" s="140" t="s">
        <v>304</v>
      </c>
      <c r="B666" s="14">
        <v>7</v>
      </c>
      <c r="C666" s="141">
        <v>2023</v>
      </c>
      <c r="D666" s="194">
        <v>0</v>
      </c>
      <c r="E666" s="416"/>
      <c r="M666" t="s">
        <v>305</v>
      </c>
      <c r="O666" t="str">
        <f t="shared" si="31"/>
        <v>Regelzone 50Hertz (gesamt)</v>
      </c>
    </row>
    <row r="667" spans="1:15" hidden="1" outlineLevel="1">
      <c r="A667" s="140" t="s">
        <v>310</v>
      </c>
      <c r="B667" s="14">
        <v>7</v>
      </c>
      <c r="C667" s="141">
        <v>2023</v>
      </c>
      <c r="D667" s="194">
        <v>-1192</v>
      </c>
      <c r="E667" s="416"/>
      <c r="M667" t="s">
        <v>311</v>
      </c>
      <c r="O667" t="str">
        <f t="shared" si="31"/>
        <v>Regelzone 50Hertz (gesamt)</v>
      </c>
    </row>
    <row r="668" spans="1:15" hidden="1" outlineLevel="1">
      <c r="A668" s="140" t="s">
        <v>316</v>
      </c>
      <c r="B668" s="14">
        <v>7</v>
      </c>
      <c r="C668" s="141">
        <v>2023</v>
      </c>
      <c r="D668" s="194">
        <v>0</v>
      </c>
      <c r="E668" s="416"/>
      <c r="M668" t="s">
        <v>317</v>
      </c>
      <c r="O668" t="str">
        <f t="shared" si="31"/>
        <v>Regelzone 50Hertz (gesamt)</v>
      </c>
    </row>
    <row r="669" spans="1:15" hidden="1" outlineLevel="1">
      <c r="A669" s="140" t="s">
        <v>318</v>
      </c>
      <c r="B669" s="14">
        <v>7</v>
      </c>
      <c r="C669" s="141">
        <v>2023</v>
      </c>
      <c r="D669" s="194">
        <v>0</v>
      </c>
      <c r="E669" s="416"/>
      <c r="M669" t="s">
        <v>319</v>
      </c>
      <c r="O669" t="str">
        <f t="shared" si="31"/>
        <v>Regelzone 50Hertz (gesamt)</v>
      </c>
    </row>
    <row r="670" spans="1:15" hidden="1" outlineLevel="1">
      <c r="A670" s="140" t="s">
        <v>322</v>
      </c>
      <c r="B670" s="14">
        <v>7</v>
      </c>
      <c r="C670" s="141">
        <v>2023</v>
      </c>
      <c r="D670" s="194">
        <v>0</v>
      </c>
      <c r="E670" s="416"/>
      <c r="M670" t="s">
        <v>323</v>
      </c>
      <c r="O670" t="str">
        <f t="shared" si="31"/>
        <v>Regelzone 50Hertz (gesamt)</v>
      </c>
    </row>
    <row r="671" spans="1:15" hidden="1" outlineLevel="1">
      <c r="A671" s="140" t="s">
        <v>348</v>
      </c>
      <c r="B671" s="14">
        <v>7</v>
      </c>
      <c r="C671" s="141">
        <v>2023</v>
      </c>
      <c r="D671" s="194">
        <v>0</v>
      </c>
      <c r="E671" s="416"/>
      <c r="M671" t="s">
        <v>349</v>
      </c>
      <c r="O671" t="str">
        <f t="shared" si="31"/>
        <v>Regelzone 50Hertz (gesamt)</v>
      </c>
    </row>
    <row r="672" spans="1:15" hidden="1" outlineLevel="1">
      <c r="A672" s="140" t="s">
        <v>350</v>
      </c>
      <c r="B672" s="14">
        <v>7</v>
      </c>
      <c r="C672" s="141">
        <v>2023</v>
      </c>
      <c r="D672" s="194">
        <v>0</v>
      </c>
      <c r="E672" s="416"/>
      <c r="M672" t="s">
        <v>351</v>
      </c>
      <c r="O672" t="str">
        <f t="shared" si="31"/>
        <v>Regelzone 50Hertz (gesamt)</v>
      </c>
    </row>
    <row r="673" spans="1:15" hidden="1" outlineLevel="1">
      <c r="A673" s="140" t="s">
        <v>352</v>
      </c>
      <c r="B673" s="14">
        <v>7</v>
      </c>
      <c r="C673" s="141">
        <v>2023</v>
      </c>
      <c r="D673" s="194">
        <v>0</v>
      </c>
      <c r="E673" s="416"/>
      <c r="M673" t="s">
        <v>353</v>
      </c>
      <c r="O673" t="str">
        <f t="shared" si="31"/>
        <v>Regelzone 50Hertz (gesamt)</v>
      </c>
    </row>
    <row r="674" spans="1:15" hidden="1" outlineLevel="1">
      <c r="A674" s="140" t="s">
        <v>386</v>
      </c>
      <c r="B674" s="14">
        <v>7</v>
      </c>
      <c r="C674" s="141">
        <v>2023</v>
      </c>
      <c r="D674" s="194">
        <v>0</v>
      </c>
      <c r="E674" s="416"/>
      <c r="M674" t="s">
        <v>387</v>
      </c>
      <c r="O674" t="str">
        <f t="shared" si="31"/>
        <v>Regelzone 50Hertz (gesamt)</v>
      </c>
    </row>
    <row r="675" spans="1:15" hidden="1" outlineLevel="1">
      <c r="A675" s="140" t="s">
        <v>390</v>
      </c>
      <c r="B675" s="14">
        <v>7</v>
      </c>
      <c r="C675" s="141">
        <v>2023</v>
      </c>
      <c r="D675" s="194">
        <v>0</v>
      </c>
      <c r="E675" s="416"/>
      <c r="M675" t="s">
        <v>391</v>
      </c>
      <c r="O675" t="str">
        <f t="shared" si="31"/>
        <v>Regelzone 50Hertz (gesamt)</v>
      </c>
    </row>
    <row r="676" spans="1:15" hidden="1" outlineLevel="1">
      <c r="A676" s="140" t="s">
        <v>196</v>
      </c>
      <c r="B676" s="14">
        <v>7</v>
      </c>
      <c r="C676" s="141">
        <v>2023</v>
      </c>
      <c r="D676" s="194">
        <v>0</v>
      </c>
      <c r="E676" s="416"/>
      <c r="M676" s="5" t="s">
        <v>197</v>
      </c>
      <c r="O676" t="str">
        <f t="shared" si="31"/>
        <v>Regelzone 50Hertz (gesamt)</v>
      </c>
    </row>
    <row r="677" spans="1:15" ht="25.5" collapsed="1">
      <c r="A677" s="139" t="s">
        <v>404</v>
      </c>
      <c r="B677" s="69"/>
      <c r="C677" s="1132"/>
      <c r="D677" s="190">
        <f>SUM(D678:D680)</f>
        <v>-1706.12</v>
      </c>
      <c r="E677" s="416"/>
    </row>
    <row r="678" spans="1:15" ht="38.25" hidden="1" outlineLevel="1">
      <c r="A678" s="139" t="s">
        <v>405</v>
      </c>
      <c r="B678" s="71">
        <v>7</v>
      </c>
      <c r="C678" s="1133">
        <v>2023</v>
      </c>
      <c r="D678" s="199">
        <v>-1200</v>
      </c>
      <c r="E678" s="416" t="s">
        <v>406</v>
      </c>
      <c r="O678" t="str">
        <f>$A$677</f>
        <v>Regelzone Amprion (gesamt)</v>
      </c>
    </row>
    <row r="679" spans="1:15" ht="25.5" hidden="1" outlineLevel="1">
      <c r="A679" s="139" t="s">
        <v>469</v>
      </c>
      <c r="B679" s="71">
        <v>7</v>
      </c>
      <c r="C679" s="1133">
        <v>2023</v>
      </c>
      <c r="D679" s="199">
        <v>3493.88</v>
      </c>
      <c r="E679" s="416" t="s">
        <v>470</v>
      </c>
      <c r="O679" t="str">
        <f t="shared" ref="O679:O680" si="32">$A$677</f>
        <v>Regelzone Amprion (gesamt)</v>
      </c>
    </row>
    <row r="680" spans="1:15" ht="51" hidden="1" outlineLevel="1">
      <c r="A680" s="139" t="s">
        <v>660</v>
      </c>
      <c r="B680" s="71">
        <v>7</v>
      </c>
      <c r="C680" s="1133">
        <v>2023</v>
      </c>
      <c r="D680" s="199">
        <v>-4000</v>
      </c>
      <c r="E680" s="416" t="s">
        <v>661</v>
      </c>
      <c r="O680" t="str">
        <f t="shared" si="32"/>
        <v>Regelzone Amprion (gesamt)</v>
      </c>
    </row>
    <row r="681" spans="1:15" ht="25.5" collapsed="1">
      <c r="A681" s="139" t="s">
        <v>855</v>
      </c>
      <c r="B681" s="69"/>
      <c r="C681" s="1132"/>
      <c r="D681" s="190">
        <f>SUM(D682:D683)</f>
        <v>72196</v>
      </c>
      <c r="E681" s="416"/>
    </row>
    <row r="682" spans="1:15" ht="25.5" hidden="1" outlineLevel="1">
      <c r="A682" s="750" t="s">
        <v>1401</v>
      </c>
      <c r="B682" s="751">
        <v>7</v>
      </c>
      <c r="C682" s="753">
        <v>2023</v>
      </c>
      <c r="D682" s="758">
        <v>72776</v>
      </c>
      <c r="E682" s="759" t="s">
        <v>1402</v>
      </c>
      <c r="O682" t="str">
        <f>$A$681</f>
        <v>Regelzone TenneT (gesamt)</v>
      </c>
    </row>
    <row r="683" spans="1:15" ht="38.25" hidden="1" outlineLevel="1">
      <c r="A683" s="750" t="s">
        <v>509</v>
      </c>
      <c r="B683" s="751">
        <v>7</v>
      </c>
      <c r="C683" s="753">
        <v>2023</v>
      </c>
      <c r="D683" s="757">
        <v>-580</v>
      </c>
      <c r="E683" s="759" t="s">
        <v>510</v>
      </c>
      <c r="O683" t="str">
        <f t="shared" ref="O683" si="33">$A$681</f>
        <v>Regelzone TenneT (gesamt)</v>
      </c>
    </row>
    <row r="684" spans="1:15" ht="39" collapsed="1" thickBot="1">
      <c r="A684" s="1134" t="s">
        <v>1486</v>
      </c>
      <c r="B684" s="1135"/>
      <c r="C684" s="1136"/>
      <c r="D684" s="516">
        <f>SUM(D685:D686)</f>
        <v>-5608</v>
      </c>
      <c r="E684" s="859"/>
    </row>
    <row r="685" spans="1:15" ht="51" hidden="1" outlineLevel="1">
      <c r="A685" s="139" t="s">
        <v>1517</v>
      </c>
      <c r="B685" s="14" t="s">
        <v>1742</v>
      </c>
      <c r="C685" s="141">
        <v>2023</v>
      </c>
      <c r="D685" s="194">
        <v>-3960</v>
      </c>
      <c r="E685" s="416" t="s">
        <v>1518</v>
      </c>
    </row>
    <row r="686" spans="1:15" ht="51.75" hidden="1" outlineLevel="1" thickBot="1">
      <c r="A686" s="139" t="s">
        <v>1661</v>
      </c>
      <c r="B686" s="14" t="s">
        <v>1742</v>
      </c>
      <c r="C686" s="141">
        <v>2023</v>
      </c>
      <c r="D686" s="194">
        <v>-1648</v>
      </c>
      <c r="E686" s="416" t="s">
        <v>1662</v>
      </c>
    </row>
    <row r="687" spans="1:15" ht="13.5" collapsed="1" thickBot="1">
      <c r="A687" s="513" t="s">
        <v>1715</v>
      </c>
      <c r="B687" s="514"/>
      <c r="C687" s="515"/>
      <c r="D687" s="505">
        <f>D609+D677+D681+D684</f>
        <v>63289.880000000005</v>
      </c>
      <c r="E687" s="349"/>
    </row>
    <row r="690" spans="1:9">
      <c r="A690" s="417" t="s">
        <v>1745</v>
      </c>
      <c r="B690" s="417"/>
      <c r="C690" s="417"/>
      <c r="D690" s="37"/>
      <c r="E690" s="37"/>
      <c r="F690" s="37"/>
      <c r="G690" s="37"/>
      <c r="H690" s="37"/>
      <c r="I690" s="37"/>
    </row>
    <row r="691" spans="1:9">
      <c r="A691" s="417" t="s">
        <v>1746</v>
      </c>
      <c r="B691" s="417"/>
      <c r="C691" s="417"/>
      <c r="D691" s="37"/>
      <c r="E691" s="37"/>
      <c r="F691" s="37"/>
      <c r="G691" s="37"/>
      <c r="H691" s="37"/>
      <c r="I691" s="37"/>
    </row>
    <row r="692" spans="1:9">
      <c r="A692" s="417" t="s">
        <v>1747</v>
      </c>
      <c r="B692" s="417"/>
      <c r="C692" s="417"/>
      <c r="D692" s="37"/>
      <c r="E692" s="37"/>
      <c r="F692" s="37"/>
      <c r="G692" s="37"/>
      <c r="H692" s="37"/>
      <c r="I692" s="37"/>
    </row>
    <row r="693" spans="1:9">
      <c r="A693" s="417" t="s">
        <v>1748</v>
      </c>
      <c r="B693" s="417"/>
      <c r="C693" s="417"/>
      <c r="D693" s="37"/>
      <c r="E693" s="37"/>
      <c r="F693" s="37"/>
      <c r="G693" s="37"/>
      <c r="H693" s="37"/>
      <c r="I693" s="37"/>
    </row>
    <row r="694" spans="1:9">
      <c r="A694" s="417" t="s">
        <v>1749</v>
      </c>
      <c r="B694" s="417"/>
      <c r="C694" s="417"/>
      <c r="D694" s="37"/>
      <c r="E694" s="37"/>
      <c r="F694" s="37"/>
      <c r="G694" s="37"/>
      <c r="H694" s="37"/>
      <c r="I694" s="37"/>
    </row>
    <row r="695" spans="1:9">
      <c r="A695" s="417" t="s">
        <v>1750</v>
      </c>
      <c r="B695" s="417"/>
      <c r="C695" s="417"/>
      <c r="D695" s="37"/>
      <c r="E695" s="37"/>
      <c r="F695" s="37"/>
      <c r="G695" s="37"/>
      <c r="H695" s="37"/>
      <c r="I695" s="37"/>
    </row>
    <row r="696" spans="1:9">
      <c r="A696" s="417" t="s">
        <v>1751</v>
      </c>
      <c r="B696" s="417"/>
      <c r="C696" s="417"/>
      <c r="D696" s="37"/>
      <c r="E696" s="37"/>
      <c r="F696" s="37"/>
      <c r="G696" s="37"/>
      <c r="H696" s="37"/>
      <c r="I696" s="37"/>
    </row>
    <row r="697" spans="1:9">
      <c r="A697" s="417" t="s">
        <v>1752</v>
      </c>
      <c r="B697" s="417"/>
      <c r="C697" s="417"/>
      <c r="D697" s="37"/>
      <c r="E697" s="37"/>
      <c r="F697" s="37"/>
      <c r="G697" s="37"/>
      <c r="H697" s="37"/>
      <c r="I697" s="37"/>
    </row>
  </sheetData>
  <sortState xmlns:xlrd2="http://schemas.microsoft.com/office/spreadsheetml/2017/richdata2" ref="A480:L588">
    <sortCondition descending="1" ref="A480:A588"/>
  </sortState>
  <mergeCells count="7">
    <mergeCell ref="A3:L3"/>
    <mergeCell ref="D8:E8"/>
    <mergeCell ref="F8:G8"/>
    <mergeCell ref="H8:I8"/>
    <mergeCell ref="L8:L9"/>
    <mergeCell ref="J8:J9"/>
    <mergeCell ref="K8:K9"/>
  </mergeCells>
  <phoneticPr fontId="19" type="noConversion"/>
  <pageMargins left="0.23622047244094491" right="0.23622047244094491" top="0.74803149606299213" bottom="0.74803149606299213" header="0.31496062992125984" footer="0.31496062992125984"/>
  <pageSetup paperSize="9" scale="73" orientation="landscape" r:id="rId1"/>
  <headerFooter differentOddEven="1" scaleWithDoc="0">
    <oddHeader>&amp;L&amp;G</oddHeader>
    <oddFooter>&amp;R&amp;UAnlage 1c
&amp;USeite &amp;P</oddFooter>
    <evenHeader>&amp;L&amp;G&amp;C&amp;"Calibri"&amp;10&amp;K000000 Intern (Internal)&amp;1#_x000D_</evenHeader>
    <evenFooter>&amp;R&amp;UAnlage 1c&amp;U
Seite &amp;P</evenFooter>
  </headerFooter>
  <rowBreaks count="1" manualBreakCount="1">
    <brk id="603" max="16383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21B47-3F5F-40A8-B731-04A6E3C5056F}">
  <sheetPr codeName="Tabelle9"/>
  <dimension ref="A1:I14"/>
  <sheetViews>
    <sheetView view="pageLayout" zoomScaleNormal="100" workbookViewId="0">
      <selection activeCell="B12" sqref="B12"/>
    </sheetView>
  </sheetViews>
  <sheetFormatPr baseColWidth="10" defaultColWidth="8.140625" defaultRowHeight="12.75"/>
  <cols>
    <col min="1" max="1" width="30" customWidth="1"/>
    <col min="2" max="4" width="35.85546875" customWidth="1"/>
    <col min="7" max="7" width="12" customWidth="1"/>
    <col min="9" max="9" width="10.42578125" bestFit="1" customWidth="1"/>
  </cols>
  <sheetData>
    <row r="1" spans="1:9">
      <c r="A1" s="13" t="s">
        <v>1753</v>
      </c>
      <c r="D1" s="29"/>
      <c r="G1" s="29"/>
      <c r="I1" s="21"/>
    </row>
    <row r="3" spans="1:9">
      <c r="A3" s="13" t="str">
        <f>"Kalenderjahr "&amp;Hinweise!B3&amp;""</f>
        <v>Kalenderjahr 2024</v>
      </c>
      <c r="D3" s="29">
        <f>'Anlage 1a_Zuschlagszahlungen_NB'!E1</f>
        <v>45915</v>
      </c>
    </row>
    <row r="4" spans="1:9">
      <c r="A4" s="45"/>
    </row>
    <row r="5" spans="1:9" ht="13.5" thickBot="1">
      <c r="A5" s="45"/>
    </row>
    <row r="6" spans="1:9">
      <c r="A6" s="542"/>
      <c r="B6" s="273" t="s">
        <v>1754</v>
      </c>
      <c r="C6" s="270"/>
      <c r="D6" s="270"/>
    </row>
    <row r="7" spans="1:9" s="8" customFormat="1" ht="13.5" thickBot="1">
      <c r="A7" s="606"/>
      <c r="B7" s="639" t="s">
        <v>1722</v>
      </c>
      <c r="C7" s="23"/>
      <c r="D7" s="23"/>
      <c r="E7" s="23"/>
      <c r="F7" s="23"/>
      <c r="G7" s="24"/>
    </row>
    <row r="8" spans="1:9">
      <c r="A8" s="1118" t="s">
        <v>85</v>
      </c>
      <c r="B8" s="339">
        <v>-434446</v>
      </c>
      <c r="C8" s="271"/>
      <c r="D8" s="271"/>
      <c r="E8" s="24"/>
      <c r="F8" s="24"/>
      <c r="G8" s="24"/>
      <c r="H8" s="24"/>
      <c r="I8" s="24"/>
    </row>
    <row r="9" spans="1:9">
      <c r="A9" s="1111" t="s">
        <v>404</v>
      </c>
      <c r="B9" s="502">
        <v>-23750</v>
      </c>
      <c r="C9" s="271"/>
      <c r="D9" s="271"/>
      <c r="E9" s="24"/>
      <c r="F9" s="24"/>
      <c r="G9" s="24"/>
      <c r="H9" s="24"/>
      <c r="I9" s="24"/>
    </row>
    <row r="10" spans="1:9">
      <c r="A10" s="1110" t="s">
        <v>855</v>
      </c>
      <c r="B10" s="503">
        <v>-299991</v>
      </c>
      <c r="C10" s="501"/>
      <c r="D10" s="271"/>
      <c r="E10" s="24"/>
      <c r="F10" s="24"/>
      <c r="G10" s="24"/>
      <c r="H10" s="24"/>
      <c r="I10" s="24"/>
    </row>
    <row r="11" spans="1:9">
      <c r="A11" s="1111" t="s">
        <v>1486</v>
      </c>
      <c r="B11" s="504">
        <v>-4164</v>
      </c>
      <c r="C11" s="72"/>
      <c r="D11" s="271"/>
      <c r="E11" s="24"/>
      <c r="F11" s="24"/>
      <c r="G11" s="24"/>
      <c r="H11" s="24"/>
      <c r="I11" s="24"/>
    </row>
    <row r="12" spans="1:9" ht="13.5" thickBot="1">
      <c r="A12" s="1113" t="s">
        <v>1715</v>
      </c>
      <c r="B12" s="166">
        <f>B8+B9+B10+B11</f>
        <v>-762351</v>
      </c>
      <c r="C12" s="10"/>
      <c r="D12" s="10"/>
      <c r="E12" s="24"/>
      <c r="F12" s="24"/>
      <c r="G12" s="24"/>
      <c r="H12" s="24"/>
      <c r="I12" s="24"/>
    </row>
    <row r="13" spans="1:9">
      <c r="A13" s="22"/>
      <c r="B13" s="23"/>
      <c r="E13" s="23"/>
      <c r="F13" s="23"/>
      <c r="G13" s="24"/>
      <c r="H13" s="23"/>
      <c r="I13" s="24"/>
    </row>
    <row r="14" spans="1:9">
      <c r="A14" s="22"/>
      <c r="B14" s="23"/>
      <c r="C14" s="23"/>
      <c r="D14" s="23"/>
      <c r="E14" s="23"/>
      <c r="F14" s="23"/>
      <c r="G14" s="24"/>
    </row>
  </sheetData>
  <sheetProtection algorithmName="SHA-512" hashValue="3nSCpsqWaATAZRknp9Jh/e6Fg2WlKDWuQqWpH/k23vvWxsIPO1mgU+Vx9W03/vQBnvsNotGWYjRQl2iraZfhtw==" saltValue="O6Cvv7vexIyTZpN9bgkPhA==" spinCount="100000" sheet="1" objects="1" scenarios="1"/>
  <pageMargins left="0.98425196850393704" right="0.78740157480314965" top="1.1023622047244095" bottom="0.74803149606299213" header="0.31496062992125984" footer="0.31496062992125984"/>
  <pageSetup paperSize="9" scale="91" orientation="landscape" r:id="rId1"/>
  <headerFooter scaleWithDoc="0">
    <oddHeader>&amp;L&amp;G</oddHeader>
    <oddFooter>&amp;R&amp;UAnlage 1d&amp;U
Seite &amp;P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20E6C-335F-45EF-A8FA-9D85496290BF}">
  <sheetPr codeName="Tabelle10">
    <pageSetUpPr fitToPage="1"/>
  </sheetPr>
  <dimension ref="A1:I49"/>
  <sheetViews>
    <sheetView view="pageLayout" zoomScaleNormal="100" workbookViewId="0">
      <selection activeCell="D75" sqref="D75"/>
    </sheetView>
  </sheetViews>
  <sheetFormatPr baseColWidth="10" defaultColWidth="8.140625" defaultRowHeight="12.75"/>
  <cols>
    <col min="1" max="1" width="30" customWidth="1"/>
    <col min="2" max="4" width="35.85546875" customWidth="1"/>
    <col min="7" max="7" width="12" customWidth="1"/>
    <col min="9" max="9" width="10.42578125" bestFit="1" customWidth="1"/>
  </cols>
  <sheetData>
    <row r="1" spans="1:9">
      <c r="A1" s="13" t="s">
        <v>1755</v>
      </c>
      <c r="D1" s="29"/>
      <c r="G1" s="29"/>
      <c r="I1" s="21"/>
    </row>
    <row r="3" spans="1:9">
      <c r="A3" s="13" t="str">
        <f>"Kalenderjahr "&amp;Hinweise!B3&amp;""</f>
        <v>Kalenderjahr 2024</v>
      </c>
      <c r="D3" s="29">
        <f>'Anlage 1a_Zuschlagszahlungen_NB'!E1</f>
        <v>45915</v>
      </c>
    </row>
    <row r="4" spans="1:9">
      <c r="A4" s="13"/>
      <c r="D4" s="29"/>
    </row>
    <row r="5" spans="1:9" ht="13.5" thickBot="1">
      <c r="A5" s="45"/>
    </row>
    <row r="6" spans="1:9">
      <c r="A6" s="272"/>
      <c r="B6" s="91" t="s">
        <v>1756</v>
      </c>
      <c r="C6" s="420" t="s">
        <v>1757</v>
      </c>
      <c r="D6" s="273" t="s">
        <v>1715</v>
      </c>
    </row>
    <row r="7" spans="1:9" s="8" customFormat="1" ht="13.5" thickBot="1">
      <c r="A7" s="449"/>
      <c r="B7" s="639" t="s">
        <v>1722</v>
      </c>
      <c r="C7" s="639" t="s">
        <v>1722</v>
      </c>
      <c r="D7" s="639" t="s">
        <v>1722</v>
      </c>
      <c r="E7" s="24"/>
      <c r="F7" s="24"/>
      <c r="G7" s="24"/>
      <c r="H7" s="24"/>
      <c r="I7" s="24"/>
    </row>
    <row r="8" spans="1:9">
      <c r="A8" s="418" t="s">
        <v>85</v>
      </c>
      <c r="B8" s="362">
        <v>49905481</v>
      </c>
      <c r="C8" s="160">
        <v>9226108</v>
      </c>
      <c r="D8" s="340">
        <f>SUM(B8:C8)</f>
        <v>59131589</v>
      </c>
      <c r="E8" s="24"/>
      <c r="F8" s="24"/>
      <c r="G8" s="24"/>
      <c r="H8" s="24"/>
      <c r="I8" s="24"/>
    </row>
    <row r="9" spans="1:9">
      <c r="A9" s="274" t="s">
        <v>404</v>
      </c>
      <c r="B9" s="159">
        <v>105307105</v>
      </c>
      <c r="C9" s="160">
        <v>2722241</v>
      </c>
      <c r="D9" s="340">
        <f t="shared" ref="D9:D11" si="0">SUM(B9:C9)</f>
        <v>108029346</v>
      </c>
      <c r="E9" s="24"/>
      <c r="F9" s="24"/>
      <c r="G9" s="24"/>
      <c r="H9" s="24"/>
      <c r="I9" s="24"/>
    </row>
    <row r="10" spans="1:9">
      <c r="A10" s="418" t="s">
        <v>855</v>
      </c>
      <c r="B10" s="161">
        <v>76384063</v>
      </c>
      <c r="C10" s="162">
        <v>2167324</v>
      </c>
      <c r="D10" s="340">
        <f t="shared" si="0"/>
        <v>78551387</v>
      </c>
      <c r="E10" s="24"/>
      <c r="F10" s="24"/>
      <c r="G10" s="24"/>
      <c r="H10" s="24"/>
      <c r="I10" s="24"/>
    </row>
    <row r="11" spans="1:9" ht="13.5" thickBot="1">
      <c r="A11" s="274" t="s">
        <v>1486</v>
      </c>
      <c r="B11" s="159">
        <v>35961917</v>
      </c>
      <c r="C11" s="159">
        <v>700177</v>
      </c>
      <c r="D11" s="339">
        <f t="shared" si="0"/>
        <v>36662094</v>
      </c>
      <c r="E11" s="24"/>
      <c r="F11" s="24"/>
      <c r="G11" s="24"/>
      <c r="H11" s="24"/>
      <c r="I11" s="24"/>
    </row>
    <row r="12" spans="1:9" ht="13.5" thickBot="1">
      <c r="A12" s="419" t="s">
        <v>1715</v>
      </c>
      <c r="B12" s="356">
        <f>B8+B9+B10+B11</f>
        <v>267558566</v>
      </c>
      <c r="C12" s="357">
        <f>C8+C9+C10+C11</f>
        <v>14815850</v>
      </c>
      <c r="D12" s="358">
        <f>D8+D9+D10+D11</f>
        <v>282374416</v>
      </c>
      <c r="E12" s="23"/>
      <c r="F12" s="23"/>
      <c r="G12" s="24"/>
      <c r="H12" s="23"/>
      <c r="I12" s="24"/>
    </row>
    <row r="13" spans="1:9">
      <c r="A13" s="2"/>
      <c r="B13" s="10"/>
      <c r="C13" s="10"/>
      <c r="D13" s="10"/>
      <c r="E13" s="23"/>
      <c r="F13" s="23"/>
      <c r="G13" s="24"/>
      <c r="H13" s="23"/>
      <c r="I13" s="24"/>
    </row>
    <row r="14" spans="1:9">
      <c r="A14" s="22"/>
      <c r="B14" s="23"/>
      <c r="E14" s="23"/>
      <c r="F14" s="23"/>
      <c r="G14" s="24"/>
    </row>
    <row r="15" spans="1:9">
      <c r="A15" s="13" t="str">
        <f>"Kalenderjahr "&amp;Hinweise!B3-1&amp;""</f>
        <v>Kalenderjahr 2023</v>
      </c>
      <c r="D15" s="29"/>
    </row>
    <row r="16" spans="1:9">
      <c r="A16" s="13"/>
      <c r="D16" s="29"/>
    </row>
    <row r="17" spans="1:4" ht="13.5" thickBot="1">
      <c r="A17" s="45"/>
    </row>
    <row r="18" spans="1:4">
      <c r="A18" s="272"/>
      <c r="B18" s="91" t="s">
        <v>1756</v>
      </c>
      <c r="C18" s="420" t="s">
        <v>1757</v>
      </c>
      <c r="D18" s="273" t="s">
        <v>1715</v>
      </c>
    </row>
    <row r="19" spans="1:4" s="8" customFormat="1" ht="13.5" thickBot="1">
      <c r="A19" s="449"/>
      <c r="B19" s="639" t="s">
        <v>1722</v>
      </c>
      <c r="C19" s="639" t="s">
        <v>1722</v>
      </c>
      <c r="D19" s="639" t="s">
        <v>1722</v>
      </c>
    </row>
    <row r="20" spans="1:4">
      <c r="A20" s="418" t="s">
        <v>85</v>
      </c>
      <c r="B20" s="362">
        <v>0</v>
      </c>
      <c r="C20" s="160">
        <v>0</v>
      </c>
      <c r="D20" s="340">
        <f>SUM(B20:C20)</f>
        <v>0</v>
      </c>
    </row>
    <row r="21" spans="1:4">
      <c r="A21" s="274" t="s">
        <v>404</v>
      </c>
      <c r="B21" s="159">
        <v>0</v>
      </c>
      <c r="C21" s="160">
        <v>0</v>
      </c>
      <c r="D21" s="340">
        <f t="shared" ref="D21:D23" si="1">SUM(B21:C21)</f>
        <v>0</v>
      </c>
    </row>
    <row r="22" spans="1:4">
      <c r="A22" s="418" t="s">
        <v>855</v>
      </c>
      <c r="B22" s="161">
        <v>2546246</v>
      </c>
      <c r="C22" s="162">
        <v>55750</v>
      </c>
      <c r="D22" s="340">
        <f t="shared" si="1"/>
        <v>2601996</v>
      </c>
    </row>
    <row r="23" spans="1:4" ht="13.5" thickBot="1">
      <c r="A23" s="274" t="s">
        <v>1486</v>
      </c>
      <c r="B23" s="159">
        <v>0</v>
      </c>
      <c r="C23" s="159">
        <v>0</v>
      </c>
      <c r="D23" s="339">
        <f t="shared" si="1"/>
        <v>0</v>
      </c>
    </row>
    <row r="24" spans="1:4" ht="13.5" thickBot="1">
      <c r="A24" s="419" t="s">
        <v>1715</v>
      </c>
      <c r="B24" s="356">
        <f>B20+B21+B22+B23</f>
        <v>2546246</v>
      </c>
      <c r="C24" s="357">
        <f>C20+C21+C22+C23</f>
        <v>55750</v>
      </c>
      <c r="D24" s="358">
        <f>D20+D21+D22+D23</f>
        <v>2601996</v>
      </c>
    </row>
    <row r="25" spans="1:4">
      <c r="A25" s="2"/>
      <c r="B25" s="10"/>
      <c r="C25" s="10"/>
      <c r="D25" s="10"/>
    </row>
    <row r="26" spans="1:4">
      <c r="A26" s="22"/>
      <c r="B26" s="23"/>
    </row>
    <row r="27" spans="1:4">
      <c r="A27" s="13" t="str">
        <f>"Kalenderjahr "&amp;Hinweise!B3-2&amp;""</f>
        <v>Kalenderjahr 2022</v>
      </c>
      <c r="C27" s="23"/>
      <c r="D27" s="29"/>
    </row>
    <row r="28" spans="1:4">
      <c r="A28" s="13"/>
      <c r="C28" s="23"/>
      <c r="D28" s="29"/>
    </row>
    <row r="29" spans="1:4" ht="13.5" thickBot="1">
      <c r="A29" s="45"/>
    </row>
    <row r="30" spans="1:4">
      <c r="A30" s="272"/>
      <c r="B30" s="91" t="s">
        <v>1756</v>
      </c>
      <c r="C30" s="420" t="s">
        <v>1757</v>
      </c>
      <c r="D30" s="273" t="s">
        <v>1715</v>
      </c>
    </row>
    <row r="31" spans="1:4" s="8" customFormat="1" ht="13.5" thickBot="1">
      <c r="A31" s="449"/>
      <c r="B31" s="639" t="s">
        <v>1722</v>
      </c>
      <c r="C31" s="639" t="s">
        <v>1722</v>
      </c>
      <c r="D31" s="639" t="s">
        <v>1722</v>
      </c>
    </row>
    <row r="32" spans="1:4">
      <c r="A32" s="418" t="s">
        <v>85</v>
      </c>
      <c r="B32" s="362">
        <v>0</v>
      </c>
      <c r="C32" s="160">
        <v>0</v>
      </c>
      <c r="D32" s="340">
        <f>SUM(B32:C32)</f>
        <v>0</v>
      </c>
    </row>
    <row r="33" spans="1:4">
      <c r="A33" s="274" t="s">
        <v>404</v>
      </c>
      <c r="B33" s="159">
        <v>0</v>
      </c>
      <c r="C33" s="160">
        <v>0</v>
      </c>
      <c r="D33" s="340">
        <f t="shared" ref="D33:D35" si="2">SUM(B33:C33)</f>
        <v>0</v>
      </c>
    </row>
    <row r="34" spans="1:4">
      <c r="A34" s="418" t="s">
        <v>855</v>
      </c>
      <c r="B34" s="161">
        <v>0</v>
      </c>
      <c r="C34" s="162">
        <v>0</v>
      </c>
      <c r="D34" s="340">
        <f t="shared" si="2"/>
        <v>0</v>
      </c>
    </row>
    <row r="35" spans="1:4" ht="13.5" thickBot="1">
      <c r="A35" s="274" t="s">
        <v>1486</v>
      </c>
      <c r="B35" s="159">
        <v>0</v>
      </c>
      <c r="C35" s="159">
        <v>0</v>
      </c>
      <c r="D35" s="339">
        <f t="shared" si="2"/>
        <v>0</v>
      </c>
    </row>
    <row r="36" spans="1:4" ht="13.5" thickBot="1">
      <c r="A36" s="419" t="s">
        <v>1715</v>
      </c>
      <c r="B36" s="356">
        <f>B32+B33+B34+B35</f>
        <v>0</v>
      </c>
      <c r="C36" s="357">
        <f>C32+C33+C34+C35</f>
        <v>0</v>
      </c>
      <c r="D36" s="358">
        <f>D32+D33+D34+D35</f>
        <v>0</v>
      </c>
    </row>
    <row r="37" spans="1:4">
      <c r="A37" s="2"/>
      <c r="B37" s="10"/>
      <c r="C37" s="10"/>
      <c r="D37" s="10"/>
    </row>
    <row r="38" spans="1:4">
      <c r="A38" s="2"/>
      <c r="B38" s="10"/>
      <c r="C38" s="10"/>
      <c r="D38" s="10"/>
    </row>
    <row r="39" spans="1:4">
      <c r="A39" s="13" t="str">
        <f>"Kalenderjahr "&amp;Hinweise!B3-3&amp;""</f>
        <v>Kalenderjahr 2021</v>
      </c>
      <c r="D39" s="29"/>
    </row>
    <row r="40" spans="1:4">
      <c r="A40" s="13"/>
      <c r="D40" s="29"/>
    </row>
    <row r="41" spans="1:4" ht="13.5" thickBot="1">
      <c r="A41" s="45"/>
    </row>
    <row r="42" spans="1:4">
      <c r="A42" s="272"/>
      <c r="B42" s="91" t="s">
        <v>1756</v>
      </c>
      <c r="C42" s="420" t="s">
        <v>1757</v>
      </c>
      <c r="D42" s="273" t="s">
        <v>1715</v>
      </c>
    </row>
    <row r="43" spans="1:4" s="8" customFormat="1" ht="13.5" thickBot="1">
      <c r="A43" s="449"/>
      <c r="B43" s="639" t="s">
        <v>1722</v>
      </c>
      <c r="C43" s="639" t="s">
        <v>1722</v>
      </c>
      <c r="D43" s="639" t="s">
        <v>1722</v>
      </c>
    </row>
    <row r="44" spans="1:4">
      <c r="A44" s="418" t="s">
        <v>85</v>
      </c>
      <c r="B44" s="362">
        <v>0</v>
      </c>
      <c r="C44" s="160">
        <v>0</v>
      </c>
      <c r="D44" s="340">
        <f>SUM(B44:C44)</f>
        <v>0</v>
      </c>
    </row>
    <row r="45" spans="1:4">
      <c r="A45" s="274" t="s">
        <v>404</v>
      </c>
      <c r="B45" s="159">
        <v>0</v>
      </c>
      <c r="C45" s="160">
        <v>0</v>
      </c>
      <c r="D45" s="340">
        <f t="shared" ref="D45:D47" si="3">SUM(B45:C45)</f>
        <v>0</v>
      </c>
    </row>
    <row r="46" spans="1:4">
      <c r="A46" s="418" t="s">
        <v>855</v>
      </c>
      <c r="B46" s="161">
        <v>0</v>
      </c>
      <c r="C46" s="162">
        <v>0</v>
      </c>
      <c r="D46" s="340">
        <f t="shared" si="3"/>
        <v>0</v>
      </c>
    </row>
    <row r="47" spans="1:4" ht="13.5" thickBot="1">
      <c r="A47" s="274" t="s">
        <v>1486</v>
      </c>
      <c r="B47" s="159">
        <v>-285077</v>
      </c>
      <c r="C47" s="159">
        <v>0</v>
      </c>
      <c r="D47" s="339">
        <f t="shared" si="3"/>
        <v>-285077</v>
      </c>
    </row>
    <row r="48" spans="1:4" ht="13.5" thickBot="1">
      <c r="A48" s="419" t="s">
        <v>1715</v>
      </c>
      <c r="B48" s="356">
        <f>B44+B45+B46+B47</f>
        <v>-285077</v>
      </c>
      <c r="C48" s="357">
        <f>C44+C45+C46+C47</f>
        <v>0</v>
      </c>
      <c r="D48" s="358">
        <f>D44+D45+D46+D47</f>
        <v>-285077</v>
      </c>
    </row>
    <row r="49" spans="1:4" ht="13.5" thickBot="1">
      <c r="A49" s="1107"/>
      <c r="B49" s="1108"/>
      <c r="C49" s="1108"/>
      <c r="D49" s="1119"/>
    </row>
  </sheetData>
  <sheetProtection algorithmName="SHA-512" hashValue="4ghyI+O6cxkGtFLUT4cf4mDm/YP8TKiuRrRPpEjIh5VMCoGWjNE9rHU3dQOt8lDDmen6GFMbOldYVxtkSjGVDQ==" saltValue="NLmjf46ZxYv8SsT+P0klMg==" spinCount="100000" sheet="1" objects="1" scenarios="1"/>
  <pageMargins left="0.98425196850393704" right="0.78740157480314965" top="1.1023622047244095" bottom="0.74803149606299213" header="0.31496062992125984" footer="0.31496062992125984"/>
  <pageSetup paperSize="9" scale="74" orientation="landscape" r:id="rId1"/>
  <headerFooter scaleWithDoc="0">
    <oddHeader>&amp;L&amp;G</oddHeader>
    <oddFooter>&amp;R&amp;UAnlage 1e&amp;U
Seite &amp;P</oddFooter>
  </headerFooter>
  <rowBreaks count="1" manualBreakCount="1">
    <brk id="38" max="16383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C450A-FF18-47E8-AC68-8B7974814D6B}">
  <sheetPr codeName="Tabelle8">
    <pageSetUpPr fitToPage="1"/>
  </sheetPr>
  <dimension ref="A1:P47"/>
  <sheetViews>
    <sheetView view="pageLayout" zoomScale="90" zoomScaleNormal="100" zoomScalePageLayoutView="90" workbookViewId="0">
      <selection activeCell="U39" sqref="U39"/>
    </sheetView>
  </sheetViews>
  <sheetFormatPr baseColWidth="10" defaultColWidth="4.140625" defaultRowHeight="12.75" outlineLevelRow="1" outlineLevelCol="1"/>
  <cols>
    <col min="1" max="1" width="30" customWidth="1"/>
    <col min="2" max="2" width="35.85546875" customWidth="1"/>
    <col min="3" max="3" width="23.7109375" bestFit="1" customWidth="1"/>
    <col min="4" max="4" width="21.42578125" bestFit="1" customWidth="1"/>
    <col min="5" max="6" width="21.42578125" hidden="1" customWidth="1" outlineLevel="1"/>
    <col min="7" max="7" width="17.42578125" hidden="1" customWidth="1" outlineLevel="1"/>
    <col min="8" max="8" width="15.28515625" hidden="1" customWidth="1" outlineLevel="1"/>
    <col min="9" max="9" width="17.42578125" hidden="1" customWidth="1" outlineLevel="1"/>
    <col min="10" max="10" width="15.28515625" hidden="1" customWidth="1" outlineLevel="1"/>
    <col min="11" max="11" width="17.42578125" hidden="1" customWidth="1" outlineLevel="1"/>
    <col min="12" max="12" width="15.28515625" hidden="1" customWidth="1" outlineLevel="1"/>
    <col min="13" max="13" width="4.140625" customWidth="1" collapsed="1"/>
    <col min="14" max="14" width="9" style="359" hidden="1" customWidth="1" outlineLevel="1"/>
    <col min="15" max="15" width="13.85546875" style="359" hidden="1" customWidth="1" outlineLevel="1"/>
    <col min="16" max="16" width="4.140625" collapsed="1"/>
    <col min="21" max="21" width="23.85546875" customWidth="1"/>
  </cols>
  <sheetData>
    <row r="1" spans="1:15" s="8" customFormat="1" ht="24" customHeight="1">
      <c r="A1" s="1160" t="s">
        <v>1758</v>
      </c>
      <c r="B1" s="1160"/>
      <c r="C1" s="1160"/>
      <c r="D1" s="1160"/>
      <c r="E1" s="578"/>
      <c r="F1" s="578"/>
      <c r="H1" s="578"/>
      <c r="K1" s="578"/>
      <c r="N1" s="579"/>
      <c r="O1" s="579"/>
    </row>
    <row r="3" spans="1:15">
      <c r="A3" s="13" t="str">
        <f>"Kalenderjahr "&amp;Hinweise!B3&amp;""</f>
        <v>Kalenderjahr 2024</v>
      </c>
      <c r="D3" s="29">
        <f>'Anlage 1a_Zuschlagszahlungen_NB'!E1</f>
        <v>45915</v>
      </c>
      <c r="E3" s="29"/>
      <c r="F3" s="29"/>
      <c r="H3" s="29"/>
    </row>
    <row r="4" spans="1:15">
      <c r="A4" s="13"/>
      <c r="D4" s="29"/>
      <c r="E4" s="29"/>
      <c r="F4" s="29"/>
      <c r="H4" s="29"/>
    </row>
    <row r="5" spans="1:15" s="44" customFormat="1" ht="52.5" customHeight="1">
      <c r="A5" s="1164" t="s">
        <v>1759</v>
      </c>
      <c r="B5" s="1164"/>
      <c r="C5" s="1164"/>
      <c r="D5" s="1164"/>
      <c r="E5" s="630"/>
      <c r="F5" s="630"/>
      <c r="G5" s="1167"/>
      <c r="H5" s="1167"/>
      <c r="I5" s="1167"/>
      <c r="J5" s="1167"/>
      <c r="K5" s="1167"/>
      <c r="L5" s="1167"/>
      <c r="N5" s="629" t="s">
        <v>1760</v>
      </c>
      <c r="O5" s="629"/>
    </row>
    <row r="6" spans="1:15" ht="13.5" thickBot="1">
      <c r="A6" s="45"/>
      <c r="N6" s="360"/>
      <c r="O6" s="360"/>
    </row>
    <row r="7" spans="1:15" s="28" customFormat="1" ht="13.5" customHeight="1" thickBot="1">
      <c r="A7" s="1170" t="s">
        <v>1761</v>
      </c>
      <c r="B7" s="1170" t="s">
        <v>1762</v>
      </c>
      <c r="C7" s="1165" t="s">
        <v>1763</v>
      </c>
      <c r="D7" s="1166"/>
      <c r="E7" s="1165" t="s">
        <v>1764</v>
      </c>
      <c r="F7" s="1166"/>
      <c r="G7" s="1165" t="s">
        <v>1765</v>
      </c>
      <c r="H7" s="1165"/>
      <c r="I7" s="1165" t="s">
        <v>1766</v>
      </c>
      <c r="J7" s="1165"/>
      <c r="K7" s="1171" t="s">
        <v>1767</v>
      </c>
      <c r="L7" s="1166"/>
      <c r="N7" s="360" t="s">
        <v>1768</v>
      </c>
      <c r="O7" s="360" t="s">
        <v>1769</v>
      </c>
    </row>
    <row r="8" spans="1:15" ht="36" customHeight="1" thickBot="1">
      <c r="A8" s="1170">
        <v>0</v>
      </c>
      <c r="B8" s="1170">
        <v>0</v>
      </c>
      <c r="C8" s="571" t="s">
        <v>1770</v>
      </c>
      <c r="D8" s="572" t="s">
        <v>1771</v>
      </c>
      <c r="E8" s="576" t="s">
        <v>1772</v>
      </c>
      <c r="F8" s="577" t="s">
        <v>1773</v>
      </c>
      <c r="G8" s="575" t="s">
        <v>1772</v>
      </c>
      <c r="H8" s="574" t="s">
        <v>1773</v>
      </c>
      <c r="I8" s="575" t="s">
        <v>1774</v>
      </c>
      <c r="J8" s="574" t="s">
        <v>1773</v>
      </c>
      <c r="K8" s="573" t="s">
        <v>1772</v>
      </c>
      <c r="L8" s="574" t="s">
        <v>1775</v>
      </c>
    </row>
    <row r="9" spans="1:15" hidden="1" outlineLevel="1">
      <c r="A9" s="281" t="s">
        <v>1776</v>
      </c>
      <c r="B9" s="282" t="s">
        <v>1777</v>
      </c>
      <c r="C9" s="287"/>
      <c r="D9" s="284"/>
      <c r="E9" s="328"/>
      <c r="F9" s="326"/>
      <c r="G9" s="287"/>
      <c r="H9" s="284"/>
      <c r="I9" s="285"/>
      <c r="J9" s="286"/>
      <c r="K9" s="283"/>
      <c r="L9" s="284"/>
    </row>
    <row r="10" spans="1:15" hidden="1" outlineLevel="1">
      <c r="A10" s="288" t="s">
        <v>1778</v>
      </c>
      <c r="B10" s="289" t="s">
        <v>1779</v>
      </c>
      <c r="C10" s="294"/>
      <c r="D10" s="291"/>
      <c r="E10" s="329"/>
      <c r="F10" s="327"/>
      <c r="G10" s="294"/>
      <c r="H10" s="291"/>
      <c r="I10" s="292"/>
      <c r="J10" s="293"/>
      <c r="K10" s="290"/>
      <c r="L10" s="291"/>
    </row>
    <row r="11" spans="1:15" ht="13.5" hidden="1" outlineLevel="1" thickBot="1">
      <c r="A11" s="330" t="s">
        <v>1780</v>
      </c>
      <c r="B11" s="305" t="s">
        <v>1781</v>
      </c>
      <c r="C11" s="335"/>
      <c r="D11" s="332"/>
      <c r="E11" s="336"/>
      <c r="F11" s="337"/>
      <c r="G11" s="335"/>
      <c r="H11" s="332"/>
      <c r="I11" s="333"/>
      <c r="J11" s="334"/>
      <c r="K11" s="331"/>
      <c r="L11" s="332"/>
    </row>
    <row r="12" spans="1:15" ht="25.5" hidden="1" outlineLevel="1">
      <c r="A12" s="298" t="s">
        <v>1782</v>
      </c>
      <c r="B12" s="282" t="s">
        <v>1783</v>
      </c>
      <c r="C12" s="338">
        <f>E12+G12+I12+K12</f>
        <v>8043598</v>
      </c>
      <c r="D12" s="722">
        <f>F12+H12+J12+L12</f>
        <v>175235.16999999998</v>
      </c>
      <c r="E12" s="642">
        <v>0</v>
      </c>
      <c r="F12" s="643">
        <v>0</v>
      </c>
      <c r="G12" s="642">
        <v>0</v>
      </c>
      <c r="H12" s="643">
        <v>0</v>
      </c>
      <c r="I12" s="642">
        <v>6897060</v>
      </c>
      <c r="J12" s="643">
        <v>140671.78</v>
      </c>
      <c r="K12" s="642">
        <v>1146538</v>
      </c>
      <c r="L12" s="643">
        <v>34563.39</v>
      </c>
    </row>
    <row r="13" spans="1:15" ht="25.5" hidden="1" outlineLevel="1">
      <c r="A13" s="295" t="s">
        <v>1784</v>
      </c>
      <c r="B13" s="289" t="s">
        <v>1785</v>
      </c>
      <c r="C13" s="303">
        <f t="shared" ref="C13:C21" si="0">E13+G13+I13+K13</f>
        <v>608315</v>
      </c>
      <c r="D13" s="723">
        <f t="shared" ref="D13:D16" si="1">F13+H13+J13+L13</f>
        <v>31084.890000000003</v>
      </c>
      <c r="E13" s="644">
        <v>0</v>
      </c>
      <c r="F13" s="645">
        <v>0</v>
      </c>
      <c r="G13" s="644">
        <v>171</v>
      </c>
      <c r="H13" s="645">
        <v>8.74</v>
      </c>
      <c r="I13" s="644">
        <v>590995</v>
      </c>
      <c r="J13" s="645">
        <v>30199.84</v>
      </c>
      <c r="K13" s="644">
        <v>17149</v>
      </c>
      <c r="L13" s="645">
        <v>876.31</v>
      </c>
    </row>
    <row r="14" spans="1:15" ht="38.25" hidden="1" outlineLevel="1">
      <c r="A14" s="295" t="s">
        <v>1786</v>
      </c>
      <c r="B14" s="289" t="s">
        <v>1785</v>
      </c>
      <c r="C14" s="303">
        <f t="shared" si="0"/>
        <v>6795231</v>
      </c>
      <c r="D14" s="723">
        <f t="shared" si="1"/>
        <v>170859.86</v>
      </c>
      <c r="E14" s="644">
        <v>611298</v>
      </c>
      <c r="F14" s="645">
        <v>14370.62</v>
      </c>
      <c r="G14" s="644">
        <v>2065774</v>
      </c>
      <c r="H14" s="645">
        <v>51843.839999999997</v>
      </c>
      <c r="I14" s="644">
        <v>3233024</v>
      </c>
      <c r="J14" s="645">
        <v>82712.899999999994</v>
      </c>
      <c r="K14" s="644">
        <v>885135</v>
      </c>
      <c r="L14" s="645">
        <v>21932.5</v>
      </c>
    </row>
    <row r="15" spans="1:15" ht="25.5" hidden="1" outlineLevel="1">
      <c r="A15" s="295" t="s">
        <v>1787</v>
      </c>
      <c r="B15" s="289" t="s">
        <v>1788</v>
      </c>
      <c r="C15" s="303">
        <f t="shared" si="0"/>
        <v>0</v>
      </c>
      <c r="D15" s="723">
        <f t="shared" si="1"/>
        <v>0</v>
      </c>
      <c r="E15" s="644">
        <v>0</v>
      </c>
      <c r="F15" s="645">
        <v>0</v>
      </c>
      <c r="G15" s="644">
        <v>0</v>
      </c>
      <c r="H15" s="645">
        <v>0</v>
      </c>
      <c r="I15" s="644">
        <v>0</v>
      </c>
      <c r="J15" s="645">
        <v>0</v>
      </c>
      <c r="K15" s="644">
        <v>0</v>
      </c>
      <c r="L15" s="645">
        <v>0</v>
      </c>
    </row>
    <row r="16" spans="1:15" ht="26.25" hidden="1" outlineLevel="1" thickBot="1">
      <c r="A16" s="296" t="s">
        <v>1789</v>
      </c>
      <c r="B16" s="297" t="s">
        <v>1790</v>
      </c>
      <c r="C16" s="314">
        <f t="shared" si="0"/>
        <v>199217898</v>
      </c>
      <c r="D16" s="724">
        <f t="shared" si="1"/>
        <v>3022826.8099999996</v>
      </c>
      <c r="E16" s="646">
        <v>80774400</v>
      </c>
      <c r="F16" s="647">
        <v>1219407.8400000001</v>
      </c>
      <c r="G16" s="646">
        <v>60780521</v>
      </c>
      <c r="H16" s="647">
        <v>920723.5</v>
      </c>
      <c r="I16" s="646">
        <v>51412101</v>
      </c>
      <c r="J16" s="647">
        <v>780815.21</v>
      </c>
      <c r="K16" s="646">
        <v>6250876</v>
      </c>
      <c r="L16" s="647">
        <v>101880.26</v>
      </c>
    </row>
    <row r="17" spans="1:12" ht="25.5" hidden="1" outlineLevel="1">
      <c r="A17" s="308" t="s">
        <v>1791</v>
      </c>
      <c r="B17" s="309" t="s">
        <v>1792</v>
      </c>
      <c r="C17" s="338">
        <f>E17+G17+I17+K17</f>
        <v>555146698</v>
      </c>
      <c r="D17" s="722">
        <f>F17+H17+J17+L17</f>
        <v>24996167.84</v>
      </c>
      <c r="E17" s="648">
        <v>75677264.000000045</v>
      </c>
      <c r="F17" s="649">
        <v>3580239.2199999988</v>
      </c>
      <c r="G17" s="648">
        <v>164627201</v>
      </c>
      <c r="H17" s="649">
        <v>7297595.0800000001</v>
      </c>
      <c r="I17" s="648">
        <v>208046775</v>
      </c>
      <c r="J17" s="649">
        <v>9289758.2300000004</v>
      </c>
      <c r="K17" s="648">
        <v>106795458</v>
      </c>
      <c r="L17" s="649">
        <v>4828575.3099999996</v>
      </c>
    </row>
    <row r="18" spans="1:12" ht="26.25" hidden="1" customHeight="1" outlineLevel="1">
      <c r="A18" s="295" t="s">
        <v>1793</v>
      </c>
      <c r="B18" s="289" t="s">
        <v>1794</v>
      </c>
      <c r="C18" s="303">
        <f t="shared" si="0"/>
        <v>12174043</v>
      </c>
      <c r="D18" s="723">
        <f t="shared" ref="D18:D34" si="2">F18+H18+J18+L18</f>
        <v>658615.69999999995</v>
      </c>
      <c r="E18" s="644">
        <v>1253767.9999999998</v>
      </c>
      <c r="F18" s="645">
        <v>67828.849999999991</v>
      </c>
      <c r="G18" s="644">
        <v>139605</v>
      </c>
      <c r="H18" s="645">
        <v>7552.62</v>
      </c>
      <c r="I18" s="644">
        <v>1320100</v>
      </c>
      <c r="J18" s="645">
        <v>71417.399999999994</v>
      </c>
      <c r="K18" s="644">
        <v>9460570</v>
      </c>
      <c r="L18" s="645">
        <v>511816.83</v>
      </c>
    </row>
    <row r="19" spans="1:12" ht="25.5" hidden="1" outlineLevel="1">
      <c r="A19" s="295" t="s">
        <v>1795</v>
      </c>
      <c r="B19" s="289" t="s">
        <v>1796</v>
      </c>
      <c r="C19" s="303">
        <f t="shared" si="0"/>
        <v>986174536</v>
      </c>
      <c r="D19" s="723">
        <f t="shared" si="2"/>
        <v>21129064.130000003</v>
      </c>
      <c r="E19" s="644">
        <v>17738442.000000004</v>
      </c>
      <c r="F19" s="645">
        <v>425904.7</v>
      </c>
      <c r="G19" s="644">
        <v>230601110</v>
      </c>
      <c r="H19" s="645">
        <v>5036740.6100000003</v>
      </c>
      <c r="I19" s="644">
        <v>81835387</v>
      </c>
      <c r="J19" s="645">
        <v>1868039.91</v>
      </c>
      <c r="K19" s="644">
        <v>655999597</v>
      </c>
      <c r="L19" s="645">
        <v>13798378.91</v>
      </c>
    </row>
    <row r="20" spans="1:12" ht="25.5" hidden="1" outlineLevel="1">
      <c r="A20" s="295" t="s">
        <v>1797</v>
      </c>
      <c r="B20" s="289" t="s">
        <v>1798</v>
      </c>
      <c r="C20" s="303">
        <f t="shared" si="0"/>
        <v>584509807</v>
      </c>
      <c r="D20" s="723">
        <f t="shared" si="2"/>
        <v>14420914.720000001</v>
      </c>
      <c r="E20" s="644">
        <v>60238415.999999993</v>
      </c>
      <c r="F20" s="645">
        <v>1755948.7600000005</v>
      </c>
      <c r="G20" s="644">
        <v>151567052</v>
      </c>
      <c r="H20" s="645">
        <v>3828253.67</v>
      </c>
      <c r="I20" s="644">
        <v>321353608</v>
      </c>
      <c r="J20" s="645">
        <v>7376954.9699999997</v>
      </c>
      <c r="K20" s="644">
        <v>51350731</v>
      </c>
      <c r="L20" s="645">
        <v>1459757.32</v>
      </c>
    </row>
    <row r="21" spans="1:12" ht="25.5" hidden="1" outlineLevel="1">
      <c r="A21" s="295" t="s">
        <v>1799</v>
      </c>
      <c r="B21" s="289" t="s">
        <v>1800</v>
      </c>
      <c r="C21" s="303">
        <f t="shared" si="0"/>
        <v>14120174</v>
      </c>
      <c r="D21" s="723">
        <f t="shared" si="2"/>
        <v>331305.92</v>
      </c>
      <c r="E21" s="644">
        <v>0</v>
      </c>
      <c r="F21" s="645">
        <v>0</v>
      </c>
      <c r="G21" s="644">
        <v>13087347</v>
      </c>
      <c r="H21" s="645">
        <v>292407.03999999998</v>
      </c>
      <c r="I21" s="644">
        <v>1032827</v>
      </c>
      <c r="J21" s="645">
        <v>38898.879999999997</v>
      </c>
      <c r="K21" s="644">
        <v>0</v>
      </c>
      <c r="L21" s="645">
        <v>0</v>
      </c>
    </row>
    <row r="22" spans="1:12" ht="39" hidden="1" outlineLevel="1" thickBot="1">
      <c r="A22" s="304" t="s">
        <v>1801</v>
      </c>
      <c r="B22" s="305" t="s">
        <v>1802</v>
      </c>
      <c r="C22" s="299"/>
      <c r="D22" s="724">
        <f t="shared" si="2"/>
        <v>148.07</v>
      </c>
      <c r="E22" s="394"/>
      <c r="F22" s="650">
        <v>148.07</v>
      </c>
      <c r="G22" s="394"/>
      <c r="H22" s="650">
        <v>0</v>
      </c>
      <c r="I22" s="394"/>
      <c r="J22" s="650">
        <v>0</v>
      </c>
      <c r="K22" s="394"/>
      <c r="L22" s="650">
        <v>0</v>
      </c>
    </row>
    <row r="23" spans="1:12" ht="51" hidden="1" outlineLevel="1">
      <c r="A23" s="316" t="s">
        <v>1803</v>
      </c>
      <c r="B23" s="401" t="s">
        <v>1804</v>
      </c>
      <c r="C23" s="338">
        <f>E23+G23+I23+K23</f>
        <v>1386115281</v>
      </c>
      <c r="D23" s="722">
        <f t="shared" si="2"/>
        <v>77548025.329999998</v>
      </c>
      <c r="E23" s="653">
        <v>399874864</v>
      </c>
      <c r="F23" s="643">
        <v>21411390.619999997</v>
      </c>
      <c r="G23" s="653">
        <v>556091800</v>
      </c>
      <c r="H23" s="643">
        <v>26370607.390000001</v>
      </c>
      <c r="I23" s="653">
        <v>313955951</v>
      </c>
      <c r="J23" s="643">
        <v>23290502.539999999</v>
      </c>
      <c r="K23" s="653">
        <v>116192666</v>
      </c>
      <c r="L23" s="643">
        <v>6475524.7800000003</v>
      </c>
    </row>
    <row r="24" spans="1:12" ht="38.25" hidden="1" outlineLevel="1">
      <c r="A24" s="323" t="s">
        <v>1805</v>
      </c>
      <c r="B24" s="403" t="s">
        <v>1806</v>
      </c>
      <c r="C24" s="303">
        <f t="shared" ref="C24:C28" si="3">E24+G24+I24+K24</f>
        <v>17765025107</v>
      </c>
      <c r="D24" s="723">
        <f t="shared" si="2"/>
        <v>643601895.19999993</v>
      </c>
      <c r="E24" s="654">
        <v>6158604215.9999981</v>
      </c>
      <c r="F24" s="645">
        <v>222528315.10000002</v>
      </c>
      <c r="G24" s="654">
        <v>5375496129</v>
      </c>
      <c r="H24" s="645">
        <v>189876818.50999999</v>
      </c>
      <c r="I24" s="654">
        <v>5481637471</v>
      </c>
      <c r="J24" s="645">
        <v>198766472.53999999</v>
      </c>
      <c r="K24" s="654">
        <v>749287291</v>
      </c>
      <c r="L24" s="645">
        <v>32430289.050000001</v>
      </c>
    </row>
    <row r="25" spans="1:12" ht="51" hidden="1" outlineLevel="1">
      <c r="A25" s="300" t="s">
        <v>1807</v>
      </c>
      <c r="B25" s="404" t="s">
        <v>1808</v>
      </c>
      <c r="C25" s="303">
        <f t="shared" si="3"/>
        <v>349423074</v>
      </c>
      <c r="D25" s="723">
        <f t="shared" si="2"/>
        <v>13713271.799999999</v>
      </c>
      <c r="E25" s="654">
        <v>52724726.999999993</v>
      </c>
      <c r="F25" s="645">
        <v>2073216.4099999997</v>
      </c>
      <c r="G25" s="654">
        <v>94557756</v>
      </c>
      <c r="H25" s="645">
        <v>3685270.44</v>
      </c>
      <c r="I25" s="654">
        <v>130317419</v>
      </c>
      <c r="J25" s="645">
        <v>5136564.6900000004</v>
      </c>
      <c r="K25" s="654">
        <v>71823172</v>
      </c>
      <c r="L25" s="645">
        <v>2818220.26</v>
      </c>
    </row>
    <row r="26" spans="1:12" ht="63.75" hidden="1" outlineLevel="1">
      <c r="A26" s="300" t="s">
        <v>1809</v>
      </c>
      <c r="B26" s="404" t="s">
        <v>1810</v>
      </c>
      <c r="C26" s="303">
        <f t="shared" si="3"/>
        <v>114197989</v>
      </c>
      <c r="D26" s="723">
        <f t="shared" si="2"/>
        <v>2368560.87</v>
      </c>
      <c r="E26" s="654">
        <v>5823197.9999999981</v>
      </c>
      <c r="F26" s="645">
        <v>145465.91999999998</v>
      </c>
      <c r="G26" s="654">
        <v>66158861</v>
      </c>
      <c r="H26" s="645">
        <v>1094210.57</v>
      </c>
      <c r="I26" s="654">
        <v>30657845</v>
      </c>
      <c r="J26" s="645">
        <v>777561.88</v>
      </c>
      <c r="K26" s="654">
        <v>11558085</v>
      </c>
      <c r="L26" s="645">
        <v>351322.5</v>
      </c>
    </row>
    <row r="27" spans="1:12" ht="76.5" hidden="1" outlineLevel="1">
      <c r="A27" s="300" t="s">
        <v>1811</v>
      </c>
      <c r="B27" s="404" t="s">
        <v>1812</v>
      </c>
      <c r="C27" s="303">
        <f t="shared" si="3"/>
        <v>312860351</v>
      </c>
      <c r="D27" s="723">
        <f t="shared" si="2"/>
        <v>6881252.0099999998</v>
      </c>
      <c r="E27" s="654">
        <v>237587</v>
      </c>
      <c r="F27" s="645">
        <v>10956.3</v>
      </c>
      <c r="G27" s="654">
        <v>557015</v>
      </c>
      <c r="H27" s="645">
        <v>28721.96</v>
      </c>
      <c r="I27" s="654">
        <v>226145578</v>
      </c>
      <c r="J27" s="645">
        <v>4982277.49</v>
      </c>
      <c r="K27" s="654">
        <v>85920171</v>
      </c>
      <c r="L27" s="645">
        <v>1859296.26</v>
      </c>
    </row>
    <row r="28" spans="1:12" ht="25.5" hidden="1" outlineLevel="1">
      <c r="A28" s="324" t="s">
        <v>1813</v>
      </c>
      <c r="B28" s="404" t="s">
        <v>1814</v>
      </c>
      <c r="C28" s="303">
        <f t="shared" si="3"/>
        <v>477503750</v>
      </c>
      <c r="D28" s="723">
        <f t="shared" si="2"/>
        <v>59719734.93</v>
      </c>
      <c r="E28" s="654">
        <v>79619397.999999985</v>
      </c>
      <c r="F28" s="645">
        <v>10615759.600000003</v>
      </c>
      <c r="G28" s="654">
        <v>131606888</v>
      </c>
      <c r="H28" s="645">
        <v>16008844.32</v>
      </c>
      <c r="I28" s="654">
        <v>154061234</v>
      </c>
      <c r="J28" s="645">
        <v>18770442.77</v>
      </c>
      <c r="K28" s="654">
        <v>112216230</v>
      </c>
      <c r="L28" s="645">
        <v>14324688.24</v>
      </c>
    </row>
    <row r="29" spans="1:12" ht="51" hidden="1" outlineLevel="1">
      <c r="A29" s="300" t="s">
        <v>1815</v>
      </c>
      <c r="B29" s="404" t="s">
        <v>1816</v>
      </c>
      <c r="C29" s="395"/>
      <c r="D29" s="723">
        <f t="shared" si="2"/>
        <v>31982.04</v>
      </c>
      <c r="E29" s="395"/>
      <c r="F29" s="645">
        <v>4898.6400000000003</v>
      </c>
      <c r="G29" s="395"/>
      <c r="H29" s="645">
        <v>9402.7199999999993</v>
      </c>
      <c r="I29" s="395"/>
      <c r="J29" s="645">
        <v>15880.68</v>
      </c>
      <c r="K29" s="395"/>
      <c r="L29" s="645">
        <v>1800</v>
      </c>
    </row>
    <row r="30" spans="1:12" ht="51.75" hidden="1" outlineLevel="1" thickBot="1">
      <c r="A30" s="296" t="s">
        <v>1817</v>
      </c>
      <c r="B30" s="405" t="s">
        <v>1818</v>
      </c>
      <c r="C30" s="306"/>
      <c r="D30" s="724">
        <f t="shared" si="2"/>
        <v>-1747407.2</v>
      </c>
      <c r="E30" s="306"/>
      <c r="F30" s="647">
        <v>-94070.36</v>
      </c>
      <c r="G30" s="306"/>
      <c r="H30" s="647">
        <v>-1381139.92</v>
      </c>
      <c r="I30" s="306"/>
      <c r="J30" s="647">
        <v>-182830.91</v>
      </c>
      <c r="K30" s="306"/>
      <c r="L30" s="647">
        <v>-89366.01</v>
      </c>
    </row>
    <row r="31" spans="1:12" ht="51" hidden="1" outlineLevel="1">
      <c r="A31" s="298" t="s">
        <v>1819</v>
      </c>
      <c r="B31" s="399" t="s">
        <v>1820</v>
      </c>
      <c r="C31" s="301"/>
      <c r="D31" s="722">
        <f t="shared" si="2"/>
        <v>-2476940.89</v>
      </c>
      <c r="E31" s="301"/>
      <c r="F31" s="643">
        <v>-702135.63</v>
      </c>
      <c r="G31" s="301"/>
      <c r="H31" s="643">
        <v>-1189538.3600000001</v>
      </c>
      <c r="I31" s="301"/>
      <c r="J31" s="643">
        <v>-399416.04</v>
      </c>
      <c r="K31" s="301"/>
      <c r="L31" s="643">
        <v>-185850.86</v>
      </c>
    </row>
    <row r="32" spans="1:12" ht="51.75" hidden="1" outlineLevel="1" thickBot="1">
      <c r="A32" s="397" t="s">
        <v>1821</v>
      </c>
      <c r="B32" s="400" t="s">
        <v>1822</v>
      </c>
      <c r="C32" s="406"/>
      <c r="D32" s="724">
        <f>F32+H32+J32+L32</f>
        <v>-69030.16</v>
      </c>
      <c r="E32" s="398"/>
      <c r="F32" s="652">
        <v>-6976.0999999999985</v>
      </c>
      <c r="G32" s="398"/>
      <c r="H32" s="652">
        <v>-18601.25</v>
      </c>
      <c r="I32" s="398"/>
      <c r="J32" s="652">
        <v>-23129.84</v>
      </c>
      <c r="K32" s="398"/>
      <c r="L32" s="652">
        <v>-20322.97</v>
      </c>
    </row>
    <row r="33" spans="1:15" ht="25.5" hidden="1" outlineLevel="1">
      <c r="A33" s="316" t="s">
        <v>1823</v>
      </c>
      <c r="B33" s="401" t="s">
        <v>1824</v>
      </c>
      <c r="C33" s="301"/>
      <c r="D33" s="722">
        <f t="shared" si="2"/>
        <v>13578847.74</v>
      </c>
      <c r="E33" s="301"/>
      <c r="F33" s="643">
        <v>0</v>
      </c>
      <c r="G33" s="301"/>
      <c r="H33" s="643">
        <v>0</v>
      </c>
      <c r="I33" s="301"/>
      <c r="J33" s="643">
        <v>13578847.74</v>
      </c>
      <c r="K33" s="301"/>
      <c r="L33" s="643">
        <v>0</v>
      </c>
    </row>
    <row r="34" spans="1:15" ht="13.5" hidden="1" outlineLevel="1" thickBot="1">
      <c r="A34" s="325" t="s">
        <v>1825</v>
      </c>
      <c r="B34" s="402" t="s">
        <v>1826</v>
      </c>
      <c r="C34" s="306"/>
      <c r="D34" s="724">
        <f t="shared" si="2"/>
        <v>18942750</v>
      </c>
      <c r="E34" s="306"/>
      <c r="F34" s="647">
        <v>0</v>
      </c>
      <c r="G34" s="306"/>
      <c r="H34" s="647">
        <v>0</v>
      </c>
      <c r="I34" s="306"/>
      <c r="J34" s="647">
        <v>18942750</v>
      </c>
      <c r="K34" s="306"/>
      <c r="L34" s="647">
        <v>0</v>
      </c>
    </row>
    <row r="35" spans="1:15" s="351" customFormat="1" ht="30.75" customHeight="1" collapsed="1" thickBot="1">
      <c r="A35" s="1161" t="s">
        <v>1827</v>
      </c>
      <c r="B35" s="1162"/>
      <c r="C35" s="392">
        <f>SUM(C12:C16)</f>
        <v>214665042</v>
      </c>
      <c r="D35" s="725">
        <f>SUM(D12:D16)</f>
        <v>3400006.7299999995</v>
      </c>
      <c r="E35" s="392">
        <f t="shared" ref="E35:H35" si="4">SUM(E12:E16)</f>
        <v>81385698</v>
      </c>
      <c r="F35" s="393">
        <f t="shared" si="4"/>
        <v>1233778.4600000002</v>
      </c>
      <c r="G35" s="392">
        <f t="shared" si="4"/>
        <v>62846466</v>
      </c>
      <c r="H35" s="393">
        <f t="shared" si="4"/>
        <v>972576.08</v>
      </c>
      <c r="I35" s="392">
        <f>SUM(I12:I21)</f>
        <v>675721877</v>
      </c>
      <c r="J35" s="393">
        <f t="shared" ref="J35:L35" si="5">SUM(J12:J16)</f>
        <v>1034399.73</v>
      </c>
      <c r="K35" s="392">
        <f t="shared" si="5"/>
        <v>8299698</v>
      </c>
      <c r="L35" s="393">
        <f t="shared" si="5"/>
        <v>159252.46</v>
      </c>
      <c r="N35" s="361" t="b">
        <f>ROUND(C35,0)=ROUND('Anlage 1a_Zuschlagszahlungen_NB'!B860,0)</f>
        <v>1</v>
      </c>
      <c r="O35" s="361" t="b">
        <f>ROUND(D35,0)=ROUND('Anlage 1a_Zuschlagszahlungen_NB'!B1720,0)</f>
        <v>1</v>
      </c>
    </row>
    <row r="36" spans="1:15" ht="29.25" customHeight="1" thickBot="1">
      <c r="A36" s="1161" t="s">
        <v>1828</v>
      </c>
      <c r="B36" s="1162"/>
      <c r="C36" s="392">
        <f>SUM(C17:C21)</f>
        <v>2152125258</v>
      </c>
      <c r="D36" s="725">
        <f>SUM(D17:D22)</f>
        <v>61536216.380000003</v>
      </c>
      <c r="E36" s="392">
        <f>SUM(E17:E21)</f>
        <v>154907890.00000003</v>
      </c>
      <c r="F36" s="393">
        <f>SUM(F17:F22)</f>
        <v>5830069.5999999996</v>
      </c>
      <c r="G36" s="392">
        <f>SUM(G17:G21)</f>
        <v>560022315</v>
      </c>
      <c r="H36" s="393">
        <f>SUM(H17:H22)</f>
        <v>16462549.02</v>
      </c>
      <c r="I36" s="392">
        <f>SUM(I17:I21)</f>
        <v>613588697</v>
      </c>
      <c r="J36" s="393">
        <f>SUM(J17:J22)</f>
        <v>18645069.390000001</v>
      </c>
      <c r="K36" s="392">
        <f>SUM(K17:K21)</f>
        <v>823606356</v>
      </c>
      <c r="L36" s="393">
        <f>SUM(L17:L22)</f>
        <v>20598528.370000001</v>
      </c>
      <c r="N36" s="361" t="b">
        <f>ROUND(C36,0)=ROUND('Anlage 1a_Zuschlagszahlungen_NB'!C860,0)</f>
        <v>1</v>
      </c>
      <c r="O36" s="361" t="b">
        <f>ROUND(D36,0)=ROUND('Anlage 1a_Zuschlagszahlungen_NB'!C1720,0)</f>
        <v>0</v>
      </c>
    </row>
    <row r="37" spans="1:15" s="28" customFormat="1" ht="24" customHeight="1" thickBot="1">
      <c r="A37" s="1161" t="s">
        <v>1829</v>
      </c>
      <c r="B37" s="1163"/>
      <c r="C37" s="356">
        <f>SUM(C23:C28)</f>
        <v>20405125552</v>
      </c>
      <c r="D37" s="490">
        <f>SUM(D23:D30)</f>
        <v>802117314.97999978</v>
      </c>
      <c r="E37" s="356">
        <f>SUM(E23:E28)</f>
        <v>6696883989.9999981</v>
      </c>
      <c r="F37" s="352">
        <f>SUM(F23:F30)</f>
        <v>256695932.22999999</v>
      </c>
      <c r="G37" s="409">
        <f>SUM(G23:G28)</f>
        <v>6224468449</v>
      </c>
      <c r="H37" s="396">
        <f>SUM(H23:H30)</f>
        <v>235692735.98999998</v>
      </c>
      <c r="I37" s="356">
        <f>SUM(I23:I28)</f>
        <v>6336775498</v>
      </c>
      <c r="J37" s="352">
        <f>SUM(J23:J30)</f>
        <v>251556871.68000001</v>
      </c>
      <c r="K37" s="409">
        <f>SUM(K23:K28)</f>
        <v>1146997615</v>
      </c>
      <c r="L37" s="352">
        <f>SUM(L23:L30)</f>
        <v>58171775.079999998</v>
      </c>
      <c r="N37" s="360" t="b">
        <f>ROUND(C37,0)=ROUND('Anlage 1a_Zuschlagszahlungen_NB'!D860,0)</f>
        <v>1</v>
      </c>
      <c r="O37" s="360" t="b">
        <f>ROUND(D37,0)=ROUND('Anlage 1a_Zuschlagszahlungen_NB'!D1720,0)</f>
        <v>1</v>
      </c>
    </row>
    <row r="38" spans="1:15" s="28" customFormat="1" ht="22.5" customHeight="1">
      <c r="A38" s="1161" t="s">
        <v>1830</v>
      </c>
      <c r="B38" s="1162"/>
      <c r="C38" s="353"/>
      <c r="D38" s="490">
        <f>SUM(D31:D32)</f>
        <v>-2545971.0500000003</v>
      </c>
      <c r="E38" s="408"/>
      <c r="F38" s="352">
        <f>SUM(F31:F32)</f>
        <v>-709111.73</v>
      </c>
      <c r="G38" s="408"/>
      <c r="H38" s="352">
        <f>SUM(H31:H32)</f>
        <v>-1208139.6100000001</v>
      </c>
      <c r="I38" s="410"/>
      <c r="J38" s="396">
        <f>SUM(J31:J32)</f>
        <v>-422545.88</v>
      </c>
      <c r="K38" s="408"/>
      <c r="L38" s="352">
        <f>SUM(L31:L32)</f>
        <v>-206173.83</v>
      </c>
      <c r="N38" s="360"/>
      <c r="O38" s="360" t="b">
        <f>ROUND(D38,0)=ROUND('Anlage 1b_Abzüge, Pflicht, Boni'!B117,0)</f>
        <v>1</v>
      </c>
    </row>
    <row r="39" spans="1:15" s="28" customFormat="1" ht="22.5" customHeight="1" thickBot="1">
      <c r="A39" s="1161" t="s">
        <v>1831</v>
      </c>
      <c r="B39" s="1162"/>
      <c r="C39" s="353"/>
      <c r="D39" s="490">
        <f>SUM(D33:D34)</f>
        <v>32521597.740000002</v>
      </c>
      <c r="E39" s="408"/>
      <c r="F39" s="352">
        <f t="shared" ref="F39" si="6">SUM(F33:F34)</f>
        <v>0</v>
      </c>
      <c r="G39" s="408"/>
      <c r="H39" s="352">
        <f t="shared" ref="H39" si="7">SUM(H33:H34)</f>
        <v>0</v>
      </c>
      <c r="I39" s="410"/>
      <c r="J39" s="396">
        <f t="shared" ref="J39" si="8">SUM(J33:J34)</f>
        <v>32521597.740000002</v>
      </c>
      <c r="K39" s="408"/>
      <c r="L39" s="352">
        <f>SUM(L33:L34)</f>
        <v>0</v>
      </c>
      <c r="N39" s="360"/>
      <c r="O39" s="360" t="b">
        <f>ROUND(D39,0)=ROUND('Anlage 1b_Abzüge, Pflicht, Boni'!D117,0)</f>
        <v>1</v>
      </c>
    </row>
    <row r="40" spans="1:15" ht="39" thickBot="1">
      <c r="A40" s="318" t="s">
        <v>1832</v>
      </c>
      <c r="B40" s="319" t="s">
        <v>1833</v>
      </c>
      <c r="C40" s="322"/>
      <c r="D40" s="726">
        <f>F40+H40+J40+L40</f>
        <v>-120813.28</v>
      </c>
      <c r="E40" s="322"/>
      <c r="F40" s="651">
        <v>-13420.5</v>
      </c>
      <c r="G40" s="321"/>
      <c r="H40" s="651">
        <v>3860.5</v>
      </c>
      <c r="I40" s="321"/>
      <c r="J40" s="651">
        <v>-111253.28</v>
      </c>
      <c r="K40" s="320"/>
      <c r="L40" s="651">
        <v>0</v>
      </c>
      <c r="O40" s="360" t="b">
        <f>ROUND(D40,0)=ROUND('Anlage 1b_Abzüge, Pflicht, Boni'!C117,0)</f>
        <v>1</v>
      </c>
    </row>
    <row r="41" spans="1:15" ht="13.5" thickBot="1">
      <c r="A41" s="1168"/>
      <c r="B41" s="1169"/>
      <c r="C41" s="353"/>
      <c r="D41" s="358"/>
      <c r="E41" s="407"/>
      <c r="F41" s="355"/>
      <c r="G41" s="407"/>
      <c r="H41" s="355"/>
      <c r="I41" s="354"/>
      <c r="J41" s="354"/>
      <c r="K41" s="407"/>
      <c r="L41" s="355"/>
    </row>
    <row r="42" spans="1:15" ht="39" thickBot="1">
      <c r="A42" s="318" t="s">
        <v>1834</v>
      </c>
      <c r="B42" s="319" t="s">
        <v>1835</v>
      </c>
      <c r="C42" s="322"/>
      <c r="D42" s="726">
        <f>F42+H42+J42+L42</f>
        <v>-762351</v>
      </c>
      <c r="E42" s="322"/>
      <c r="F42" s="315">
        <f>'Anlage 1d_Pönalen'!B8</f>
        <v>-434446</v>
      </c>
      <c r="G42" s="321"/>
      <c r="H42" s="315">
        <f>'Anlage 1d_Pönalen'!B9</f>
        <v>-23750</v>
      </c>
      <c r="I42" s="321"/>
      <c r="J42" s="315">
        <f>'Anlage 1d_Pönalen'!B10</f>
        <v>-299991</v>
      </c>
      <c r="K42" s="320"/>
      <c r="L42" s="315">
        <v>-4164</v>
      </c>
      <c r="O42" s="413" t="b">
        <f>D42='Anlage 1d_Pönalen'!B12</f>
        <v>1</v>
      </c>
    </row>
    <row r="43" spans="1:15" ht="13.5" thickBot="1">
      <c r="A43" s="1168"/>
      <c r="B43" s="1169"/>
      <c r="C43" s="353"/>
      <c r="D43" s="358"/>
      <c r="E43" s="407"/>
      <c r="F43" s="355"/>
      <c r="G43" s="407"/>
      <c r="H43" s="355"/>
      <c r="I43" s="354"/>
      <c r="J43" s="354"/>
      <c r="K43" s="407"/>
      <c r="L43" s="355"/>
    </row>
    <row r="44" spans="1:15" ht="37.5" customHeight="1">
      <c r="A44" s="298" t="s">
        <v>1836</v>
      </c>
      <c r="B44" s="282" t="s">
        <v>1837</v>
      </c>
      <c r="C44" s="301"/>
      <c r="D44" s="727">
        <f>F44+H44+J44+L44</f>
        <v>267558566</v>
      </c>
      <c r="E44" s="301"/>
      <c r="F44" s="313">
        <f>'Anlage 1e_WKNS'!B8</f>
        <v>49905481</v>
      </c>
      <c r="G44" s="302"/>
      <c r="H44" s="313">
        <f>'Anlage 1e_WKNS'!B9</f>
        <v>105307105</v>
      </c>
      <c r="I44" s="302"/>
      <c r="J44" s="313">
        <f>'Anlage 1e_WKNS'!B10</f>
        <v>76384063</v>
      </c>
      <c r="K44" s="317"/>
      <c r="L44" s="313">
        <v>35961917</v>
      </c>
    </row>
    <row r="45" spans="1:15" ht="39" customHeight="1" thickBot="1">
      <c r="A45" s="296" t="s">
        <v>1838</v>
      </c>
      <c r="B45" s="297" t="s">
        <v>1839</v>
      </c>
      <c r="C45" s="306"/>
      <c r="D45" s="728">
        <f>F45+H45+J45+L45</f>
        <v>14815850</v>
      </c>
      <c r="E45" s="306"/>
      <c r="F45" s="312">
        <f>'Anlage 1e_WKNS'!C8</f>
        <v>9226108</v>
      </c>
      <c r="G45" s="299"/>
      <c r="H45" s="312">
        <f>'Anlage 1e_WKNS'!C9</f>
        <v>2722241</v>
      </c>
      <c r="I45" s="299"/>
      <c r="J45" s="312">
        <f>'Anlage 1e_WKNS'!C10</f>
        <v>2167324</v>
      </c>
      <c r="K45" s="307"/>
      <c r="L45" s="312">
        <v>700177</v>
      </c>
    </row>
    <row r="46" spans="1:15" s="28" customFormat="1" ht="22.5" customHeight="1" thickBot="1">
      <c r="A46" s="1161" t="s">
        <v>1840</v>
      </c>
      <c r="B46" s="1162"/>
      <c r="C46" s="353"/>
      <c r="D46" s="490">
        <f>SUM(D44:D45)</f>
        <v>282374416</v>
      </c>
      <c r="E46" s="408"/>
      <c r="F46" s="352">
        <f>SUM(F44:F45)</f>
        <v>59131589</v>
      </c>
      <c r="G46" s="408"/>
      <c r="H46" s="352">
        <f>SUM(H44:H45)</f>
        <v>108029346</v>
      </c>
      <c r="I46" s="410"/>
      <c r="J46" s="396">
        <f>SUM(J44:J45)</f>
        <v>78551387</v>
      </c>
      <c r="K46" s="408"/>
      <c r="L46" s="352">
        <f>SUM(L44:L45)</f>
        <v>36662094</v>
      </c>
      <c r="N46" s="360"/>
      <c r="O46" s="360" t="b">
        <f>D46='Anlage 1e_WKNS'!D12</f>
        <v>1</v>
      </c>
    </row>
    <row r="47" spans="1:15" ht="20.25" customHeight="1" thickBot="1">
      <c r="A47" s="310"/>
      <c r="B47" s="311"/>
      <c r="C47" s="412">
        <f>SUM(C35:C37)</f>
        <v>22771915852</v>
      </c>
      <c r="D47" s="729">
        <f>SUM(D35:D45)</f>
        <v>1178520416.5</v>
      </c>
      <c r="E47" s="412">
        <f>SUM(E35:E37)</f>
        <v>6933177577.9999981</v>
      </c>
      <c r="F47" s="411">
        <f>SUM(F35:F45)</f>
        <v>321734391.06</v>
      </c>
      <c r="G47" s="412">
        <f>SUM(G35:G37)</f>
        <v>6847337230</v>
      </c>
      <c r="H47" s="411">
        <f>SUM(H35:H45)</f>
        <v>359929177.97999996</v>
      </c>
      <c r="I47" s="412">
        <f>SUM(I35:I37)</f>
        <v>7626086072</v>
      </c>
      <c r="J47" s="411">
        <f>SUM(J35:J45)</f>
        <v>381475535.38000005</v>
      </c>
      <c r="K47" s="412">
        <f>SUM(K35:K37)</f>
        <v>1978903669</v>
      </c>
      <c r="L47" s="411">
        <f>SUM(L35:L45)</f>
        <v>115381312.08</v>
      </c>
    </row>
  </sheetData>
  <sheetProtection algorithmName="SHA-512" hashValue="/dy956QUh3AZXsATyQDwckqPUXZijS7c//GzEZlYSm22hrYPtI/uAL4YllzJSJSG9yBHVkWqb35Q2h8DCIsiOg==" saltValue="nyYnNb6ul7TvEqGfiUrRDw==" spinCount="100000" sheet="1" objects="1" scenarios="1"/>
  <mergeCells count="18">
    <mergeCell ref="E7:F7"/>
    <mergeCell ref="G5:L5"/>
    <mergeCell ref="A41:B41"/>
    <mergeCell ref="A43:B43"/>
    <mergeCell ref="C7:D7"/>
    <mergeCell ref="A7:A8"/>
    <mergeCell ref="B7:B8"/>
    <mergeCell ref="G7:H7"/>
    <mergeCell ref="I7:J7"/>
    <mergeCell ref="K7:L7"/>
    <mergeCell ref="A1:D1"/>
    <mergeCell ref="A46:B46"/>
    <mergeCell ref="A37:B37"/>
    <mergeCell ref="A36:B36"/>
    <mergeCell ref="A35:B35"/>
    <mergeCell ref="A38:B38"/>
    <mergeCell ref="A39:B39"/>
    <mergeCell ref="A5:D5"/>
  </mergeCells>
  <pageMargins left="0.98425196850393704" right="0.78740157480314965" top="1.299212598425197" bottom="0.74803149606299213" header="0.31496062992125984" footer="0.31496062992125984"/>
  <pageSetup paperSize="9" scale="86" orientation="landscape" r:id="rId1"/>
  <headerFooter scaleWithDoc="0">
    <oddHeader>&amp;L&amp;G</oddHeader>
    <oddFooter>&amp;R&amp;UAnlage 1f&amp;U
Seite &amp;P</oddFooter>
  </headerFooter>
  <ignoredErrors>
    <ignoredError sqref="D36:D37 D47 F47" formula="1"/>
    <ignoredError sqref="E35:F35 F37:F39 E36" formulaRange="1"/>
    <ignoredError sqref="E37 F36" formula="1" formulaRange="1"/>
  </ignoredError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8EB8B-127E-4CFC-B660-6F79EA83AC6D}">
  <sheetPr>
    <pageSetUpPr fitToPage="1"/>
  </sheetPr>
  <dimension ref="A2:Q113"/>
  <sheetViews>
    <sheetView view="pageLayout" zoomScaleNormal="100" workbookViewId="0">
      <selection activeCell="F103" sqref="F96:F103"/>
    </sheetView>
  </sheetViews>
  <sheetFormatPr baseColWidth="10" defaultColWidth="7.7109375" defaultRowHeight="12.75" outlineLevelRow="1"/>
  <cols>
    <col min="1" max="1" width="8.140625" customWidth="1"/>
    <col min="2" max="2" width="7" customWidth="1"/>
    <col min="3" max="3" width="14.28515625" style="185" customWidth="1"/>
    <col min="4" max="4" width="12.7109375" style="185" customWidth="1"/>
    <col min="5" max="5" width="14.42578125" style="185" customWidth="1"/>
    <col min="6" max="6" width="12.7109375" style="185" customWidth="1"/>
    <col min="7" max="7" width="14.5703125" style="185" customWidth="1"/>
    <col min="8" max="8" width="12.7109375" style="185" customWidth="1"/>
    <col min="9" max="9" width="15.42578125" style="185" customWidth="1"/>
    <col min="10" max="10" width="12.7109375" style="185" customWidth="1"/>
    <col min="11" max="12" width="14.28515625" style="185" customWidth="1"/>
    <col min="13" max="13" width="11.140625" customWidth="1"/>
    <col min="15" max="15" width="69.42578125" customWidth="1"/>
  </cols>
  <sheetData>
    <row r="2" spans="1:14">
      <c r="A2" s="11" t="str">
        <f>"Nachträgliche Korrekturen nach § 20 Abs. 1 EnFG auf Basis der Prüfungsvermerke der ÜNB für die Abrechnung des Kalenderjahres "&amp;Hinweise!$B$3</f>
        <v>Nachträgliche Korrekturen nach § 20 Abs. 1 EnFG auf Basis der Prüfungsvermerke der ÜNB für die Abrechnung des Kalenderjahres 2024</v>
      </c>
      <c r="B2" s="2"/>
      <c r="C2" s="187"/>
      <c r="D2" s="187"/>
      <c r="E2" s="187"/>
      <c r="F2" s="187"/>
      <c r="G2" s="187"/>
      <c r="H2" s="187"/>
      <c r="I2" s="187"/>
      <c r="J2" s="187"/>
      <c r="K2" s="187"/>
      <c r="L2" s="256">
        <f>'Anlage 1a_Zuschlagszahlungen_NB'!E1</f>
        <v>45915</v>
      </c>
    </row>
    <row r="3" spans="1:14" s="8" customFormat="1">
      <c r="A3" s="1152" t="s">
        <v>1731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2"/>
      <c r="L3" s="1152"/>
    </row>
    <row r="4" spans="1:14">
      <c r="A4" s="414" t="s">
        <v>1732</v>
      </c>
      <c r="B4" s="2"/>
      <c r="C4" s="187"/>
      <c r="D4" s="187"/>
      <c r="E4" s="187"/>
      <c r="F4" s="187"/>
      <c r="G4" s="187"/>
      <c r="H4" s="187"/>
      <c r="I4" s="187"/>
      <c r="J4" s="187"/>
      <c r="K4" s="187"/>
      <c r="L4" s="186"/>
    </row>
    <row r="5" spans="1:14">
      <c r="A5" s="16"/>
      <c r="B5" s="2"/>
      <c r="C5" s="187"/>
      <c r="D5" s="187"/>
      <c r="E5" s="187"/>
      <c r="F5" s="187"/>
      <c r="G5" s="187"/>
      <c r="H5" s="187"/>
      <c r="I5" s="187"/>
      <c r="J5" s="187"/>
      <c r="K5" s="187"/>
      <c r="L5" s="186"/>
    </row>
    <row r="6" spans="1:14">
      <c r="A6" s="344" t="s">
        <v>1841</v>
      </c>
      <c r="B6" s="2"/>
      <c r="C6" s="187"/>
      <c r="D6" s="187"/>
      <c r="E6" s="187"/>
      <c r="F6" s="187"/>
      <c r="G6" s="187"/>
      <c r="H6" s="187"/>
      <c r="I6" s="187"/>
      <c r="J6" s="187"/>
      <c r="K6" s="187"/>
      <c r="L6" s="186"/>
    </row>
    <row r="7" spans="1:14">
      <c r="A7" s="344"/>
      <c r="B7" s="2"/>
      <c r="C7" s="187"/>
      <c r="D7" s="187"/>
      <c r="E7" s="187"/>
      <c r="F7" s="187"/>
      <c r="G7" s="187"/>
      <c r="H7" s="187"/>
      <c r="I7" s="187"/>
      <c r="J7" s="187"/>
      <c r="K7" s="187"/>
      <c r="L7" s="186"/>
    </row>
    <row r="8" spans="1:14" ht="13.5" thickBot="1">
      <c r="A8" s="11"/>
      <c r="B8" s="2"/>
      <c r="C8" s="187"/>
      <c r="D8" s="187"/>
      <c r="E8" s="187"/>
      <c r="F8" s="187"/>
      <c r="G8" s="187"/>
      <c r="H8" s="187"/>
      <c r="I8" s="187"/>
      <c r="J8" s="187"/>
      <c r="K8" s="187"/>
      <c r="L8" s="186"/>
    </row>
    <row r="9" spans="1:14" ht="43.5" customHeight="1" thickBot="1">
      <c r="A9" s="8"/>
      <c r="B9" s="2"/>
      <c r="C9" s="1153" t="s">
        <v>85</v>
      </c>
      <c r="D9" s="1154"/>
      <c r="E9" s="1155" t="s">
        <v>404</v>
      </c>
      <c r="F9" s="1154"/>
      <c r="G9" s="1153" t="s">
        <v>855</v>
      </c>
      <c r="H9" s="1154"/>
      <c r="I9" s="1153" t="s">
        <v>1486</v>
      </c>
      <c r="J9" s="1154"/>
      <c r="K9" s="1153" t="s">
        <v>1715</v>
      </c>
      <c r="L9" s="1154"/>
    </row>
    <row r="10" spans="1:14" ht="51">
      <c r="A10" s="1127" t="s">
        <v>1739</v>
      </c>
      <c r="B10" s="1129" t="s">
        <v>1738</v>
      </c>
      <c r="C10" s="496" t="s">
        <v>1842</v>
      </c>
      <c r="D10" s="497" t="s">
        <v>1843</v>
      </c>
      <c r="E10" s="496" t="s">
        <v>1842</v>
      </c>
      <c r="F10" s="497" t="s">
        <v>1843</v>
      </c>
      <c r="G10" s="496" t="s">
        <v>1842</v>
      </c>
      <c r="H10" s="497" t="s">
        <v>1843</v>
      </c>
      <c r="I10" s="496" t="s">
        <v>1842</v>
      </c>
      <c r="J10" s="497" t="s">
        <v>1843</v>
      </c>
      <c r="K10" s="498" t="s">
        <v>1842</v>
      </c>
      <c r="L10" s="499" t="s">
        <v>1843</v>
      </c>
    </row>
    <row r="11" spans="1:14" ht="13.5" thickBot="1">
      <c r="A11" s="1141"/>
      <c r="B11" s="536"/>
      <c r="C11" s="532" t="s">
        <v>1722</v>
      </c>
      <c r="D11" s="533" t="s">
        <v>1722</v>
      </c>
      <c r="E11" s="532" t="s">
        <v>1722</v>
      </c>
      <c r="F11" s="533" t="s">
        <v>1722</v>
      </c>
      <c r="G11" s="532" t="s">
        <v>1722</v>
      </c>
      <c r="H11" s="533" t="s">
        <v>1722</v>
      </c>
      <c r="I11" s="534" t="s">
        <v>1722</v>
      </c>
      <c r="J11" s="534" t="s">
        <v>1722</v>
      </c>
      <c r="K11" s="485" t="s">
        <v>1722</v>
      </c>
      <c r="L11" s="487" t="s">
        <v>1722</v>
      </c>
    </row>
    <row r="12" spans="1:14">
      <c r="A12" s="506">
        <v>2023</v>
      </c>
      <c r="B12" s="507"/>
      <c r="C12" s="526">
        <f>SUM(C13:C18)</f>
        <v>6772071.919999999</v>
      </c>
      <c r="D12" s="527">
        <f>'Anlage 1e_WKNS'!D20</f>
        <v>0</v>
      </c>
      <c r="E12" s="526">
        <f>SUM(E13:E18)</f>
        <v>9714788.9599999972</v>
      </c>
      <c r="F12" s="527">
        <f>'Anlage 1e_WKNS'!D21</f>
        <v>0</v>
      </c>
      <c r="G12" s="526">
        <f>SUM(G13:G18)</f>
        <v>24003844.289999999</v>
      </c>
      <c r="H12" s="527">
        <f>'Anlage 1e_WKNS'!D22</f>
        <v>2601996</v>
      </c>
      <c r="I12" s="530">
        <f>SUM(I13:I18)</f>
        <v>9295078.2200000007</v>
      </c>
      <c r="J12" s="529">
        <f>'Anlage 1e_WKNS'!D23</f>
        <v>0</v>
      </c>
      <c r="K12" s="1050">
        <f>C12+E12+G12+I12</f>
        <v>49785783.389999993</v>
      </c>
      <c r="L12" s="1047">
        <f>D12+F12+H12+J12</f>
        <v>2601996</v>
      </c>
      <c r="M12" s="5"/>
      <c r="N12" s="5"/>
    </row>
    <row r="13" spans="1:14" hidden="1" outlineLevel="1">
      <c r="A13" s="140">
        <f>$A$12</f>
        <v>2023</v>
      </c>
      <c r="B13" s="518" t="s">
        <v>1743</v>
      </c>
      <c r="C13" s="519">
        <f>SUMIFS('Anlage 1c_Korrekturen_NB'!$L$11:$L$589,'Anlage 1c_Korrekturen_NB'!$O$11:$O$589,'Anlage 1g_Korrekturen_KG'!C$9,'Anlage 1c_Korrekturen_NB'!$B$11:$B$589,'Anlage 1g_Korrekturen_KG'!$B13,'Anlage 1c_Korrekturen_NB'!$C$11:$C$589,'Anlage 1g_Korrekturen_KG'!$A13)</f>
        <v>-153400.99</v>
      </c>
      <c r="D13" s="520"/>
      <c r="E13" s="519">
        <f>SUMIFS('Anlage 1c_Korrekturen_NB'!$L$11:$L$589,'Anlage 1c_Korrekturen_NB'!$O$11:$O$589,'Anlage 1g_Korrekturen_KG'!E$9,'Anlage 1c_Korrekturen_NB'!$B$11:$B$589,'Anlage 1g_Korrekturen_KG'!$B13,'Anlage 1c_Korrekturen_NB'!$C$11:$C$589,'Anlage 1g_Korrekturen_KG'!$A13)</f>
        <v>-229612.02999999997</v>
      </c>
      <c r="F13" s="520"/>
      <c r="G13" s="519">
        <f>SUMIFS('Anlage 1c_Korrekturen_NB'!$L$11:$L$589,'Anlage 1c_Korrekturen_NB'!$O$11:$O$589,'Anlage 1g_Korrekturen_KG'!G$9,'Anlage 1c_Korrekturen_NB'!$B$11:$B$589,'Anlage 1g_Korrekturen_KG'!$B13,'Anlage 1c_Korrekturen_NB'!$C$11:$C$589,'Anlage 1g_Korrekturen_KG'!$A13)</f>
        <v>-81297.010000000009</v>
      </c>
      <c r="H13" s="520"/>
      <c r="I13" s="519">
        <v>-7231.16</v>
      </c>
      <c r="J13" s="196"/>
      <c r="K13" s="1051">
        <f>C13+E13+G13+I13</f>
        <v>-471541.18999999994</v>
      </c>
      <c r="L13" s="1048"/>
      <c r="M13" s="5"/>
      <c r="N13" s="5"/>
    </row>
    <row r="14" spans="1:14" hidden="1" outlineLevel="1">
      <c r="A14" s="140">
        <f t="shared" ref="A14:A18" si="0">$A$12</f>
        <v>2023</v>
      </c>
      <c r="B14" s="518">
        <v>2</v>
      </c>
      <c r="C14" s="519">
        <f>SUMIFS('Anlage 1c_Korrekturen_NB'!$L$11:$L$589,'Anlage 1c_Korrekturen_NB'!$O$11:$O$589,'Anlage 1g_Korrekturen_KG'!C$9,'Anlage 1c_Korrekturen_NB'!$B$11:$B$589,'Anlage 1g_Korrekturen_KG'!$B14,'Anlage 1c_Korrekturen_NB'!$C$11:$C$589,'Anlage 1g_Korrekturen_KG'!$A14)</f>
        <v>0</v>
      </c>
      <c r="D14" s="520"/>
      <c r="E14" s="519">
        <f>SUMIFS('Anlage 1c_Korrekturen_NB'!$L$11:$L$589,'Anlage 1c_Korrekturen_NB'!$O$11:$O$589,'Anlage 1g_Korrekturen_KG'!E$9,'Anlage 1c_Korrekturen_NB'!$B$11:$B$589,'Anlage 1g_Korrekturen_KG'!$B14,'Anlage 1c_Korrekturen_NB'!$C$11:$C$589,'Anlage 1g_Korrekturen_KG'!$A14)</f>
        <v>0</v>
      </c>
      <c r="F14" s="520"/>
      <c r="G14" s="519">
        <f>SUMIFS('Anlage 1c_Korrekturen_NB'!$L$11:$L$589,'Anlage 1c_Korrekturen_NB'!$O$11:$O$589,'Anlage 1g_Korrekturen_KG'!G$9,'Anlage 1c_Korrekturen_NB'!$B$11:$B$589,'Anlage 1g_Korrekturen_KG'!$B14,'Anlage 1c_Korrekturen_NB'!$C$11:$C$589,'Anlage 1g_Korrekturen_KG'!$A14)</f>
        <v>112.04</v>
      </c>
      <c r="H14" s="520"/>
      <c r="I14" s="519">
        <f>SUMIFS('Anlage 1c_Korrekturen_NB'!$L$11:$L$589,'Anlage 1c_Korrekturen_NB'!$O$11:$O$589,'Anlage 1g_Korrekturen_KG'!I$9,'Anlage 1c_Korrekturen_NB'!$B$11:$B$589,'Anlage 1g_Korrekturen_KG'!$B14,'Anlage 1c_Korrekturen_NB'!$C$11:$C$589,'Anlage 1g_Korrekturen_KG'!$A14)</f>
        <v>0</v>
      </c>
      <c r="J14" s="196"/>
      <c r="K14" s="1051">
        <f t="shared" ref="K14:K74" si="1">C14+E14+G14+I14</f>
        <v>112.04</v>
      </c>
      <c r="L14" s="1048"/>
      <c r="M14" s="5"/>
      <c r="N14" s="5"/>
    </row>
    <row r="15" spans="1:14" hidden="1" outlineLevel="1">
      <c r="A15" s="140">
        <f t="shared" si="0"/>
        <v>2023</v>
      </c>
      <c r="B15" s="518">
        <v>3</v>
      </c>
      <c r="C15" s="519">
        <f>SUMIFS('Anlage 1c_Korrekturen_NB'!$L$11:$L$589,'Anlage 1c_Korrekturen_NB'!$O$11:$O$589,'Anlage 1g_Korrekturen_KG'!C$9,'Anlage 1c_Korrekturen_NB'!$B$11:$B$589,'Anlage 1g_Korrekturen_KG'!$B15,'Anlage 1c_Korrekturen_NB'!$C$11:$C$589,'Anlage 1g_Korrekturen_KG'!$A15)</f>
        <v>0</v>
      </c>
      <c r="D15" s="520"/>
      <c r="E15" s="519">
        <f>SUMIFS('Anlage 1c_Korrekturen_NB'!$L$11:$L$589,'Anlage 1c_Korrekturen_NB'!$O$11:$O$589,'Anlage 1g_Korrekturen_KG'!E$9,'Anlage 1c_Korrekturen_NB'!$B$11:$B$589,'Anlage 1g_Korrekturen_KG'!$B15,'Anlage 1c_Korrekturen_NB'!$C$11:$C$589,'Anlage 1g_Korrekturen_KG'!$A15)</f>
        <v>0</v>
      </c>
      <c r="F15" s="520"/>
      <c r="G15" s="519">
        <f>SUMIFS('Anlage 1c_Korrekturen_NB'!$L$11:$L$589,'Anlage 1c_Korrekturen_NB'!$O$11:$O$589,'Anlage 1g_Korrekturen_KG'!G$9,'Anlage 1c_Korrekturen_NB'!$B$11:$B$589,'Anlage 1g_Korrekturen_KG'!$B15,'Anlage 1c_Korrekturen_NB'!$C$11:$C$589,'Anlage 1g_Korrekturen_KG'!$A15)</f>
        <v>0</v>
      </c>
      <c r="H15" s="520"/>
      <c r="I15" s="519">
        <f>SUMIFS('Anlage 1c_Korrekturen_NB'!$L$11:$L$589,'Anlage 1c_Korrekturen_NB'!$O$11:$O$589,'Anlage 1g_Korrekturen_KG'!I$9,'Anlage 1c_Korrekturen_NB'!$B$11:$B$589,'Anlage 1g_Korrekturen_KG'!$B15,'Anlage 1c_Korrekturen_NB'!$C$11:$C$589,'Anlage 1g_Korrekturen_KG'!$A15)</f>
        <v>0</v>
      </c>
      <c r="J15" s="196"/>
      <c r="K15" s="1051">
        <f t="shared" si="1"/>
        <v>0</v>
      </c>
      <c r="L15" s="1048"/>
      <c r="M15" s="5"/>
      <c r="N15" s="5"/>
    </row>
    <row r="16" spans="1:14" hidden="1" outlineLevel="1">
      <c r="A16" s="140">
        <f t="shared" si="0"/>
        <v>2023</v>
      </c>
      <c r="B16" s="518">
        <v>4</v>
      </c>
      <c r="C16" s="519">
        <f>SUMIFS('Anlage 1c_Korrekturen_NB'!$L$11:$L$589,'Anlage 1c_Korrekturen_NB'!$O$11:$O$589,'Anlage 1g_Korrekturen_KG'!C$9,'Anlage 1c_Korrekturen_NB'!$B$11:$B$589,'Anlage 1g_Korrekturen_KG'!$B16,'Anlage 1c_Korrekturen_NB'!$C$11:$C$589,'Anlage 1g_Korrekturen_KG'!$A16)</f>
        <v>0</v>
      </c>
      <c r="D16" s="520"/>
      <c r="E16" s="519">
        <f>SUMIFS('Anlage 1c_Korrekturen_NB'!$L$11:$L$589,'Anlage 1c_Korrekturen_NB'!$O$11:$O$589,'Anlage 1g_Korrekturen_KG'!E$9,'Anlage 1c_Korrekturen_NB'!$B$11:$B$589,'Anlage 1g_Korrekturen_KG'!$B16,'Anlage 1c_Korrekturen_NB'!$C$11:$C$589,'Anlage 1g_Korrekturen_KG'!$A16)</f>
        <v>0</v>
      </c>
      <c r="F16" s="520"/>
      <c r="G16" s="519">
        <f>SUMIFS('Anlage 1c_Korrekturen_NB'!$L$11:$L$589,'Anlage 1c_Korrekturen_NB'!$O$11:$O$589,'Anlage 1g_Korrekturen_KG'!G$9,'Anlage 1c_Korrekturen_NB'!$B$11:$B$589,'Anlage 1g_Korrekturen_KG'!$B16,'Anlage 1c_Korrekturen_NB'!$C$11:$C$589,'Anlage 1g_Korrekturen_KG'!$A16)</f>
        <v>0</v>
      </c>
      <c r="H16" s="520"/>
      <c r="I16" s="519">
        <f>SUMIFS('Anlage 1c_Korrekturen_NB'!$L$11:$L$589,'Anlage 1c_Korrekturen_NB'!$O$11:$O$589,'Anlage 1g_Korrekturen_KG'!I$9,'Anlage 1c_Korrekturen_NB'!$B$11:$B$589,'Anlage 1g_Korrekturen_KG'!$B16,'Anlage 1c_Korrekturen_NB'!$C$11:$C$589,'Anlage 1g_Korrekturen_KG'!$A16)</f>
        <v>0</v>
      </c>
      <c r="J16" s="196"/>
      <c r="K16" s="1051">
        <f t="shared" si="1"/>
        <v>0</v>
      </c>
      <c r="L16" s="1048"/>
      <c r="M16" s="5"/>
      <c r="N16" s="5"/>
    </row>
    <row r="17" spans="1:17" hidden="1" outlineLevel="1">
      <c r="A17" s="140">
        <f t="shared" si="0"/>
        <v>2023</v>
      </c>
      <c r="B17" s="518">
        <v>5</v>
      </c>
      <c r="C17" s="519">
        <f>SUMIFS('Anlage 1c_Korrekturen_NB'!$L$11:$L$589,'Anlage 1c_Korrekturen_NB'!$O$11:$O$589,'Anlage 1g_Korrekturen_KG'!C$9,'Anlage 1c_Korrekturen_NB'!$B$11:$B$589,'Anlage 1g_Korrekturen_KG'!$B17,'Anlage 1c_Korrekturen_NB'!$C$11:$C$589,'Anlage 1g_Korrekturen_KG'!$A17)</f>
        <v>0</v>
      </c>
      <c r="D17" s="520"/>
      <c r="E17" s="519">
        <f>SUMIFS('Anlage 1c_Korrekturen_NB'!$L$11:$L$589,'Anlage 1c_Korrekturen_NB'!$O$11:$O$589,'Anlage 1g_Korrekturen_KG'!E$9,'Anlage 1c_Korrekturen_NB'!$B$11:$B$589,'Anlage 1g_Korrekturen_KG'!$B17,'Anlage 1c_Korrekturen_NB'!$C$11:$C$589,'Anlage 1g_Korrekturen_KG'!$A17)</f>
        <v>35023.269999999997</v>
      </c>
      <c r="F17" s="520"/>
      <c r="G17" s="519">
        <f>SUMIFS('Anlage 1c_Korrekturen_NB'!$L$11:$L$589,'Anlage 1c_Korrekturen_NB'!$O$11:$O$589,'Anlage 1g_Korrekturen_KG'!G$9,'Anlage 1c_Korrekturen_NB'!$B$11:$B$589,'Anlage 1g_Korrekturen_KG'!$B17,'Anlage 1c_Korrekturen_NB'!$C$11:$C$589,'Anlage 1g_Korrekturen_KG'!$A17)</f>
        <v>0</v>
      </c>
      <c r="H17" s="520"/>
      <c r="I17" s="519">
        <f>SUMIFS('Anlage 1c_Korrekturen_NB'!$L$11:$L$589,'Anlage 1c_Korrekturen_NB'!$O$11:$O$589,'Anlage 1g_Korrekturen_KG'!I$9,'Anlage 1c_Korrekturen_NB'!$B$11:$B$589,'Anlage 1g_Korrekturen_KG'!$B17,'Anlage 1c_Korrekturen_NB'!$C$11:$C$589,'Anlage 1g_Korrekturen_KG'!$A17)</f>
        <v>0</v>
      </c>
      <c r="J17" s="196"/>
      <c r="K17" s="1051">
        <f t="shared" si="1"/>
        <v>35023.269999999997</v>
      </c>
      <c r="L17" s="1048"/>
      <c r="M17" s="5"/>
      <c r="N17" s="5"/>
    </row>
    <row r="18" spans="1:17" hidden="1" outlineLevel="1">
      <c r="A18" s="140">
        <f t="shared" si="0"/>
        <v>2023</v>
      </c>
      <c r="B18" s="518">
        <v>7</v>
      </c>
      <c r="C18" s="519">
        <f>SUMIFS('Anlage 1c_Korrekturen_NB'!$L$11:$L$589,'Anlage 1c_Korrekturen_NB'!$O$11:$O$589,'Anlage 1g_Korrekturen_KG'!C$9,'Anlage 1c_Korrekturen_NB'!$B$11:$B$589,'Anlage 1g_Korrekturen_KG'!$B18,'Anlage 1c_Korrekturen_NB'!$C$11:$C$589,'Anlage 1g_Korrekturen_KG'!$A18)</f>
        <v>6925472.9099999992</v>
      </c>
      <c r="D18" s="520"/>
      <c r="E18" s="519">
        <f>SUMIFS('Anlage 1c_Korrekturen_NB'!$L$11:$L$589,'Anlage 1c_Korrekturen_NB'!$O$11:$O$589,'Anlage 1g_Korrekturen_KG'!E$9,'Anlage 1c_Korrekturen_NB'!$B$11:$B$589,'Anlage 1g_Korrekturen_KG'!$B18,'Anlage 1c_Korrekturen_NB'!$C$11:$C$589,'Anlage 1g_Korrekturen_KG'!$A18)</f>
        <v>9909377.7199999969</v>
      </c>
      <c r="F18" s="520"/>
      <c r="G18" s="519">
        <f>SUMIFS('Anlage 1c_Korrekturen_NB'!$L$11:$L$589,'Anlage 1c_Korrekturen_NB'!$O$11:$O$589,'Anlage 1g_Korrekturen_KG'!G$9,'Anlage 1c_Korrekturen_NB'!$B$11:$B$589,'Anlage 1g_Korrekturen_KG'!$B18,'Anlage 1c_Korrekturen_NB'!$C$11:$C$589,'Anlage 1g_Korrekturen_KG'!$A18)</f>
        <v>24085029.259999998</v>
      </c>
      <c r="H18" s="520"/>
      <c r="I18" s="519">
        <v>9302309.3800000008</v>
      </c>
      <c r="J18" s="196"/>
      <c r="K18" s="1051">
        <f t="shared" si="1"/>
        <v>50222189.269999996</v>
      </c>
      <c r="L18" s="1048"/>
      <c r="M18" s="5"/>
      <c r="N18" s="5"/>
    </row>
    <row r="19" spans="1:17" collapsed="1">
      <c r="A19" s="506">
        <v>2022</v>
      </c>
      <c r="B19" s="507"/>
      <c r="C19" s="526">
        <f>SUM(C20:C25)</f>
        <v>2215517.25</v>
      </c>
      <c r="D19" s="527">
        <f>'Anlage 1e_WKNS'!D32</f>
        <v>0</v>
      </c>
      <c r="E19" s="526">
        <f>SUM(E20:E25)</f>
        <v>2469070.7700000005</v>
      </c>
      <c r="F19" s="527">
        <f>'Anlage 1e_WKNS'!D33</f>
        <v>0</v>
      </c>
      <c r="G19" s="526">
        <f>SUM(G20:G25)</f>
        <v>21454523.949999996</v>
      </c>
      <c r="H19" s="527">
        <f>'Anlage 1e_WKNS'!D34</f>
        <v>0</v>
      </c>
      <c r="I19" s="530">
        <f>SUM(I20:I25)</f>
        <v>1898213.36</v>
      </c>
      <c r="J19" s="529">
        <f>'Anlage 1e_WKNS'!D35</f>
        <v>0</v>
      </c>
      <c r="K19" s="1050">
        <f t="shared" si="1"/>
        <v>28037325.329999994</v>
      </c>
      <c r="L19" s="1047">
        <f>D19+F19+H19+J19</f>
        <v>0</v>
      </c>
      <c r="M19" s="5"/>
      <c r="N19" s="5"/>
      <c r="Q19" s="127"/>
    </row>
    <row r="20" spans="1:17" hidden="1" outlineLevel="1">
      <c r="A20" s="139">
        <f>$A$19</f>
        <v>2022</v>
      </c>
      <c r="B20" s="518" t="s">
        <v>1743</v>
      </c>
      <c r="C20" s="519">
        <f>SUMIFS('Anlage 1c_Korrekturen_NB'!$L$11:$L$589,'Anlage 1c_Korrekturen_NB'!$O$11:$O$589,'Anlage 1g_Korrekturen_KG'!C$9,'Anlage 1c_Korrekturen_NB'!$B$11:$B$589,'Anlage 1g_Korrekturen_KG'!$B20,'Anlage 1c_Korrekturen_NB'!$C$11:$C$589,'Anlage 1g_Korrekturen_KG'!$A20)</f>
        <v>-176533.40000000002</v>
      </c>
      <c r="D20" s="520"/>
      <c r="E20" s="519">
        <f>SUMIFS('Anlage 1c_Korrekturen_NB'!$L$11:$L$589,'Anlage 1c_Korrekturen_NB'!$O$11:$O$589,'Anlage 1g_Korrekturen_KG'!E$9,'Anlage 1c_Korrekturen_NB'!$B$11:$B$589,'Anlage 1g_Korrekturen_KG'!$B20,'Anlage 1c_Korrekturen_NB'!$C$11:$C$589,'Anlage 1g_Korrekturen_KG'!$A20)</f>
        <v>-1750817.9599999995</v>
      </c>
      <c r="F20" s="520"/>
      <c r="G20" s="519">
        <f>SUMIFS('Anlage 1c_Korrekturen_NB'!$L$11:$L$589,'Anlage 1c_Korrekturen_NB'!$O$11:$O$589,'Anlage 1g_Korrekturen_KG'!G$9,'Anlage 1c_Korrekturen_NB'!$B$11:$B$589,'Anlage 1g_Korrekturen_KG'!$B20,'Anlage 1c_Korrekturen_NB'!$C$11:$C$589,'Anlage 1g_Korrekturen_KG'!$A20)</f>
        <v>-36512.120000000003</v>
      </c>
      <c r="H20" s="520"/>
      <c r="I20" s="519">
        <f>SUMIFS('Anlage 1c_Korrekturen_NB'!$L$11:$L$589,'Anlage 1c_Korrekturen_NB'!$O$11:$O$589,'Anlage 1g_Korrekturen_KG'!I$9,'Anlage 1c_Korrekturen_NB'!$B$11:$B$589,'Anlage 1g_Korrekturen_KG'!$B20,'Anlage 1c_Korrekturen_NB'!$C$11:$C$589,'Anlage 1g_Korrekturen_KG'!$A20)</f>
        <v>0</v>
      </c>
      <c r="J20" s="196"/>
      <c r="K20" s="1051">
        <f t="shared" si="1"/>
        <v>-1963863.4799999995</v>
      </c>
      <c r="L20" s="1048"/>
      <c r="M20" s="5"/>
      <c r="N20" s="5"/>
    </row>
    <row r="21" spans="1:17" hidden="1" outlineLevel="1">
      <c r="A21" s="139">
        <f t="shared" ref="A21:A25" si="2">$A$19</f>
        <v>2022</v>
      </c>
      <c r="B21" s="518">
        <v>2</v>
      </c>
      <c r="C21" s="519">
        <f>SUMIFS('Anlage 1c_Korrekturen_NB'!$L$11:$L$589,'Anlage 1c_Korrekturen_NB'!$O$11:$O$589,'Anlage 1g_Korrekturen_KG'!C$9,'Anlage 1c_Korrekturen_NB'!$B$11:$B$589,'Anlage 1g_Korrekturen_KG'!$B21,'Anlage 1c_Korrekturen_NB'!$C$11:$C$589,'Anlage 1g_Korrekturen_KG'!$A21)</f>
        <v>0</v>
      </c>
      <c r="D21" s="520"/>
      <c r="E21" s="519">
        <f>SUMIFS('Anlage 1c_Korrekturen_NB'!$L$11:$L$589,'Anlage 1c_Korrekturen_NB'!$O$11:$O$589,'Anlage 1g_Korrekturen_KG'!E$9,'Anlage 1c_Korrekturen_NB'!$B$11:$B$589,'Anlage 1g_Korrekturen_KG'!$B21,'Anlage 1c_Korrekturen_NB'!$C$11:$C$589,'Anlage 1g_Korrekturen_KG'!$A21)</f>
        <v>0</v>
      </c>
      <c r="F21" s="520"/>
      <c r="G21" s="519">
        <f>SUMIFS('Anlage 1c_Korrekturen_NB'!$L$11:$L$589,'Anlage 1c_Korrekturen_NB'!$O$11:$O$589,'Anlage 1g_Korrekturen_KG'!G$9,'Anlage 1c_Korrekturen_NB'!$B$11:$B$589,'Anlage 1g_Korrekturen_KG'!$B21,'Anlage 1c_Korrekturen_NB'!$C$11:$C$589,'Anlage 1g_Korrekturen_KG'!$A21)</f>
        <v>155.27000000000001</v>
      </c>
      <c r="H21" s="520"/>
      <c r="I21" s="519">
        <f>SUMIFS('Anlage 1c_Korrekturen_NB'!$L$11:$L$589,'Anlage 1c_Korrekturen_NB'!$O$11:$O$589,'Anlage 1g_Korrekturen_KG'!I$9,'Anlage 1c_Korrekturen_NB'!$B$11:$B$589,'Anlage 1g_Korrekturen_KG'!$B21,'Anlage 1c_Korrekturen_NB'!$C$11:$C$589,'Anlage 1g_Korrekturen_KG'!$A21)</f>
        <v>0</v>
      </c>
      <c r="J21" s="196"/>
      <c r="K21" s="1051">
        <f t="shared" si="1"/>
        <v>155.27000000000001</v>
      </c>
      <c r="L21" s="1048"/>
      <c r="M21" s="5"/>
      <c r="N21" s="5"/>
    </row>
    <row r="22" spans="1:17" hidden="1" outlineLevel="1">
      <c r="A22" s="139">
        <f t="shared" si="2"/>
        <v>2022</v>
      </c>
      <c r="B22" s="518">
        <v>3</v>
      </c>
      <c r="C22" s="519">
        <f>SUMIFS('Anlage 1c_Korrekturen_NB'!$L$11:$L$589,'Anlage 1c_Korrekturen_NB'!$O$11:$O$589,'Anlage 1g_Korrekturen_KG'!C$9,'Anlage 1c_Korrekturen_NB'!$B$11:$B$589,'Anlage 1g_Korrekturen_KG'!$B22,'Anlage 1c_Korrekturen_NB'!$C$11:$C$589,'Anlage 1g_Korrekturen_KG'!$A22)</f>
        <v>0</v>
      </c>
      <c r="D22" s="520"/>
      <c r="E22" s="519">
        <f>SUMIFS('Anlage 1c_Korrekturen_NB'!$L$11:$L$589,'Anlage 1c_Korrekturen_NB'!$O$11:$O$589,'Anlage 1g_Korrekturen_KG'!E$9,'Anlage 1c_Korrekturen_NB'!$B$11:$B$589,'Anlage 1g_Korrekturen_KG'!$B22,'Anlage 1c_Korrekturen_NB'!$C$11:$C$589,'Anlage 1g_Korrekturen_KG'!$A22)</f>
        <v>0</v>
      </c>
      <c r="F22" s="520"/>
      <c r="G22" s="519">
        <f>SUMIFS('Anlage 1c_Korrekturen_NB'!$L$11:$L$589,'Anlage 1c_Korrekturen_NB'!$O$11:$O$589,'Anlage 1g_Korrekturen_KG'!G$9,'Anlage 1c_Korrekturen_NB'!$B$11:$B$589,'Anlage 1g_Korrekturen_KG'!$B22,'Anlage 1c_Korrekturen_NB'!$C$11:$C$589,'Anlage 1g_Korrekturen_KG'!$A22)</f>
        <v>0</v>
      </c>
      <c r="H22" s="520"/>
      <c r="I22" s="519">
        <f>SUMIFS('Anlage 1c_Korrekturen_NB'!$L$11:$L$589,'Anlage 1c_Korrekturen_NB'!$O$11:$O$589,'Anlage 1g_Korrekturen_KG'!I$9,'Anlage 1c_Korrekturen_NB'!$B$11:$B$589,'Anlage 1g_Korrekturen_KG'!$B22,'Anlage 1c_Korrekturen_NB'!$C$11:$C$589,'Anlage 1g_Korrekturen_KG'!$A22)</f>
        <v>0</v>
      </c>
      <c r="J22" s="196"/>
      <c r="K22" s="1051">
        <f t="shared" si="1"/>
        <v>0</v>
      </c>
      <c r="L22" s="1048"/>
      <c r="M22" s="5"/>
      <c r="N22" s="5"/>
    </row>
    <row r="23" spans="1:17" hidden="1" outlineLevel="1">
      <c r="A23" s="139">
        <f t="shared" si="2"/>
        <v>2022</v>
      </c>
      <c r="B23" s="518">
        <v>4</v>
      </c>
      <c r="C23" s="519">
        <f>SUMIFS('Anlage 1c_Korrekturen_NB'!$L$11:$L$589,'Anlage 1c_Korrekturen_NB'!$O$11:$O$589,'Anlage 1g_Korrekturen_KG'!C$9,'Anlage 1c_Korrekturen_NB'!$B$11:$B$589,'Anlage 1g_Korrekturen_KG'!$B23,'Anlage 1c_Korrekturen_NB'!$C$11:$C$589,'Anlage 1g_Korrekturen_KG'!$A23)</f>
        <v>0</v>
      </c>
      <c r="D23" s="520"/>
      <c r="E23" s="519">
        <f>SUMIFS('Anlage 1c_Korrekturen_NB'!$L$11:$L$589,'Anlage 1c_Korrekturen_NB'!$O$11:$O$589,'Anlage 1g_Korrekturen_KG'!E$9,'Anlage 1c_Korrekturen_NB'!$B$11:$B$589,'Anlage 1g_Korrekturen_KG'!$B23,'Anlage 1c_Korrekturen_NB'!$C$11:$C$589,'Anlage 1g_Korrekturen_KG'!$A23)</f>
        <v>0</v>
      </c>
      <c r="F23" s="520"/>
      <c r="G23" s="519">
        <f>SUMIFS('Anlage 1c_Korrekturen_NB'!$L$11:$L$589,'Anlage 1c_Korrekturen_NB'!$O$11:$O$589,'Anlage 1g_Korrekturen_KG'!G$9,'Anlage 1c_Korrekturen_NB'!$B$11:$B$589,'Anlage 1g_Korrekturen_KG'!$B23,'Anlage 1c_Korrekturen_NB'!$C$11:$C$589,'Anlage 1g_Korrekturen_KG'!$A23)</f>
        <v>0</v>
      </c>
      <c r="H23" s="520"/>
      <c r="I23" s="519">
        <f>SUMIFS('Anlage 1c_Korrekturen_NB'!$L$11:$L$589,'Anlage 1c_Korrekturen_NB'!$O$11:$O$589,'Anlage 1g_Korrekturen_KG'!I$9,'Anlage 1c_Korrekturen_NB'!$B$11:$B$589,'Anlage 1g_Korrekturen_KG'!$B23,'Anlage 1c_Korrekturen_NB'!$C$11:$C$589,'Anlage 1g_Korrekturen_KG'!$A23)</f>
        <v>0</v>
      </c>
      <c r="J23" s="196"/>
      <c r="K23" s="1051">
        <f t="shared" si="1"/>
        <v>0</v>
      </c>
      <c r="L23" s="1048"/>
      <c r="M23" s="5"/>
      <c r="N23" s="5"/>
    </row>
    <row r="24" spans="1:17" hidden="1" outlineLevel="1">
      <c r="A24" s="139">
        <f t="shared" si="2"/>
        <v>2022</v>
      </c>
      <c r="B24" s="518">
        <v>5</v>
      </c>
      <c r="C24" s="519">
        <f>SUMIFS('Anlage 1c_Korrekturen_NB'!$L$11:$L$589,'Anlage 1c_Korrekturen_NB'!$O$11:$O$589,'Anlage 1g_Korrekturen_KG'!C$9,'Anlage 1c_Korrekturen_NB'!$B$11:$B$589,'Anlage 1g_Korrekturen_KG'!$B24,'Anlage 1c_Korrekturen_NB'!$C$11:$C$589,'Anlage 1g_Korrekturen_KG'!$A24)</f>
        <v>0</v>
      </c>
      <c r="D24" s="520"/>
      <c r="E24" s="519">
        <f>SUMIFS('Anlage 1c_Korrekturen_NB'!$L$11:$L$589,'Anlage 1c_Korrekturen_NB'!$O$11:$O$589,'Anlage 1g_Korrekturen_KG'!E$9,'Anlage 1c_Korrekturen_NB'!$B$11:$B$589,'Anlage 1g_Korrekturen_KG'!$B24,'Anlage 1c_Korrekturen_NB'!$C$11:$C$589,'Anlage 1g_Korrekturen_KG'!$A24)</f>
        <v>30522.170000000002</v>
      </c>
      <c r="F24" s="520"/>
      <c r="G24" s="519">
        <f>SUMIFS('Anlage 1c_Korrekturen_NB'!$L$11:$L$589,'Anlage 1c_Korrekturen_NB'!$O$11:$O$589,'Anlage 1g_Korrekturen_KG'!G$9,'Anlage 1c_Korrekturen_NB'!$B$11:$B$589,'Anlage 1g_Korrekturen_KG'!$B24,'Anlage 1c_Korrekturen_NB'!$C$11:$C$589,'Anlage 1g_Korrekturen_KG'!$A24)</f>
        <v>0</v>
      </c>
      <c r="H24" s="520"/>
      <c r="I24" s="519">
        <f>SUMIFS('Anlage 1c_Korrekturen_NB'!$L$11:$L$589,'Anlage 1c_Korrekturen_NB'!$O$11:$O$589,'Anlage 1g_Korrekturen_KG'!I$9,'Anlage 1c_Korrekturen_NB'!$B$11:$B$589,'Anlage 1g_Korrekturen_KG'!$B24,'Anlage 1c_Korrekturen_NB'!$C$11:$C$589,'Anlage 1g_Korrekturen_KG'!$A24)</f>
        <v>0</v>
      </c>
      <c r="J24" s="196"/>
      <c r="K24" s="1051">
        <f t="shared" si="1"/>
        <v>30522.170000000002</v>
      </c>
      <c r="L24" s="1048"/>
      <c r="M24" s="5"/>
      <c r="N24" s="5"/>
    </row>
    <row r="25" spans="1:17" hidden="1" outlineLevel="1">
      <c r="A25" s="139">
        <f t="shared" si="2"/>
        <v>2022</v>
      </c>
      <c r="B25" s="518">
        <v>7</v>
      </c>
      <c r="C25" s="519">
        <f>SUMIFS('Anlage 1c_Korrekturen_NB'!$L$11:$L$589,'Anlage 1c_Korrekturen_NB'!$O$11:$O$589,'Anlage 1g_Korrekturen_KG'!C$9,'Anlage 1c_Korrekturen_NB'!$B$11:$B$589,'Anlage 1g_Korrekturen_KG'!$B25,'Anlage 1c_Korrekturen_NB'!$C$11:$C$589,'Anlage 1g_Korrekturen_KG'!$A25)</f>
        <v>2392050.65</v>
      </c>
      <c r="D25" s="520"/>
      <c r="E25" s="519">
        <f>SUMIFS('Anlage 1c_Korrekturen_NB'!$L$11:$L$589,'Anlage 1c_Korrekturen_NB'!$O$11:$O$589,'Anlage 1g_Korrekturen_KG'!E$9,'Anlage 1c_Korrekturen_NB'!$B$11:$B$589,'Anlage 1g_Korrekturen_KG'!$B25,'Anlage 1c_Korrekturen_NB'!$C$11:$C$589,'Anlage 1g_Korrekturen_KG'!$A25)</f>
        <v>4189366.56</v>
      </c>
      <c r="F25" s="520"/>
      <c r="G25" s="519">
        <f>SUMIFS('Anlage 1c_Korrekturen_NB'!$L$11:$L$589,'Anlage 1c_Korrekturen_NB'!$O$11:$O$589,'Anlage 1g_Korrekturen_KG'!G$9,'Anlage 1c_Korrekturen_NB'!$B$11:$B$589,'Anlage 1g_Korrekturen_KG'!$B25,'Anlage 1c_Korrekturen_NB'!$C$11:$C$589,'Anlage 1g_Korrekturen_KG'!$A25)</f>
        <v>21490880.799999997</v>
      </c>
      <c r="H25" s="520"/>
      <c r="I25" s="519">
        <v>1898213.36</v>
      </c>
      <c r="J25" s="196"/>
      <c r="K25" s="1051">
        <f t="shared" si="1"/>
        <v>29970511.369999997</v>
      </c>
      <c r="L25" s="1048"/>
      <c r="M25" s="5"/>
      <c r="N25" s="5"/>
    </row>
    <row r="26" spans="1:17" collapsed="1">
      <c r="A26" s="506">
        <v>2021</v>
      </c>
      <c r="B26" s="507"/>
      <c r="C26" s="526">
        <f>SUM(C27:C32)</f>
        <v>-30873.099999999627</v>
      </c>
      <c r="D26" s="527">
        <f>'Anlage 1e_WKNS'!D44</f>
        <v>0</v>
      </c>
      <c r="E26" s="526">
        <f>SUM(E27:E32)</f>
        <v>2406964.38</v>
      </c>
      <c r="F26" s="527">
        <f>'Anlage 1e_WKNS'!D45</f>
        <v>0</v>
      </c>
      <c r="G26" s="526">
        <f>SUM(G27:G32)</f>
        <v>4350778.68</v>
      </c>
      <c r="H26" s="527">
        <f>'Anlage 1e_WKNS'!D46</f>
        <v>0</v>
      </c>
      <c r="I26" s="528">
        <f>SUM(I27:I32)</f>
        <v>735291.38</v>
      </c>
      <c r="J26" s="529">
        <f>'Anlage 1e_WKNS'!D47</f>
        <v>-285077</v>
      </c>
      <c r="K26" s="1050">
        <f t="shared" si="1"/>
        <v>7462161.3399999999</v>
      </c>
      <c r="L26" s="1047">
        <f>D26+F26+H26+J26</f>
        <v>-285077</v>
      </c>
      <c r="M26" s="5"/>
      <c r="N26" s="5"/>
    </row>
    <row r="27" spans="1:17" hidden="1" outlineLevel="1">
      <c r="A27" s="525">
        <f>$A$26</f>
        <v>2021</v>
      </c>
      <c r="B27" s="518" t="s">
        <v>1743</v>
      </c>
      <c r="C27" s="519">
        <f>SUMIFS('Anlage 1c_Korrekturen_NB'!$L$11:$L$589,'Anlage 1c_Korrekturen_NB'!$O$11:$O$589,'Anlage 1g_Korrekturen_KG'!C$9,'Anlage 1c_Korrekturen_NB'!$B$11:$B$589,'Anlage 1g_Korrekturen_KG'!$B27,'Anlage 1c_Korrekturen_NB'!$C$11:$C$589,'Anlage 1g_Korrekturen_KG'!$A27)</f>
        <v>-2901337.25</v>
      </c>
      <c r="D27" s="495"/>
      <c r="E27" s="519">
        <f>SUMIFS('Anlage 1c_Korrekturen_NB'!$L$11:$L$589,'Anlage 1c_Korrekturen_NB'!$O$11:$O$589,'Anlage 1g_Korrekturen_KG'!E$9,'Anlage 1c_Korrekturen_NB'!$B$11:$B$589,'Anlage 1g_Korrekturen_KG'!$B27,'Anlage 1c_Korrekturen_NB'!$C$11:$C$589,'Anlage 1g_Korrekturen_KG'!$A27)</f>
        <v>-92268.24</v>
      </c>
      <c r="F27" s="495"/>
      <c r="G27" s="519">
        <f>SUMIFS('Anlage 1c_Korrekturen_NB'!$L$11:$L$589,'Anlage 1c_Korrekturen_NB'!$O$11:$O$589,'Anlage 1g_Korrekturen_KG'!G$9,'Anlage 1c_Korrekturen_NB'!$B$11:$B$589,'Anlage 1g_Korrekturen_KG'!$B27,'Anlage 1c_Korrekturen_NB'!$C$11:$C$589,'Anlage 1g_Korrekturen_KG'!$A27)</f>
        <v>-39753.520000000004</v>
      </c>
      <c r="H27" s="495"/>
      <c r="I27" s="519">
        <f>SUMIFS('Anlage 1c_Korrekturen_NB'!$L$11:$L$589,'Anlage 1c_Korrekturen_NB'!$O$11:$O$589,'Anlage 1g_Korrekturen_KG'!I$9,'Anlage 1c_Korrekturen_NB'!$B$11:$B$589,'Anlage 1g_Korrekturen_KG'!$B27,'Anlage 1c_Korrekturen_NB'!$C$11:$C$589,'Anlage 1g_Korrekturen_KG'!$A27)</f>
        <v>0</v>
      </c>
      <c r="J27" s="202"/>
      <c r="K27" s="1052">
        <f t="shared" si="1"/>
        <v>-3033359.0100000002</v>
      </c>
      <c r="L27" s="495"/>
      <c r="N27" s="5"/>
    </row>
    <row r="28" spans="1:17" hidden="1" outlineLevel="1">
      <c r="A28" s="525">
        <f t="shared" ref="A28:A32" si="3">$A$26</f>
        <v>2021</v>
      </c>
      <c r="B28" s="518">
        <v>2</v>
      </c>
      <c r="C28" s="519">
        <f>SUMIFS('Anlage 1c_Korrekturen_NB'!$L$11:$L$589,'Anlage 1c_Korrekturen_NB'!$O$11:$O$589,'Anlage 1g_Korrekturen_KG'!C$9,'Anlage 1c_Korrekturen_NB'!$B$11:$B$589,'Anlage 1g_Korrekturen_KG'!$B28,'Anlage 1c_Korrekturen_NB'!$C$11:$C$589,'Anlage 1g_Korrekturen_KG'!$A28)</f>
        <v>0</v>
      </c>
      <c r="D28" s="495"/>
      <c r="E28" s="519">
        <f>SUMIFS('Anlage 1c_Korrekturen_NB'!$L$11:$L$589,'Anlage 1c_Korrekturen_NB'!$O$11:$O$589,'Anlage 1g_Korrekturen_KG'!E$9,'Anlage 1c_Korrekturen_NB'!$B$11:$B$589,'Anlage 1g_Korrekturen_KG'!$B28,'Anlage 1c_Korrekturen_NB'!$C$11:$C$589,'Anlage 1g_Korrekturen_KG'!$A28)</f>
        <v>0</v>
      </c>
      <c r="F28" s="495"/>
      <c r="G28" s="519">
        <f>SUMIFS('Anlage 1c_Korrekturen_NB'!$L$11:$L$589,'Anlage 1c_Korrekturen_NB'!$O$11:$O$589,'Anlage 1g_Korrekturen_KG'!G$9,'Anlage 1c_Korrekturen_NB'!$B$11:$B$589,'Anlage 1g_Korrekturen_KG'!$B28,'Anlage 1c_Korrekturen_NB'!$C$11:$C$589,'Anlage 1g_Korrekturen_KG'!$A28)</f>
        <v>98.62</v>
      </c>
      <c r="H28" s="495"/>
      <c r="I28" s="519">
        <f>SUMIFS('Anlage 1c_Korrekturen_NB'!$L$11:$L$589,'Anlage 1c_Korrekturen_NB'!$O$11:$O$589,'Anlage 1g_Korrekturen_KG'!I$9,'Anlage 1c_Korrekturen_NB'!$B$11:$B$589,'Anlage 1g_Korrekturen_KG'!$B28,'Anlage 1c_Korrekturen_NB'!$C$11:$C$589,'Anlage 1g_Korrekturen_KG'!$A28)</f>
        <v>0</v>
      </c>
      <c r="J28" s="202"/>
      <c r="K28" s="1052">
        <f t="shared" si="1"/>
        <v>98.62</v>
      </c>
      <c r="L28" s="495"/>
      <c r="N28" s="5"/>
    </row>
    <row r="29" spans="1:17" hidden="1" outlineLevel="1">
      <c r="A29" s="525">
        <f t="shared" si="3"/>
        <v>2021</v>
      </c>
      <c r="B29" s="518">
        <v>3</v>
      </c>
      <c r="C29" s="519">
        <f>SUMIFS('Anlage 1c_Korrekturen_NB'!$L$11:$L$589,'Anlage 1c_Korrekturen_NB'!$O$11:$O$589,'Anlage 1g_Korrekturen_KG'!C$9,'Anlage 1c_Korrekturen_NB'!$B$11:$B$589,'Anlage 1g_Korrekturen_KG'!$B29,'Anlage 1c_Korrekturen_NB'!$C$11:$C$589,'Anlage 1g_Korrekturen_KG'!$A29)</f>
        <v>0</v>
      </c>
      <c r="D29" s="495"/>
      <c r="E29" s="519">
        <f>SUMIFS('Anlage 1c_Korrekturen_NB'!$L$11:$L$589,'Anlage 1c_Korrekturen_NB'!$O$11:$O$589,'Anlage 1g_Korrekturen_KG'!E$9,'Anlage 1c_Korrekturen_NB'!$B$11:$B$589,'Anlage 1g_Korrekturen_KG'!$B29,'Anlage 1c_Korrekturen_NB'!$C$11:$C$589,'Anlage 1g_Korrekturen_KG'!$A29)</f>
        <v>0</v>
      </c>
      <c r="F29" s="495"/>
      <c r="G29" s="519">
        <f>SUMIFS('Anlage 1c_Korrekturen_NB'!$L$11:$L$589,'Anlage 1c_Korrekturen_NB'!$O$11:$O$589,'Anlage 1g_Korrekturen_KG'!G$9,'Anlage 1c_Korrekturen_NB'!$B$11:$B$589,'Anlage 1g_Korrekturen_KG'!$B29,'Anlage 1c_Korrekturen_NB'!$C$11:$C$589,'Anlage 1g_Korrekturen_KG'!$A29)</f>
        <v>0</v>
      </c>
      <c r="H29" s="495"/>
      <c r="I29" s="519">
        <f>SUMIFS('Anlage 1c_Korrekturen_NB'!$L$11:$L$589,'Anlage 1c_Korrekturen_NB'!$O$11:$O$589,'Anlage 1g_Korrekturen_KG'!I$9,'Anlage 1c_Korrekturen_NB'!$B$11:$B$589,'Anlage 1g_Korrekturen_KG'!$B29,'Anlage 1c_Korrekturen_NB'!$C$11:$C$589,'Anlage 1g_Korrekturen_KG'!$A29)</f>
        <v>0</v>
      </c>
      <c r="J29" s="202"/>
      <c r="K29" s="1052">
        <f t="shared" si="1"/>
        <v>0</v>
      </c>
      <c r="L29" s="495"/>
      <c r="N29" s="5"/>
    </row>
    <row r="30" spans="1:17" hidden="1" outlineLevel="1">
      <c r="A30" s="525">
        <f t="shared" si="3"/>
        <v>2021</v>
      </c>
      <c r="B30" s="518">
        <v>4</v>
      </c>
      <c r="C30" s="519">
        <f>SUMIFS('Anlage 1c_Korrekturen_NB'!$L$11:$L$589,'Anlage 1c_Korrekturen_NB'!$O$11:$O$589,'Anlage 1g_Korrekturen_KG'!C$9,'Anlage 1c_Korrekturen_NB'!$B$11:$B$589,'Anlage 1g_Korrekturen_KG'!$B30,'Anlage 1c_Korrekturen_NB'!$C$11:$C$589,'Anlage 1g_Korrekturen_KG'!$A30)</f>
        <v>0</v>
      </c>
      <c r="D30" s="495"/>
      <c r="E30" s="519">
        <f>SUMIFS('Anlage 1c_Korrekturen_NB'!$L$11:$L$589,'Anlage 1c_Korrekturen_NB'!$O$11:$O$589,'Anlage 1g_Korrekturen_KG'!E$9,'Anlage 1c_Korrekturen_NB'!$B$11:$B$589,'Anlage 1g_Korrekturen_KG'!$B30,'Anlage 1c_Korrekturen_NB'!$C$11:$C$589,'Anlage 1g_Korrekturen_KG'!$A30)</f>
        <v>0</v>
      </c>
      <c r="F30" s="495"/>
      <c r="G30" s="519">
        <f>SUMIFS('Anlage 1c_Korrekturen_NB'!$L$11:$L$589,'Anlage 1c_Korrekturen_NB'!$O$11:$O$589,'Anlage 1g_Korrekturen_KG'!G$9,'Anlage 1c_Korrekturen_NB'!$B$11:$B$589,'Anlage 1g_Korrekturen_KG'!$B30,'Anlage 1c_Korrekturen_NB'!$C$11:$C$589,'Anlage 1g_Korrekturen_KG'!$A30)</f>
        <v>0</v>
      </c>
      <c r="H30" s="495"/>
      <c r="I30" s="519">
        <f>SUMIFS('Anlage 1c_Korrekturen_NB'!$L$11:$L$589,'Anlage 1c_Korrekturen_NB'!$O$11:$O$589,'Anlage 1g_Korrekturen_KG'!I$9,'Anlage 1c_Korrekturen_NB'!$B$11:$B$589,'Anlage 1g_Korrekturen_KG'!$B30,'Anlage 1c_Korrekturen_NB'!$C$11:$C$589,'Anlage 1g_Korrekturen_KG'!$A30)</f>
        <v>0</v>
      </c>
      <c r="J30" s="202"/>
      <c r="K30" s="1052">
        <f t="shared" si="1"/>
        <v>0</v>
      </c>
      <c r="L30" s="495"/>
      <c r="N30" s="5"/>
    </row>
    <row r="31" spans="1:17" hidden="1" outlineLevel="1">
      <c r="A31" s="525">
        <f t="shared" si="3"/>
        <v>2021</v>
      </c>
      <c r="B31" s="518">
        <v>5</v>
      </c>
      <c r="C31" s="519">
        <f>SUMIFS('Anlage 1c_Korrekturen_NB'!$L$11:$L$589,'Anlage 1c_Korrekturen_NB'!$O$11:$O$589,'Anlage 1g_Korrekturen_KG'!C$9,'Anlage 1c_Korrekturen_NB'!$B$11:$B$589,'Anlage 1g_Korrekturen_KG'!$B31,'Anlage 1c_Korrekturen_NB'!$C$11:$C$589,'Anlage 1g_Korrekturen_KG'!$A31)</f>
        <v>0</v>
      </c>
      <c r="D31" s="495"/>
      <c r="E31" s="519">
        <f>SUMIFS('Anlage 1c_Korrekturen_NB'!$L$11:$L$589,'Anlage 1c_Korrekturen_NB'!$O$11:$O$589,'Anlage 1g_Korrekturen_KG'!E$9,'Anlage 1c_Korrekturen_NB'!$B$11:$B$589,'Anlage 1g_Korrekturen_KG'!$B31,'Anlage 1c_Korrekturen_NB'!$C$11:$C$589,'Anlage 1g_Korrekturen_KG'!$A31)</f>
        <v>259683.97</v>
      </c>
      <c r="F31" s="495"/>
      <c r="G31" s="519">
        <f>SUMIFS('Anlage 1c_Korrekturen_NB'!$L$11:$L$589,'Anlage 1c_Korrekturen_NB'!$O$11:$O$589,'Anlage 1g_Korrekturen_KG'!G$9,'Anlage 1c_Korrekturen_NB'!$B$11:$B$589,'Anlage 1g_Korrekturen_KG'!$B31,'Anlage 1c_Korrekturen_NB'!$C$11:$C$589,'Anlage 1g_Korrekturen_KG'!$A31)</f>
        <v>0</v>
      </c>
      <c r="H31" s="495"/>
      <c r="I31" s="519">
        <f>SUMIFS('Anlage 1c_Korrekturen_NB'!$L$11:$L$589,'Anlage 1c_Korrekturen_NB'!$O$11:$O$589,'Anlage 1g_Korrekturen_KG'!I$9,'Anlage 1c_Korrekturen_NB'!$B$11:$B$589,'Anlage 1g_Korrekturen_KG'!$B31,'Anlage 1c_Korrekturen_NB'!$C$11:$C$589,'Anlage 1g_Korrekturen_KG'!$A31)</f>
        <v>0</v>
      </c>
      <c r="J31" s="202"/>
      <c r="K31" s="1052">
        <f t="shared" si="1"/>
        <v>259683.97</v>
      </c>
      <c r="L31" s="495"/>
      <c r="N31" s="5"/>
    </row>
    <row r="32" spans="1:17" hidden="1" outlineLevel="1">
      <c r="A32" s="525">
        <f t="shared" si="3"/>
        <v>2021</v>
      </c>
      <c r="B32" s="518">
        <v>7</v>
      </c>
      <c r="C32" s="519">
        <f>SUMIFS('Anlage 1c_Korrekturen_NB'!$L$11:$L$589,'Anlage 1c_Korrekturen_NB'!$O$11:$O$589,'Anlage 1g_Korrekturen_KG'!C$9,'Anlage 1c_Korrekturen_NB'!$B$11:$B$589,'Anlage 1g_Korrekturen_KG'!$B32,'Anlage 1c_Korrekturen_NB'!$C$11:$C$589,'Anlage 1g_Korrekturen_KG'!$A32)</f>
        <v>2870464.1500000004</v>
      </c>
      <c r="D32" s="495"/>
      <c r="E32" s="519">
        <f>SUMIFS('Anlage 1c_Korrekturen_NB'!$L$11:$L$589,'Anlage 1c_Korrekturen_NB'!$O$11:$O$589,'Anlage 1g_Korrekturen_KG'!E$9,'Anlage 1c_Korrekturen_NB'!$B$11:$B$589,'Anlage 1g_Korrekturen_KG'!$B32,'Anlage 1c_Korrekturen_NB'!$C$11:$C$589,'Anlage 1g_Korrekturen_KG'!$A32)</f>
        <v>2239548.65</v>
      </c>
      <c r="F32" s="495"/>
      <c r="G32" s="519">
        <f>SUMIFS('Anlage 1c_Korrekturen_NB'!$L$11:$L$589,'Anlage 1c_Korrekturen_NB'!$O$11:$O$589,'Anlage 1g_Korrekturen_KG'!G$9,'Anlage 1c_Korrekturen_NB'!$B$11:$B$589,'Anlage 1g_Korrekturen_KG'!$B32,'Anlage 1c_Korrekturen_NB'!$C$11:$C$589,'Anlage 1g_Korrekturen_KG'!$A32)</f>
        <v>4390433.58</v>
      </c>
      <c r="H32" s="495"/>
      <c r="I32" s="519">
        <v>735291.38</v>
      </c>
      <c r="J32" s="202"/>
      <c r="K32" s="1052">
        <f t="shared" si="1"/>
        <v>10235737.760000002</v>
      </c>
      <c r="L32" s="495"/>
      <c r="N32" s="5"/>
    </row>
    <row r="33" spans="1:16" collapsed="1">
      <c r="A33" s="506">
        <v>2020</v>
      </c>
      <c r="B33" s="507"/>
      <c r="C33" s="526">
        <f>SUM(C34:C39)</f>
        <v>285055.62</v>
      </c>
      <c r="D33" s="527"/>
      <c r="E33" s="526">
        <f>SUM(E34:E39)</f>
        <v>662871.0199999999</v>
      </c>
      <c r="F33" s="527"/>
      <c r="G33" s="526">
        <f>SUM(G34:G39)</f>
        <v>409745.99999999994</v>
      </c>
      <c r="H33" s="527"/>
      <c r="I33" s="528">
        <f>SUM(I34:I39)</f>
        <v>-4938.47</v>
      </c>
      <c r="J33" s="529"/>
      <c r="K33" s="1050">
        <f t="shared" si="1"/>
        <v>1352734.17</v>
      </c>
      <c r="L33" s="1047"/>
      <c r="M33" s="5"/>
      <c r="N33" s="5"/>
      <c r="P33" s="127"/>
    </row>
    <row r="34" spans="1:16" hidden="1" outlineLevel="1">
      <c r="A34" s="522">
        <f>$A$33</f>
        <v>2020</v>
      </c>
      <c r="B34" s="518" t="s">
        <v>1743</v>
      </c>
      <c r="C34" s="519">
        <f>SUMIFS('Anlage 1c_Korrekturen_NB'!$L$11:$L$589,'Anlage 1c_Korrekturen_NB'!$O$11:$O$589,'Anlage 1g_Korrekturen_KG'!C$9,'Anlage 1c_Korrekturen_NB'!$B$11:$B$589,'Anlage 1g_Korrekturen_KG'!$B34,'Anlage 1c_Korrekturen_NB'!$C$11:$C$589,'Anlage 1g_Korrekturen_KG'!$A34)</f>
        <v>-7165.35</v>
      </c>
      <c r="D34" s="520"/>
      <c r="E34" s="519">
        <v>0</v>
      </c>
      <c r="F34" s="520"/>
      <c r="G34" s="519">
        <f>SUMIFS('Anlage 1c_Korrekturen_NB'!$L$11:$L$589,'Anlage 1c_Korrekturen_NB'!$O$11:$O$589,'Anlage 1g_Korrekturen_KG'!G$9,'Anlage 1c_Korrekturen_NB'!$B$11:$B$589,'Anlage 1g_Korrekturen_KG'!$B34,'Anlage 1c_Korrekturen_NB'!$C$11:$C$589,'Anlage 1g_Korrekturen_KG'!$A34)</f>
        <v>-21738.460000000003</v>
      </c>
      <c r="H34" s="520"/>
      <c r="I34" s="519">
        <f>SUMIFS('Anlage 1c_Korrekturen_NB'!$L$11:$L$589,'Anlage 1c_Korrekturen_NB'!$O$11:$O$589,'Anlage 1g_Korrekturen_KG'!I$9,'Anlage 1c_Korrekturen_NB'!$B$11:$B$589,'Anlage 1g_Korrekturen_KG'!$B34,'Anlage 1c_Korrekturen_NB'!$C$11:$C$589,'Anlage 1g_Korrekturen_KG'!$A34)</f>
        <v>0</v>
      </c>
      <c r="J34" s="196"/>
      <c r="K34" s="1051">
        <f t="shared" si="1"/>
        <v>-28903.810000000005</v>
      </c>
      <c r="L34" s="1048"/>
      <c r="M34" s="5"/>
      <c r="N34" s="5"/>
    </row>
    <row r="35" spans="1:16" hidden="1" outlineLevel="1">
      <c r="A35" s="522">
        <f t="shared" ref="A35:A39" si="4">$A$33</f>
        <v>2020</v>
      </c>
      <c r="B35" s="518">
        <v>2</v>
      </c>
      <c r="C35" s="519">
        <f>SUMIFS('Anlage 1c_Korrekturen_NB'!$L$11:$L$589,'Anlage 1c_Korrekturen_NB'!$O$11:$O$589,'Anlage 1g_Korrekturen_KG'!C$9,'Anlage 1c_Korrekturen_NB'!$B$11:$B$589,'Anlage 1g_Korrekturen_KG'!$B35,'Anlage 1c_Korrekturen_NB'!$C$11:$C$589,'Anlage 1g_Korrekturen_KG'!$A35)</f>
        <v>0</v>
      </c>
      <c r="D35" s="520"/>
      <c r="E35" s="519">
        <f>SUMIFS('Anlage 1c_Korrekturen_NB'!$L$11:$L$589,'Anlage 1c_Korrekturen_NB'!$O$11:$O$589,'Anlage 1g_Korrekturen_KG'!E$9,'Anlage 1c_Korrekturen_NB'!$B$11:$B$589,'Anlage 1g_Korrekturen_KG'!$B35,'Anlage 1c_Korrekturen_NB'!$C$11:$C$589,'Anlage 1g_Korrekturen_KG'!$A35)</f>
        <v>0</v>
      </c>
      <c r="F35" s="520"/>
      <c r="G35" s="519">
        <f>SUMIFS('Anlage 1c_Korrekturen_NB'!$L$11:$L$589,'Anlage 1c_Korrekturen_NB'!$O$11:$O$589,'Anlage 1g_Korrekturen_KG'!G$9,'Anlage 1c_Korrekturen_NB'!$B$11:$B$589,'Anlage 1g_Korrekturen_KG'!$B35,'Anlage 1c_Korrekturen_NB'!$C$11:$C$589,'Anlage 1g_Korrekturen_KG'!$A35)</f>
        <v>0</v>
      </c>
      <c r="H35" s="520"/>
      <c r="I35" s="519">
        <f>SUMIFS('Anlage 1c_Korrekturen_NB'!$L$11:$L$589,'Anlage 1c_Korrekturen_NB'!$O$11:$O$589,'Anlage 1g_Korrekturen_KG'!I$9,'Anlage 1c_Korrekturen_NB'!$B$11:$B$589,'Anlage 1g_Korrekturen_KG'!$B35,'Anlage 1c_Korrekturen_NB'!$C$11:$C$589,'Anlage 1g_Korrekturen_KG'!$A35)</f>
        <v>0</v>
      </c>
      <c r="J35" s="196"/>
      <c r="K35" s="1051">
        <f t="shared" si="1"/>
        <v>0</v>
      </c>
      <c r="L35" s="1048"/>
      <c r="M35" s="5"/>
      <c r="N35" s="5"/>
    </row>
    <row r="36" spans="1:16" hidden="1" outlineLevel="1">
      <c r="A36" s="522">
        <f t="shared" si="4"/>
        <v>2020</v>
      </c>
      <c r="B36" s="518">
        <v>3</v>
      </c>
      <c r="C36" s="519">
        <f>SUMIFS('Anlage 1c_Korrekturen_NB'!$L$11:$L$589,'Anlage 1c_Korrekturen_NB'!$O$11:$O$589,'Anlage 1g_Korrekturen_KG'!C$9,'Anlage 1c_Korrekturen_NB'!$B$11:$B$589,'Anlage 1g_Korrekturen_KG'!$B36,'Anlage 1c_Korrekturen_NB'!$C$11:$C$589,'Anlage 1g_Korrekturen_KG'!$A36)</f>
        <v>0</v>
      </c>
      <c r="D36" s="520"/>
      <c r="E36" s="519">
        <f>SUMIFS('Anlage 1c_Korrekturen_NB'!$L$11:$L$589,'Anlage 1c_Korrekturen_NB'!$O$11:$O$589,'Anlage 1g_Korrekturen_KG'!E$9,'Anlage 1c_Korrekturen_NB'!$B$11:$B$589,'Anlage 1g_Korrekturen_KG'!$B36,'Anlage 1c_Korrekturen_NB'!$C$11:$C$589,'Anlage 1g_Korrekturen_KG'!$A36)</f>
        <v>0</v>
      </c>
      <c r="F36" s="520"/>
      <c r="G36" s="519">
        <f>SUMIFS('Anlage 1c_Korrekturen_NB'!$L$11:$L$589,'Anlage 1c_Korrekturen_NB'!$O$11:$O$589,'Anlage 1g_Korrekturen_KG'!G$9,'Anlage 1c_Korrekturen_NB'!$B$11:$B$589,'Anlage 1g_Korrekturen_KG'!$B36,'Anlage 1c_Korrekturen_NB'!$C$11:$C$589,'Anlage 1g_Korrekturen_KG'!$A36)</f>
        <v>0</v>
      </c>
      <c r="H36" s="520"/>
      <c r="I36" s="519">
        <f>SUMIFS('Anlage 1c_Korrekturen_NB'!$L$11:$L$589,'Anlage 1c_Korrekturen_NB'!$O$11:$O$589,'Anlage 1g_Korrekturen_KG'!I$9,'Anlage 1c_Korrekturen_NB'!$B$11:$B$589,'Anlage 1g_Korrekturen_KG'!$B36,'Anlage 1c_Korrekturen_NB'!$C$11:$C$589,'Anlage 1g_Korrekturen_KG'!$A36)</f>
        <v>0</v>
      </c>
      <c r="J36" s="196"/>
      <c r="K36" s="1051">
        <f t="shared" si="1"/>
        <v>0</v>
      </c>
      <c r="L36" s="1048"/>
      <c r="M36" s="5"/>
      <c r="N36" s="5"/>
    </row>
    <row r="37" spans="1:16" hidden="1" outlineLevel="1">
      <c r="A37" s="522">
        <f t="shared" si="4"/>
        <v>2020</v>
      </c>
      <c r="B37" s="518">
        <v>4</v>
      </c>
      <c r="C37" s="519">
        <f>SUMIFS('Anlage 1c_Korrekturen_NB'!$L$11:$L$589,'Anlage 1c_Korrekturen_NB'!$O$11:$O$589,'Anlage 1g_Korrekturen_KG'!C$9,'Anlage 1c_Korrekturen_NB'!$B$11:$B$589,'Anlage 1g_Korrekturen_KG'!$B37,'Anlage 1c_Korrekturen_NB'!$C$11:$C$589,'Anlage 1g_Korrekturen_KG'!$A37)</f>
        <v>0</v>
      </c>
      <c r="D37" s="520"/>
      <c r="E37" s="519">
        <f>SUMIFS('Anlage 1c_Korrekturen_NB'!$L$11:$L$589,'Anlage 1c_Korrekturen_NB'!$O$11:$O$589,'Anlage 1g_Korrekturen_KG'!E$9,'Anlage 1c_Korrekturen_NB'!$B$11:$B$589,'Anlage 1g_Korrekturen_KG'!$B37,'Anlage 1c_Korrekturen_NB'!$C$11:$C$589,'Anlage 1g_Korrekturen_KG'!$A37)</f>
        <v>0</v>
      </c>
      <c r="F37" s="520"/>
      <c r="G37" s="519">
        <f>SUMIFS('Anlage 1c_Korrekturen_NB'!$L$11:$L$589,'Anlage 1c_Korrekturen_NB'!$O$11:$O$589,'Anlage 1g_Korrekturen_KG'!G$9,'Anlage 1c_Korrekturen_NB'!$B$11:$B$589,'Anlage 1g_Korrekturen_KG'!$B37,'Anlage 1c_Korrekturen_NB'!$C$11:$C$589,'Anlage 1g_Korrekturen_KG'!$A37)</f>
        <v>0</v>
      </c>
      <c r="H37" s="520"/>
      <c r="I37" s="519">
        <f>SUMIFS('Anlage 1c_Korrekturen_NB'!$L$11:$L$589,'Anlage 1c_Korrekturen_NB'!$O$11:$O$589,'Anlage 1g_Korrekturen_KG'!I$9,'Anlage 1c_Korrekturen_NB'!$B$11:$B$589,'Anlage 1g_Korrekturen_KG'!$B37,'Anlage 1c_Korrekturen_NB'!$C$11:$C$589,'Anlage 1g_Korrekturen_KG'!$A37)</f>
        <v>0</v>
      </c>
      <c r="J37" s="196"/>
      <c r="K37" s="1051">
        <f t="shared" si="1"/>
        <v>0</v>
      </c>
      <c r="L37" s="1048"/>
      <c r="M37" s="5"/>
      <c r="N37" s="5"/>
    </row>
    <row r="38" spans="1:16" hidden="1" outlineLevel="1">
      <c r="A38" s="522">
        <f t="shared" si="4"/>
        <v>2020</v>
      </c>
      <c r="B38" s="518">
        <v>5</v>
      </c>
      <c r="C38" s="519">
        <f>SUMIFS('Anlage 1c_Korrekturen_NB'!$L$11:$L$589,'Anlage 1c_Korrekturen_NB'!$O$11:$O$589,'Anlage 1g_Korrekturen_KG'!C$9,'Anlage 1c_Korrekturen_NB'!$B$11:$B$589,'Anlage 1g_Korrekturen_KG'!$B38,'Anlage 1c_Korrekturen_NB'!$C$11:$C$589,'Anlage 1g_Korrekturen_KG'!$A38)</f>
        <v>0</v>
      </c>
      <c r="D38" s="520"/>
      <c r="E38" s="519">
        <v>80.989999999999995</v>
      </c>
      <c r="F38" s="520"/>
      <c r="G38" s="519">
        <f>SUMIFS('Anlage 1c_Korrekturen_NB'!$L$11:$L$589,'Anlage 1c_Korrekturen_NB'!$O$11:$O$589,'Anlage 1g_Korrekturen_KG'!G$9,'Anlage 1c_Korrekturen_NB'!$B$11:$B$589,'Anlage 1g_Korrekturen_KG'!$B38,'Anlage 1c_Korrekturen_NB'!$C$11:$C$589,'Anlage 1g_Korrekturen_KG'!$A38)</f>
        <v>0</v>
      </c>
      <c r="H38" s="520"/>
      <c r="I38" s="519">
        <f>SUMIFS('Anlage 1c_Korrekturen_NB'!$L$11:$L$589,'Anlage 1c_Korrekturen_NB'!$O$11:$O$589,'Anlage 1g_Korrekturen_KG'!I$9,'Anlage 1c_Korrekturen_NB'!$B$11:$B$589,'Anlage 1g_Korrekturen_KG'!$B38,'Anlage 1c_Korrekturen_NB'!$C$11:$C$589,'Anlage 1g_Korrekturen_KG'!$A38)</f>
        <v>0</v>
      </c>
      <c r="J38" s="196"/>
      <c r="K38" s="1051">
        <f t="shared" si="1"/>
        <v>80.989999999999995</v>
      </c>
      <c r="L38" s="1048"/>
      <c r="M38" s="5"/>
      <c r="N38" s="5"/>
    </row>
    <row r="39" spans="1:16" hidden="1" outlineLevel="1">
      <c r="A39" s="522">
        <f t="shared" si="4"/>
        <v>2020</v>
      </c>
      <c r="B39" s="518">
        <v>7</v>
      </c>
      <c r="C39" s="519">
        <f>SUMIFS('Anlage 1c_Korrekturen_NB'!$L$11:$L$589,'Anlage 1c_Korrekturen_NB'!$O$11:$O$589,'Anlage 1g_Korrekturen_KG'!C$9,'Anlage 1c_Korrekturen_NB'!$B$11:$B$589,'Anlage 1g_Korrekturen_KG'!$B39,'Anlage 1c_Korrekturen_NB'!$C$11:$C$589,'Anlage 1g_Korrekturen_KG'!$A39)</f>
        <v>292220.96999999997</v>
      </c>
      <c r="D39" s="520"/>
      <c r="E39" s="519">
        <f>SUMIFS('Anlage 1c_Korrekturen_NB'!$L$11:$L$589,'Anlage 1c_Korrekturen_NB'!$O$11:$O$589,'Anlage 1g_Korrekturen_KG'!E$9,'Anlage 1c_Korrekturen_NB'!$B$11:$B$589,'Anlage 1g_Korrekturen_KG'!$B39,'Anlage 1c_Korrekturen_NB'!$C$11:$C$589,'Anlage 1g_Korrekturen_KG'!$A39)</f>
        <v>662790.02999999991</v>
      </c>
      <c r="F39" s="520"/>
      <c r="G39" s="519">
        <f>SUMIFS('Anlage 1c_Korrekturen_NB'!$L$11:$L$589,'Anlage 1c_Korrekturen_NB'!$O$11:$O$589,'Anlage 1g_Korrekturen_KG'!G$9,'Anlage 1c_Korrekturen_NB'!$B$11:$B$589,'Anlage 1g_Korrekturen_KG'!$B39,'Anlage 1c_Korrekturen_NB'!$C$11:$C$589,'Anlage 1g_Korrekturen_KG'!$A39)</f>
        <v>431484.45999999996</v>
      </c>
      <c r="H39" s="520"/>
      <c r="I39" s="519">
        <v>-4938.47</v>
      </c>
      <c r="J39" s="196"/>
      <c r="K39" s="1051">
        <f t="shared" si="1"/>
        <v>1381556.99</v>
      </c>
      <c r="L39" s="1048"/>
      <c r="M39" s="5"/>
      <c r="N39" s="5"/>
    </row>
    <row r="40" spans="1:16" collapsed="1">
      <c r="A40" s="506">
        <v>2019</v>
      </c>
      <c r="B40" s="507"/>
      <c r="C40" s="526">
        <f>SUM(C41:C46)</f>
        <v>1534.8400000000001</v>
      </c>
      <c r="D40" s="527"/>
      <c r="E40" s="526">
        <f>SUM(E41:E46)</f>
        <v>320393.81</v>
      </c>
      <c r="F40" s="527"/>
      <c r="G40" s="526">
        <f>SUM(G41:G46)</f>
        <v>-279.52</v>
      </c>
      <c r="H40" s="527"/>
      <c r="I40" s="528">
        <f>SUM(I41:I46)</f>
        <v>52137.82</v>
      </c>
      <c r="J40" s="529"/>
      <c r="K40" s="1050">
        <f t="shared" ref="K40:K67" si="5">C40+E40+G40+I40</f>
        <v>373786.95</v>
      </c>
      <c r="L40" s="1047"/>
      <c r="M40" s="5"/>
      <c r="N40" s="5"/>
      <c r="P40" s="127"/>
    </row>
    <row r="41" spans="1:16" hidden="1" outlineLevel="1">
      <c r="A41" s="522">
        <f>$A$40</f>
        <v>2019</v>
      </c>
      <c r="B41" s="518" t="s">
        <v>1743</v>
      </c>
      <c r="C41" s="519">
        <f>SUMIFS('Anlage 1c_Korrekturen_NB'!$L$11:$L$589,'Anlage 1c_Korrekturen_NB'!$O$11:$O$589,'Anlage 1g_Korrekturen_KG'!C$9,'Anlage 1c_Korrekturen_NB'!$B$11:$B$589,'Anlage 1g_Korrekturen_KG'!$B41,'Anlage 1c_Korrekturen_NB'!$C$11:$C$589,'Anlage 1g_Korrekturen_KG'!$A41)</f>
        <v>0</v>
      </c>
      <c r="D41" s="520"/>
      <c r="E41" s="519">
        <f>SUMIFS('Anlage 1c_Korrekturen_NB'!$L$11:$L$589,'Anlage 1c_Korrekturen_NB'!$O$11:$O$589,'Anlage 1g_Korrekturen_KG'!E$9,'Anlage 1c_Korrekturen_NB'!$B$11:$B$589,'Anlage 1g_Korrekturen_KG'!$B41,'Anlage 1c_Korrekturen_NB'!$C$11:$C$589,'Anlage 1g_Korrekturen_KG'!$A41)</f>
        <v>0</v>
      </c>
      <c r="F41" s="520"/>
      <c r="G41" s="519">
        <f>SUMIFS('Anlage 1c_Korrekturen_NB'!$L$11:$L$589,'Anlage 1c_Korrekturen_NB'!$O$11:$O$589,'Anlage 1g_Korrekturen_KG'!G$9,'Anlage 1c_Korrekturen_NB'!$B$11:$B$589,'Anlage 1g_Korrekturen_KG'!$B41,'Anlage 1c_Korrekturen_NB'!$C$11:$C$589,'Anlage 1g_Korrekturen_KG'!$A41)</f>
        <v>0</v>
      </c>
      <c r="H41" s="520"/>
      <c r="I41" s="519">
        <f>SUMIFS('Anlage 1c_Korrekturen_NB'!$L$11:$L$589,'Anlage 1c_Korrekturen_NB'!$O$11:$O$589,'Anlage 1g_Korrekturen_KG'!I$9,'Anlage 1c_Korrekturen_NB'!$B$11:$B$589,'Anlage 1g_Korrekturen_KG'!$B41,'Anlage 1c_Korrekturen_NB'!$C$11:$C$589,'Anlage 1g_Korrekturen_KG'!$A41)</f>
        <v>0</v>
      </c>
      <c r="J41" s="196"/>
      <c r="K41" s="1051">
        <f t="shared" si="5"/>
        <v>0</v>
      </c>
      <c r="L41" s="1048"/>
      <c r="M41" s="5"/>
      <c r="N41" s="5"/>
    </row>
    <row r="42" spans="1:16" hidden="1" outlineLevel="1">
      <c r="A42" s="522">
        <f t="shared" ref="A42:A46" si="6">$A$40</f>
        <v>2019</v>
      </c>
      <c r="B42" s="518">
        <v>2</v>
      </c>
      <c r="C42" s="519">
        <f>SUMIFS('Anlage 1c_Korrekturen_NB'!$L$11:$L$589,'Anlage 1c_Korrekturen_NB'!$O$11:$O$589,'Anlage 1g_Korrekturen_KG'!C$9,'Anlage 1c_Korrekturen_NB'!$B$11:$B$589,'Anlage 1g_Korrekturen_KG'!$B42,'Anlage 1c_Korrekturen_NB'!$C$11:$C$589,'Anlage 1g_Korrekturen_KG'!$A42)</f>
        <v>0</v>
      </c>
      <c r="D42" s="520"/>
      <c r="E42" s="519">
        <f>SUMIFS('Anlage 1c_Korrekturen_NB'!$L$11:$L$589,'Anlage 1c_Korrekturen_NB'!$O$11:$O$589,'Anlage 1g_Korrekturen_KG'!E$9,'Anlage 1c_Korrekturen_NB'!$B$11:$B$589,'Anlage 1g_Korrekturen_KG'!$B42,'Anlage 1c_Korrekturen_NB'!$C$11:$C$589,'Anlage 1g_Korrekturen_KG'!$A42)</f>
        <v>0</v>
      </c>
      <c r="F42" s="520"/>
      <c r="G42" s="519">
        <f>SUMIFS('Anlage 1c_Korrekturen_NB'!$L$11:$L$589,'Anlage 1c_Korrekturen_NB'!$O$11:$O$589,'Anlage 1g_Korrekturen_KG'!G$9,'Anlage 1c_Korrekturen_NB'!$B$11:$B$589,'Anlage 1g_Korrekturen_KG'!$B42,'Anlage 1c_Korrekturen_NB'!$C$11:$C$589,'Anlage 1g_Korrekturen_KG'!$A42)</f>
        <v>0</v>
      </c>
      <c r="H42" s="520"/>
      <c r="I42" s="519">
        <f>SUMIFS('Anlage 1c_Korrekturen_NB'!$L$11:$L$589,'Anlage 1c_Korrekturen_NB'!$O$11:$O$589,'Anlage 1g_Korrekturen_KG'!I$9,'Anlage 1c_Korrekturen_NB'!$B$11:$B$589,'Anlage 1g_Korrekturen_KG'!$B42,'Anlage 1c_Korrekturen_NB'!$C$11:$C$589,'Anlage 1g_Korrekturen_KG'!$A42)</f>
        <v>0</v>
      </c>
      <c r="J42" s="196"/>
      <c r="K42" s="1051">
        <f t="shared" si="5"/>
        <v>0</v>
      </c>
      <c r="L42" s="1048"/>
      <c r="M42" s="5"/>
      <c r="N42" s="5"/>
    </row>
    <row r="43" spans="1:16" hidden="1" outlineLevel="1">
      <c r="A43" s="522">
        <f t="shared" si="6"/>
        <v>2019</v>
      </c>
      <c r="B43" s="518">
        <v>3</v>
      </c>
      <c r="C43" s="519">
        <f>SUMIFS('Anlage 1c_Korrekturen_NB'!$L$11:$L$589,'Anlage 1c_Korrekturen_NB'!$O$11:$O$589,'Anlage 1g_Korrekturen_KG'!C$9,'Anlage 1c_Korrekturen_NB'!$B$11:$B$589,'Anlage 1g_Korrekturen_KG'!$B43,'Anlage 1c_Korrekturen_NB'!$C$11:$C$589,'Anlage 1g_Korrekturen_KG'!$A43)</f>
        <v>0</v>
      </c>
      <c r="D43" s="520"/>
      <c r="E43" s="519">
        <f>SUMIFS('Anlage 1c_Korrekturen_NB'!$L$11:$L$589,'Anlage 1c_Korrekturen_NB'!$O$11:$O$589,'Anlage 1g_Korrekturen_KG'!E$9,'Anlage 1c_Korrekturen_NB'!$B$11:$B$589,'Anlage 1g_Korrekturen_KG'!$B43,'Anlage 1c_Korrekturen_NB'!$C$11:$C$589,'Anlage 1g_Korrekturen_KG'!$A43)</f>
        <v>0</v>
      </c>
      <c r="F43" s="520"/>
      <c r="G43" s="519">
        <f>SUMIFS('Anlage 1c_Korrekturen_NB'!$L$11:$L$589,'Anlage 1c_Korrekturen_NB'!$O$11:$O$589,'Anlage 1g_Korrekturen_KG'!G$9,'Anlage 1c_Korrekturen_NB'!$B$11:$B$589,'Anlage 1g_Korrekturen_KG'!$B43,'Anlage 1c_Korrekturen_NB'!$C$11:$C$589,'Anlage 1g_Korrekturen_KG'!$A43)</f>
        <v>0</v>
      </c>
      <c r="H43" s="520"/>
      <c r="I43" s="519">
        <f>SUMIFS('Anlage 1c_Korrekturen_NB'!$L$11:$L$589,'Anlage 1c_Korrekturen_NB'!$O$11:$O$589,'Anlage 1g_Korrekturen_KG'!I$9,'Anlage 1c_Korrekturen_NB'!$B$11:$B$589,'Anlage 1g_Korrekturen_KG'!$B43,'Anlage 1c_Korrekturen_NB'!$C$11:$C$589,'Anlage 1g_Korrekturen_KG'!$A43)</f>
        <v>0</v>
      </c>
      <c r="J43" s="196"/>
      <c r="K43" s="1051">
        <f t="shared" si="5"/>
        <v>0</v>
      </c>
      <c r="L43" s="1048"/>
      <c r="M43" s="5"/>
      <c r="N43" s="5"/>
    </row>
    <row r="44" spans="1:16" hidden="1" outlineLevel="1">
      <c r="A44" s="522">
        <f t="shared" si="6"/>
        <v>2019</v>
      </c>
      <c r="B44" s="518">
        <v>4</v>
      </c>
      <c r="C44" s="519">
        <f>SUMIFS('Anlage 1c_Korrekturen_NB'!$L$11:$L$589,'Anlage 1c_Korrekturen_NB'!$O$11:$O$589,'Anlage 1g_Korrekturen_KG'!C$9,'Anlage 1c_Korrekturen_NB'!$B$11:$B$589,'Anlage 1g_Korrekturen_KG'!$B44,'Anlage 1c_Korrekturen_NB'!$C$11:$C$589,'Anlage 1g_Korrekturen_KG'!$A44)</f>
        <v>0</v>
      </c>
      <c r="D44" s="520"/>
      <c r="E44" s="519">
        <f>SUMIFS('Anlage 1c_Korrekturen_NB'!$L$11:$L$589,'Anlage 1c_Korrekturen_NB'!$O$11:$O$589,'Anlage 1g_Korrekturen_KG'!E$9,'Anlage 1c_Korrekturen_NB'!$B$11:$B$589,'Anlage 1g_Korrekturen_KG'!$B44,'Anlage 1c_Korrekturen_NB'!$C$11:$C$589,'Anlage 1g_Korrekturen_KG'!$A44)</f>
        <v>0</v>
      </c>
      <c r="F44" s="520"/>
      <c r="G44" s="519">
        <f>SUMIFS('Anlage 1c_Korrekturen_NB'!$L$11:$L$589,'Anlage 1c_Korrekturen_NB'!$O$11:$O$589,'Anlage 1g_Korrekturen_KG'!G$9,'Anlage 1c_Korrekturen_NB'!$B$11:$B$589,'Anlage 1g_Korrekturen_KG'!$B44,'Anlage 1c_Korrekturen_NB'!$C$11:$C$589,'Anlage 1g_Korrekturen_KG'!$A44)</f>
        <v>0</v>
      </c>
      <c r="H44" s="520"/>
      <c r="I44" s="519">
        <f>SUMIFS('Anlage 1c_Korrekturen_NB'!$L$11:$L$589,'Anlage 1c_Korrekturen_NB'!$O$11:$O$589,'Anlage 1g_Korrekturen_KG'!I$9,'Anlage 1c_Korrekturen_NB'!$B$11:$B$589,'Anlage 1g_Korrekturen_KG'!$B44,'Anlage 1c_Korrekturen_NB'!$C$11:$C$589,'Anlage 1g_Korrekturen_KG'!$A44)</f>
        <v>0</v>
      </c>
      <c r="J44" s="196"/>
      <c r="K44" s="1051">
        <f t="shared" si="5"/>
        <v>0</v>
      </c>
      <c r="L44" s="1048"/>
      <c r="M44" s="5"/>
      <c r="N44" s="5"/>
    </row>
    <row r="45" spans="1:16" hidden="1" outlineLevel="1">
      <c r="A45" s="522">
        <f t="shared" si="6"/>
        <v>2019</v>
      </c>
      <c r="B45" s="518">
        <v>5</v>
      </c>
      <c r="C45" s="519">
        <f>SUMIFS('Anlage 1c_Korrekturen_NB'!$L$11:$L$589,'Anlage 1c_Korrekturen_NB'!$O$11:$O$589,'Anlage 1g_Korrekturen_KG'!C$9,'Anlage 1c_Korrekturen_NB'!$B$11:$B$589,'Anlage 1g_Korrekturen_KG'!$B45,'Anlage 1c_Korrekturen_NB'!$C$11:$C$589,'Anlage 1g_Korrekturen_KG'!$A45)</f>
        <v>0</v>
      </c>
      <c r="D45" s="520"/>
      <c r="E45" s="519">
        <f>SUMIFS('Anlage 1c_Korrekturen_NB'!$L$11:$L$589,'Anlage 1c_Korrekturen_NB'!$O$11:$O$589,'Anlage 1g_Korrekturen_KG'!E$9,'Anlage 1c_Korrekturen_NB'!$B$11:$B$589,'Anlage 1g_Korrekturen_KG'!$B45,'Anlage 1c_Korrekturen_NB'!$C$11:$C$589,'Anlage 1g_Korrekturen_KG'!$A45)</f>
        <v>0</v>
      </c>
      <c r="F45" s="520"/>
      <c r="G45" s="519">
        <f>SUMIFS('Anlage 1c_Korrekturen_NB'!$L$11:$L$589,'Anlage 1c_Korrekturen_NB'!$O$11:$O$589,'Anlage 1g_Korrekturen_KG'!G$9,'Anlage 1c_Korrekturen_NB'!$B$11:$B$589,'Anlage 1g_Korrekturen_KG'!$B45,'Anlage 1c_Korrekturen_NB'!$C$11:$C$589,'Anlage 1g_Korrekturen_KG'!$A45)</f>
        <v>0</v>
      </c>
      <c r="H45" s="520"/>
      <c r="I45" s="519">
        <f>SUMIFS('Anlage 1c_Korrekturen_NB'!$L$11:$L$589,'Anlage 1c_Korrekturen_NB'!$O$11:$O$589,'Anlage 1g_Korrekturen_KG'!I$9,'Anlage 1c_Korrekturen_NB'!$B$11:$B$589,'Anlage 1g_Korrekturen_KG'!$B45,'Anlage 1c_Korrekturen_NB'!$C$11:$C$589,'Anlage 1g_Korrekturen_KG'!$A45)</f>
        <v>0</v>
      </c>
      <c r="J45" s="196"/>
      <c r="K45" s="1051">
        <f t="shared" si="5"/>
        <v>0</v>
      </c>
      <c r="L45" s="1048"/>
      <c r="M45" s="5"/>
      <c r="N45" s="5"/>
    </row>
    <row r="46" spans="1:16" hidden="1" outlineLevel="1">
      <c r="A46" s="523">
        <f t="shared" si="6"/>
        <v>2019</v>
      </c>
      <c r="B46" s="524">
        <v>7</v>
      </c>
      <c r="C46" s="519">
        <f>SUMIFS('Anlage 1c_Korrekturen_NB'!$L$11:$L$589,'Anlage 1c_Korrekturen_NB'!$O$11:$O$589,'Anlage 1g_Korrekturen_KG'!C$9,'Anlage 1c_Korrekturen_NB'!$B$11:$B$589,'Anlage 1g_Korrekturen_KG'!$B46,'Anlage 1c_Korrekturen_NB'!$C$11:$C$589,'Anlage 1g_Korrekturen_KG'!$A46)</f>
        <v>1534.8400000000001</v>
      </c>
      <c r="D46" s="520"/>
      <c r="E46" s="519">
        <f>SUMIFS('Anlage 1c_Korrekturen_NB'!$L$11:$L$589,'Anlage 1c_Korrekturen_NB'!$O$11:$O$589,'Anlage 1g_Korrekturen_KG'!E$9,'Anlage 1c_Korrekturen_NB'!$B$11:$B$589,'Anlage 1g_Korrekturen_KG'!$B46,'Anlage 1c_Korrekturen_NB'!$C$11:$C$589,'Anlage 1g_Korrekturen_KG'!$A46)</f>
        <v>320393.81</v>
      </c>
      <c r="F46" s="520"/>
      <c r="G46" s="519">
        <f>SUMIFS('Anlage 1c_Korrekturen_NB'!$L$11:$L$589,'Anlage 1c_Korrekturen_NB'!$O$11:$O$589,'Anlage 1g_Korrekturen_KG'!G$9,'Anlage 1c_Korrekturen_NB'!$B$11:$B$589,'Anlage 1g_Korrekturen_KG'!$B46,'Anlage 1c_Korrekturen_NB'!$C$11:$C$589,'Anlage 1g_Korrekturen_KG'!$A46)</f>
        <v>-279.52</v>
      </c>
      <c r="H46" s="520"/>
      <c r="I46" s="519">
        <v>52137.82</v>
      </c>
      <c r="J46" s="196"/>
      <c r="K46" s="1051">
        <f t="shared" si="5"/>
        <v>373786.95</v>
      </c>
      <c r="L46" s="1048"/>
      <c r="M46" s="5"/>
      <c r="N46" s="5"/>
    </row>
    <row r="47" spans="1:16" collapsed="1">
      <c r="A47" s="506">
        <v>2018</v>
      </c>
      <c r="B47" s="507"/>
      <c r="C47" s="526">
        <f>SUM(C48:C53)</f>
        <v>0</v>
      </c>
      <c r="D47" s="527"/>
      <c r="E47" s="526">
        <f>SUM(E48:E53)</f>
        <v>340476.97000000003</v>
      </c>
      <c r="F47" s="527"/>
      <c r="G47" s="526">
        <f>SUM(G48:G53)</f>
        <v>0</v>
      </c>
      <c r="H47" s="527"/>
      <c r="I47" s="528">
        <f>SUM(I48:I53)</f>
        <v>0</v>
      </c>
      <c r="J47" s="529"/>
      <c r="K47" s="1050">
        <f t="shared" ref="K47:K53" si="7">C47+E47+G47+I47</f>
        <v>340476.97000000003</v>
      </c>
      <c r="L47" s="1047"/>
      <c r="M47" s="5"/>
      <c r="N47" s="5"/>
      <c r="P47" s="127"/>
    </row>
    <row r="48" spans="1:16" hidden="1" outlineLevel="1">
      <c r="A48" s="522">
        <f>$A$47</f>
        <v>2018</v>
      </c>
      <c r="B48" s="518" t="s">
        <v>1743</v>
      </c>
      <c r="C48" s="519">
        <f>SUMIFS('Anlage 1c_Korrekturen_NB'!$L$11:$L$589,'Anlage 1c_Korrekturen_NB'!$O$11:$O$589,'Anlage 1g_Korrekturen_KG'!C$9,'Anlage 1c_Korrekturen_NB'!$B$11:$B$589,'Anlage 1g_Korrekturen_KG'!$B48,'Anlage 1c_Korrekturen_NB'!$C$11:$C$589,'Anlage 1g_Korrekturen_KG'!$A48)</f>
        <v>0</v>
      </c>
      <c r="D48" s="520"/>
      <c r="E48" s="519">
        <f>SUMIFS('Anlage 1c_Korrekturen_NB'!$L$11:$L$589,'Anlage 1c_Korrekturen_NB'!$O$11:$O$589,'Anlage 1g_Korrekturen_KG'!E$9,'Anlage 1c_Korrekturen_NB'!$B$11:$B$589,'Anlage 1g_Korrekturen_KG'!$B48,'Anlage 1c_Korrekturen_NB'!$C$11:$C$589,'Anlage 1g_Korrekturen_KG'!$A48)</f>
        <v>0</v>
      </c>
      <c r="F48" s="520"/>
      <c r="G48" s="519">
        <f>SUMIFS('Anlage 1c_Korrekturen_NB'!$L$11:$L$589,'Anlage 1c_Korrekturen_NB'!$O$11:$O$589,'Anlage 1g_Korrekturen_KG'!G$9,'Anlage 1c_Korrekturen_NB'!$B$11:$B$589,'Anlage 1g_Korrekturen_KG'!$B48,'Anlage 1c_Korrekturen_NB'!$C$11:$C$589,'Anlage 1g_Korrekturen_KG'!$A48)</f>
        <v>0</v>
      </c>
      <c r="H48" s="520"/>
      <c r="I48" s="519">
        <f>SUMIFS('Anlage 1c_Korrekturen_NB'!$L$11:$L$589,'Anlage 1c_Korrekturen_NB'!$O$11:$O$589,'Anlage 1g_Korrekturen_KG'!I$9,'Anlage 1c_Korrekturen_NB'!$B$11:$B$589,'Anlage 1g_Korrekturen_KG'!$B48,'Anlage 1c_Korrekturen_NB'!$C$11:$C$589,'Anlage 1g_Korrekturen_KG'!$A48)</f>
        <v>0</v>
      </c>
      <c r="J48" s="196"/>
      <c r="K48" s="1051">
        <f t="shared" si="7"/>
        <v>0</v>
      </c>
      <c r="L48" s="1048"/>
      <c r="M48" s="5"/>
      <c r="N48" s="5"/>
    </row>
    <row r="49" spans="1:16" hidden="1" outlineLevel="1">
      <c r="A49" s="522">
        <f t="shared" ref="A49:A53" si="8">$A$47</f>
        <v>2018</v>
      </c>
      <c r="B49" s="518">
        <v>2</v>
      </c>
      <c r="C49" s="519">
        <f>SUMIFS('Anlage 1c_Korrekturen_NB'!$L$11:$L$589,'Anlage 1c_Korrekturen_NB'!$O$11:$O$589,'Anlage 1g_Korrekturen_KG'!C$9,'Anlage 1c_Korrekturen_NB'!$B$11:$B$589,'Anlage 1g_Korrekturen_KG'!$B49,'Anlage 1c_Korrekturen_NB'!$C$11:$C$589,'Anlage 1g_Korrekturen_KG'!$A49)</f>
        <v>0</v>
      </c>
      <c r="D49" s="520"/>
      <c r="E49" s="519">
        <f>SUMIFS('Anlage 1c_Korrekturen_NB'!$L$11:$L$589,'Anlage 1c_Korrekturen_NB'!$O$11:$O$589,'Anlage 1g_Korrekturen_KG'!E$9,'Anlage 1c_Korrekturen_NB'!$B$11:$B$589,'Anlage 1g_Korrekturen_KG'!$B49,'Anlage 1c_Korrekturen_NB'!$C$11:$C$589,'Anlage 1g_Korrekturen_KG'!$A49)</f>
        <v>0</v>
      </c>
      <c r="F49" s="520"/>
      <c r="G49" s="519">
        <f>SUMIFS('Anlage 1c_Korrekturen_NB'!$L$11:$L$589,'Anlage 1c_Korrekturen_NB'!$O$11:$O$589,'Anlage 1g_Korrekturen_KG'!G$9,'Anlage 1c_Korrekturen_NB'!$B$11:$B$589,'Anlage 1g_Korrekturen_KG'!$B49,'Anlage 1c_Korrekturen_NB'!$C$11:$C$589,'Anlage 1g_Korrekturen_KG'!$A49)</f>
        <v>0</v>
      </c>
      <c r="H49" s="520"/>
      <c r="I49" s="519">
        <f>SUMIFS('Anlage 1c_Korrekturen_NB'!$L$11:$L$589,'Anlage 1c_Korrekturen_NB'!$O$11:$O$589,'Anlage 1g_Korrekturen_KG'!I$9,'Anlage 1c_Korrekturen_NB'!$B$11:$B$589,'Anlage 1g_Korrekturen_KG'!$B49,'Anlage 1c_Korrekturen_NB'!$C$11:$C$589,'Anlage 1g_Korrekturen_KG'!$A49)</f>
        <v>0</v>
      </c>
      <c r="J49" s="196"/>
      <c r="K49" s="1051">
        <f t="shared" si="7"/>
        <v>0</v>
      </c>
      <c r="L49" s="1048"/>
      <c r="M49" s="5"/>
      <c r="N49" s="5"/>
    </row>
    <row r="50" spans="1:16" hidden="1" outlineLevel="1">
      <c r="A50" s="522">
        <f t="shared" si="8"/>
        <v>2018</v>
      </c>
      <c r="B50" s="518">
        <v>3</v>
      </c>
      <c r="C50" s="519">
        <f>SUMIFS('Anlage 1c_Korrekturen_NB'!$L$11:$L$589,'Anlage 1c_Korrekturen_NB'!$O$11:$O$589,'Anlage 1g_Korrekturen_KG'!C$9,'Anlage 1c_Korrekturen_NB'!$B$11:$B$589,'Anlage 1g_Korrekturen_KG'!$B50,'Anlage 1c_Korrekturen_NB'!$C$11:$C$589,'Anlage 1g_Korrekturen_KG'!$A50)</f>
        <v>0</v>
      </c>
      <c r="D50" s="520"/>
      <c r="E50" s="519">
        <f>SUMIFS('Anlage 1c_Korrekturen_NB'!$L$11:$L$589,'Anlage 1c_Korrekturen_NB'!$O$11:$O$589,'Anlage 1g_Korrekturen_KG'!E$9,'Anlage 1c_Korrekturen_NB'!$B$11:$B$589,'Anlage 1g_Korrekturen_KG'!$B50,'Anlage 1c_Korrekturen_NB'!$C$11:$C$589,'Anlage 1g_Korrekturen_KG'!$A50)</f>
        <v>0</v>
      </c>
      <c r="F50" s="520"/>
      <c r="G50" s="519">
        <f>SUMIFS('Anlage 1c_Korrekturen_NB'!$L$11:$L$589,'Anlage 1c_Korrekturen_NB'!$O$11:$O$589,'Anlage 1g_Korrekturen_KG'!G$9,'Anlage 1c_Korrekturen_NB'!$B$11:$B$589,'Anlage 1g_Korrekturen_KG'!$B50,'Anlage 1c_Korrekturen_NB'!$C$11:$C$589,'Anlage 1g_Korrekturen_KG'!$A50)</f>
        <v>0</v>
      </c>
      <c r="H50" s="520"/>
      <c r="I50" s="519">
        <f>SUMIFS('Anlage 1c_Korrekturen_NB'!$L$11:$L$589,'Anlage 1c_Korrekturen_NB'!$O$11:$O$589,'Anlage 1g_Korrekturen_KG'!I$9,'Anlage 1c_Korrekturen_NB'!$B$11:$B$589,'Anlage 1g_Korrekturen_KG'!$B50,'Anlage 1c_Korrekturen_NB'!$C$11:$C$589,'Anlage 1g_Korrekturen_KG'!$A50)</f>
        <v>0</v>
      </c>
      <c r="J50" s="196"/>
      <c r="K50" s="1051">
        <f t="shared" si="7"/>
        <v>0</v>
      </c>
      <c r="L50" s="1048"/>
      <c r="M50" s="5"/>
      <c r="N50" s="5"/>
    </row>
    <row r="51" spans="1:16" hidden="1" outlineLevel="1">
      <c r="A51" s="522">
        <f t="shared" si="8"/>
        <v>2018</v>
      </c>
      <c r="B51" s="518">
        <v>4</v>
      </c>
      <c r="C51" s="519">
        <f>SUMIFS('Anlage 1c_Korrekturen_NB'!$L$11:$L$589,'Anlage 1c_Korrekturen_NB'!$O$11:$O$589,'Anlage 1g_Korrekturen_KG'!C$9,'Anlage 1c_Korrekturen_NB'!$B$11:$B$589,'Anlage 1g_Korrekturen_KG'!$B51,'Anlage 1c_Korrekturen_NB'!$C$11:$C$589,'Anlage 1g_Korrekturen_KG'!$A51)</f>
        <v>0</v>
      </c>
      <c r="D51" s="520"/>
      <c r="E51" s="519">
        <f>SUMIFS('Anlage 1c_Korrekturen_NB'!$L$11:$L$589,'Anlage 1c_Korrekturen_NB'!$O$11:$O$589,'Anlage 1g_Korrekturen_KG'!E$9,'Anlage 1c_Korrekturen_NB'!$B$11:$B$589,'Anlage 1g_Korrekturen_KG'!$B51,'Anlage 1c_Korrekturen_NB'!$C$11:$C$589,'Anlage 1g_Korrekturen_KG'!$A51)</f>
        <v>0</v>
      </c>
      <c r="F51" s="520"/>
      <c r="G51" s="519">
        <f>SUMIFS('Anlage 1c_Korrekturen_NB'!$L$11:$L$589,'Anlage 1c_Korrekturen_NB'!$O$11:$O$589,'Anlage 1g_Korrekturen_KG'!G$9,'Anlage 1c_Korrekturen_NB'!$B$11:$B$589,'Anlage 1g_Korrekturen_KG'!$B51,'Anlage 1c_Korrekturen_NB'!$C$11:$C$589,'Anlage 1g_Korrekturen_KG'!$A51)</f>
        <v>0</v>
      </c>
      <c r="H51" s="520"/>
      <c r="I51" s="519">
        <f>SUMIFS('Anlage 1c_Korrekturen_NB'!$L$11:$L$589,'Anlage 1c_Korrekturen_NB'!$O$11:$O$589,'Anlage 1g_Korrekturen_KG'!I$9,'Anlage 1c_Korrekturen_NB'!$B$11:$B$589,'Anlage 1g_Korrekturen_KG'!$B51,'Anlage 1c_Korrekturen_NB'!$C$11:$C$589,'Anlage 1g_Korrekturen_KG'!$A51)</f>
        <v>0</v>
      </c>
      <c r="J51" s="196"/>
      <c r="K51" s="1051">
        <f t="shared" si="7"/>
        <v>0</v>
      </c>
      <c r="L51" s="1048"/>
      <c r="M51" s="5"/>
      <c r="N51" s="5"/>
    </row>
    <row r="52" spans="1:16" hidden="1" outlineLevel="1">
      <c r="A52" s="522">
        <f t="shared" si="8"/>
        <v>2018</v>
      </c>
      <c r="B52" s="518">
        <v>5</v>
      </c>
      <c r="C52" s="519">
        <f>SUMIFS('Anlage 1c_Korrekturen_NB'!$L$11:$L$589,'Anlage 1c_Korrekturen_NB'!$O$11:$O$589,'Anlage 1g_Korrekturen_KG'!C$9,'Anlage 1c_Korrekturen_NB'!$B$11:$B$589,'Anlage 1g_Korrekturen_KG'!$B52,'Anlage 1c_Korrekturen_NB'!$C$11:$C$589,'Anlage 1g_Korrekturen_KG'!$A52)</f>
        <v>0</v>
      </c>
      <c r="D52" s="520"/>
      <c r="E52" s="519">
        <f>SUMIFS('Anlage 1c_Korrekturen_NB'!$L$11:$L$589,'Anlage 1c_Korrekturen_NB'!$O$11:$O$589,'Anlage 1g_Korrekturen_KG'!E$9,'Anlage 1c_Korrekturen_NB'!$B$11:$B$589,'Anlage 1g_Korrekturen_KG'!$B52,'Anlage 1c_Korrekturen_NB'!$C$11:$C$589,'Anlage 1g_Korrekturen_KG'!$A52)</f>
        <v>0</v>
      </c>
      <c r="F52" s="520"/>
      <c r="G52" s="519">
        <f>SUMIFS('Anlage 1c_Korrekturen_NB'!$L$11:$L$589,'Anlage 1c_Korrekturen_NB'!$O$11:$O$589,'Anlage 1g_Korrekturen_KG'!G$9,'Anlage 1c_Korrekturen_NB'!$B$11:$B$589,'Anlage 1g_Korrekturen_KG'!$B52,'Anlage 1c_Korrekturen_NB'!$C$11:$C$589,'Anlage 1g_Korrekturen_KG'!$A52)</f>
        <v>0</v>
      </c>
      <c r="H52" s="520"/>
      <c r="I52" s="519">
        <f>SUMIFS('Anlage 1c_Korrekturen_NB'!$L$11:$L$589,'Anlage 1c_Korrekturen_NB'!$O$11:$O$589,'Anlage 1g_Korrekturen_KG'!I$9,'Anlage 1c_Korrekturen_NB'!$B$11:$B$589,'Anlage 1g_Korrekturen_KG'!$B52,'Anlage 1c_Korrekturen_NB'!$C$11:$C$589,'Anlage 1g_Korrekturen_KG'!$A52)</f>
        <v>0</v>
      </c>
      <c r="J52" s="196"/>
      <c r="K52" s="1051">
        <f t="shared" si="7"/>
        <v>0</v>
      </c>
      <c r="L52" s="1048"/>
      <c r="M52" s="5"/>
      <c r="N52" s="5"/>
    </row>
    <row r="53" spans="1:16" hidden="1" outlineLevel="1">
      <c r="A53" s="523">
        <f t="shared" si="8"/>
        <v>2018</v>
      </c>
      <c r="B53" s="524">
        <v>7</v>
      </c>
      <c r="C53" s="519">
        <f>SUMIFS('Anlage 1c_Korrekturen_NB'!$L$11:$L$589,'Anlage 1c_Korrekturen_NB'!$O$11:$O$589,'Anlage 1g_Korrekturen_KG'!C$9,'Anlage 1c_Korrekturen_NB'!$B$11:$B$589,'Anlage 1g_Korrekturen_KG'!$B53,'Anlage 1c_Korrekturen_NB'!$C$11:$C$589,'Anlage 1g_Korrekturen_KG'!$A53)</f>
        <v>0</v>
      </c>
      <c r="D53" s="520"/>
      <c r="E53" s="519">
        <f>SUMIFS('Anlage 1c_Korrekturen_NB'!$L$11:$L$589,'Anlage 1c_Korrekturen_NB'!$O$11:$O$589,'Anlage 1g_Korrekturen_KG'!E$9,'Anlage 1c_Korrekturen_NB'!$B$11:$B$589,'Anlage 1g_Korrekturen_KG'!$B53,'Anlage 1c_Korrekturen_NB'!$C$11:$C$589,'Anlage 1g_Korrekturen_KG'!$A53)</f>
        <v>340476.97000000003</v>
      </c>
      <c r="F53" s="520"/>
      <c r="G53" s="519">
        <f>SUMIFS('Anlage 1c_Korrekturen_NB'!$L$11:$L$589,'Anlage 1c_Korrekturen_NB'!$O$11:$O$589,'Anlage 1g_Korrekturen_KG'!G$9,'Anlage 1c_Korrekturen_NB'!$B$11:$B$589,'Anlage 1g_Korrekturen_KG'!$B53,'Anlage 1c_Korrekturen_NB'!$C$11:$C$589,'Anlage 1g_Korrekturen_KG'!$A53)</f>
        <v>0</v>
      </c>
      <c r="H53" s="520"/>
      <c r="I53" s="519">
        <f>SUMIFS('Anlage 1c_Korrekturen_NB'!$L$11:$L$589,'Anlage 1c_Korrekturen_NB'!$O$11:$O$589,'Anlage 1g_Korrekturen_KG'!I$9,'Anlage 1c_Korrekturen_NB'!$B$11:$B$589,'Anlage 1g_Korrekturen_KG'!$B53,'Anlage 1c_Korrekturen_NB'!$C$11:$C$589,'Anlage 1g_Korrekturen_KG'!$A53)</f>
        <v>0</v>
      </c>
      <c r="J53" s="196"/>
      <c r="K53" s="1051">
        <f t="shared" si="7"/>
        <v>340476.97000000003</v>
      </c>
      <c r="L53" s="1048"/>
      <c r="M53" s="5"/>
      <c r="N53" s="5"/>
    </row>
    <row r="54" spans="1:16" collapsed="1">
      <c r="A54" s="506">
        <v>2017</v>
      </c>
      <c r="B54" s="507"/>
      <c r="C54" s="526">
        <f>SUM(C55:C60)</f>
        <v>0</v>
      </c>
      <c r="D54" s="527"/>
      <c r="E54" s="526">
        <f>SUM(E55:E60)</f>
        <v>281440.53999999998</v>
      </c>
      <c r="F54" s="527"/>
      <c r="G54" s="526">
        <f>SUM(G55:G60)</f>
        <v>0</v>
      </c>
      <c r="H54" s="527"/>
      <c r="I54" s="528">
        <f>SUM(I55:I60)</f>
        <v>0</v>
      </c>
      <c r="J54" s="529"/>
      <c r="K54" s="1050">
        <f t="shared" si="5"/>
        <v>281440.53999999998</v>
      </c>
      <c r="L54" s="1047"/>
      <c r="M54" s="5"/>
      <c r="N54" s="5"/>
      <c r="P54" s="127"/>
    </row>
    <row r="55" spans="1:16" hidden="1" outlineLevel="1">
      <c r="A55" s="522">
        <f>$A$54</f>
        <v>2017</v>
      </c>
      <c r="B55" s="518" t="s">
        <v>1743</v>
      </c>
      <c r="C55" s="519">
        <f>SUMIFS('Anlage 1c_Korrekturen_NB'!$L$11:$L$589,'Anlage 1c_Korrekturen_NB'!$O$11:$O$589,'Anlage 1g_Korrekturen_KG'!C$9,'Anlage 1c_Korrekturen_NB'!$B$11:$B$589,'Anlage 1g_Korrekturen_KG'!$B55,'Anlage 1c_Korrekturen_NB'!$C$11:$C$589,'Anlage 1g_Korrekturen_KG'!$A55)</f>
        <v>0</v>
      </c>
      <c r="D55" s="520"/>
      <c r="E55" s="519">
        <f>SUMIFS('Anlage 1c_Korrekturen_NB'!$L$11:$L$589,'Anlage 1c_Korrekturen_NB'!$O$11:$O$589,'Anlage 1g_Korrekturen_KG'!E$9,'Anlage 1c_Korrekturen_NB'!$B$11:$B$589,'Anlage 1g_Korrekturen_KG'!$B55,'Anlage 1c_Korrekturen_NB'!$C$11:$C$589,'Anlage 1g_Korrekturen_KG'!$A55)</f>
        <v>0</v>
      </c>
      <c r="F55" s="520"/>
      <c r="G55" s="519">
        <f>SUMIFS('Anlage 1c_Korrekturen_NB'!$L$11:$L$589,'Anlage 1c_Korrekturen_NB'!$O$11:$O$589,'Anlage 1g_Korrekturen_KG'!G$9,'Anlage 1c_Korrekturen_NB'!$B$11:$B$589,'Anlage 1g_Korrekturen_KG'!$B55,'Anlage 1c_Korrekturen_NB'!$C$11:$C$589,'Anlage 1g_Korrekturen_KG'!$A55)</f>
        <v>0</v>
      </c>
      <c r="H55" s="520"/>
      <c r="I55" s="519">
        <f>SUMIFS('Anlage 1c_Korrekturen_NB'!$L$11:$L$589,'Anlage 1c_Korrekturen_NB'!$O$11:$O$589,'Anlage 1g_Korrekturen_KG'!I$9,'Anlage 1c_Korrekturen_NB'!$B$11:$B$589,'Anlage 1g_Korrekturen_KG'!$B55,'Anlage 1c_Korrekturen_NB'!$C$11:$C$589,'Anlage 1g_Korrekturen_KG'!$A55)</f>
        <v>0</v>
      </c>
      <c r="J55" s="196"/>
      <c r="K55" s="1051">
        <f t="shared" si="5"/>
        <v>0</v>
      </c>
      <c r="L55" s="1048"/>
      <c r="M55" s="5"/>
      <c r="N55" s="5"/>
    </row>
    <row r="56" spans="1:16" hidden="1" outlineLevel="1">
      <c r="A56" s="522">
        <f t="shared" ref="A56:A60" si="9">$A$54</f>
        <v>2017</v>
      </c>
      <c r="B56" s="518">
        <v>2</v>
      </c>
      <c r="C56" s="519">
        <f>SUMIFS('Anlage 1c_Korrekturen_NB'!$L$11:$L$589,'Anlage 1c_Korrekturen_NB'!$O$11:$O$589,'Anlage 1g_Korrekturen_KG'!C$9,'Anlage 1c_Korrekturen_NB'!$B$11:$B$589,'Anlage 1g_Korrekturen_KG'!$B56,'Anlage 1c_Korrekturen_NB'!$C$11:$C$589,'Anlage 1g_Korrekturen_KG'!$A56)</f>
        <v>0</v>
      </c>
      <c r="D56" s="520"/>
      <c r="E56" s="519">
        <f>SUMIFS('Anlage 1c_Korrekturen_NB'!$L$11:$L$589,'Anlage 1c_Korrekturen_NB'!$O$11:$O$589,'Anlage 1g_Korrekturen_KG'!E$9,'Anlage 1c_Korrekturen_NB'!$B$11:$B$589,'Anlage 1g_Korrekturen_KG'!$B56,'Anlage 1c_Korrekturen_NB'!$C$11:$C$589,'Anlage 1g_Korrekturen_KG'!$A56)</f>
        <v>0</v>
      </c>
      <c r="F56" s="520"/>
      <c r="G56" s="519">
        <f>SUMIFS('Anlage 1c_Korrekturen_NB'!$L$11:$L$589,'Anlage 1c_Korrekturen_NB'!$O$11:$O$589,'Anlage 1g_Korrekturen_KG'!G$9,'Anlage 1c_Korrekturen_NB'!$B$11:$B$589,'Anlage 1g_Korrekturen_KG'!$B56,'Anlage 1c_Korrekturen_NB'!$C$11:$C$589,'Anlage 1g_Korrekturen_KG'!$A56)</f>
        <v>0</v>
      </c>
      <c r="H56" s="520"/>
      <c r="I56" s="519">
        <f>SUMIFS('Anlage 1c_Korrekturen_NB'!$L$11:$L$589,'Anlage 1c_Korrekturen_NB'!$O$11:$O$589,'Anlage 1g_Korrekturen_KG'!I$9,'Anlage 1c_Korrekturen_NB'!$B$11:$B$589,'Anlage 1g_Korrekturen_KG'!$B56,'Anlage 1c_Korrekturen_NB'!$C$11:$C$589,'Anlage 1g_Korrekturen_KG'!$A56)</f>
        <v>0</v>
      </c>
      <c r="J56" s="196"/>
      <c r="K56" s="1051">
        <f t="shared" si="5"/>
        <v>0</v>
      </c>
      <c r="L56" s="1048"/>
      <c r="M56" s="5"/>
      <c r="N56" s="5"/>
    </row>
    <row r="57" spans="1:16" hidden="1" outlineLevel="1">
      <c r="A57" s="522">
        <f t="shared" si="9"/>
        <v>2017</v>
      </c>
      <c r="B57" s="518">
        <v>3</v>
      </c>
      <c r="C57" s="519">
        <f>SUMIFS('Anlage 1c_Korrekturen_NB'!$L$11:$L$589,'Anlage 1c_Korrekturen_NB'!$O$11:$O$589,'Anlage 1g_Korrekturen_KG'!C$9,'Anlage 1c_Korrekturen_NB'!$B$11:$B$589,'Anlage 1g_Korrekturen_KG'!$B57,'Anlage 1c_Korrekturen_NB'!$C$11:$C$589,'Anlage 1g_Korrekturen_KG'!$A57)</f>
        <v>0</v>
      </c>
      <c r="D57" s="520"/>
      <c r="E57" s="519">
        <f>SUMIFS('Anlage 1c_Korrekturen_NB'!$L$11:$L$589,'Anlage 1c_Korrekturen_NB'!$O$11:$O$589,'Anlage 1g_Korrekturen_KG'!E$9,'Anlage 1c_Korrekturen_NB'!$B$11:$B$589,'Anlage 1g_Korrekturen_KG'!$B57,'Anlage 1c_Korrekturen_NB'!$C$11:$C$589,'Anlage 1g_Korrekturen_KG'!$A57)</f>
        <v>0</v>
      </c>
      <c r="F57" s="520"/>
      <c r="G57" s="519">
        <f>SUMIFS('Anlage 1c_Korrekturen_NB'!$L$11:$L$589,'Anlage 1c_Korrekturen_NB'!$O$11:$O$589,'Anlage 1g_Korrekturen_KG'!G$9,'Anlage 1c_Korrekturen_NB'!$B$11:$B$589,'Anlage 1g_Korrekturen_KG'!$B57,'Anlage 1c_Korrekturen_NB'!$C$11:$C$589,'Anlage 1g_Korrekturen_KG'!$A57)</f>
        <v>0</v>
      </c>
      <c r="H57" s="520"/>
      <c r="I57" s="519">
        <f>SUMIFS('Anlage 1c_Korrekturen_NB'!$L$11:$L$589,'Anlage 1c_Korrekturen_NB'!$O$11:$O$589,'Anlage 1g_Korrekturen_KG'!I$9,'Anlage 1c_Korrekturen_NB'!$B$11:$B$589,'Anlage 1g_Korrekturen_KG'!$B57,'Anlage 1c_Korrekturen_NB'!$C$11:$C$589,'Anlage 1g_Korrekturen_KG'!$A57)</f>
        <v>0</v>
      </c>
      <c r="J57" s="196"/>
      <c r="K57" s="1051">
        <f t="shared" si="5"/>
        <v>0</v>
      </c>
      <c r="L57" s="1048"/>
      <c r="M57" s="5"/>
      <c r="N57" s="5"/>
    </row>
    <row r="58" spans="1:16" hidden="1" outlineLevel="1">
      <c r="A58" s="522">
        <f t="shared" si="9"/>
        <v>2017</v>
      </c>
      <c r="B58" s="518">
        <v>4</v>
      </c>
      <c r="C58" s="519">
        <f>SUMIFS('Anlage 1c_Korrekturen_NB'!$L$11:$L$589,'Anlage 1c_Korrekturen_NB'!$O$11:$O$589,'Anlage 1g_Korrekturen_KG'!C$9,'Anlage 1c_Korrekturen_NB'!$B$11:$B$589,'Anlage 1g_Korrekturen_KG'!$B58,'Anlage 1c_Korrekturen_NB'!$C$11:$C$589,'Anlage 1g_Korrekturen_KG'!$A58)</f>
        <v>0</v>
      </c>
      <c r="D58" s="520"/>
      <c r="E58" s="519">
        <f>SUMIFS('Anlage 1c_Korrekturen_NB'!$L$11:$L$589,'Anlage 1c_Korrekturen_NB'!$O$11:$O$589,'Anlage 1g_Korrekturen_KG'!E$9,'Anlage 1c_Korrekturen_NB'!$B$11:$B$589,'Anlage 1g_Korrekturen_KG'!$B58,'Anlage 1c_Korrekturen_NB'!$C$11:$C$589,'Anlage 1g_Korrekturen_KG'!$A58)</f>
        <v>0</v>
      </c>
      <c r="F58" s="520"/>
      <c r="G58" s="519">
        <f>SUMIFS('Anlage 1c_Korrekturen_NB'!$L$11:$L$589,'Anlage 1c_Korrekturen_NB'!$O$11:$O$589,'Anlage 1g_Korrekturen_KG'!G$9,'Anlage 1c_Korrekturen_NB'!$B$11:$B$589,'Anlage 1g_Korrekturen_KG'!$B58,'Anlage 1c_Korrekturen_NB'!$C$11:$C$589,'Anlage 1g_Korrekturen_KG'!$A58)</f>
        <v>0</v>
      </c>
      <c r="H58" s="520"/>
      <c r="I58" s="519">
        <f>SUMIFS('Anlage 1c_Korrekturen_NB'!$L$11:$L$589,'Anlage 1c_Korrekturen_NB'!$O$11:$O$589,'Anlage 1g_Korrekturen_KG'!I$9,'Anlage 1c_Korrekturen_NB'!$B$11:$B$589,'Anlage 1g_Korrekturen_KG'!$B58,'Anlage 1c_Korrekturen_NB'!$C$11:$C$589,'Anlage 1g_Korrekturen_KG'!$A58)</f>
        <v>0</v>
      </c>
      <c r="J58" s="196"/>
      <c r="K58" s="1051">
        <f t="shared" si="5"/>
        <v>0</v>
      </c>
      <c r="L58" s="1048"/>
      <c r="M58" s="5"/>
      <c r="N58" s="5"/>
    </row>
    <row r="59" spans="1:16" hidden="1" outlineLevel="1">
      <c r="A59" s="522">
        <f t="shared" si="9"/>
        <v>2017</v>
      </c>
      <c r="B59" s="518">
        <v>5</v>
      </c>
      <c r="C59" s="519">
        <f>SUMIFS('Anlage 1c_Korrekturen_NB'!$L$11:$L$589,'Anlage 1c_Korrekturen_NB'!$O$11:$O$589,'Anlage 1g_Korrekturen_KG'!C$9,'Anlage 1c_Korrekturen_NB'!$B$11:$B$589,'Anlage 1g_Korrekturen_KG'!$B59,'Anlage 1c_Korrekturen_NB'!$C$11:$C$589,'Anlage 1g_Korrekturen_KG'!$A59)</f>
        <v>0</v>
      </c>
      <c r="D59" s="520"/>
      <c r="E59" s="519">
        <f>SUMIFS('Anlage 1c_Korrekturen_NB'!$L$11:$L$589,'Anlage 1c_Korrekturen_NB'!$O$11:$O$589,'Anlage 1g_Korrekturen_KG'!E$9,'Anlage 1c_Korrekturen_NB'!$B$11:$B$589,'Anlage 1g_Korrekturen_KG'!$B59,'Anlage 1c_Korrekturen_NB'!$C$11:$C$589,'Anlage 1g_Korrekturen_KG'!$A59)</f>
        <v>0</v>
      </c>
      <c r="F59" s="520"/>
      <c r="G59" s="519">
        <f>SUMIFS('Anlage 1c_Korrekturen_NB'!$L$11:$L$589,'Anlage 1c_Korrekturen_NB'!$O$11:$O$589,'Anlage 1g_Korrekturen_KG'!G$9,'Anlage 1c_Korrekturen_NB'!$B$11:$B$589,'Anlage 1g_Korrekturen_KG'!$B59,'Anlage 1c_Korrekturen_NB'!$C$11:$C$589,'Anlage 1g_Korrekturen_KG'!$A59)</f>
        <v>0</v>
      </c>
      <c r="H59" s="520"/>
      <c r="I59" s="519">
        <f>SUMIFS('Anlage 1c_Korrekturen_NB'!$L$11:$L$589,'Anlage 1c_Korrekturen_NB'!$O$11:$O$589,'Anlage 1g_Korrekturen_KG'!I$9,'Anlage 1c_Korrekturen_NB'!$B$11:$B$589,'Anlage 1g_Korrekturen_KG'!$B59,'Anlage 1c_Korrekturen_NB'!$C$11:$C$589,'Anlage 1g_Korrekturen_KG'!$A59)</f>
        <v>0</v>
      </c>
      <c r="J59" s="196"/>
      <c r="K59" s="1051">
        <f t="shared" si="5"/>
        <v>0</v>
      </c>
      <c r="L59" s="1048"/>
      <c r="M59" s="5"/>
      <c r="N59" s="5"/>
    </row>
    <row r="60" spans="1:16" hidden="1" outlineLevel="1">
      <c r="A60" s="523">
        <f t="shared" si="9"/>
        <v>2017</v>
      </c>
      <c r="B60" s="524">
        <v>7</v>
      </c>
      <c r="C60" s="519">
        <f>SUMIFS('Anlage 1c_Korrekturen_NB'!$L$11:$L$589,'Anlage 1c_Korrekturen_NB'!$O$11:$O$589,'Anlage 1g_Korrekturen_KG'!C$9,'Anlage 1c_Korrekturen_NB'!$B$11:$B$589,'Anlage 1g_Korrekturen_KG'!$B60,'Anlage 1c_Korrekturen_NB'!$C$11:$C$589,'Anlage 1g_Korrekturen_KG'!$A60)</f>
        <v>0</v>
      </c>
      <c r="D60" s="520"/>
      <c r="E60" s="519">
        <f>SUMIFS('Anlage 1c_Korrekturen_NB'!$L$11:$L$589,'Anlage 1c_Korrekturen_NB'!$O$11:$O$589,'Anlage 1g_Korrekturen_KG'!E$9,'Anlage 1c_Korrekturen_NB'!$B$11:$B$589,'Anlage 1g_Korrekturen_KG'!$B60,'Anlage 1c_Korrekturen_NB'!$C$11:$C$589,'Anlage 1g_Korrekturen_KG'!$A60)</f>
        <v>281440.53999999998</v>
      </c>
      <c r="F60" s="520"/>
      <c r="G60" s="519">
        <f>SUMIFS('Anlage 1c_Korrekturen_NB'!$L$11:$L$589,'Anlage 1c_Korrekturen_NB'!$O$11:$O$589,'Anlage 1g_Korrekturen_KG'!G$9,'Anlage 1c_Korrekturen_NB'!$B$11:$B$589,'Anlage 1g_Korrekturen_KG'!$B60,'Anlage 1c_Korrekturen_NB'!$C$11:$C$589,'Anlage 1g_Korrekturen_KG'!$A60)</f>
        <v>0</v>
      </c>
      <c r="H60" s="520"/>
      <c r="I60" s="519">
        <f>SUMIFS('Anlage 1c_Korrekturen_NB'!$L$11:$L$589,'Anlage 1c_Korrekturen_NB'!$O$11:$O$589,'Anlage 1g_Korrekturen_KG'!I$9,'Anlage 1c_Korrekturen_NB'!$B$11:$B$589,'Anlage 1g_Korrekturen_KG'!$B60,'Anlage 1c_Korrekturen_NB'!$C$11:$C$589,'Anlage 1g_Korrekturen_KG'!$A60)</f>
        <v>0</v>
      </c>
      <c r="J60" s="196"/>
      <c r="K60" s="1051">
        <f t="shared" si="5"/>
        <v>281440.53999999998</v>
      </c>
      <c r="L60" s="1048"/>
      <c r="M60" s="5"/>
      <c r="N60" s="5"/>
    </row>
    <row r="61" spans="1:16" collapsed="1">
      <c r="A61" s="506">
        <v>2016</v>
      </c>
      <c r="B61" s="507"/>
      <c r="C61" s="526">
        <f>SUM(C62:C67)</f>
        <v>0</v>
      </c>
      <c r="D61" s="527"/>
      <c r="E61" s="526">
        <f>SUM(E62:E67)</f>
        <v>656.5</v>
      </c>
      <c r="F61" s="527"/>
      <c r="G61" s="526">
        <f>SUM(G62:G67)</f>
        <v>0</v>
      </c>
      <c r="H61" s="527"/>
      <c r="I61" s="528">
        <f>SUM(I62:I67)</f>
        <v>0</v>
      </c>
      <c r="J61" s="529"/>
      <c r="K61" s="1050">
        <f t="shared" si="5"/>
        <v>656.5</v>
      </c>
      <c r="L61" s="1047"/>
      <c r="M61" s="5"/>
      <c r="N61" s="5"/>
      <c r="P61" s="127"/>
    </row>
    <row r="62" spans="1:16" hidden="1" outlineLevel="1">
      <c r="A62" s="522">
        <f>$A$61</f>
        <v>2016</v>
      </c>
      <c r="B62" s="518" t="s">
        <v>1743</v>
      </c>
      <c r="C62" s="519">
        <f>SUMIFS('Anlage 1c_Korrekturen_NB'!$L$11:$L$589,'Anlage 1c_Korrekturen_NB'!$O$11:$O$589,'Anlage 1g_Korrekturen_KG'!C$9,'Anlage 1c_Korrekturen_NB'!$B$11:$B$589,'Anlage 1g_Korrekturen_KG'!$B62,'Anlage 1c_Korrekturen_NB'!$C$11:$C$589,'Anlage 1g_Korrekturen_KG'!$A62)</f>
        <v>0</v>
      </c>
      <c r="D62" s="520"/>
      <c r="E62" s="519">
        <f>SUMIFS('Anlage 1c_Korrekturen_NB'!$L$11:$L$589,'Anlage 1c_Korrekturen_NB'!$O$11:$O$589,'Anlage 1g_Korrekturen_KG'!E$9,'Anlage 1c_Korrekturen_NB'!$B$11:$B$589,'Anlage 1g_Korrekturen_KG'!$B62,'Anlage 1c_Korrekturen_NB'!$C$11:$C$589,'Anlage 1g_Korrekturen_KG'!$A62)</f>
        <v>0</v>
      </c>
      <c r="F62" s="520"/>
      <c r="G62" s="519">
        <f>SUMIFS('Anlage 1c_Korrekturen_NB'!$L$11:$L$589,'Anlage 1c_Korrekturen_NB'!$O$11:$O$589,'Anlage 1g_Korrekturen_KG'!G$9,'Anlage 1c_Korrekturen_NB'!$B$11:$B$589,'Anlage 1g_Korrekturen_KG'!$B62,'Anlage 1c_Korrekturen_NB'!$C$11:$C$589,'Anlage 1g_Korrekturen_KG'!$A62)</f>
        <v>0</v>
      </c>
      <c r="H62" s="520"/>
      <c r="I62" s="519">
        <f>SUMIFS('Anlage 1c_Korrekturen_NB'!$L$11:$L$589,'Anlage 1c_Korrekturen_NB'!$O$11:$O$589,'Anlage 1g_Korrekturen_KG'!I$9,'Anlage 1c_Korrekturen_NB'!$B$11:$B$589,'Anlage 1g_Korrekturen_KG'!$B62,'Anlage 1c_Korrekturen_NB'!$C$11:$C$589,'Anlage 1g_Korrekturen_KG'!$A62)</f>
        <v>0</v>
      </c>
      <c r="J62" s="196"/>
      <c r="K62" s="1051">
        <f t="shared" si="5"/>
        <v>0</v>
      </c>
      <c r="L62" s="1048"/>
      <c r="M62" s="5"/>
      <c r="N62" s="5"/>
    </row>
    <row r="63" spans="1:16" hidden="1" outlineLevel="1">
      <c r="A63" s="522">
        <f t="shared" ref="A63:A67" si="10">$A$61</f>
        <v>2016</v>
      </c>
      <c r="B63" s="518">
        <v>2</v>
      </c>
      <c r="C63" s="519">
        <f>SUMIFS('Anlage 1c_Korrekturen_NB'!$L$11:$L$589,'Anlage 1c_Korrekturen_NB'!$O$11:$O$589,'Anlage 1g_Korrekturen_KG'!C$9,'Anlage 1c_Korrekturen_NB'!$B$11:$B$589,'Anlage 1g_Korrekturen_KG'!$B63,'Anlage 1c_Korrekturen_NB'!$C$11:$C$589,'Anlage 1g_Korrekturen_KG'!$A63)</f>
        <v>0</v>
      </c>
      <c r="D63" s="520"/>
      <c r="E63" s="519">
        <f>SUMIFS('Anlage 1c_Korrekturen_NB'!$L$11:$L$589,'Anlage 1c_Korrekturen_NB'!$O$11:$O$589,'Anlage 1g_Korrekturen_KG'!E$9,'Anlage 1c_Korrekturen_NB'!$B$11:$B$589,'Anlage 1g_Korrekturen_KG'!$B63,'Anlage 1c_Korrekturen_NB'!$C$11:$C$589,'Anlage 1g_Korrekturen_KG'!$A63)</f>
        <v>0</v>
      </c>
      <c r="F63" s="520"/>
      <c r="G63" s="519">
        <f>SUMIFS('Anlage 1c_Korrekturen_NB'!$L$11:$L$589,'Anlage 1c_Korrekturen_NB'!$O$11:$O$589,'Anlage 1g_Korrekturen_KG'!G$9,'Anlage 1c_Korrekturen_NB'!$B$11:$B$589,'Anlage 1g_Korrekturen_KG'!$B63,'Anlage 1c_Korrekturen_NB'!$C$11:$C$589,'Anlage 1g_Korrekturen_KG'!$A63)</f>
        <v>0</v>
      </c>
      <c r="H63" s="520"/>
      <c r="I63" s="519">
        <f>SUMIFS('Anlage 1c_Korrekturen_NB'!$L$11:$L$589,'Anlage 1c_Korrekturen_NB'!$O$11:$O$589,'Anlage 1g_Korrekturen_KG'!I$9,'Anlage 1c_Korrekturen_NB'!$B$11:$B$589,'Anlage 1g_Korrekturen_KG'!$B63,'Anlage 1c_Korrekturen_NB'!$C$11:$C$589,'Anlage 1g_Korrekturen_KG'!$A63)</f>
        <v>0</v>
      </c>
      <c r="J63" s="196"/>
      <c r="K63" s="1051">
        <f t="shared" si="5"/>
        <v>0</v>
      </c>
      <c r="L63" s="1048"/>
      <c r="M63" s="5"/>
      <c r="N63" s="5"/>
    </row>
    <row r="64" spans="1:16" hidden="1" outlineLevel="1">
      <c r="A64" s="522">
        <f t="shared" si="10"/>
        <v>2016</v>
      </c>
      <c r="B64" s="518">
        <v>3</v>
      </c>
      <c r="C64" s="519">
        <f>SUMIFS('Anlage 1c_Korrekturen_NB'!$L$11:$L$589,'Anlage 1c_Korrekturen_NB'!$O$11:$O$589,'Anlage 1g_Korrekturen_KG'!C$9,'Anlage 1c_Korrekturen_NB'!$B$11:$B$589,'Anlage 1g_Korrekturen_KG'!$B64,'Anlage 1c_Korrekturen_NB'!$C$11:$C$589,'Anlage 1g_Korrekturen_KG'!$A64)</f>
        <v>0</v>
      </c>
      <c r="D64" s="520"/>
      <c r="E64" s="519">
        <f>SUMIFS('Anlage 1c_Korrekturen_NB'!$L$11:$L$589,'Anlage 1c_Korrekturen_NB'!$O$11:$O$589,'Anlage 1g_Korrekturen_KG'!E$9,'Anlage 1c_Korrekturen_NB'!$B$11:$B$589,'Anlage 1g_Korrekturen_KG'!$B64,'Anlage 1c_Korrekturen_NB'!$C$11:$C$589,'Anlage 1g_Korrekturen_KG'!$A64)</f>
        <v>0</v>
      </c>
      <c r="F64" s="520"/>
      <c r="G64" s="519">
        <f>SUMIFS('Anlage 1c_Korrekturen_NB'!$L$11:$L$589,'Anlage 1c_Korrekturen_NB'!$O$11:$O$589,'Anlage 1g_Korrekturen_KG'!G$9,'Anlage 1c_Korrekturen_NB'!$B$11:$B$589,'Anlage 1g_Korrekturen_KG'!$B64,'Anlage 1c_Korrekturen_NB'!$C$11:$C$589,'Anlage 1g_Korrekturen_KG'!$A64)</f>
        <v>0</v>
      </c>
      <c r="H64" s="520"/>
      <c r="I64" s="519">
        <f>SUMIFS('Anlage 1c_Korrekturen_NB'!$L$11:$L$589,'Anlage 1c_Korrekturen_NB'!$O$11:$O$589,'Anlage 1g_Korrekturen_KG'!I$9,'Anlage 1c_Korrekturen_NB'!$B$11:$B$589,'Anlage 1g_Korrekturen_KG'!$B64,'Anlage 1c_Korrekturen_NB'!$C$11:$C$589,'Anlage 1g_Korrekturen_KG'!$A64)</f>
        <v>0</v>
      </c>
      <c r="J64" s="196"/>
      <c r="K64" s="1051">
        <f t="shared" si="5"/>
        <v>0</v>
      </c>
      <c r="L64" s="1048"/>
      <c r="M64" s="5"/>
      <c r="N64" s="5"/>
    </row>
    <row r="65" spans="1:16" hidden="1" outlineLevel="1">
      <c r="A65" s="522">
        <f t="shared" si="10"/>
        <v>2016</v>
      </c>
      <c r="B65" s="518">
        <v>4</v>
      </c>
      <c r="C65" s="519">
        <f>SUMIFS('Anlage 1c_Korrekturen_NB'!$L$11:$L$589,'Anlage 1c_Korrekturen_NB'!$O$11:$O$589,'Anlage 1g_Korrekturen_KG'!C$9,'Anlage 1c_Korrekturen_NB'!$B$11:$B$589,'Anlage 1g_Korrekturen_KG'!$B65,'Anlage 1c_Korrekturen_NB'!$C$11:$C$589,'Anlage 1g_Korrekturen_KG'!$A65)</f>
        <v>0</v>
      </c>
      <c r="D65" s="520"/>
      <c r="E65" s="519">
        <f>SUMIFS('Anlage 1c_Korrekturen_NB'!$L$11:$L$589,'Anlage 1c_Korrekturen_NB'!$O$11:$O$589,'Anlage 1g_Korrekturen_KG'!E$9,'Anlage 1c_Korrekturen_NB'!$B$11:$B$589,'Anlage 1g_Korrekturen_KG'!$B65,'Anlage 1c_Korrekturen_NB'!$C$11:$C$589,'Anlage 1g_Korrekturen_KG'!$A65)</f>
        <v>0</v>
      </c>
      <c r="F65" s="520"/>
      <c r="G65" s="519">
        <f>SUMIFS('Anlage 1c_Korrekturen_NB'!$L$11:$L$589,'Anlage 1c_Korrekturen_NB'!$O$11:$O$589,'Anlage 1g_Korrekturen_KG'!G$9,'Anlage 1c_Korrekturen_NB'!$B$11:$B$589,'Anlage 1g_Korrekturen_KG'!$B65,'Anlage 1c_Korrekturen_NB'!$C$11:$C$589,'Anlage 1g_Korrekturen_KG'!$A65)</f>
        <v>0</v>
      </c>
      <c r="H65" s="520"/>
      <c r="I65" s="519">
        <f>SUMIFS('Anlage 1c_Korrekturen_NB'!$L$11:$L$589,'Anlage 1c_Korrekturen_NB'!$O$11:$O$589,'Anlage 1g_Korrekturen_KG'!I$9,'Anlage 1c_Korrekturen_NB'!$B$11:$B$589,'Anlage 1g_Korrekturen_KG'!$B65,'Anlage 1c_Korrekturen_NB'!$C$11:$C$589,'Anlage 1g_Korrekturen_KG'!$A65)</f>
        <v>0</v>
      </c>
      <c r="J65" s="196"/>
      <c r="K65" s="1051">
        <f t="shared" si="5"/>
        <v>0</v>
      </c>
      <c r="L65" s="1048"/>
      <c r="M65" s="5"/>
      <c r="N65" s="5"/>
    </row>
    <row r="66" spans="1:16" hidden="1" outlineLevel="1">
      <c r="A66" s="522">
        <f t="shared" si="10"/>
        <v>2016</v>
      </c>
      <c r="B66" s="518">
        <v>5</v>
      </c>
      <c r="C66" s="519">
        <f>SUMIFS('Anlage 1c_Korrekturen_NB'!$L$11:$L$589,'Anlage 1c_Korrekturen_NB'!$O$11:$O$589,'Anlage 1g_Korrekturen_KG'!C$9,'Anlage 1c_Korrekturen_NB'!$B$11:$B$589,'Anlage 1g_Korrekturen_KG'!$B66,'Anlage 1c_Korrekturen_NB'!$C$11:$C$589,'Anlage 1g_Korrekturen_KG'!$A66)</f>
        <v>0</v>
      </c>
      <c r="D66" s="520"/>
      <c r="E66" s="519">
        <f>SUMIFS('Anlage 1c_Korrekturen_NB'!$L$11:$L$589,'Anlage 1c_Korrekturen_NB'!$O$11:$O$589,'Anlage 1g_Korrekturen_KG'!E$9,'Anlage 1c_Korrekturen_NB'!$B$11:$B$589,'Anlage 1g_Korrekturen_KG'!$B66,'Anlage 1c_Korrekturen_NB'!$C$11:$C$589,'Anlage 1g_Korrekturen_KG'!$A66)</f>
        <v>0</v>
      </c>
      <c r="F66" s="520"/>
      <c r="G66" s="519">
        <f>SUMIFS('Anlage 1c_Korrekturen_NB'!$L$11:$L$589,'Anlage 1c_Korrekturen_NB'!$O$11:$O$589,'Anlage 1g_Korrekturen_KG'!G$9,'Anlage 1c_Korrekturen_NB'!$B$11:$B$589,'Anlage 1g_Korrekturen_KG'!$B66,'Anlage 1c_Korrekturen_NB'!$C$11:$C$589,'Anlage 1g_Korrekturen_KG'!$A66)</f>
        <v>0</v>
      </c>
      <c r="H66" s="520"/>
      <c r="I66" s="519">
        <f>SUMIFS('Anlage 1c_Korrekturen_NB'!$L$11:$L$589,'Anlage 1c_Korrekturen_NB'!$O$11:$O$589,'Anlage 1g_Korrekturen_KG'!I$9,'Anlage 1c_Korrekturen_NB'!$B$11:$B$589,'Anlage 1g_Korrekturen_KG'!$B66,'Anlage 1c_Korrekturen_NB'!$C$11:$C$589,'Anlage 1g_Korrekturen_KG'!$A66)</f>
        <v>0</v>
      </c>
      <c r="J66" s="196"/>
      <c r="K66" s="1051">
        <f t="shared" si="5"/>
        <v>0</v>
      </c>
      <c r="L66" s="1048"/>
      <c r="M66" s="5"/>
      <c r="N66" s="5"/>
    </row>
    <row r="67" spans="1:16" hidden="1" outlineLevel="1">
      <c r="A67" s="523">
        <f t="shared" si="10"/>
        <v>2016</v>
      </c>
      <c r="B67" s="524">
        <v>7</v>
      </c>
      <c r="C67" s="519">
        <f>SUMIFS('Anlage 1c_Korrekturen_NB'!$L$11:$L$589,'Anlage 1c_Korrekturen_NB'!$O$11:$O$589,'Anlage 1g_Korrekturen_KG'!C$9,'Anlage 1c_Korrekturen_NB'!$B$11:$B$589,'Anlage 1g_Korrekturen_KG'!$B67,'Anlage 1c_Korrekturen_NB'!$C$11:$C$589,'Anlage 1g_Korrekturen_KG'!$A67)</f>
        <v>0</v>
      </c>
      <c r="D67" s="520"/>
      <c r="E67" s="519">
        <f>SUMIFS('Anlage 1c_Korrekturen_NB'!$L$11:$L$589,'Anlage 1c_Korrekturen_NB'!$O$11:$O$589,'Anlage 1g_Korrekturen_KG'!E$9,'Anlage 1c_Korrekturen_NB'!$B$11:$B$589,'Anlage 1g_Korrekturen_KG'!$B67,'Anlage 1c_Korrekturen_NB'!$C$11:$C$589,'Anlage 1g_Korrekturen_KG'!$A67)</f>
        <v>656.5</v>
      </c>
      <c r="F67" s="520"/>
      <c r="G67" s="519">
        <f>SUMIFS('Anlage 1c_Korrekturen_NB'!$L$11:$L$589,'Anlage 1c_Korrekturen_NB'!$O$11:$O$589,'Anlage 1g_Korrekturen_KG'!G$9,'Anlage 1c_Korrekturen_NB'!$B$11:$B$589,'Anlage 1g_Korrekturen_KG'!$B67,'Anlage 1c_Korrekturen_NB'!$C$11:$C$589,'Anlage 1g_Korrekturen_KG'!$A67)</f>
        <v>0</v>
      </c>
      <c r="H67" s="520"/>
      <c r="I67" s="519">
        <f>SUMIFS('Anlage 1c_Korrekturen_NB'!$L$11:$L$589,'Anlage 1c_Korrekturen_NB'!$O$11:$O$589,'Anlage 1g_Korrekturen_KG'!I$9,'Anlage 1c_Korrekturen_NB'!$B$11:$B$589,'Anlage 1g_Korrekturen_KG'!$B67,'Anlage 1c_Korrekturen_NB'!$C$11:$C$589,'Anlage 1g_Korrekturen_KG'!$A67)</f>
        <v>0</v>
      </c>
      <c r="J67" s="196"/>
      <c r="K67" s="1051">
        <f t="shared" si="5"/>
        <v>656.5</v>
      </c>
      <c r="L67" s="1048"/>
      <c r="M67" s="5"/>
      <c r="N67" s="5"/>
    </row>
    <row r="68" spans="1:16" ht="13.5" collapsed="1" thickBot="1">
      <c r="A68" s="1134">
        <v>2015</v>
      </c>
      <c r="B68" s="1135"/>
      <c r="C68" s="1142">
        <f>SUM(C69:C74)</f>
        <v>0</v>
      </c>
      <c r="D68" s="1143"/>
      <c r="E68" s="1142">
        <f>SUM(E69:E74)</f>
        <v>0</v>
      </c>
      <c r="F68" s="1143"/>
      <c r="G68" s="1142">
        <f>SUM(G69:G74)</f>
        <v>0</v>
      </c>
      <c r="H68" s="1143"/>
      <c r="I68" s="1144">
        <f>SUM(I69:I74)</f>
        <v>0</v>
      </c>
      <c r="J68" s="1145"/>
      <c r="K68" s="1146">
        <f t="shared" si="1"/>
        <v>0</v>
      </c>
      <c r="L68" s="1147"/>
      <c r="M68" s="5"/>
      <c r="N68" s="5"/>
      <c r="P68" s="127"/>
    </row>
    <row r="69" spans="1:16" hidden="1" outlineLevel="1">
      <c r="A69" s="522">
        <f t="shared" ref="A69:A74" si="11">$A$68</f>
        <v>2015</v>
      </c>
      <c r="B69" s="518" t="s">
        <v>1743</v>
      </c>
      <c r="C69" s="519">
        <f>SUMIFS('Anlage 1c_Korrekturen_NB'!$L$11:$L$589,'Anlage 1c_Korrekturen_NB'!$O$11:$O$589,'Anlage 1g_Korrekturen_KG'!C$9,'Anlage 1c_Korrekturen_NB'!$B$11:$B$589,'Anlage 1g_Korrekturen_KG'!$B69,'Anlage 1c_Korrekturen_NB'!$C$11:$C$589,'Anlage 1g_Korrekturen_KG'!$A69)</f>
        <v>0</v>
      </c>
      <c r="D69" s="520"/>
      <c r="E69" s="519">
        <f>SUMIFS('Anlage 1c_Korrekturen_NB'!$L$11:$L$589,'Anlage 1c_Korrekturen_NB'!$O$11:$O$589,'Anlage 1g_Korrekturen_KG'!E$9,'Anlage 1c_Korrekturen_NB'!$B$11:$B$589,'Anlage 1g_Korrekturen_KG'!$B69,'Anlage 1c_Korrekturen_NB'!$C$11:$C$589,'Anlage 1g_Korrekturen_KG'!$A69)</f>
        <v>0</v>
      </c>
      <c r="F69" s="520"/>
      <c r="G69" s="519">
        <f>SUMIFS('Anlage 1c_Korrekturen_NB'!$L$11:$L$589,'Anlage 1c_Korrekturen_NB'!$O$11:$O$589,'Anlage 1g_Korrekturen_KG'!G$9,'Anlage 1c_Korrekturen_NB'!$B$11:$B$589,'Anlage 1g_Korrekturen_KG'!$B69,'Anlage 1c_Korrekturen_NB'!$C$11:$C$589,'Anlage 1g_Korrekturen_KG'!$A69)</f>
        <v>0</v>
      </c>
      <c r="H69" s="520"/>
      <c r="I69" s="519">
        <f>SUMIFS('Anlage 1c_Korrekturen_NB'!$L$11:$L$589,'Anlage 1c_Korrekturen_NB'!$O$11:$O$589,'Anlage 1g_Korrekturen_KG'!I$9,'Anlage 1c_Korrekturen_NB'!$B$11:$B$589,'Anlage 1g_Korrekturen_KG'!$B69,'Anlage 1c_Korrekturen_NB'!$C$11:$C$589,'Anlage 1g_Korrekturen_KG'!$A69)</f>
        <v>0</v>
      </c>
      <c r="J69" s="196"/>
      <c r="K69" s="1051">
        <f t="shared" si="1"/>
        <v>0</v>
      </c>
      <c r="L69" s="1048"/>
      <c r="M69" s="5"/>
      <c r="N69" s="5"/>
    </row>
    <row r="70" spans="1:16" hidden="1" outlineLevel="1">
      <c r="A70" s="522">
        <f t="shared" si="11"/>
        <v>2015</v>
      </c>
      <c r="B70" s="518">
        <v>2</v>
      </c>
      <c r="C70" s="519">
        <f>SUMIFS('Anlage 1c_Korrekturen_NB'!$L$11:$L$589,'Anlage 1c_Korrekturen_NB'!$O$11:$O$589,'Anlage 1g_Korrekturen_KG'!C$9,'Anlage 1c_Korrekturen_NB'!$B$11:$B$589,'Anlage 1g_Korrekturen_KG'!$B70,'Anlage 1c_Korrekturen_NB'!$C$11:$C$589,'Anlage 1g_Korrekturen_KG'!$A70)</f>
        <v>0</v>
      </c>
      <c r="D70" s="520"/>
      <c r="E70" s="519">
        <f>SUMIFS('Anlage 1c_Korrekturen_NB'!$L$11:$L$589,'Anlage 1c_Korrekturen_NB'!$O$11:$O$589,'Anlage 1g_Korrekturen_KG'!E$9,'Anlage 1c_Korrekturen_NB'!$B$11:$B$589,'Anlage 1g_Korrekturen_KG'!$B70,'Anlage 1c_Korrekturen_NB'!$C$11:$C$589,'Anlage 1g_Korrekturen_KG'!$A70)</f>
        <v>0</v>
      </c>
      <c r="F70" s="520"/>
      <c r="G70" s="519">
        <f>SUMIFS('Anlage 1c_Korrekturen_NB'!$L$11:$L$589,'Anlage 1c_Korrekturen_NB'!$O$11:$O$589,'Anlage 1g_Korrekturen_KG'!G$9,'Anlage 1c_Korrekturen_NB'!$B$11:$B$589,'Anlage 1g_Korrekturen_KG'!$B70,'Anlage 1c_Korrekturen_NB'!$C$11:$C$589,'Anlage 1g_Korrekturen_KG'!$A70)</f>
        <v>0</v>
      </c>
      <c r="H70" s="520"/>
      <c r="I70" s="519">
        <f>SUMIFS('Anlage 1c_Korrekturen_NB'!$L$11:$L$589,'Anlage 1c_Korrekturen_NB'!$O$11:$O$589,'Anlage 1g_Korrekturen_KG'!I$9,'Anlage 1c_Korrekturen_NB'!$B$11:$B$589,'Anlage 1g_Korrekturen_KG'!$B70,'Anlage 1c_Korrekturen_NB'!$C$11:$C$589,'Anlage 1g_Korrekturen_KG'!$A70)</f>
        <v>0</v>
      </c>
      <c r="J70" s="196"/>
      <c r="K70" s="1051">
        <f t="shared" si="1"/>
        <v>0</v>
      </c>
      <c r="L70" s="1048"/>
      <c r="M70" s="5"/>
      <c r="N70" s="5"/>
    </row>
    <row r="71" spans="1:16" hidden="1" outlineLevel="1">
      <c r="A71" s="522">
        <f t="shared" si="11"/>
        <v>2015</v>
      </c>
      <c r="B71" s="518">
        <v>3</v>
      </c>
      <c r="C71" s="519">
        <f>SUMIFS('Anlage 1c_Korrekturen_NB'!$L$11:$L$589,'Anlage 1c_Korrekturen_NB'!$O$11:$O$589,'Anlage 1g_Korrekturen_KG'!C$9,'Anlage 1c_Korrekturen_NB'!$B$11:$B$589,'Anlage 1g_Korrekturen_KG'!$B71,'Anlage 1c_Korrekturen_NB'!$C$11:$C$589,'Anlage 1g_Korrekturen_KG'!$A71)</f>
        <v>0</v>
      </c>
      <c r="D71" s="520"/>
      <c r="E71" s="519">
        <f>SUMIFS('Anlage 1c_Korrekturen_NB'!$L$11:$L$589,'Anlage 1c_Korrekturen_NB'!$O$11:$O$589,'Anlage 1g_Korrekturen_KG'!E$9,'Anlage 1c_Korrekturen_NB'!$B$11:$B$589,'Anlage 1g_Korrekturen_KG'!$B71,'Anlage 1c_Korrekturen_NB'!$C$11:$C$589,'Anlage 1g_Korrekturen_KG'!$A71)</f>
        <v>0</v>
      </c>
      <c r="F71" s="520"/>
      <c r="G71" s="519">
        <f>SUMIFS('Anlage 1c_Korrekturen_NB'!$L$11:$L$589,'Anlage 1c_Korrekturen_NB'!$O$11:$O$589,'Anlage 1g_Korrekturen_KG'!G$9,'Anlage 1c_Korrekturen_NB'!$B$11:$B$589,'Anlage 1g_Korrekturen_KG'!$B71,'Anlage 1c_Korrekturen_NB'!$C$11:$C$589,'Anlage 1g_Korrekturen_KG'!$A71)</f>
        <v>0</v>
      </c>
      <c r="H71" s="520"/>
      <c r="I71" s="519">
        <f>SUMIFS('Anlage 1c_Korrekturen_NB'!$L$11:$L$589,'Anlage 1c_Korrekturen_NB'!$O$11:$O$589,'Anlage 1g_Korrekturen_KG'!I$9,'Anlage 1c_Korrekturen_NB'!$B$11:$B$589,'Anlage 1g_Korrekturen_KG'!$B71,'Anlage 1c_Korrekturen_NB'!$C$11:$C$589,'Anlage 1g_Korrekturen_KG'!$A71)</f>
        <v>0</v>
      </c>
      <c r="J71" s="196"/>
      <c r="K71" s="1051">
        <f t="shared" si="1"/>
        <v>0</v>
      </c>
      <c r="L71" s="1048"/>
      <c r="M71" s="5"/>
      <c r="N71" s="5"/>
    </row>
    <row r="72" spans="1:16" hidden="1" outlineLevel="1">
      <c r="A72" s="522">
        <f t="shared" si="11"/>
        <v>2015</v>
      </c>
      <c r="B72" s="518">
        <v>4</v>
      </c>
      <c r="C72" s="519">
        <f>SUMIFS('Anlage 1c_Korrekturen_NB'!$L$11:$L$589,'Anlage 1c_Korrekturen_NB'!$O$11:$O$589,'Anlage 1g_Korrekturen_KG'!C$9,'Anlage 1c_Korrekturen_NB'!$B$11:$B$589,'Anlage 1g_Korrekturen_KG'!$B72,'Anlage 1c_Korrekturen_NB'!$C$11:$C$589,'Anlage 1g_Korrekturen_KG'!$A72)</f>
        <v>0</v>
      </c>
      <c r="D72" s="520"/>
      <c r="E72" s="519">
        <f>SUMIFS('Anlage 1c_Korrekturen_NB'!$L$11:$L$589,'Anlage 1c_Korrekturen_NB'!$O$11:$O$589,'Anlage 1g_Korrekturen_KG'!E$9,'Anlage 1c_Korrekturen_NB'!$B$11:$B$589,'Anlage 1g_Korrekturen_KG'!$B72,'Anlage 1c_Korrekturen_NB'!$C$11:$C$589,'Anlage 1g_Korrekturen_KG'!$A72)</f>
        <v>0</v>
      </c>
      <c r="F72" s="520"/>
      <c r="G72" s="519">
        <f>SUMIFS('Anlage 1c_Korrekturen_NB'!$L$11:$L$589,'Anlage 1c_Korrekturen_NB'!$O$11:$O$589,'Anlage 1g_Korrekturen_KG'!G$9,'Anlage 1c_Korrekturen_NB'!$B$11:$B$589,'Anlage 1g_Korrekturen_KG'!$B72,'Anlage 1c_Korrekturen_NB'!$C$11:$C$589,'Anlage 1g_Korrekturen_KG'!$A72)</f>
        <v>0</v>
      </c>
      <c r="H72" s="520"/>
      <c r="I72" s="519">
        <f>SUMIFS('Anlage 1c_Korrekturen_NB'!$L$11:$L$589,'Anlage 1c_Korrekturen_NB'!$O$11:$O$589,'Anlage 1g_Korrekturen_KG'!I$9,'Anlage 1c_Korrekturen_NB'!$B$11:$B$589,'Anlage 1g_Korrekturen_KG'!$B72,'Anlage 1c_Korrekturen_NB'!$C$11:$C$589,'Anlage 1g_Korrekturen_KG'!$A72)</f>
        <v>0</v>
      </c>
      <c r="J72" s="196"/>
      <c r="K72" s="1051">
        <f t="shared" si="1"/>
        <v>0</v>
      </c>
      <c r="L72" s="1048"/>
      <c r="M72" s="5"/>
      <c r="N72" s="5"/>
    </row>
    <row r="73" spans="1:16" hidden="1" outlineLevel="1">
      <c r="A73" s="522">
        <f t="shared" si="11"/>
        <v>2015</v>
      </c>
      <c r="B73" s="518">
        <v>5</v>
      </c>
      <c r="C73" s="519">
        <f>SUMIFS('Anlage 1c_Korrekturen_NB'!$L$11:$L$589,'Anlage 1c_Korrekturen_NB'!$O$11:$O$589,'Anlage 1g_Korrekturen_KG'!C$9,'Anlage 1c_Korrekturen_NB'!$B$11:$B$589,'Anlage 1g_Korrekturen_KG'!$B73,'Anlage 1c_Korrekturen_NB'!$C$11:$C$589,'Anlage 1g_Korrekturen_KG'!$A73)</f>
        <v>0</v>
      </c>
      <c r="D73" s="520"/>
      <c r="E73" s="519">
        <f>SUMIFS('Anlage 1c_Korrekturen_NB'!$L$11:$L$589,'Anlage 1c_Korrekturen_NB'!$O$11:$O$589,'Anlage 1g_Korrekturen_KG'!E$9,'Anlage 1c_Korrekturen_NB'!$B$11:$B$589,'Anlage 1g_Korrekturen_KG'!$B73,'Anlage 1c_Korrekturen_NB'!$C$11:$C$589,'Anlage 1g_Korrekturen_KG'!$A73)</f>
        <v>0</v>
      </c>
      <c r="F73" s="520"/>
      <c r="G73" s="519">
        <f>SUMIFS('Anlage 1c_Korrekturen_NB'!$L$11:$L$589,'Anlage 1c_Korrekturen_NB'!$O$11:$O$589,'Anlage 1g_Korrekturen_KG'!G$9,'Anlage 1c_Korrekturen_NB'!$B$11:$B$589,'Anlage 1g_Korrekturen_KG'!$B73,'Anlage 1c_Korrekturen_NB'!$C$11:$C$589,'Anlage 1g_Korrekturen_KG'!$A73)</f>
        <v>0</v>
      </c>
      <c r="H73" s="520"/>
      <c r="I73" s="519">
        <f>SUMIFS('Anlage 1c_Korrekturen_NB'!$L$11:$L$589,'Anlage 1c_Korrekturen_NB'!$O$11:$O$589,'Anlage 1g_Korrekturen_KG'!I$9,'Anlage 1c_Korrekturen_NB'!$B$11:$B$589,'Anlage 1g_Korrekturen_KG'!$B73,'Anlage 1c_Korrekturen_NB'!$C$11:$C$589,'Anlage 1g_Korrekturen_KG'!$A73)</f>
        <v>0</v>
      </c>
      <c r="J73" s="196"/>
      <c r="K73" s="1051">
        <f t="shared" si="1"/>
        <v>0</v>
      </c>
      <c r="L73" s="1048"/>
      <c r="M73" s="5"/>
      <c r="N73" s="5"/>
    </row>
    <row r="74" spans="1:16" ht="13.5" hidden="1" outlineLevel="1" thickBot="1">
      <c r="A74" s="523">
        <f t="shared" si="11"/>
        <v>2015</v>
      </c>
      <c r="B74" s="524">
        <v>7</v>
      </c>
      <c r="C74" s="519">
        <f>SUMIFS('Anlage 1c_Korrekturen_NB'!$L$11:$L$589,'Anlage 1c_Korrekturen_NB'!$O$11:$O$589,'Anlage 1g_Korrekturen_KG'!C$9,'Anlage 1c_Korrekturen_NB'!$B$11:$B$589,'Anlage 1g_Korrekturen_KG'!$B74,'Anlage 1c_Korrekturen_NB'!$C$11:$C$589,'Anlage 1g_Korrekturen_KG'!$A74)</f>
        <v>0</v>
      </c>
      <c r="D74" s="520"/>
      <c r="E74" s="519">
        <f>SUMIFS('Anlage 1c_Korrekturen_NB'!$L$11:$L$589,'Anlage 1c_Korrekturen_NB'!$O$11:$O$589,'Anlage 1g_Korrekturen_KG'!E$9,'Anlage 1c_Korrekturen_NB'!$B$11:$B$589,'Anlage 1g_Korrekturen_KG'!$B74,'Anlage 1c_Korrekturen_NB'!$C$11:$C$589,'Anlage 1g_Korrekturen_KG'!$A74)</f>
        <v>0</v>
      </c>
      <c r="F74" s="520"/>
      <c r="G74" s="519">
        <f>SUMIFS('Anlage 1c_Korrekturen_NB'!$L$11:$L$589,'Anlage 1c_Korrekturen_NB'!$O$11:$O$589,'Anlage 1g_Korrekturen_KG'!G$9,'Anlage 1c_Korrekturen_NB'!$B$11:$B$589,'Anlage 1g_Korrekturen_KG'!$B74,'Anlage 1c_Korrekturen_NB'!$C$11:$C$589,'Anlage 1g_Korrekturen_KG'!$A74)</f>
        <v>0</v>
      </c>
      <c r="H74" s="520"/>
      <c r="I74" s="519">
        <f>SUMIFS('Anlage 1c_Korrekturen_NB'!$L$11:$L$589,'Anlage 1c_Korrekturen_NB'!$O$11:$O$589,'Anlage 1g_Korrekturen_KG'!I$9,'Anlage 1c_Korrekturen_NB'!$B$11:$B$589,'Anlage 1g_Korrekturen_KG'!$B74,'Anlage 1c_Korrekturen_NB'!$C$11:$C$589,'Anlage 1g_Korrekturen_KG'!$A74)</f>
        <v>0</v>
      </c>
      <c r="J74" s="196"/>
      <c r="K74" s="1051">
        <f t="shared" si="1"/>
        <v>0</v>
      </c>
      <c r="L74" s="1048"/>
      <c r="M74" s="5"/>
      <c r="N74" s="5"/>
    </row>
    <row r="75" spans="1:16" ht="13.5" collapsed="1" thickBot="1">
      <c r="A75" s="508" t="s">
        <v>1715</v>
      </c>
      <c r="B75" s="509"/>
      <c r="C75" s="266">
        <f>C12+C19+C26+C33+C40+C47+C54+C61+C68</f>
        <v>9243306.5299999975</v>
      </c>
      <c r="D75" s="246">
        <f t="shared" ref="D75:L75" si="12">D12+D19+D26+D33+D40+D47+D54+D61+D68</f>
        <v>0</v>
      </c>
      <c r="E75" s="266">
        <f>E12+E19+E26+E33+E40+E47+E54+E61+E68</f>
        <v>16196662.949999996</v>
      </c>
      <c r="F75" s="246">
        <f t="shared" si="12"/>
        <v>0</v>
      </c>
      <c r="G75" s="266">
        <f t="shared" si="12"/>
        <v>50218613.399999991</v>
      </c>
      <c r="H75" s="246">
        <f t="shared" si="12"/>
        <v>2601996</v>
      </c>
      <c r="I75" s="266">
        <f t="shared" si="12"/>
        <v>11975782.310000001</v>
      </c>
      <c r="J75" s="246">
        <f t="shared" si="12"/>
        <v>-285077</v>
      </c>
      <c r="K75" s="442">
        <f t="shared" si="12"/>
        <v>87634365.189999998</v>
      </c>
      <c r="L75" s="1049">
        <f t="shared" si="12"/>
        <v>2316919</v>
      </c>
    </row>
    <row r="76" spans="1:16">
      <c r="A76" s="9"/>
      <c r="B76" s="2"/>
      <c r="C76" s="278"/>
      <c r="D76" s="278"/>
      <c r="E76" s="278"/>
      <c r="F76" s="278"/>
      <c r="G76" s="278"/>
      <c r="H76" s="278"/>
      <c r="I76" s="278"/>
      <c r="J76" s="278"/>
      <c r="K76" s="278"/>
      <c r="L76" s="278"/>
    </row>
    <row r="77" spans="1:16" hidden="1">
      <c r="A77" s="9"/>
      <c r="B77" s="2"/>
      <c r="C77" s="187"/>
      <c r="D77" s="187"/>
      <c r="E77" s="187"/>
      <c r="F77" s="187"/>
      <c r="G77" s="187"/>
      <c r="H77" s="187"/>
      <c r="I77" s="187"/>
      <c r="J77" s="187"/>
      <c r="K77" s="187"/>
      <c r="L77" s="187"/>
    </row>
    <row r="78" spans="1:16" hidden="1">
      <c r="A78" s="9"/>
      <c r="B78" s="2"/>
      <c r="C78" s="278"/>
      <c r="D78" s="278"/>
      <c r="E78" s="278"/>
      <c r="F78" s="278"/>
      <c r="G78" s="278"/>
      <c r="H78" s="278"/>
      <c r="I78" s="278"/>
      <c r="J78" s="278"/>
      <c r="K78" s="278"/>
      <c r="L78" s="278"/>
    </row>
    <row r="79" spans="1:16" hidden="1">
      <c r="A79" s="9"/>
      <c r="B79" s="2"/>
      <c r="C79" s="187"/>
      <c r="D79" s="187"/>
      <c r="E79" s="187"/>
      <c r="F79" s="187"/>
      <c r="G79" s="187"/>
      <c r="H79" s="187"/>
      <c r="I79" s="187"/>
      <c r="J79" s="187"/>
      <c r="K79" s="187"/>
      <c r="L79" s="187"/>
    </row>
    <row r="80" spans="1:16" hidden="1">
      <c r="A80" s="9"/>
      <c r="B80" s="2"/>
      <c r="C80" s="187"/>
      <c r="D80" s="187"/>
      <c r="E80" s="187"/>
      <c r="F80" s="187"/>
      <c r="G80" s="187"/>
      <c r="H80" s="187"/>
      <c r="I80" s="187"/>
      <c r="J80" s="187"/>
      <c r="K80" s="187"/>
      <c r="L80" s="187"/>
    </row>
    <row r="81" spans="1:12" hidden="1">
      <c r="A81" s="9"/>
      <c r="B81" s="2"/>
      <c r="C81" s="187"/>
      <c r="D81" s="187"/>
      <c r="E81" s="187"/>
      <c r="F81" s="187"/>
      <c r="G81" s="187"/>
      <c r="H81" s="187"/>
      <c r="I81" s="187"/>
      <c r="J81" s="187"/>
      <c r="K81" s="187"/>
      <c r="L81" s="187"/>
    </row>
    <row r="82" spans="1:12" hidden="1">
      <c r="A82" s="9"/>
      <c r="B82" s="2"/>
      <c r="C82" s="278"/>
      <c r="D82" s="278"/>
      <c r="E82" s="278"/>
      <c r="F82" s="278"/>
      <c r="G82" s="278"/>
      <c r="H82" s="278"/>
      <c r="I82" s="278"/>
      <c r="J82" s="278"/>
      <c r="K82" s="278"/>
      <c r="L82" s="278"/>
    </row>
    <row r="83" spans="1:12" hidden="1">
      <c r="A83" s="9"/>
      <c r="B83" s="2"/>
      <c r="C83" s="278"/>
      <c r="D83" s="278"/>
      <c r="E83" s="278"/>
      <c r="F83" s="278"/>
      <c r="G83" s="278"/>
      <c r="H83" s="278"/>
      <c r="I83" s="278"/>
      <c r="J83" s="278"/>
      <c r="K83" s="278"/>
      <c r="L83" s="278"/>
    </row>
    <row r="84" spans="1:12" hidden="1">
      <c r="A84" s="9"/>
      <c r="B84" s="2"/>
      <c r="C84" s="278"/>
      <c r="D84" s="278"/>
      <c r="E84" s="278"/>
      <c r="F84" s="278"/>
      <c r="G84" s="278"/>
      <c r="H84" s="278"/>
      <c r="I84" s="278"/>
      <c r="J84" s="278"/>
      <c r="K84" s="278"/>
      <c r="L84" s="278"/>
    </row>
    <row r="85" spans="1:12" hidden="1">
      <c r="A85" s="9"/>
      <c r="B85" s="2"/>
      <c r="C85" s="187"/>
      <c r="D85" s="187"/>
      <c r="E85" s="187"/>
      <c r="F85" s="187"/>
      <c r="G85" s="187"/>
      <c r="H85" s="187"/>
      <c r="I85" s="187"/>
      <c r="J85" s="187"/>
      <c r="K85" s="187"/>
      <c r="L85" s="187"/>
    </row>
    <row r="86" spans="1:12" hidden="1">
      <c r="A86" s="9"/>
      <c r="B86" s="2"/>
      <c r="C86" s="278"/>
      <c r="D86" s="278"/>
      <c r="E86" s="278"/>
      <c r="F86" s="278"/>
      <c r="G86" s="278"/>
      <c r="H86" s="278"/>
      <c r="I86" s="278"/>
      <c r="J86" s="278"/>
      <c r="K86" s="278"/>
      <c r="L86" s="278"/>
    </row>
    <row r="87" spans="1:12" hidden="1">
      <c r="A87" s="9"/>
      <c r="B87" s="2"/>
      <c r="C87" s="187"/>
      <c r="D87" s="187"/>
      <c r="E87" s="187"/>
      <c r="F87" s="187"/>
      <c r="G87" s="187"/>
      <c r="H87" s="187"/>
      <c r="I87" s="187"/>
      <c r="J87" s="187"/>
      <c r="K87" s="187"/>
      <c r="L87" s="187"/>
    </row>
    <row r="88" spans="1:12" hidden="1">
      <c r="A88" s="9"/>
      <c r="B88" s="2"/>
      <c r="C88" s="187"/>
      <c r="D88" s="187"/>
      <c r="E88" s="187"/>
      <c r="F88" s="187"/>
      <c r="G88" s="187"/>
      <c r="H88" s="187"/>
      <c r="I88" s="187"/>
      <c r="J88" s="187"/>
      <c r="K88" s="187"/>
      <c r="L88" s="187"/>
    </row>
    <row r="89" spans="1:12" hidden="1">
      <c r="A89" s="9"/>
      <c r="B89" s="2"/>
      <c r="C89" s="278"/>
      <c r="D89" s="278"/>
      <c r="E89" s="278"/>
      <c r="F89" s="278"/>
      <c r="G89" s="278"/>
      <c r="H89" s="278"/>
      <c r="I89" s="278"/>
      <c r="J89" s="278"/>
      <c r="K89" s="278"/>
      <c r="L89" s="278"/>
    </row>
    <row r="90" spans="1:12">
      <c r="A90" s="9"/>
      <c r="B90" s="2"/>
      <c r="C90" s="187"/>
      <c r="D90" s="187"/>
      <c r="E90" s="187"/>
      <c r="F90" s="187"/>
      <c r="G90" s="187"/>
      <c r="H90" s="187"/>
      <c r="I90" s="187"/>
      <c r="J90" s="187"/>
      <c r="K90" s="187"/>
      <c r="L90" s="187"/>
    </row>
    <row r="91" spans="1:12">
      <c r="A91" s="640" t="s">
        <v>1744</v>
      </c>
      <c r="B91" s="2"/>
      <c r="C91" s="187"/>
      <c r="D91" s="187"/>
      <c r="E91" s="187"/>
      <c r="F91" s="187"/>
      <c r="G91" s="187"/>
      <c r="H91" s="187"/>
      <c r="I91" s="187"/>
      <c r="J91" s="187"/>
      <c r="K91" s="187"/>
      <c r="L91" s="187"/>
    </row>
    <row r="92" spans="1:12" ht="13.5" thickBot="1">
      <c r="A92" s="9"/>
      <c r="B92" s="2"/>
      <c r="C92" s="187"/>
      <c r="D92" s="187"/>
      <c r="E92" s="187"/>
      <c r="F92" s="187"/>
      <c r="G92" s="187"/>
      <c r="H92" s="187"/>
      <c r="I92" s="187"/>
      <c r="J92" s="187"/>
      <c r="K92" s="187"/>
      <c r="L92" s="187"/>
    </row>
    <row r="93" spans="1:12" ht="39" thickBot="1">
      <c r="A93" s="7"/>
      <c r="B93" s="1148"/>
      <c r="C93" s="537" t="s">
        <v>85</v>
      </c>
      <c r="D93" s="537" t="s">
        <v>404</v>
      </c>
      <c r="E93" s="537" t="s">
        <v>855</v>
      </c>
      <c r="F93" s="537" t="s">
        <v>1486</v>
      </c>
      <c r="G93" s="537" t="s">
        <v>1715</v>
      </c>
      <c r="H93" s="187"/>
      <c r="I93" s="187"/>
      <c r="J93" s="187"/>
      <c r="K93" s="187"/>
      <c r="L93" s="187"/>
    </row>
    <row r="94" spans="1:12" ht="25.5">
      <c r="A94" s="1127" t="s">
        <v>1739</v>
      </c>
      <c r="B94" s="1138" t="s">
        <v>1738</v>
      </c>
      <c r="C94" s="484" t="s">
        <v>1844</v>
      </c>
      <c r="D94" s="484" t="s">
        <v>1844</v>
      </c>
      <c r="E94" s="484" t="s">
        <v>1844</v>
      </c>
      <c r="F94" s="484" t="s">
        <v>1844</v>
      </c>
      <c r="G94" s="484" t="s">
        <v>1844</v>
      </c>
    </row>
    <row r="95" spans="1:12" ht="13.5" thickBot="1">
      <c r="A95" s="1139"/>
      <c r="B95" s="1140"/>
      <c r="C95" s="534" t="s">
        <v>1722</v>
      </c>
      <c r="D95" s="534" t="s">
        <v>1722</v>
      </c>
      <c r="E95" s="534" t="s">
        <v>1722</v>
      </c>
      <c r="F95" s="534" t="s">
        <v>1722</v>
      </c>
      <c r="G95" s="534" t="s">
        <v>1722</v>
      </c>
    </row>
    <row r="96" spans="1:12" ht="13.5" thickBot="1">
      <c r="A96" s="1134">
        <v>2023</v>
      </c>
      <c r="B96" s="1136"/>
      <c r="C96" s="530">
        <f>SUM(C97:C102)</f>
        <v>-1592</v>
      </c>
      <c r="D96" s="530">
        <f>SUM(D97:D102)</f>
        <v>-1706.12</v>
      </c>
      <c r="E96" s="530">
        <f>SUM(E97:E102)</f>
        <v>72196</v>
      </c>
      <c r="F96" s="530">
        <f>SUM(F97:F102)</f>
        <v>-5608</v>
      </c>
      <c r="G96" s="530">
        <f>SUM(C96:F96)</f>
        <v>63289.880000000005</v>
      </c>
      <c r="H96" s="861"/>
      <c r="I96" s="187"/>
      <c r="J96" s="187"/>
      <c r="K96" s="187"/>
      <c r="L96" s="187"/>
    </row>
    <row r="97" spans="1:17" hidden="1" outlineLevel="1">
      <c r="A97" s="140">
        <f>A96</f>
        <v>2023</v>
      </c>
      <c r="B97" s="535">
        <v>1</v>
      </c>
      <c r="C97" s="519">
        <f>SUMIFS('Anlage 1c_Korrekturen_NB'!$D$609:$D$687,'Anlage 1c_Korrekturen_NB'!$O$609:$O$687,'Anlage 1g_Korrekturen_KG'!C$93,'Anlage 1c_Korrekturen_NB'!$B$609:$B$687,'Anlage 1g_Korrekturen_KG'!$B97,'Anlage 1c_Korrekturen_NB'!$C$609:$C$687,'Anlage 1g_Korrekturen_KG'!$A97)</f>
        <v>-400</v>
      </c>
      <c r="D97" s="519">
        <f>SUMIFS('Anlage 1c_Korrekturen_NB'!$D$609:$D$687,'Anlage 1c_Korrekturen_NB'!$O$609:$O$687,'Anlage 1g_Korrekturen_KG'!D$93,'Anlage 1c_Korrekturen_NB'!$B$609:$B$687,'Anlage 1g_Korrekturen_KG'!$B97,'Anlage 1c_Korrekturen_NB'!$C$609:$C$687,'Anlage 1g_Korrekturen_KG'!$A97)</f>
        <v>0</v>
      </c>
      <c r="E97" s="519">
        <f>SUMIFS('Anlage 1c_Korrekturen_NB'!$D$609:$D$687,'Anlage 1c_Korrekturen_NB'!$O$609:$O$687,'Anlage 1g_Korrekturen_KG'!E$93,'Anlage 1c_Korrekturen_NB'!$B$609:$B$687,'Anlage 1g_Korrekturen_KG'!$B97,'Anlage 1c_Korrekturen_NB'!$C$609:$C$687,'Anlage 1g_Korrekturen_KG'!$A97)</f>
        <v>0</v>
      </c>
      <c r="F97" s="519">
        <f>SUMIFS('Anlage 1c_Korrekturen_NB'!$D$609:$D$687,'Anlage 1c_Korrekturen_NB'!$O$609:$O$687,'Anlage 1g_Korrekturen_KG'!F$93,'Anlage 1c_Korrekturen_NB'!$B$609:$B$687,'Anlage 1g_Korrekturen_KG'!$B97,'Anlage 1c_Korrekturen_NB'!$C$609:$C$687,'Anlage 1g_Korrekturen_KG'!$A97)</f>
        <v>0</v>
      </c>
      <c r="G97" s="521">
        <f t="shared" ref="G97:G103" si="13">SUM(C97:F97)</f>
        <v>-400</v>
      </c>
      <c r="H97" s="187"/>
      <c r="I97" s="187"/>
      <c r="J97" s="187"/>
      <c r="K97" s="187"/>
      <c r="L97" s="187"/>
    </row>
    <row r="98" spans="1:17" hidden="1" outlineLevel="1">
      <c r="A98" s="140">
        <f t="shared" ref="A98:A102" si="14">A97</f>
        <v>2023</v>
      </c>
      <c r="B98" s="535">
        <v>2</v>
      </c>
      <c r="C98" s="519">
        <f>SUMIFS('Anlage 1c_Korrekturen_NB'!$D$609:$D$687,'Anlage 1c_Korrekturen_NB'!$O$609:$O$687,'Anlage 1g_Korrekturen_KG'!C$93,'Anlage 1c_Korrekturen_NB'!$B$609:$B$687,'Anlage 1g_Korrekturen_KG'!$B98,'Anlage 1c_Korrekturen_NB'!$C$609:$C$687,'Anlage 1g_Korrekturen_KG'!$A98)</f>
        <v>0</v>
      </c>
      <c r="D98" s="519">
        <f>SUMIFS('Anlage 1c_Korrekturen_NB'!$D$609:$D$687,'Anlage 1c_Korrekturen_NB'!$O$609:$O$687,'Anlage 1g_Korrekturen_KG'!D$93,'Anlage 1c_Korrekturen_NB'!$B$609:$B$687,'Anlage 1g_Korrekturen_KG'!$B98,'Anlage 1c_Korrekturen_NB'!$C$609:$C$687,'Anlage 1g_Korrekturen_KG'!$A98)</f>
        <v>0</v>
      </c>
      <c r="E98" s="519">
        <f>SUMIFS('Anlage 1c_Korrekturen_NB'!$D$609:$D$687,'Anlage 1c_Korrekturen_NB'!$O$609:$O$687,'Anlage 1g_Korrekturen_KG'!E$93,'Anlage 1c_Korrekturen_NB'!$B$609:$B$687,'Anlage 1g_Korrekturen_KG'!$B98,'Anlage 1c_Korrekturen_NB'!$C$609:$C$687,'Anlage 1g_Korrekturen_KG'!$A98)</f>
        <v>0</v>
      </c>
      <c r="F98" s="519">
        <f>SUMIFS('Anlage 1c_Korrekturen_NB'!$D$609:$D$687,'Anlage 1c_Korrekturen_NB'!$O$609:$O$687,'Anlage 1g_Korrekturen_KG'!F$93,'Anlage 1c_Korrekturen_NB'!$B$609:$B$687,'Anlage 1g_Korrekturen_KG'!$B98,'Anlage 1c_Korrekturen_NB'!$C$609:$C$687,'Anlage 1g_Korrekturen_KG'!$A98)</f>
        <v>0</v>
      </c>
      <c r="G98" s="521">
        <f t="shared" si="13"/>
        <v>0</v>
      </c>
      <c r="H98" s="187"/>
      <c r="I98" s="187"/>
      <c r="J98" s="187"/>
      <c r="K98" s="187"/>
      <c r="L98" s="187"/>
    </row>
    <row r="99" spans="1:17" hidden="1" outlineLevel="1">
      <c r="A99" s="140">
        <f t="shared" si="14"/>
        <v>2023</v>
      </c>
      <c r="B99" s="535">
        <v>3</v>
      </c>
      <c r="C99" s="519">
        <f>SUMIFS('Anlage 1c_Korrekturen_NB'!$D$609:$D$687,'Anlage 1c_Korrekturen_NB'!$O$609:$O$687,'Anlage 1g_Korrekturen_KG'!C$93,'Anlage 1c_Korrekturen_NB'!$B$609:$B$687,'Anlage 1g_Korrekturen_KG'!$B99,'Anlage 1c_Korrekturen_NB'!$C$609:$C$687,'Anlage 1g_Korrekturen_KG'!$A99)</f>
        <v>0</v>
      </c>
      <c r="D99" s="519">
        <f>SUMIFS('Anlage 1c_Korrekturen_NB'!$D$609:$D$687,'Anlage 1c_Korrekturen_NB'!$O$609:$O$687,'Anlage 1g_Korrekturen_KG'!D$93,'Anlage 1c_Korrekturen_NB'!$B$609:$B$687,'Anlage 1g_Korrekturen_KG'!$B99,'Anlage 1c_Korrekturen_NB'!$C$609:$C$687,'Anlage 1g_Korrekturen_KG'!$A99)</f>
        <v>0</v>
      </c>
      <c r="E99" s="519">
        <f>SUMIFS('Anlage 1c_Korrekturen_NB'!$D$609:$D$687,'Anlage 1c_Korrekturen_NB'!$O$609:$O$687,'Anlage 1g_Korrekturen_KG'!E$93,'Anlage 1c_Korrekturen_NB'!$B$609:$B$687,'Anlage 1g_Korrekturen_KG'!$B99,'Anlage 1c_Korrekturen_NB'!$C$609:$C$687,'Anlage 1g_Korrekturen_KG'!$A99)</f>
        <v>0</v>
      </c>
      <c r="F99" s="519">
        <f>SUMIFS('Anlage 1c_Korrekturen_NB'!$D$609:$D$687,'Anlage 1c_Korrekturen_NB'!$O$609:$O$687,'Anlage 1g_Korrekturen_KG'!F$93,'Anlage 1c_Korrekturen_NB'!$B$609:$B$687,'Anlage 1g_Korrekturen_KG'!$B99,'Anlage 1c_Korrekturen_NB'!$C$609:$C$687,'Anlage 1g_Korrekturen_KG'!$A99)</f>
        <v>0</v>
      </c>
      <c r="G99" s="521">
        <f t="shared" si="13"/>
        <v>0</v>
      </c>
      <c r="H99" s="187"/>
      <c r="I99" s="187"/>
      <c r="J99" s="187"/>
      <c r="K99" s="187"/>
      <c r="L99" s="187"/>
    </row>
    <row r="100" spans="1:17" hidden="1" outlineLevel="1">
      <c r="A100" s="140">
        <f t="shared" si="14"/>
        <v>2023</v>
      </c>
      <c r="B100" s="535">
        <v>4</v>
      </c>
      <c r="C100" s="519">
        <f>SUMIFS('Anlage 1c_Korrekturen_NB'!$D$609:$D$687,'Anlage 1c_Korrekturen_NB'!$O$609:$O$687,'Anlage 1g_Korrekturen_KG'!C$93,'Anlage 1c_Korrekturen_NB'!$B$609:$B$687,'Anlage 1g_Korrekturen_KG'!$B100,'Anlage 1c_Korrekturen_NB'!$C$609:$C$687,'Anlage 1g_Korrekturen_KG'!$A100)</f>
        <v>0</v>
      </c>
      <c r="D100" s="519">
        <f>SUMIFS('Anlage 1c_Korrekturen_NB'!$D$609:$D$687,'Anlage 1c_Korrekturen_NB'!$O$609:$O$687,'Anlage 1g_Korrekturen_KG'!D$93,'Anlage 1c_Korrekturen_NB'!$B$609:$B$687,'Anlage 1g_Korrekturen_KG'!$B100,'Anlage 1c_Korrekturen_NB'!$C$609:$C$687,'Anlage 1g_Korrekturen_KG'!$A100)</f>
        <v>0</v>
      </c>
      <c r="E100" s="519">
        <f>SUMIFS('Anlage 1c_Korrekturen_NB'!$D$609:$D$687,'Anlage 1c_Korrekturen_NB'!$O$609:$O$687,'Anlage 1g_Korrekturen_KG'!E$93,'Anlage 1c_Korrekturen_NB'!$B$609:$B$687,'Anlage 1g_Korrekturen_KG'!$B100,'Anlage 1c_Korrekturen_NB'!$C$609:$C$687,'Anlage 1g_Korrekturen_KG'!$A100)</f>
        <v>0</v>
      </c>
      <c r="F100" s="519">
        <f>SUMIFS('Anlage 1c_Korrekturen_NB'!$D$609:$D$687,'Anlage 1c_Korrekturen_NB'!$O$609:$O$687,'Anlage 1g_Korrekturen_KG'!F$93,'Anlage 1c_Korrekturen_NB'!$B$609:$B$687,'Anlage 1g_Korrekturen_KG'!$B100,'Anlage 1c_Korrekturen_NB'!$C$609:$C$687,'Anlage 1g_Korrekturen_KG'!$A100)</f>
        <v>0</v>
      </c>
      <c r="G100" s="521">
        <f t="shared" si="13"/>
        <v>0</v>
      </c>
      <c r="H100" s="187"/>
      <c r="I100" s="187"/>
      <c r="J100" s="187"/>
      <c r="K100" s="187"/>
      <c r="L100" s="187"/>
    </row>
    <row r="101" spans="1:17" hidden="1" outlineLevel="1">
      <c r="A101" s="140">
        <f t="shared" si="14"/>
        <v>2023</v>
      </c>
      <c r="B101" s="535">
        <v>5</v>
      </c>
      <c r="C101" s="519">
        <f>SUMIFS('Anlage 1c_Korrekturen_NB'!$D$609:$D$687,'Anlage 1c_Korrekturen_NB'!$O$609:$O$687,'Anlage 1g_Korrekturen_KG'!C$93,'Anlage 1c_Korrekturen_NB'!$B$609:$B$687,'Anlage 1g_Korrekturen_KG'!$B101,'Anlage 1c_Korrekturen_NB'!$C$609:$C$687,'Anlage 1g_Korrekturen_KG'!$A101)</f>
        <v>0</v>
      </c>
      <c r="D101" s="519">
        <f>SUMIFS('Anlage 1c_Korrekturen_NB'!$D$609:$D$687,'Anlage 1c_Korrekturen_NB'!$O$609:$O$687,'Anlage 1g_Korrekturen_KG'!D$93,'Anlage 1c_Korrekturen_NB'!$B$609:$B$687,'Anlage 1g_Korrekturen_KG'!$B101,'Anlage 1c_Korrekturen_NB'!$C$609:$C$687,'Anlage 1g_Korrekturen_KG'!$A101)</f>
        <v>0</v>
      </c>
      <c r="E101" s="519">
        <f>SUMIFS('Anlage 1c_Korrekturen_NB'!$D$609:$D$687,'Anlage 1c_Korrekturen_NB'!$O$609:$O$687,'Anlage 1g_Korrekturen_KG'!E$93,'Anlage 1c_Korrekturen_NB'!$B$609:$B$687,'Anlage 1g_Korrekturen_KG'!$B101,'Anlage 1c_Korrekturen_NB'!$C$609:$C$687,'Anlage 1g_Korrekturen_KG'!$A101)</f>
        <v>0</v>
      </c>
      <c r="F101" s="519">
        <f>SUMIFS('Anlage 1c_Korrekturen_NB'!$D$609:$D$687,'Anlage 1c_Korrekturen_NB'!$O$609:$O$687,'Anlage 1g_Korrekturen_KG'!F$93,'Anlage 1c_Korrekturen_NB'!$B$609:$B$687,'Anlage 1g_Korrekturen_KG'!$B101,'Anlage 1c_Korrekturen_NB'!$C$609:$C$687,'Anlage 1g_Korrekturen_KG'!$A101)</f>
        <v>0</v>
      </c>
      <c r="G101" s="521">
        <f t="shared" si="13"/>
        <v>0</v>
      </c>
      <c r="H101" s="187"/>
      <c r="I101" s="187"/>
      <c r="J101" s="187"/>
      <c r="K101" s="187"/>
      <c r="L101" s="187"/>
    </row>
    <row r="102" spans="1:17" hidden="1" outlineLevel="1">
      <c r="A102" s="140">
        <f t="shared" si="14"/>
        <v>2023</v>
      </c>
      <c r="B102" s="531">
        <v>7</v>
      </c>
      <c r="C102" s="519">
        <f>SUMIFS('Anlage 1c_Korrekturen_NB'!$D$609:$D$687,'Anlage 1c_Korrekturen_NB'!$O$609:$O$687,'Anlage 1g_Korrekturen_KG'!C$93,'Anlage 1c_Korrekturen_NB'!$B$609:$B$687,'Anlage 1g_Korrekturen_KG'!$B102,'Anlage 1c_Korrekturen_NB'!$C$609:$C$687,'Anlage 1g_Korrekturen_KG'!$A102)</f>
        <v>-1192</v>
      </c>
      <c r="D102" s="519">
        <f>SUMIFS('Anlage 1c_Korrekturen_NB'!$D$609:$D$687,'Anlage 1c_Korrekturen_NB'!$O$609:$O$687,'Anlage 1g_Korrekturen_KG'!D$93,'Anlage 1c_Korrekturen_NB'!$B$609:$B$687,'Anlage 1g_Korrekturen_KG'!$B102,'Anlage 1c_Korrekturen_NB'!$C$609:$C$687,'Anlage 1g_Korrekturen_KG'!$A102)</f>
        <v>-1706.12</v>
      </c>
      <c r="E102" s="519">
        <f>SUMIFS('Anlage 1c_Korrekturen_NB'!$D$609:$D$687,'Anlage 1c_Korrekturen_NB'!$O$609:$O$687,'Anlage 1g_Korrekturen_KG'!E$93,'Anlage 1c_Korrekturen_NB'!$B$609:$B$687,'Anlage 1g_Korrekturen_KG'!$B102,'Anlage 1c_Korrekturen_NB'!$C$609:$C$687,'Anlage 1g_Korrekturen_KG'!$A102)</f>
        <v>72196</v>
      </c>
      <c r="F102" s="519">
        <v>-5608</v>
      </c>
      <c r="G102" s="521">
        <f t="shared" si="13"/>
        <v>63689.880000000005</v>
      </c>
      <c r="H102" s="187"/>
      <c r="I102" s="187"/>
      <c r="J102" s="187"/>
      <c r="K102" s="187"/>
      <c r="L102" s="187"/>
    </row>
    <row r="103" spans="1:17" s="185" customFormat="1" ht="13.5" collapsed="1" thickBot="1">
      <c r="A103" s="513" t="s">
        <v>1715</v>
      </c>
      <c r="B103" s="514"/>
      <c r="C103" s="505">
        <f>C96</f>
        <v>-1592</v>
      </c>
      <c r="D103" s="505">
        <f t="shared" ref="D103:E103" si="15">D96</f>
        <v>-1706.12</v>
      </c>
      <c r="E103" s="505">
        <f t="shared" si="15"/>
        <v>72196</v>
      </c>
      <c r="F103" s="505">
        <f>F96</f>
        <v>-5608</v>
      </c>
      <c r="G103" s="505">
        <f t="shared" si="13"/>
        <v>63289.880000000005</v>
      </c>
      <c r="M103"/>
      <c r="N103"/>
      <c r="O103"/>
      <c r="P103"/>
      <c r="Q103"/>
    </row>
    <row r="106" spans="1:17" s="185" customFormat="1">
      <c r="A106" s="417" t="s">
        <v>1745</v>
      </c>
      <c r="B106" s="417"/>
      <c r="C106" s="37"/>
      <c r="D106" s="37"/>
      <c r="E106" s="37"/>
      <c r="F106" s="37"/>
      <c r="G106" s="37"/>
      <c r="H106" s="37"/>
      <c r="M106"/>
      <c r="N106"/>
      <c r="O106"/>
      <c r="P106"/>
      <c r="Q106"/>
    </row>
    <row r="107" spans="1:17" s="185" customFormat="1">
      <c r="A107" s="417" t="s">
        <v>1746</v>
      </c>
      <c r="B107" s="417"/>
      <c r="C107" s="37"/>
      <c r="D107" s="37"/>
      <c r="E107" s="37"/>
      <c r="F107" s="37"/>
      <c r="G107" s="37"/>
      <c r="H107" s="37"/>
      <c r="M107"/>
      <c r="N107"/>
      <c r="O107"/>
      <c r="P107"/>
      <c r="Q107"/>
    </row>
    <row r="108" spans="1:17" s="185" customFormat="1">
      <c r="A108" s="417" t="s">
        <v>1747</v>
      </c>
      <c r="B108" s="417"/>
      <c r="C108" s="37"/>
      <c r="D108" s="37"/>
      <c r="E108" s="37"/>
      <c r="F108" s="37"/>
      <c r="G108" s="37"/>
      <c r="H108" s="37"/>
      <c r="M108"/>
      <c r="N108"/>
      <c r="O108"/>
      <c r="P108"/>
      <c r="Q108"/>
    </row>
    <row r="109" spans="1:17" s="185" customFormat="1">
      <c r="A109" s="417" t="s">
        <v>1748</v>
      </c>
      <c r="B109" s="417"/>
      <c r="C109" s="37"/>
      <c r="D109" s="37"/>
      <c r="E109" s="37"/>
      <c r="F109" s="37"/>
      <c r="G109" s="37"/>
      <c r="H109" s="37"/>
      <c r="M109"/>
      <c r="N109"/>
      <c r="O109"/>
      <c r="P109"/>
      <c r="Q109"/>
    </row>
    <row r="110" spans="1:17" s="185" customFormat="1">
      <c r="A110" s="417" t="s">
        <v>1749</v>
      </c>
      <c r="B110" s="417"/>
      <c r="C110" s="37"/>
      <c r="D110" s="37"/>
      <c r="E110" s="37"/>
      <c r="F110" s="37"/>
      <c r="G110" s="37"/>
      <c r="H110" s="37"/>
      <c r="M110"/>
      <c r="N110"/>
      <c r="O110"/>
      <c r="P110"/>
      <c r="Q110"/>
    </row>
    <row r="111" spans="1:17" s="185" customFormat="1">
      <c r="A111" s="417" t="s">
        <v>1750</v>
      </c>
      <c r="B111" s="417"/>
      <c r="C111" s="37"/>
      <c r="D111" s="37"/>
      <c r="E111" s="37"/>
      <c r="F111" s="37"/>
      <c r="G111" s="37"/>
      <c r="H111" s="37"/>
      <c r="M111"/>
      <c r="N111"/>
      <c r="O111"/>
      <c r="P111"/>
      <c r="Q111"/>
    </row>
    <row r="112" spans="1:17" s="185" customFormat="1">
      <c r="A112" s="417" t="s">
        <v>1751</v>
      </c>
      <c r="B112" s="417"/>
      <c r="C112" s="37"/>
      <c r="D112" s="37"/>
      <c r="E112" s="37"/>
      <c r="F112" s="37"/>
      <c r="G112" s="37"/>
      <c r="H112" s="37"/>
      <c r="M112"/>
      <c r="N112"/>
      <c r="O112"/>
      <c r="P112"/>
      <c r="Q112"/>
    </row>
    <row r="113" spans="1:17" s="185" customFormat="1">
      <c r="A113" s="417" t="s">
        <v>1752</v>
      </c>
      <c r="B113" s="417"/>
      <c r="C113" s="37"/>
      <c r="D113" s="37"/>
      <c r="E113" s="37"/>
      <c r="F113" s="37"/>
      <c r="G113" s="37"/>
      <c r="H113" s="37"/>
      <c r="M113"/>
      <c r="N113"/>
      <c r="O113"/>
      <c r="P113"/>
      <c r="Q113"/>
    </row>
  </sheetData>
  <mergeCells count="6">
    <mergeCell ref="A3:L3"/>
    <mergeCell ref="C9:D9"/>
    <mergeCell ref="E9:F9"/>
    <mergeCell ref="G9:H9"/>
    <mergeCell ref="I9:J9"/>
    <mergeCell ref="K9:L9"/>
  </mergeCells>
  <pageMargins left="0.23622047244094491" right="0.23622047244094491" top="0.74803149606299213" bottom="0.74803149606299213" header="0.31496062992125984" footer="0.31496062992125984"/>
  <pageSetup paperSize="9" scale="80" orientation="landscape" r:id="rId1"/>
  <headerFooter differentOddEven="1" scaleWithDoc="0">
    <oddHeader>&amp;L&amp;G</oddHeader>
    <oddFooter>&amp;R&amp;UAnlage 1g
&amp;USeite &amp;P</oddFooter>
    <evenHeader>&amp;L&amp;G&amp;C&amp;"Calibri"&amp;10&amp;K000000 Intern (Internal)&amp;1#_x000D_</evenHeader>
    <evenFooter>&amp;R&amp;UAnlage 1g&amp;U
Seite &amp;P</evenFooter>
  </headerFooter>
  <rowBreaks count="1" manualBreakCount="1">
    <brk id="88" max="16383" man="1"/>
  </rowBreaks>
  <ignoredErrors>
    <ignoredError sqref="D12:D26 F12:F26 H12:H26" formula="1"/>
  </ignoredError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4"/>
  <dimension ref="A1:K2938"/>
  <sheetViews>
    <sheetView view="pageLayout" zoomScale="80" zoomScaleNormal="80" zoomScalePageLayoutView="80" workbookViewId="0">
      <selection activeCell="C2869" sqref="C2869"/>
    </sheetView>
  </sheetViews>
  <sheetFormatPr baseColWidth="10" defaultColWidth="33.140625" defaultRowHeight="12.75" outlineLevelRow="3"/>
  <cols>
    <col min="1" max="1" width="33.140625" style="8"/>
    <col min="2" max="4" width="33.140625" style="203"/>
    <col min="5" max="5" width="35.85546875" style="203" customWidth="1"/>
    <col min="6" max="7" width="33.140625" style="203"/>
    <col min="8" max="8" width="33.5703125" style="203" customWidth="1"/>
    <col min="9" max="9" width="30.5703125" style="203" customWidth="1"/>
    <col min="10" max="10" width="30.42578125" style="203" customWidth="1"/>
    <col min="11" max="16384" width="33.140625" style="8"/>
  </cols>
  <sheetData>
    <row r="1" spans="1:10">
      <c r="A1" s="35" t="str">
        <f>"Umlagepflichtige Netzentnahmen für das Kalenderjahr "&amp;Hinweise!B3&amp;" auf Basis der Prüfungsvermerke der ÜNB:"</f>
        <v>Umlagepflichtige Netzentnahmen für das Kalenderjahr 2024 auf Basis der Prüfungsvermerke der ÜNB:</v>
      </c>
      <c r="I1" s="256">
        <f>'Anlage 1a_Zuschlagszahlungen_NB'!E1</f>
        <v>45915</v>
      </c>
    </row>
    <row r="2" spans="1:10">
      <c r="A2" s="35"/>
      <c r="H2" s="185"/>
    </row>
    <row r="3" spans="1:10">
      <c r="A3" s="35" t="s">
        <v>1845</v>
      </c>
      <c r="H3" s="185"/>
    </row>
    <row r="4" spans="1:10" ht="13.5" thickBot="1">
      <c r="D4" s="25"/>
    </row>
    <row r="5" spans="1:10" ht="69" customHeight="1" thickBot="1">
      <c r="A5" s="542"/>
      <c r="B5" s="204" t="s">
        <v>1846</v>
      </c>
      <c r="C5" s="205" t="s">
        <v>1847</v>
      </c>
      <c r="D5" s="205" t="s">
        <v>1848</v>
      </c>
      <c r="E5" s="205" t="s">
        <v>1849</v>
      </c>
      <c r="F5" s="205" t="s">
        <v>1850</v>
      </c>
      <c r="G5" s="205" t="s">
        <v>1851</v>
      </c>
      <c r="H5" s="205" t="s">
        <v>1852</v>
      </c>
      <c r="I5" s="588" t="s">
        <v>1853</v>
      </c>
    </row>
    <row r="6" spans="1:10" s="597" customFormat="1" ht="22.5" customHeight="1" thickBot="1">
      <c r="A6" s="606"/>
      <c r="B6" s="607" t="s">
        <v>84</v>
      </c>
      <c r="C6" s="607" t="s">
        <v>84</v>
      </c>
      <c r="D6" s="607" t="s">
        <v>84</v>
      </c>
      <c r="E6" s="607" t="s">
        <v>84</v>
      </c>
      <c r="F6" s="607" t="s">
        <v>84</v>
      </c>
      <c r="G6" s="607" t="s">
        <v>84</v>
      </c>
      <c r="H6" s="607" t="s">
        <v>84</v>
      </c>
      <c r="I6" s="608" t="s">
        <v>84</v>
      </c>
      <c r="J6" s="596"/>
    </row>
    <row r="7" spans="1:10">
      <c r="A7" s="422" t="s">
        <v>85</v>
      </c>
      <c r="B7" s="206">
        <f>+SUM(B8:B176)</f>
        <v>64432667243</v>
      </c>
      <c r="C7" s="207">
        <f t="shared" ref="C7:H7" si="0">+SUM(C8:C176)</f>
        <v>0</v>
      </c>
      <c r="D7" s="207">
        <f t="shared" si="0"/>
        <v>0</v>
      </c>
      <c r="E7" s="207">
        <f t="shared" si="0"/>
        <v>0</v>
      </c>
      <c r="F7" s="207">
        <f t="shared" si="0"/>
        <v>3575881469</v>
      </c>
      <c r="G7" s="207">
        <f t="shared" si="0"/>
        <v>8204966</v>
      </c>
      <c r="H7" s="207">
        <f t="shared" si="0"/>
        <v>6765660</v>
      </c>
      <c r="I7" s="386">
        <f>SUM(B7:H7)</f>
        <v>68023519338</v>
      </c>
    </row>
    <row r="8" spans="1:10" hidden="1" outlineLevel="1">
      <c r="A8" s="423" t="s">
        <v>86</v>
      </c>
      <c r="B8" s="208">
        <v>73140630</v>
      </c>
      <c r="C8" s="209">
        <v>0</v>
      </c>
      <c r="D8" s="209">
        <v>0</v>
      </c>
      <c r="E8" s="209">
        <v>0</v>
      </c>
      <c r="F8" s="208">
        <v>0</v>
      </c>
      <c r="G8" s="208">
        <v>0</v>
      </c>
      <c r="H8" s="208">
        <v>0</v>
      </c>
      <c r="I8" s="386">
        <f t="shared" ref="I8:I71" si="1">+SUM(B8:H8)</f>
        <v>73140630</v>
      </c>
    </row>
    <row r="9" spans="1:10" hidden="1" outlineLevel="1">
      <c r="A9" s="424" t="s">
        <v>88</v>
      </c>
      <c r="B9" s="208">
        <v>77182193</v>
      </c>
      <c r="C9" s="209">
        <v>0</v>
      </c>
      <c r="D9" s="209">
        <v>0</v>
      </c>
      <c r="E9" s="209">
        <v>0</v>
      </c>
      <c r="F9" s="208">
        <v>0</v>
      </c>
      <c r="G9" s="208">
        <v>0</v>
      </c>
      <c r="H9" s="208">
        <v>0</v>
      </c>
      <c r="I9" s="386">
        <f t="shared" si="1"/>
        <v>77182193</v>
      </c>
    </row>
    <row r="10" spans="1:10" hidden="1" outlineLevel="1">
      <c r="A10" s="424" t="s">
        <v>90</v>
      </c>
      <c r="B10" s="208">
        <v>198717750</v>
      </c>
      <c r="C10" s="209">
        <v>0</v>
      </c>
      <c r="D10" s="209">
        <v>0</v>
      </c>
      <c r="E10" s="209">
        <v>0</v>
      </c>
      <c r="F10" s="208">
        <v>0</v>
      </c>
      <c r="G10" s="208">
        <v>0</v>
      </c>
      <c r="H10" s="208">
        <v>0</v>
      </c>
      <c r="I10" s="386">
        <f t="shared" si="1"/>
        <v>198717750</v>
      </c>
    </row>
    <row r="11" spans="1:10" hidden="1" outlineLevel="1">
      <c r="A11" s="423" t="s">
        <v>92</v>
      </c>
      <c r="B11" s="208">
        <v>57733295</v>
      </c>
      <c r="C11" s="209">
        <v>0</v>
      </c>
      <c r="D11" s="209">
        <v>0</v>
      </c>
      <c r="E11" s="209">
        <v>0</v>
      </c>
      <c r="F11" s="208">
        <v>0</v>
      </c>
      <c r="G11" s="208">
        <v>0</v>
      </c>
      <c r="H11" s="208">
        <v>0</v>
      </c>
      <c r="I11" s="386">
        <f t="shared" si="1"/>
        <v>57733295</v>
      </c>
    </row>
    <row r="12" spans="1:10" hidden="1" outlineLevel="1">
      <c r="A12" s="424" t="s">
        <v>94</v>
      </c>
      <c r="B12" s="208">
        <v>80674069</v>
      </c>
      <c r="C12" s="209">
        <v>0</v>
      </c>
      <c r="D12" s="209">
        <v>0</v>
      </c>
      <c r="E12" s="209">
        <v>0</v>
      </c>
      <c r="F12" s="208">
        <v>0</v>
      </c>
      <c r="G12" s="208">
        <v>0</v>
      </c>
      <c r="H12" s="208">
        <v>0</v>
      </c>
      <c r="I12" s="386">
        <f t="shared" si="1"/>
        <v>80674069</v>
      </c>
    </row>
    <row r="13" spans="1:10" hidden="1" outlineLevel="1">
      <c r="A13" s="424" t="s">
        <v>96</v>
      </c>
      <c r="B13" s="208">
        <v>299825829</v>
      </c>
      <c r="C13" s="209">
        <v>0</v>
      </c>
      <c r="D13" s="209">
        <v>0</v>
      </c>
      <c r="E13" s="209">
        <v>0</v>
      </c>
      <c r="F13" s="208">
        <v>0</v>
      </c>
      <c r="G13" s="208">
        <v>0</v>
      </c>
      <c r="H13" s="208">
        <v>0</v>
      </c>
      <c r="I13" s="386">
        <f t="shared" si="1"/>
        <v>299825829</v>
      </c>
    </row>
    <row r="14" spans="1:10" hidden="1" outlineLevel="1">
      <c r="A14" s="423" t="s">
        <v>98</v>
      </c>
      <c r="B14" s="208">
        <v>80655992</v>
      </c>
      <c r="C14" s="209">
        <v>0</v>
      </c>
      <c r="D14" s="209">
        <v>0</v>
      </c>
      <c r="E14" s="209">
        <v>0</v>
      </c>
      <c r="F14" s="208">
        <v>0</v>
      </c>
      <c r="G14" s="208">
        <v>0</v>
      </c>
      <c r="H14" s="208">
        <v>0</v>
      </c>
      <c r="I14" s="386">
        <f t="shared" si="1"/>
        <v>80655992</v>
      </c>
    </row>
    <row r="15" spans="1:10" hidden="1" outlineLevel="1">
      <c r="A15" s="424" t="s">
        <v>100</v>
      </c>
      <c r="B15" s="208">
        <v>94063335</v>
      </c>
      <c r="C15" s="209">
        <v>0</v>
      </c>
      <c r="D15" s="209">
        <v>0</v>
      </c>
      <c r="E15" s="209">
        <v>0</v>
      </c>
      <c r="F15" s="208">
        <v>0</v>
      </c>
      <c r="G15" s="208">
        <v>0</v>
      </c>
      <c r="H15" s="208">
        <v>0</v>
      </c>
      <c r="I15" s="386">
        <f t="shared" si="1"/>
        <v>94063335</v>
      </c>
    </row>
    <row r="16" spans="1:10" hidden="1" outlineLevel="1">
      <c r="A16" s="424" t="s">
        <v>429</v>
      </c>
      <c r="B16" s="208">
        <v>6786673</v>
      </c>
      <c r="C16" s="209">
        <v>0</v>
      </c>
      <c r="D16" s="209">
        <v>0</v>
      </c>
      <c r="E16" s="209">
        <v>0</v>
      </c>
      <c r="F16" s="208">
        <v>0</v>
      </c>
      <c r="G16" s="208">
        <v>0</v>
      </c>
      <c r="H16" s="208">
        <v>0</v>
      </c>
      <c r="I16" s="386">
        <f t="shared" si="1"/>
        <v>6786673</v>
      </c>
    </row>
    <row r="17" spans="1:9" hidden="1" outlineLevel="1">
      <c r="A17" s="423" t="s">
        <v>102</v>
      </c>
      <c r="B17" s="208">
        <v>82449513</v>
      </c>
      <c r="C17" s="209">
        <v>0</v>
      </c>
      <c r="D17" s="209">
        <v>0</v>
      </c>
      <c r="E17" s="209">
        <v>0</v>
      </c>
      <c r="F17" s="208">
        <v>0</v>
      </c>
      <c r="G17" s="208">
        <v>0</v>
      </c>
      <c r="H17" s="208">
        <v>0</v>
      </c>
      <c r="I17" s="386">
        <f t="shared" si="1"/>
        <v>82449513</v>
      </c>
    </row>
    <row r="18" spans="1:9" hidden="1" outlineLevel="1">
      <c r="A18" s="424" t="s">
        <v>104</v>
      </c>
      <c r="B18" s="208">
        <v>54042644</v>
      </c>
      <c r="C18" s="209">
        <v>0</v>
      </c>
      <c r="D18" s="209">
        <v>0</v>
      </c>
      <c r="E18" s="209">
        <v>0</v>
      </c>
      <c r="F18" s="208">
        <v>0</v>
      </c>
      <c r="G18" s="208">
        <v>0</v>
      </c>
      <c r="H18" s="208">
        <v>0</v>
      </c>
      <c r="I18" s="386">
        <f t="shared" si="1"/>
        <v>54042644</v>
      </c>
    </row>
    <row r="19" spans="1:9" hidden="1" outlineLevel="1">
      <c r="A19" s="424" t="s">
        <v>106</v>
      </c>
      <c r="B19" s="208">
        <v>145357853</v>
      </c>
      <c r="C19" s="209">
        <v>0</v>
      </c>
      <c r="D19" s="209">
        <v>0</v>
      </c>
      <c r="E19" s="209">
        <v>0</v>
      </c>
      <c r="F19" s="208">
        <v>0</v>
      </c>
      <c r="G19" s="208">
        <v>0</v>
      </c>
      <c r="H19" s="208">
        <v>0</v>
      </c>
      <c r="I19" s="386">
        <f t="shared" si="1"/>
        <v>145357853</v>
      </c>
    </row>
    <row r="20" spans="1:9" hidden="1" outlineLevel="1">
      <c r="A20" s="423" t="s">
        <v>108</v>
      </c>
      <c r="B20" s="208">
        <v>40347448</v>
      </c>
      <c r="C20" s="209">
        <v>0</v>
      </c>
      <c r="D20" s="209">
        <v>0</v>
      </c>
      <c r="E20" s="209">
        <v>0</v>
      </c>
      <c r="F20" s="208">
        <v>0</v>
      </c>
      <c r="G20" s="208">
        <v>0</v>
      </c>
      <c r="H20" s="208">
        <v>0</v>
      </c>
      <c r="I20" s="386">
        <f t="shared" si="1"/>
        <v>40347448</v>
      </c>
    </row>
    <row r="21" spans="1:9" hidden="1" outlineLevel="1">
      <c r="A21" s="424" t="s">
        <v>110</v>
      </c>
      <c r="B21" s="208">
        <v>24423869</v>
      </c>
      <c r="C21" s="209">
        <v>0</v>
      </c>
      <c r="D21" s="209">
        <v>0</v>
      </c>
      <c r="E21" s="209">
        <v>0</v>
      </c>
      <c r="F21" s="208">
        <v>0</v>
      </c>
      <c r="G21" s="208">
        <v>0</v>
      </c>
      <c r="H21" s="208">
        <v>0</v>
      </c>
      <c r="I21" s="386">
        <f t="shared" si="1"/>
        <v>24423869</v>
      </c>
    </row>
    <row r="22" spans="1:9" hidden="1" outlineLevel="1">
      <c r="A22" s="424" t="s">
        <v>112</v>
      </c>
      <c r="B22" s="208">
        <v>177365990</v>
      </c>
      <c r="C22" s="209">
        <v>0</v>
      </c>
      <c r="D22" s="209">
        <v>0</v>
      </c>
      <c r="E22" s="209">
        <v>0</v>
      </c>
      <c r="F22" s="208">
        <v>0</v>
      </c>
      <c r="G22" s="208">
        <v>0</v>
      </c>
      <c r="H22" s="208">
        <v>0</v>
      </c>
      <c r="I22" s="386">
        <f t="shared" si="1"/>
        <v>177365990</v>
      </c>
    </row>
    <row r="23" spans="1:9" hidden="1" outlineLevel="1">
      <c r="A23" s="423" t="s">
        <v>114</v>
      </c>
      <c r="B23" s="208">
        <v>7755295792</v>
      </c>
      <c r="C23" s="209">
        <v>0</v>
      </c>
      <c r="D23" s="209">
        <v>0</v>
      </c>
      <c r="E23" s="209">
        <v>0</v>
      </c>
      <c r="F23" s="208">
        <v>0</v>
      </c>
      <c r="G23" s="208">
        <v>0</v>
      </c>
      <c r="H23" s="208">
        <v>0</v>
      </c>
      <c r="I23" s="386">
        <f t="shared" si="1"/>
        <v>7755295792</v>
      </c>
    </row>
    <row r="24" spans="1:9" hidden="1" outlineLevel="1">
      <c r="A24" s="424" t="s">
        <v>116</v>
      </c>
      <c r="B24" s="208">
        <v>661072793</v>
      </c>
      <c r="C24" s="209">
        <v>0</v>
      </c>
      <c r="D24" s="209">
        <v>0</v>
      </c>
      <c r="E24" s="209">
        <v>0</v>
      </c>
      <c r="F24" s="208">
        <v>10290582</v>
      </c>
      <c r="G24" s="208">
        <v>0</v>
      </c>
      <c r="H24" s="208">
        <v>0</v>
      </c>
      <c r="I24" s="386">
        <f t="shared" si="1"/>
        <v>671363375</v>
      </c>
    </row>
    <row r="25" spans="1:9" hidden="1" outlineLevel="1">
      <c r="A25" s="424" t="s">
        <v>118</v>
      </c>
      <c r="B25" s="208">
        <v>102160691</v>
      </c>
      <c r="C25" s="209">
        <v>0</v>
      </c>
      <c r="D25" s="209">
        <v>0</v>
      </c>
      <c r="E25" s="209">
        <v>0</v>
      </c>
      <c r="F25" s="208">
        <v>0</v>
      </c>
      <c r="G25" s="208">
        <v>0</v>
      </c>
      <c r="H25" s="208">
        <v>0</v>
      </c>
      <c r="I25" s="386">
        <f t="shared" si="1"/>
        <v>102160691</v>
      </c>
    </row>
    <row r="26" spans="1:9" hidden="1" outlineLevel="1">
      <c r="A26" s="423" t="s">
        <v>120</v>
      </c>
      <c r="B26" s="208">
        <v>33819469</v>
      </c>
      <c r="C26" s="209">
        <v>0</v>
      </c>
      <c r="D26" s="209">
        <v>0</v>
      </c>
      <c r="E26" s="209">
        <v>0</v>
      </c>
      <c r="F26" s="208">
        <v>0</v>
      </c>
      <c r="G26" s="208">
        <v>0</v>
      </c>
      <c r="H26" s="208">
        <v>0</v>
      </c>
      <c r="I26" s="386">
        <f t="shared" si="1"/>
        <v>33819469</v>
      </c>
    </row>
    <row r="27" spans="1:9" hidden="1" outlineLevel="1">
      <c r="A27" s="424" t="s">
        <v>122</v>
      </c>
      <c r="B27" s="208">
        <v>63723271</v>
      </c>
      <c r="C27" s="209">
        <v>0</v>
      </c>
      <c r="D27" s="209">
        <v>0</v>
      </c>
      <c r="E27" s="209">
        <v>0</v>
      </c>
      <c r="F27" s="208">
        <v>0</v>
      </c>
      <c r="G27" s="208">
        <v>0</v>
      </c>
      <c r="H27" s="208">
        <v>0</v>
      </c>
      <c r="I27" s="386">
        <f t="shared" si="1"/>
        <v>63723271</v>
      </c>
    </row>
    <row r="28" spans="1:9" hidden="1" outlineLevel="1">
      <c r="A28" s="424" t="s">
        <v>124</v>
      </c>
      <c r="B28" s="208">
        <v>34107474</v>
      </c>
      <c r="C28" s="209">
        <v>0</v>
      </c>
      <c r="D28" s="209">
        <v>0</v>
      </c>
      <c r="E28" s="209">
        <v>0</v>
      </c>
      <c r="F28" s="208">
        <v>0</v>
      </c>
      <c r="G28" s="208">
        <v>0</v>
      </c>
      <c r="H28" s="208">
        <v>0</v>
      </c>
      <c r="I28" s="386">
        <f t="shared" si="1"/>
        <v>34107474</v>
      </c>
    </row>
    <row r="29" spans="1:9" hidden="1" outlineLevel="1">
      <c r="A29" s="423" t="s">
        <v>1854</v>
      </c>
      <c r="B29" s="208">
        <v>17740098</v>
      </c>
      <c r="C29" s="209">
        <v>0</v>
      </c>
      <c r="D29" s="209">
        <v>0</v>
      </c>
      <c r="E29" s="209">
        <v>0</v>
      </c>
      <c r="F29" s="208">
        <v>0</v>
      </c>
      <c r="G29" s="208">
        <v>0</v>
      </c>
      <c r="H29" s="208">
        <v>0</v>
      </c>
      <c r="I29" s="386">
        <f t="shared" si="1"/>
        <v>17740098</v>
      </c>
    </row>
    <row r="30" spans="1:9" hidden="1" outlineLevel="1">
      <c r="A30" s="424" t="s">
        <v>126</v>
      </c>
      <c r="B30" s="208">
        <v>53108848</v>
      </c>
      <c r="C30" s="209">
        <v>0</v>
      </c>
      <c r="D30" s="209">
        <v>0</v>
      </c>
      <c r="E30" s="209">
        <v>0</v>
      </c>
      <c r="F30" s="208">
        <v>0</v>
      </c>
      <c r="G30" s="208">
        <v>0</v>
      </c>
      <c r="H30" s="208">
        <v>0</v>
      </c>
      <c r="I30" s="386">
        <f t="shared" si="1"/>
        <v>53108848</v>
      </c>
    </row>
    <row r="31" spans="1:9" hidden="1" outlineLevel="1">
      <c r="A31" s="424" t="s">
        <v>128</v>
      </c>
      <c r="B31" s="208">
        <v>60911162</v>
      </c>
      <c r="C31" s="209">
        <v>0</v>
      </c>
      <c r="D31" s="209">
        <v>0</v>
      </c>
      <c r="E31" s="209">
        <v>0</v>
      </c>
      <c r="F31" s="208">
        <v>0</v>
      </c>
      <c r="G31" s="208">
        <v>0</v>
      </c>
      <c r="H31" s="208">
        <v>0</v>
      </c>
      <c r="I31" s="386">
        <f t="shared" si="1"/>
        <v>60911162</v>
      </c>
    </row>
    <row r="32" spans="1:9" hidden="1" outlineLevel="1">
      <c r="A32" s="423" t="s">
        <v>130</v>
      </c>
      <c r="B32" s="208">
        <v>32029391</v>
      </c>
      <c r="C32" s="209">
        <v>0</v>
      </c>
      <c r="D32" s="209">
        <v>0</v>
      </c>
      <c r="E32" s="209">
        <v>0</v>
      </c>
      <c r="F32" s="208">
        <v>0</v>
      </c>
      <c r="G32" s="208">
        <v>0</v>
      </c>
      <c r="H32" s="208">
        <v>0</v>
      </c>
      <c r="I32" s="386">
        <f t="shared" si="1"/>
        <v>32029391</v>
      </c>
    </row>
    <row r="33" spans="1:9" hidden="1" outlineLevel="1">
      <c r="A33" s="424" t="s">
        <v>132</v>
      </c>
      <c r="B33" s="208">
        <v>87408133</v>
      </c>
      <c r="C33" s="209">
        <v>0</v>
      </c>
      <c r="D33" s="209">
        <v>0</v>
      </c>
      <c r="E33" s="209">
        <v>0</v>
      </c>
      <c r="F33" s="208">
        <v>0</v>
      </c>
      <c r="G33" s="208">
        <v>0</v>
      </c>
      <c r="H33" s="208">
        <v>0</v>
      </c>
      <c r="I33" s="386">
        <f t="shared" si="1"/>
        <v>87408133</v>
      </c>
    </row>
    <row r="34" spans="1:9" hidden="1" outlineLevel="1">
      <c r="A34" s="424" t="s">
        <v>1855</v>
      </c>
      <c r="B34" s="208">
        <v>19232458</v>
      </c>
      <c r="C34" s="209">
        <v>0</v>
      </c>
      <c r="D34" s="209">
        <v>0</v>
      </c>
      <c r="E34" s="209">
        <v>0</v>
      </c>
      <c r="F34" s="208">
        <v>0</v>
      </c>
      <c r="G34" s="208">
        <v>0</v>
      </c>
      <c r="H34" s="208">
        <v>0</v>
      </c>
      <c r="I34" s="386">
        <f t="shared" si="1"/>
        <v>19232458</v>
      </c>
    </row>
    <row r="35" spans="1:9" hidden="1" outlineLevel="1">
      <c r="A35" s="423" t="s">
        <v>134</v>
      </c>
      <c r="B35" s="208">
        <v>90378662</v>
      </c>
      <c r="C35" s="209">
        <v>0</v>
      </c>
      <c r="D35" s="209">
        <v>0</v>
      </c>
      <c r="E35" s="209">
        <v>0</v>
      </c>
      <c r="F35" s="208">
        <v>0</v>
      </c>
      <c r="G35" s="208">
        <v>0</v>
      </c>
      <c r="H35" s="208">
        <v>0</v>
      </c>
      <c r="I35" s="386">
        <f t="shared" si="1"/>
        <v>90378662</v>
      </c>
    </row>
    <row r="36" spans="1:9" hidden="1" outlineLevel="1">
      <c r="A36" s="424" t="s">
        <v>136</v>
      </c>
      <c r="B36" s="208">
        <v>168313555</v>
      </c>
      <c r="C36" s="209">
        <v>0</v>
      </c>
      <c r="D36" s="209">
        <v>0</v>
      </c>
      <c r="E36" s="209">
        <v>0</v>
      </c>
      <c r="F36" s="208">
        <v>0</v>
      </c>
      <c r="G36" s="208">
        <v>0</v>
      </c>
      <c r="H36" s="208">
        <v>0</v>
      </c>
      <c r="I36" s="386">
        <f t="shared" si="1"/>
        <v>168313555</v>
      </c>
    </row>
    <row r="37" spans="1:9" hidden="1" outlineLevel="1">
      <c r="A37" s="424" t="s">
        <v>138</v>
      </c>
      <c r="B37" s="208">
        <v>6015180</v>
      </c>
      <c r="C37" s="209">
        <v>0</v>
      </c>
      <c r="D37" s="209">
        <v>0</v>
      </c>
      <c r="E37" s="209">
        <v>0</v>
      </c>
      <c r="F37" s="208">
        <v>0</v>
      </c>
      <c r="G37" s="208">
        <v>0</v>
      </c>
      <c r="H37" s="208">
        <v>0</v>
      </c>
      <c r="I37" s="386">
        <f t="shared" si="1"/>
        <v>6015180</v>
      </c>
    </row>
    <row r="38" spans="1:9" hidden="1" outlineLevel="1">
      <c r="A38" s="423" t="s">
        <v>140</v>
      </c>
      <c r="B38" s="208">
        <v>41812239</v>
      </c>
      <c r="C38" s="209">
        <v>0</v>
      </c>
      <c r="D38" s="209">
        <v>0</v>
      </c>
      <c r="E38" s="209">
        <v>0</v>
      </c>
      <c r="F38" s="208">
        <v>0</v>
      </c>
      <c r="G38" s="208">
        <v>0</v>
      </c>
      <c r="H38" s="208">
        <v>0</v>
      </c>
      <c r="I38" s="386">
        <f t="shared" si="1"/>
        <v>41812239</v>
      </c>
    </row>
    <row r="39" spans="1:9" hidden="1" outlineLevel="1">
      <c r="A39" s="424" t="s">
        <v>142</v>
      </c>
      <c r="B39" s="208">
        <v>27565694</v>
      </c>
      <c r="C39" s="209">
        <v>0</v>
      </c>
      <c r="D39" s="209">
        <v>0</v>
      </c>
      <c r="E39" s="209">
        <v>0</v>
      </c>
      <c r="F39" s="208">
        <v>0</v>
      </c>
      <c r="G39" s="208">
        <v>0</v>
      </c>
      <c r="H39" s="208">
        <v>0</v>
      </c>
      <c r="I39" s="386">
        <f t="shared" si="1"/>
        <v>27565694</v>
      </c>
    </row>
    <row r="40" spans="1:9" hidden="1" outlineLevel="1">
      <c r="A40" s="424" t="s">
        <v>144</v>
      </c>
      <c r="B40" s="208">
        <v>99324444</v>
      </c>
      <c r="C40" s="209">
        <v>0</v>
      </c>
      <c r="D40" s="209">
        <v>0</v>
      </c>
      <c r="E40" s="209">
        <v>0</v>
      </c>
      <c r="F40" s="208">
        <v>0</v>
      </c>
      <c r="G40" s="208">
        <v>0</v>
      </c>
      <c r="H40" s="208">
        <v>0</v>
      </c>
      <c r="I40" s="386">
        <f t="shared" si="1"/>
        <v>99324444</v>
      </c>
    </row>
    <row r="41" spans="1:9" hidden="1" outlineLevel="1">
      <c r="A41" s="423" t="s">
        <v>146</v>
      </c>
      <c r="B41" s="208">
        <v>77974900</v>
      </c>
      <c r="C41" s="209">
        <v>0</v>
      </c>
      <c r="D41" s="209">
        <v>0</v>
      </c>
      <c r="E41" s="209">
        <v>0</v>
      </c>
      <c r="F41" s="208">
        <v>0</v>
      </c>
      <c r="G41" s="208">
        <v>0</v>
      </c>
      <c r="H41" s="208">
        <v>0</v>
      </c>
      <c r="I41" s="386">
        <f t="shared" si="1"/>
        <v>77974900</v>
      </c>
    </row>
    <row r="42" spans="1:9" hidden="1" outlineLevel="1">
      <c r="A42" s="424" t="s">
        <v>148</v>
      </c>
      <c r="B42" s="208">
        <v>253434974</v>
      </c>
      <c r="C42" s="209">
        <v>0</v>
      </c>
      <c r="D42" s="209">
        <v>0</v>
      </c>
      <c r="E42" s="209">
        <v>0</v>
      </c>
      <c r="F42" s="208">
        <v>2844518</v>
      </c>
      <c r="G42" s="208">
        <v>0</v>
      </c>
      <c r="H42" s="208">
        <v>0</v>
      </c>
      <c r="I42" s="386">
        <f t="shared" si="1"/>
        <v>256279492</v>
      </c>
    </row>
    <row r="43" spans="1:9" hidden="1" outlineLevel="1">
      <c r="A43" s="424" t="s">
        <v>150</v>
      </c>
      <c r="B43" s="208">
        <v>78626651</v>
      </c>
      <c r="C43" s="209">
        <v>0</v>
      </c>
      <c r="D43" s="209">
        <v>0</v>
      </c>
      <c r="E43" s="209">
        <v>0</v>
      </c>
      <c r="F43" s="208">
        <v>0</v>
      </c>
      <c r="G43" s="208">
        <v>0</v>
      </c>
      <c r="H43" s="208">
        <v>0</v>
      </c>
      <c r="I43" s="386">
        <f t="shared" si="1"/>
        <v>78626651</v>
      </c>
    </row>
    <row r="44" spans="1:9" hidden="1" outlineLevel="1">
      <c r="A44" s="423" t="s">
        <v>152</v>
      </c>
      <c r="B44" s="208">
        <v>58667339</v>
      </c>
      <c r="C44" s="209">
        <v>0</v>
      </c>
      <c r="D44" s="209">
        <v>0</v>
      </c>
      <c r="E44" s="209">
        <v>0</v>
      </c>
      <c r="F44" s="208">
        <v>0</v>
      </c>
      <c r="G44" s="208">
        <v>0</v>
      </c>
      <c r="H44" s="208">
        <v>0</v>
      </c>
      <c r="I44" s="386">
        <f t="shared" si="1"/>
        <v>58667339</v>
      </c>
    </row>
    <row r="45" spans="1:9" hidden="1" outlineLevel="1">
      <c r="A45" s="424" t="s">
        <v>154</v>
      </c>
      <c r="B45" s="208">
        <v>189066891</v>
      </c>
      <c r="C45" s="209">
        <v>0</v>
      </c>
      <c r="D45" s="209">
        <v>0</v>
      </c>
      <c r="E45" s="209">
        <v>0</v>
      </c>
      <c r="F45" s="208">
        <v>0</v>
      </c>
      <c r="G45" s="208">
        <v>0</v>
      </c>
      <c r="H45" s="208">
        <v>0</v>
      </c>
      <c r="I45" s="386">
        <f t="shared" si="1"/>
        <v>189066891</v>
      </c>
    </row>
    <row r="46" spans="1:9" hidden="1" outlineLevel="1">
      <c r="A46" s="424" t="s">
        <v>156</v>
      </c>
      <c r="B46" s="208">
        <v>40430526</v>
      </c>
      <c r="C46" s="209">
        <v>0</v>
      </c>
      <c r="D46" s="209">
        <v>0</v>
      </c>
      <c r="E46" s="209">
        <v>0</v>
      </c>
      <c r="F46" s="208">
        <v>0</v>
      </c>
      <c r="G46" s="208">
        <v>0</v>
      </c>
      <c r="H46" s="208">
        <v>0</v>
      </c>
      <c r="I46" s="386">
        <f t="shared" si="1"/>
        <v>40430526</v>
      </c>
    </row>
    <row r="47" spans="1:9" hidden="1" outlineLevel="1">
      <c r="A47" s="423" t="s">
        <v>158</v>
      </c>
      <c r="B47" s="208">
        <v>82598595</v>
      </c>
      <c r="C47" s="209">
        <v>0</v>
      </c>
      <c r="D47" s="209">
        <v>0</v>
      </c>
      <c r="E47" s="209">
        <v>0</v>
      </c>
      <c r="F47" s="208">
        <v>0</v>
      </c>
      <c r="G47" s="208">
        <v>0</v>
      </c>
      <c r="H47" s="208">
        <v>0</v>
      </c>
      <c r="I47" s="386">
        <f t="shared" si="1"/>
        <v>82598595</v>
      </c>
    </row>
    <row r="48" spans="1:9" hidden="1" outlineLevel="1">
      <c r="A48" s="424" t="s">
        <v>160</v>
      </c>
      <c r="B48" s="208">
        <v>113954078</v>
      </c>
      <c r="C48" s="209">
        <v>0</v>
      </c>
      <c r="D48" s="209">
        <v>0</v>
      </c>
      <c r="E48" s="209">
        <v>0</v>
      </c>
      <c r="F48" s="208">
        <v>0</v>
      </c>
      <c r="G48" s="208">
        <v>0</v>
      </c>
      <c r="H48" s="208">
        <v>0</v>
      </c>
      <c r="I48" s="386">
        <f t="shared" si="1"/>
        <v>113954078</v>
      </c>
    </row>
    <row r="49" spans="1:9" hidden="1" outlineLevel="1">
      <c r="A49" s="424" t="s">
        <v>162</v>
      </c>
      <c r="B49" s="208">
        <v>36691992</v>
      </c>
      <c r="C49" s="209">
        <v>0</v>
      </c>
      <c r="D49" s="209">
        <v>0</v>
      </c>
      <c r="E49" s="209">
        <v>0</v>
      </c>
      <c r="F49" s="208">
        <v>0</v>
      </c>
      <c r="G49" s="208">
        <v>0</v>
      </c>
      <c r="H49" s="208">
        <v>0</v>
      </c>
      <c r="I49" s="386">
        <f t="shared" si="1"/>
        <v>36691992</v>
      </c>
    </row>
    <row r="50" spans="1:9" hidden="1" outlineLevel="1">
      <c r="A50" s="423" t="s">
        <v>164</v>
      </c>
      <c r="B50" s="208">
        <v>33871777</v>
      </c>
      <c r="C50" s="209">
        <v>0</v>
      </c>
      <c r="D50" s="209">
        <v>0</v>
      </c>
      <c r="E50" s="209">
        <v>0</v>
      </c>
      <c r="F50" s="208">
        <v>0</v>
      </c>
      <c r="G50" s="208">
        <v>0</v>
      </c>
      <c r="H50" s="208">
        <v>0</v>
      </c>
      <c r="I50" s="386">
        <f t="shared" si="1"/>
        <v>33871777</v>
      </c>
    </row>
    <row r="51" spans="1:9" hidden="1" outlineLevel="1">
      <c r="A51" s="424" t="s">
        <v>166</v>
      </c>
      <c r="B51" s="208">
        <v>910283105</v>
      </c>
      <c r="C51" s="209">
        <v>0</v>
      </c>
      <c r="D51" s="209">
        <v>0</v>
      </c>
      <c r="E51" s="209">
        <v>0</v>
      </c>
      <c r="F51" s="208">
        <v>0</v>
      </c>
      <c r="G51" s="208">
        <v>0</v>
      </c>
      <c r="H51" s="208">
        <v>0</v>
      </c>
      <c r="I51" s="386">
        <f t="shared" si="1"/>
        <v>910283105</v>
      </c>
    </row>
    <row r="52" spans="1:9" hidden="1" outlineLevel="1">
      <c r="A52" s="424" t="s">
        <v>168</v>
      </c>
      <c r="B52" s="208">
        <v>511144810</v>
      </c>
      <c r="C52" s="209">
        <v>0</v>
      </c>
      <c r="D52" s="209">
        <v>0</v>
      </c>
      <c r="E52" s="209">
        <v>0</v>
      </c>
      <c r="F52" s="208">
        <v>9808126</v>
      </c>
      <c r="G52" s="208">
        <v>0</v>
      </c>
      <c r="H52" s="208">
        <v>0</v>
      </c>
      <c r="I52" s="386">
        <f t="shared" si="1"/>
        <v>520952936</v>
      </c>
    </row>
    <row r="53" spans="1:9" hidden="1" outlineLevel="1">
      <c r="A53" s="423" t="s">
        <v>170</v>
      </c>
      <c r="B53" s="208">
        <v>51943560</v>
      </c>
      <c r="C53" s="209">
        <v>0</v>
      </c>
      <c r="D53" s="209">
        <v>0</v>
      </c>
      <c r="E53" s="209">
        <v>0</v>
      </c>
      <c r="F53" s="208">
        <v>0</v>
      </c>
      <c r="G53" s="208">
        <v>0</v>
      </c>
      <c r="H53" s="208">
        <v>0</v>
      </c>
      <c r="I53" s="386">
        <f t="shared" si="1"/>
        <v>51943560</v>
      </c>
    </row>
    <row r="54" spans="1:9" hidden="1" outlineLevel="1">
      <c r="A54" s="424" t="s">
        <v>172</v>
      </c>
      <c r="B54" s="208">
        <v>1840284</v>
      </c>
      <c r="C54" s="209">
        <v>0</v>
      </c>
      <c r="D54" s="209">
        <v>0</v>
      </c>
      <c r="E54" s="209">
        <v>0</v>
      </c>
      <c r="F54" s="208">
        <v>0</v>
      </c>
      <c r="G54" s="208">
        <v>0</v>
      </c>
      <c r="H54" s="208">
        <v>0</v>
      </c>
      <c r="I54" s="386">
        <f t="shared" si="1"/>
        <v>1840284</v>
      </c>
    </row>
    <row r="55" spans="1:9" hidden="1" outlineLevel="1">
      <c r="A55" s="424" t="s">
        <v>174</v>
      </c>
      <c r="B55" s="208">
        <v>31055316</v>
      </c>
      <c r="C55" s="209">
        <v>0</v>
      </c>
      <c r="D55" s="209">
        <v>0</v>
      </c>
      <c r="E55" s="209">
        <v>0</v>
      </c>
      <c r="F55" s="208">
        <v>0</v>
      </c>
      <c r="G55" s="208">
        <v>0</v>
      </c>
      <c r="H55" s="208">
        <v>0</v>
      </c>
      <c r="I55" s="386">
        <f t="shared" si="1"/>
        <v>31055316</v>
      </c>
    </row>
    <row r="56" spans="1:9" hidden="1" outlineLevel="1">
      <c r="A56" s="423" t="s">
        <v>176</v>
      </c>
      <c r="B56" s="208">
        <v>228906096</v>
      </c>
      <c r="C56" s="209">
        <v>0</v>
      </c>
      <c r="D56" s="209">
        <v>0</v>
      </c>
      <c r="E56" s="209">
        <v>0</v>
      </c>
      <c r="F56" s="208">
        <v>3004731</v>
      </c>
      <c r="G56" s="208">
        <v>0</v>
      </c>
      <c r="H56" s="208">
        <v>0</v>
      </c>
      <c r="I56" s="386">
        <f t="shared" si="1"/>
        <v>231910827</v>
      </c>
    </row>
    <row r="57" spans="1:9" hidden="1" outlineLevel="1">
      <c r="A57" s="424" t="s">
        <v>178</v>
      </c>
      <c r="B57" s="208">
        <v>98020277</v>
      </c>
      <c r="C57" s="209">
        <v>0</v>
      </c>
      <c r="D57" s="209">
        <v>0</v>
      </c>
      <c r="E57" s="209">
        <v>0</v>
      </c>
      <c r="F57" s="208">
        <v>0</v>
      </c>
      <c r="G57" s="208">
        <v>0</v>
      </c>
      <c r="H57" s="208">
        <v>0</v>
      </c>
      <c r="I57" s="386">
        <f t="shared" si="1"/>
        <v>98020277</v>
      </c>
    </row>
    <row r="58" spans="1:9" hidden="1" outlineLevel="1">
      <c r="A58" s="424" t="s">
        <v>180</v>
      </c>
      <c r="B58" s="208">
        <v>43117450</v>
      </c>
      <c r="C58" s="209">
        <v>0</v>
      </c>
      <c r="D58" s="209">
        <v>0</v>
      </c>
      <c r="E58" s="209">
        <v>0</v>
      </c>
      <c r="F58" s="208">
        <v>0</v>
      </c>
      <c r="G58" s="208">
        <v>0</v>
      </c>
      <c r="H58" s="208">
        <v>0</v>
      </c>
      <c r="I58" s="386">
        <f t="shared" si="1"/>
        <v>43117450</v>
      </c>
    </row>
    <row r="59" spans="1:9" hidden="1" outlineLevel="1">
      <c r="A59" s="423" t="s">
        <v>182</v>
      </c>
      <c r="B59" s="208">
        <v>221266201</v>
      </c>
      <c r="C59" s="209">
        <v>0</v>
      </c>
      <c r="D59" s="209">
        <v>0</v>
      </c>
      <c r="E59" s="209">
        <v>0</v>
      </c>
      <c r="F59" s="208">
        <v>0</v>
      </c>
      <c r="G59" s="208">
        <v>0</v>
      </c>
      <c r="H59" s="208">
        <v>0</v>
      </c>
      <c r="I59" s="386">
        <f t="shared" si="1"/>
        <v>221266201</v>
      </c>
    </row>
    <row r="60" spans="1:9" hidden="1" outlineLevel="1">
      <c r="A60" s="424" t="s">
        <v>184</v>
      </c>
      <c r="B60" s="208">
        <v>34821140</v>
      </c>
      <c r="C60" s="209">
        <v>0</v>
      </c>
      <c r="D60" s="209">
        <v>0</v>
      </c>
      <c r="E60" s="209">
        <v>0</v>
      </c>
      <c r="F60" s="208">
        <v>0</v>
      </c>
      <c r="G60" s="208">
        <v>0</v>
      </c>
      <c r="H60" s="208">
        <v>0</v>
      </c>
      <c r="I60" s="386">
        <f t="shared" si="1"/>
        <v>34821140</v>
      </c>
    </row>
    <row r="61" spans="1:9" hidden="1" outlineLevel="1">
      <c r="A61" s="424" t="s">
        <v>186</v>
      </c>
      <c r="B61" s="208">
        <v>62242363</v>
      </c>
      <c r="C61" s="209">
        <v>0</v>
      </c>
      <c r="D61" s="209">
        <v>0</v>
      </c>
      <c r="E61" s="209">
        <v>0</v>
      </c>
      <c r="F61" s="208">
        <v>0</v>
      </c>
      <c r="G61" s="208">
        <v>0</v>
      </c>
      <c r="H61" s="208">
        <v>0</v>
      </c>
      <c r="I61" s="386">
        <f t="shared" si="1"/>
        <v>62242363</v>
      </c>
    </row>
    <row r="62" spans="1:9" hidden="1" outlineLevel="1">
      <c r="A62" s="423" t="s">
        <v>188</v>
      </c>
      <c r="B62" s="208">
        <v>90788821</v>
      </c>
      <c r="C62" s="209">
        <v>0</v>
      </c>
      <c r="D62" s="209">
        <v>0</v>
      </c>
      <c r="E62" s="209">
        <v>0</v>
      </c>
      <c r="F62" s="208">
        <v>0</v>
      </c>
      <c r="G62" s="208">
        <v>0</v>
      </c>
      <c r="H62" s="208">
        <v>0</v>
      </c>
      <c r="I62" s="386">
        <f t="shared" si="1"/>
        <v>90788821</v>
      </c>
    </row>
    <row r="63" spans="1:9" hidden="1" outlineLevel="1">
      <c r="A63" s="424" t="s">
        <v>190</v>
      </c>
      <c r="B63" s="208">
        <v>735822807</v>
      </c>
      <c r="C63" s="209">
        <v>0</v>
      </c>
      <c r="D63" s="209">
        <v>0</v>
      </c>
      <c r="E63" s="209">
        <v>0</v>
      </c>
      <c r="F63" s="208">
        <v>20654624</v>
      </c>
      <c r="G63" s="208">
        <v>0</v>
      </c>
      <c r="H63" s="208">
        <v>0</v>
      </c>
      <c r="I63" s="386">
        <f t="shared" si="1"/>
        <v>756477431</v>
      </c>
    </row>
    <row r="64" spans="1:9" hidden="1" outlineLevel="1">
      <c r="A64" s="424" t="s">
        <v>192</v>
      </c>
      <c r="B64" s="208">
        <v>51793864</v>
      </c>
      <c r="C64" s="209">
        <v>0</v>
      </c>
      <c r="D64" s="209">
        <v>0</v>
      </c>
      <c r="E64" s="209">
        <v>0</v>
      </c>
      <c r="F64" s="208">
        <v>0</v>
      </c>
      <c r="G64" s="208">
        <v>0</v>
      </c>
      <c r="H64" s="208">
        <v>0</v>
      </c>
      <c r="I64" s="386">
        <f t="shared" si="1"/>
        <v>51793864</v>
      </c>
    </row>
    <row r="65" spans="1:9" hidden="1" outlineLevel="1">
      <c r="A65" s="423" t="s">
        <v>194</v>
      </c>
      <c r="B65" s="208">
        <v>16594294</v>
      </c>
      <c r="C65" s="209">
        <v>0</v>
      </c>
      <c r="D65" s="209">
        <v>0</v>
      </c>
      <c r="E65" s="209">
        <v>0</v>
      </c>
      <c r="F65" s="208">
        <v>0</v>
      </c>
      <c r="G65" s="208">
        <v>0</v>
      </c>
      <c r="H65" s="208">
        <v>0</v>
      </c>
      <c r="I65" s="386">
        <f t="shared" si="1"/>
        <v>16594294</v>
      </c>
    </row>
    <row r="66" spans="1:9" hidden="1" outlineLevel="1">
      <c r="A66" s="424" t="s">
        <v>196</v>
      </c>
      <c r="B66" s="208">
        <v>25884060</v>
      </c>
      <c r="C66" s="209">
        <v>0</v>
      </c>
      <c r="D66" s="209">
        <v>0</v>
      </c>
      <c r="E66" s="209">
        <v>0</v>
      </c>
      <c r="F66" s="208">
        <v>0</v>
      </c>
      <c r="G66" s="208">
        <v>0</v>
      </c>
      <c r="H66" s="208">
        <v>0</v>
      </c>
      <c r="I66" s="386">
        <f t="shared" si="1"/>
        <v>25884060</v>
      </c>
    </row>
    <row r="67" spans="1:9" hidden="1" outlineLevel="1">
      <c r="A67" s="424" t="s">
        <v>198</v>
      </c>
      <c r="B67" s="208">
        <v>84145307</v>
      </c>
      <c r="C67" s="209">
        <v>0</v>
      </c>
      <c r="D67" s="209">
        <v>0</v>
      </c>
      <c r="E67" s="209">
        <v>0</v>
      </c>
      <c r="F67" s="208">
        <v>0</v>
      </c>
      <c r="G67" s="208">
        <v>0</v>
      </c>
      <c r="H67" s="208">
        <v>0</v>
      </c>
      <c r="I67" s="386">
        <f t="shared" si="1"/>
        <v>84145307</v>
      </c>
    </row>
    <row r="68" spans="1:9" hidden="1" outlineLevel="1">
      <c r="A68" s="423" t="s">
        <v>200</v>
      </c>
      <c r="B68" s="208">
        <v>39697121</v>
      </c>
      <c r="C68" s="209">
        <v>0</v>
      </c>
      <c r="D68" s="209">
        <v>0</v>
      </c>
      <c r="E68" s="209">
        <v>0</v>
      </c>
      <c r="F68" s="208">
        <v>0</v>
      </c>
      <c r="G68" s="208">
        <v>0</v>
      </c>
      <c r="H68" s="208">
        <v>0</v>
      </c>
      <c r="I68" s="386">
        <f t="shared" si="1"/>
        <v>39697121</v>
      </c>
    </row>
    <row r="69" spans="1:9" hidden="1" outlineLevel="1">
      <c r="A69" s="424" t="s">
        <v>202</v>
      </c>
      <c r="B69" s="208">
        <v>164206069</v>
      </c>
      <c r="C69" s="209">
        <v>0</v>
      </c>
      <c r="D69" s="209">
        <v>0</v>
      </c>
      <c r="E69" s="209">
        <v>0</v>
      </c>
      <c r="F69" s="208">
        <v>0</v>
      </c>
      <c r="G69" s="208">
        <v>0</v>
      </c>
      <c r="H69" s="208">
        <v>0</v>
      </c>
      <c r="I69" s="386">
        <f t="shared" si="1"/>
        <v>164206069</v>
      </c>
    </row>
    <row r="70" spans="1:9" hidden="1" outlineLevel="1">
      <c r="A70" s="424" t="s">
        <v>204</v>
      </c>
      <c r="B70" s="208">
        <v>121373809</v>
      </c>
      <c r="C70" s="209">
        <v>0</v>
      </c>
      <c r="D70" s="209">
        <v>0</v>
      </c>
      <c r="E70" s="209">
        <v>0</v>
      </c>
      <c r="F70" s="208">
        <v>0</v>
      </c>
      <c r="G70" s="208">
        <v>0</v>
      </c>
      <c r="H70" s="208">
        <v>0</v>
      </c>
      <c r="I70" s="386">
        <f t="shared" si="1"/>
        <v>121373809</v>
      </c>
    </row>
    <row r="71" spans="1:9" hidden="1" outlineLevel="1">
      <c r="A71" s="423" t="s">
        <v>206</v>
      </c>
      <c r="B71" s="208">
        <v>775456</v>
      </c>
      <c r="C71" s="209">
        <v>0</v>
      </c>
      <c r="D71" s="209">
        <v>0</v>
      </c>
      <c r="E71" s="209">
        <v>0</v>
      </c>
      <c r="F71" s="208">
        <v>0</v>
      </c>
      <c r="G71" s="208">
        <v>0</v>
      </c>
      <c r="H71" s="208">
        <v>0</v>
      </c>
      <c r="I71" s="386">
        <f t="shared" si="1"/>
        <v>775456</v>
      </c>
    </row>
    <row r="72" spans="1:9" hidden="1" outlineLevel="1">
      <c r="A72" s="424" t="s">
        <v>208</v>
      </c>
      <c r="B72" s="208">
        <v>92895156</v>
      </c>
      <c r="C72" s="209">
        <v>0</v>
      </c>
      <c r="D72" s="209">
        <v>0</v>
      </c>
      <c r="E72" s="209">
        <v>0</v>
      </c>
      <c r="F72" s="208">
        <v>0</v>
      </c>
      <c r="G72" s="208">
        <v>0</v>
      </c>
      <c r="H72" s="208">
        <v>0</v>
      </c>
      <c r="I72" s="386">
        <f t="shared" ref="I72:I135" si="2">+SUM(B72:H72)</f>
        <v>92895156</v>
      </c>
    </row>
    <row r="73" spans="1:9" hidden="1" outlineLevel="1">
      <c r="A73" s="424" t="s">
        <v>210</v>
      </c>
      <c r="B73" s="208">
        <v>58053837</v>
      </c>
      <c r="C73" s="209">
        <v>0</v>
      </c>
      <c r="D73" s="209">
        <v>0</v>
      </c>
      <c r="E73" s="209">
        <v>0</v>
      </c>
      <c r="F73" s="208">
        <v>0</v>
      </c>
      <c r="G73" s="208">
        <v>0</v>
      </c>
      <c r="H73" s="208">
        <v>0</v>
      </c>
      <c r="I73" s="386">
        <f t="shared" si="2"/>
        <v>58053837</v>
      </c>
    </row>
    <row r="74" spans="1:9" hidden="1" outlineLevel="1">
      <c r="A74" s="423" t="s">
        <v>212</v>
      </c>
      <c r="B74" s="208">
        <v>63444196</v>
      </c>
      <c r="C74" s="209">
        <v>0</v>
      </c>
      <c r="D74" s="209">
        <v>0</v>
      </c>
      <c r="E74" s="209">
        <v>0</v>
      </c>
      <c r="F74" s="208">
        <v>0</v>
      </c>
      <c r="G74" s="208">
        <v>0</v>
      </c>
      <c r="H74" s="208">
        <v>0</v>
      </c>
      <c r="I74" s="386">
        <f t="shared" si="2"/>
        <v>63444196</v>
      </c>
    </row>
    <row r="75" spans="1:9" hidden="1" outlineLevel="1">
      <c r="A75" s="424" t="s">
        <v>214</v>
      </c>
      <c r="B75" s="208">
        <v>116219918</v>
      </c>
      <c r="C75" s="209">
        <v>0</v>
      </c>
      <c r="D75" s="209">
        <v>0</v>
      </c>
      <c r="E75" s="209">
        <v>0</v>
      </c>
      <c r="F75" s="208">
        <v>0</v>
      </c>
      <c r="G75" s="208">
        <v>0</v>
      </c>
      <c r="H75" s="208">
        <v>0</v>
      </c>
      <c r="I75" s="386">
        <f t="shared" si="2"/>
        <v>116219918</v>
      </c>
    </row>
    <row r="76" spans="1:9" hidden="1" outlineLevel="1">
      <c r="A76" s="424" t="s">
        <v>216</v>
      </c>
      <c r="B76" s="208">
        <v>51658166</v>
      </c>
      <c r="C76" s="209">
        <v>0</v>
      </c>
      <c r="D76" s="209">
        <v>0</v>
      </c>
      <c r="E76" s="209">
        <v>0</v>
      </c>
      <c r="F76" s="208">
        <v>0</v>
      </c>
      <c r="G76" s="208">
        <v>0</v>
      </c>
      <c r="H76" s="208">
        <v>0</v>
      </c>
      <c r="I76" s="386">
        <f t="shared" si="2"/>
        <v>51658166</v>
      </c>
    </row>
    <row r="77" spans="1:9" hidden="1" outlineLevel="1">
      <c r="A77" s="423" t="s">
        <v>1856</v>
      </c>
      <c r="B77" s="208">
        <v>103696066</v>
      </c>
      <c r="C77" s="209">
        <v>0</v>
      </c>
      <c r="D77" s="209">
        <v>0</v>
      </c>
      <c r="E77" s="209">
        <v>0</v>
      </c>
      <c r="F77" s="208">
        <v>0</v>
      </c>
      <c r="G77" s="208">
        <v>0</v>
      </c>
      <c r="H77" s="208">
        <v>0</v>
      </c>
      <c r="I77" s="386">
        <f t="shared" si="2"/>
        <v>103696066</v>
      </c>
    </row>
    <row r="78" spans="1:9" hidden="1" outlineLevel="1">
      <c r="A78" s="424" t="s">
        <v>218</v>
      </c>
      <c r="B78" s="208">
        <v>186312870</v>
      </c>
      <c r="C78" s="209">
        <v>0</v>
      </c>
      <c r="D78" s="209">
        <v>0</v>
      </c>
      <c r="E78" s="209">
        <v>0</v>
      </c>
      <c r="F78" s="208">
        <v>0</v>
      </c>
      <c r="G78" s="208">
        <v>0</v>
      </c>
      <c r="H78" s="208">
        <v>0</v>
      </c>
      <c r="I78" s="386">
        <f t="shared" si="2"/>
        <v>186312870</v>
      </c>
    </row>
    <row r="79" spans="1:9" hidden="1" outlineLevel="1">
      <c r="A79" s="424" t="s">
        <v>220</v>
      </c>
      <c r="B79" s="208">
        <v>647766649</v>
      </c>
      <c r="C79" s="209">
        <v>0</v>
      </c>
      <c r="D79" s="209">
        <v>0</v>
      </c>
      <c r="E79" s="209">
        <v>0</v>
      </c>
      <c r="F79" s="208">
        <v>0</v>
      </c>
      <c r="G79" s="208">
        <v>0</v>
      </c>
      <c r="H79" s="208">
        <v>0</v>
      </c>
      <c r="I79" s="386">
        <f t="shared" si="2"/>
        <v>647766649</v>
      </c>
    </row>
    <row r="80" spans="1:9" hidden="1" outlineLevel="1">
      <c r="A80" s="423" t="s">
        <v>222</v>
      </c>
      <c r="B80" s="208">
        <v>51569684</v>
      </c>
      <c r="C80" s="209">
        <v>0</v>
      </c>
      <c r="D80" s="209">
        <v>0</v>
      </c>
      <c r="E80" s="209">
        <v>0</v>
      </c>
      <c r="F80" s="208">
        <v>0</v>
      </c>
      <c r="G80" s="208">
        <v>0</v>
      </c>
      <c r="H80" s="208">
        <v>0</v>
      </c>
      <c r="I80" s="386">
        <f t="shared" si="2"/>
        <v>51569684</v>
      </c>
    </row>
    <row r="81" spans="1:9" hidden="1" outlineLevel="1">
      <c r="A81" s="424" t="s">
        <v>224</v>
      </c>
      <c r="B81" s="208">
        <v>56902744</v>
      </c>
      <c r="C81" s="209">
        <v>0</v>
      </c>
      <c r="D81" s="209">
        <v>0</v>
      </c>
      <c r="E81" s="209">
        <v>0</v>
      </c>
      <c r="F81" s="208">
        <v>0</v>
      </c>
      <c r="G81" s="208">
        <v>0</v>
      </c>
      <c r="H81" s="208">
        <v>0</v>
      </c>
      <c r="I81" s="386">
        <f t="shared" si="2"/>
        <v>56902744</v>
      </c>
    </row>
    <row r="82" spans="1:9" hidden="1" outlineLevel="1">
      <c r="A82" s="424" t="s">
        <v>226</v>
      </c>
      <c r="B82" s="208">
        <v>33278563</v>
      </c>
      <c r="C82" s="209">
        <v>0</v>
      </c>
      <c r="D82" s="209">
        <v>0</v>
      </c>
      <c r="E82" s="209">
        <v>0</v>
      </c>
      <c r="F82" s="208">
        <v>0</v>
      </c>
      <c r="G82" s="208">
        <v>0</v>
      </c>
      <c r="H82" s="208">
        <v>0</v>
      </c>
      <c r="I82" s="386">
        <f t="shared" si="2"/>
        <v>33278563</v>
      </c>
    </row>
    <row r="83" spans="1:9" hidden="1" outlineLevel="1">
      <c r="A83" s="423" t="s">
        <v>228</v>
      </c>
      <c r="B83" s="208">
        <v>6865555256</v>
      </c>
      <c r="C83" s="209">
        <v>0</v>
      </c>
      <c r="D83" s="209">
        <v>0</v>
      </c>
      <c r="E83" s="209">
        <v>0</v>
      </c>
      <c r="F83" s="208">
        <v>0</v>
      </c>
      <c r="G83" s="208">
        <v>1950960</v>
      </c>
      <c r="H83" s="208">
        <v>0</v>
      </c>
      <c r="I83" s="386">
        <f t="shared" si="2"/>
        <v>6867506216</v>
      </c>
    </row>
    <row r="84" spans="1:9" hidden="1" outlineLevel="1">
      <c r="A84" s="424" t="s">
        <v>230</v>
      </c>
      <c r="B84" s="208">
        <v>88505557</v>
      </c>
      <c r="C84" s="209">
        <v>0</v>
      </c>
      <c r="D84" s="209">
        <v>0</v>
      </c>
      <c r="E84" s="209">
        <v>0</v>
      </c>
      <c r="F84" s="208">
        <v>0</v>
      </c>
      <c r="G84" s="208">
        <v>0</v>
      </c>
      <c r="H84" s="208">
        <v>0</v>
      </c>
      <c r="I84" s="386">
        <f t="shared" si="2"/>
        <v>88505557</v>
      </c>
    </row>
    <row r="85" spans="1:9" hidden="1" outlineLevel="1">
      <c r="A85" s="424" t="s">
        <v>577</v>
      </c>
      <c r="B85" s="208">
        <v>259818831</v>
      </c>
      <c r="C85" s="209">
        <v>0</v>
      </c>
      <c r="D85" s="209">
        <v>0</v>
      </c>
      <c r="E85" s="209">
        <v>0</v>
      </c>
      <c r="F85" s="208">
        <v>2476574542</v>
      </c>
      <c r="G85" s="208">
        <v>0</v>
      </c>
      <c r="H85" s="208">
        <v>0</v>
      </c>
      <c r="I85" s="386">
        <f t="shared" si="2"/>
        <v>2736393373</v>
      </c>
    </row>
    <row r="86" spans="1:9" hidden="1" outlineLevel="1">
      <c r="A86" s="423" t="s">
        <v>232</v>
      </c>
      <c r="B86" s="208">
        <v>61450133</v>
      </c>
      <c r="C86" s="209">
        <v>0</v>
      </c>
      <c r="D86" s="209">
        <v>0</v>
      </c>
      <c r="E86" s="209">
        <v>0</v>
      </c>
      <c r="F86" s="208">
        <v>0</v>
      </c>
      <c r="G86" s="208">
        <v>0</v>
      </c>
      <c r="H86" s="208">
        <v>0</v>
      </c>
      <c r="I86" s="386">
        <f t="shared" si="2"/>
        <v>61450133</v>
      </c>
    </row>
    <row r="87" spans="1:9" hidden="1" outlineLevel="1">
      <c r="A87" s="424" t="s">
        <v>234</v>
      </c>
      <c r="B87" s="208">
        <v>121848639</v>
      </c>
      <c r="C87" s="209">
        <v>0</v>
      </c>
      <c r="D87" s="209">
        <v>0</v>
      </c>
      <c r="E87" s="209">
        <v>0</v>
      </c>
      <c r="F87" s="208">
        <v>0</v>
      </c>
      <c r="G87" s="208">
        <v>0</v>
      </c>
      <c r="H87" s="208">
        <v>0</v>
      </c>
      <c r="I87" s="386">
        <f t="shared" si="2"/>
        <v>121848639</v>
      </c>
    </row>
    <row r="88" spans="1:9" hidden="1" outlineLevel="1">
      <c r="A88" s="424" t="s">
        <v>236</v>
      </c>
      <c r="B88" s="208">
        <v>27571062</v>
      </c>
      <c r="C88" s="209">
        <v>0</v>
      </c>
      <c r="D88" s="209">
        <v>0</v>
      </c>
      <c r="E88" s="209">
        <v>0</v>
      </c>
      <c r="F88" s="208">
        <v>0</v>
      </c>
      <c r="G88" s="208">
        <v>0</v>
      </c>
      <c r="H88" s="208">
        <v>0</v>
      </c>
      <c r="I88" s="386">
        <f t="shared" si="2"/>
        <v>27571062</v>
      </c>
    </row>
    <row r="89" spans="1:9" hidden="1" outlineLevel="1">
      <c r="A89" s="423" t="s">
        <v>238</v>
      </c>
      <c r="B89" s="208">
        <v>606449534</v>
      </c>
      <c r="C89" s="209">
        <v>0</v>
      </c>
      <c r="D89" s="209">
        <v>0</v>
      </c>
      <c r="E89" s="209">
        <v>0</v>
      </c>
      <c r="F89" s="208">
        <v>7786961</v>
      </c>
      <c r="G89" s="208">
        <v>0</v>
      </c>
      <c r="H89" s="208">
        <v>0</v>
      </c>
      <c r="I89" s="386">
        <f t="shared" si="2"/>
        <v>614236495</v>
      </c>
    </row>
    <row r="90" spans="1:9" hidden="1" outlineLevel="1">
      <c r="A90" s="424" t="s">
        <v>240</v>
      </c>
      <c r="B90" s="208">
        <v>39701245</v>
      </c>
      <c r="C90" s="209">
        <v>0</v>
      </c>
      <c r="D90" s="209">
        <v>0</v>
      </c>
      <c r="E90" s="209">
        <v>0</v>
      </c>
      <c r="F90" s="208">
        <v>0</v>
      </c>
      <c r="G90" s="208">
        <v>0</v>
      </c>
      <c r="H90" s="208">
        <v>0</v>
      </c>
      <c r="I90" s="386">
        <f t="shared" si="2"/>
        <v>39701245</v>
      </c>
    </row>
    <row r="91" spans="1:9" hidden="1" outlineLevel="1">
      <c r="A91" s="424" t="s">
        <v>242</v>
      </c>
      <c r="B91" s="208">
        <v>117957444</v>
      </c>
      <c r="C91" s="209">
        <v>0</v>
      </c>
      <c r="D91" s="209">
        <v>0</v>
      </c>
      <c r="E91" s="209">
        <v>0</v>
      </c>
      <c r="F91" s="208">
        <v>0</v>
      </c>
      <c r="G91" s="208">
        <v>0</v>
      </c>
      <c r="H91" s="208">
        <v>0</v>
      </c>
      <c r="I91" s="386">
        <f t="shared" si="2"/>
        <v>117957444</v>
      </c>
    </row>
    <row r="92" spans="1:9" hidden="1" outlineLevel="1">
      <c r="A92" s="423" t="s">
        <v>244</v>
      </c>
      <c r="B92" s="208">
        <v>80881985</v>
      </c>
      <c r="C92" s="209">
        <v>0</v>
      </c>
      <c r="D92" s="209">
        <v>0</v>
      </c>
      <c r="E92" s="209">
        <v>0</v>
      </c>
      <c r="F92" s="208">
        <v>0</v>
      </c>
      <c r="G92" s="208">
        <v>0</v>
      </c>
      <c r="H92" s="208">
        <v>0</v>
      </c>
      <c r="I92" s="386">
        <f t="shared" si="2"/>
        <v>80881985</v>
      </c>
    </row>
    <row r="93" spans="1:9" hidden="1" outlineLevel="1">
      <c r="A93" s="424" t="s">
        <v>246</v>
      </c>
      <c r="B93" s="208">
        <v>19490943</v>
      </c>
      <c r="C93" s="209">
        <v>0</v>
      </c>
      <c r="D93" s="209">
        <v>0</v>
      </c>
      <c r="E93" s="209">
        <v>0</v>
      </c>
      <c r="F93" s="208">
        <v>0</v>
      </c>
      <c r="G93" s="208">
        <v>0</v>
      </c>
      <c r="H93" s="208">
        <v>0</v>
      </c>
      <c r="I93" s="386">
        <f t="shared" si="2"/>
        <v>19490943</v>
      </c>
    </row>
    <row r="94" spans="1:9" hidden="1" outlineLevel="1">
      <c r="A94" s="424" t="s">
        <v>248</v>
      </c>
      <c r="B94" s="208">
        <v>266147158</v>
      </c>
      <c r="C94" s="209">
        <v>0</v>
      </c>
      <c r="D94" s="209">
        <v>0</v>
      </c>
      <c r="E94" s="209">
        <v>0</v>
      </c>
      <c r="F94" s="208">
        <v>4555954</v>
      </c>
      <c r="G94" s="208">
        <v>117466</v>
      </c>
      <c r="H94" s="208">
        <v>0</v>
      </c>
      <c r="I94" s="386">
        <f t="shared" si="2"/>
        <v>270820578</v>
      </c>
    </row>
    <row r="95" spans="1:9" hidden="1" outlineLevel="1">
      <c r="A95" s="423" t="s">
        <v>250</v>
      </c>
      <c r="B95" s="208">
        <v>1616542619</v>
      </c>
      <c r="C95" s="209">
        <v>0</v>
      </c>
      <c r="D95" s="209">
        <v>0</v>
      </c>
      <c r="E95" s="209">
        <v>0</v>
      </c>
      <c r="F95" s="208">
        <v>55724629</v>
      </c>
      <c r="G95" s="208">
        <v>0</v>
      </c>
      <c r="H95" s="208">
        <v>0</v>
      </c>
      <c r="I95" s="386">
        <f t="shared" si="2"/>
        <v>1672267248</v>
      </c>
    </row>
    <row r="96" spans="1:9" hidden="1" outlineLevel="1">
      <c r="A96" s="424" t="s">
        <v>252</v>
      </c>
      <c r="B96" s="208">
        <v>624677749</v>
      </c>
      <c r="C96" s="209">
        <v>0</v>
      </c>
      <c r="D96" s="209">
        <v>0</v>
      </c>
      <c r="E96" s="209">
        <v>0</v>
      </c>
      <c r="F96" s="208">
        <v>15761796</v>
      </c>
      <c r="G96" s="208">
        <v>0</v>
      </c>
      <c r="H96" s="208">
        <v>0</v>
      </c>
      <c r="I96" s="386">
        <f t="shared" si="2"/>
        <v>640439545</v>
      </c>
    </row>
    <row r="97" spans="1:9" hidden="1" outlineLevel="1">
      <c r="A97" s="424" t="s">
        <v>254</v>
      </c>
      <c r="B97" s="208">
        <v>193809035</v>
      </c>
      <c r="C97" s="209">
        <v>0</v>
      </c>
      <c r="D97" s="209">
        <v>0</v>
      </c>
      <c r="E97" s="209">
        <v>0</v>
      </c>
      <c r="F97" s="208">
        <v>0</v>
      </c>
      <c r="G97" s="208">
        <v>0</v>
      </c>
      <c r="H97" s="208">
        <v>0</v>
      </c>
      <c r="I97" s="386">
        <f t="shared" si="2"/>
        <v>193809035</v>
      </c>
    </row>
    <row r="98" spans="1:9" hidden="1" outlineLevel="1">
      <c r="A98" s="423" t="s">
        <v>256</v>
      </c>
      <c r="B98" s="208">
        <v>82503220</v>
      </c>
      <c r="C98" s="209">
        <v>0</v>
      </c>
      <c r="D98" s="209">
        <v>0</v>
      </c>
      <c r="E98" s="209">
        <v>0</v>
      </c>
      <c r="F98" s="208">
        <v>0</v>
      </c>
      <c r="G98" s="208">
        <v>0</v>
      </c>
      <c r="H98" s="208">
        <v>0</v>
      </c>
      <c r="I98" s="386">
        <f t="shared" si="2"/>
        <v>82503220</v>
      </c>
    </row>
    <row r="99" spans="1:9" hidden="1" outlineLevel="1">
      <c r="A99" s="424" t="s">
        <v>258</v>
      </c>
      <c r="B99" s="208">
        <v>91158567</v>
      </c>
      <c r="C99" s="209">
        <v>0</v>
      </c>
      <c r="D99" s="209">
        <v>0</v>
      </c>
      <c r="E99" s="209">
        <v>0</v>
      </c>
      <c r="F99" s="208">
        <v>0</v>
      </c>
      <c r="G99" s="208">
        <v>0</v>
      </c>
      <c r="H99" s="208">
        <v>0</v>
      </c>
      <c r="I99" s="386">
        <f t="shared" si="2"/>
        <v>91158567</v>
      </c>
    </row>
    <row r="100" spans="1:9" hidden="1" outlineLevel="1">
      <c r="A100" s="424" t="s">
        <v>260</v>
      </c>
      <c r="B100" s="208">
        <v>75674506</v>
      </c>
      <c r="C100" s="209">
        <v>0</v>
      </c>
      <c r="D100" s="209">
        <v>0</v>
      </c>
      <c r="E100" s="209">
        <v>0</v>
      </c>
      <c r="F100" s="208">
        <v>0</v>
      </c>
      <c r="G100" s="208">
        <v>0</v>
      </c>
      <c r="H100" s="208">
        <v>0</v>
      </c>
      <c r="I100" s="386">
        <f t="shared" si="2"/>
        <v>75674506</v>
      </c>
    </row>
    <row r="101" spans="1:9" hidden="1" outlineLevel="1">
      <c r="A101" s="423" t="s">
        <v>262</v>
      </c>
      <c r="B101" s="208">
        <v>116445863</v>
      </c>
      <c r="C101" s="209">
        <v>0</v>
      </c>
      <c r="D101" s="209">
        <v>0</v>
      </c>
      <c r="E101" s="209">
        <v>0</v>
      </c>
      <c r="F101" s="208">
        <v>0</v>
      </c>
      <c r="G101" s="208">
        <v>0</v>
      </c>
      <c r="H101" s="208">
        <v>0</v>
      </c>
      <c r="I101" s="386">
        <f t="shared" si="2"/>
        <v>116445863</v>
      </c>
    </row>
    <row r="102" spans="1:9" hidden="1" outlineLevel="1">
      <c r="A102" s="424" t="s">
        <v>264</v>
      </c>
      <c r="B102" s="208">
        <v>253396319</v>
      </c>
      <c r="C102" s="209">
        <v>0</v>
      </c>
      <c r="D102" s="209">
        <v>0</v>
      </c>
      <c r="E102" s="209">
        <v>0</v>
      </c>
      <c r="F102" s="208">
        <v>0</v>
      </c>
      <c r="G102" s="208">
        <v>0</v>
      </c>
      <c r="H102" s="208">
        <v>0</v>
      </c>
      <c r="I102" s="386">
        <f t="shared" si="2"/>
        <v>253396319</v>
      </c>
    </row>
    <row r="103" spans="1:9" hidden="1" outlineLevel="1">
      <c r="A103" s="424" t="s">
        <v>266</v>
      </c>
      <c r="B103" s="208">
        <v>198331761</v>
      </c>
      <c r="C103" s="209">
        <v>0</v>
      </c>
      <c r="D103" s="209">
        <v>0</v>
      </c>
      <c r="E103" s="209">
        <v>0</v>
      </c>
      <c r="F103" s="208">
        <v>3367675</v>
      </c>
      <c r="G103" s="208">
        <v>0</v>
      </c>
      <c r="H103" s="208">
        <v>0</v>
      </c>
      <c r="I103" s="386">
        <f t="shared" si="2"/>
        <v>201699436</v>
      </c>
    </row>
    <row r="104" spans="1:9" hidden="1" outlineLevel="1">
      <c r="A104" s="423" t="s">
        <v>268</v>
      </c>
      <c r="B104" s="208">
        <v>86526801</v>
      </c>
      <c r="C104" s="209">
        <v>0</v>
      </c>
      <c r="D104" s="209">
        <v>0</v>
      </c>
      <c r="E104" s="209">
        <v>0</v>
      </c>
      <c r="F104" s="208">
        <v>0</v>
      </c>
      <c r="G104" s="208">
        <v>0</v>
      </c>
      <c r="H104" s="208">
        <v>0</v>
      </c>
      <c r="I104" s="386">
        <f t="shared" si="2"/>
        <v>86526801</v>
      </c>
    </row>
    <row r="105" spans="1:9" hidden="1" outlineLevel="1">
      <c r="A105" s="424" t="s">
        <v>270</v>
      </c>
      <c r="B105" s="208">
        <v>45973114</v>
      </c>
      <c r="C105" s="209">
        <v>0</v>
      </c>
      <c r="D105" s="209">
        <v>0</v>
      </c>
      <c r="E105" s="209">
        <v>0</v>
      </c>
      <c r="F105" s="208">
        <v>0</v>
      </c>
      <c r="G105" s="208">
        <v>0</v>
      </c>
      <c r="H105" s="208">
        <v>0</v>
      </c>
      <c r="I105" s="386">
        <f t="shared" si="2"/>
        <v>45973114</v>
      </c>
    </row>
    <row r="106" spans="1:9" hidden="1" outlineLevel="1">
      <c r="A106" s="424" t="s">
        <v>272</v>
      </c>
      <c r="B106" s="208">
        <v>39339125</v>
      </c>
      <c r="C106" s="209">
        <v>0</v>
      </c>
      <c r="D106" s="209">
        <v>0</v>
      </c>
      <c r="E106" s="209">
        <v>0</v>
      </c>
      <c r="F106" s="208">
        <v>0</v>
      </c>
      <c r="G106" s="208">
        <v>0</v>
      </c>
      <c r="H106" s="208">
        <v>0</v>
      </c>
      <c r="I106" s="386">
        <f t="shared" si="2"/>
        <v>39339125</v>
      </c>
    </row>
    <row r="107" spans="1:9" hidden="1" outlineLevel="1">
      <c r="A107" s="423" t="s">
        <v>274</v>
      </c>
      <c r="B107" s="208">
        <v>52626429</v>
      </c>
      <c r="C107" s="209">
        <v>0</v>
      </c>
      <c r="D107" s="209">
        <v>0</v>
      </c>
      <c r="E107" s="209">
        <v>0</v>
      </c>
      <c r="F107" s="208">
        <v>0</v>
      </c>
      <c r="G107" s="208">
        <v>0</v>
      </c>
      <c r="H107" s="208">
        <v>0</v>
      </c>
      <c r="I107" s="386">
        <f t="shared" si="2"/>
        <v>52626429</v>
      </c>
    </row>
    <row r="108" spans="1:9" hidden="1" outlineLevel="1">
      <c r="A108" s="424" t="s">
        <v>276</v>
      </c>
      <c r="B108" s="208">
        <v>74406392</v>
      </c>
      <c r="C108" s="209">
        <v>0</v>
      </c>
      <c r="D108" s="209">
        <v>0</v>
      </c>
      <c r="E108" s="209">
        <v>0</v>
      </c>
      <c r="F108" s="208">
        <v>0</v>
      </c>
      <c r="G108" s="208">
        <v>0</v>
      </c>
      <c r="H108" s="208">
        <v>0</v>
      </c>
      <c r="I108" s="386">
        <f t="shared" si="2"/>
        <v>74406392</v>
      </c>
    </row>
    <row r="109" spans="1:9" hidden="1" outlineLevel="1">
      <c r="A109" s="424" t="s">
        <v>278</v>
      </c>
      <c r="B109" s="208">
        <v>108447924</v>
      </c>
      <c r="C109" s="209">
        <v>0</v>
      </c>
      <c r="D109" s="209">
        <v>0</v>
      </c>
      <c r="E109" s="209">
        <v>0</v>
      </c>
      <c r="F109" s="208">
        <v>0</v>
      </c>
      <c r="G109" s="208">
        <v>0</v>
      </c>
      <c r="H109" s="208">
        <v>0</v>
      </c>
      <c r="I109" s="386">
        <f t="shared" si="2"/>
        <v>108447924</v>
      </c>
    </row>
    <row r="110" spans="1:9" hidden="1" outlineLevel="1">
      <c r="A110" s="423" t="s">
        <v>280</v>
      </c>
      <c r="B110" s="208">
        <v>206177884</v>
      </c>
      <c r="C110" s="209">
        <v>0</v>
      </c>
      <c r="D110" s="209">
        <v>0</v>
      </c>
      <c r="E110" s="209">
        <v>0</v>
      </c>
      <c r="F110" s="208">
        <v>0</v>
      </c>
      <c r="G110" s="208">
        <v>0</v>
      </c>
      <c r="H110" s="208">
        <v>0</v>
      </c>
      <c r="I110" s="386">
        <f t="shared" si="2"/>
        <v>206177884</v>
      </c>
    </row>
    <row r="111" spans="1:9" hidden="1" outlineLevel="1">
      <c r="A111" s="424" t="s">
        <v>1857</v>
      </c>
      <c r="B111" s="208">
        <v>33121527</v>
      </c>
      <c r="C111" s="209">
        <v>0</v>
      </c>
      <c r="D111" s="209">
        <v>0</v>
      </c>
      <c r="E111" s="209">
        <v>0</v>
      </c>
      <c r="F111" s="208">
        <v>0</v>
      </c>
      <c r="G111" s="208">
        <v>0</v>
      </c>
      <c r="H111" s="208">
        <v>0</v>
      </c>
      <c r="I111" s="386">
        <f t="shared" si="2"/>
        <v>33121527</v>
      </c>
    </row>
    <row r="112" spans="1:9" hidden="1" outlineLevel="1">
      <c r="A112" s="424" t="s">
        <v>282</v>
      </c>
      <c r="B112" s="208">
        <v>52162246</v>
      </c>
      <c r="C112" s="209">
        <v>0</v>
      </c>
      <c r="D112" s="209">
        <v>0</v>
      </c>
      <c r="E112" s="209">
        <v>0</v>
      </c>
      <c r="F112" s="208">
        <v>0</v>
      </c>
      <c r="G112" s="208">
        <v>0</v>
      </c>
      <c r="H112" s="208">
        <v>0</v>
      </c>
      <c r="I112" s="386">
        <f t="shared" si="2"/>
        <v>52162246</v>
      </c>
    </row>
    <row r="113" spans="1:9" hidden="1" outlineLevel="1">
      <c r="A113" s="423" t="s">
        <v>284</v>
      </c>
      <c r="B113" s="208">
        <v>65247397</v>
      </c>
      <c r="C113" s="209">
        <v>0</v>
      </c>
      <c r="D113" s="209">
        <v>0</v>
      </c>
      <c r="E113" s="209">
        <v>0</v>
      </c>
      <c r="F113" s="208">
        <v>0</v>
      </c>
      <c r="G113" s="208">
        <v>0</v>
      </c>
      <c r="H113" s="208">
        <v>0</v>
      </c>
      <c r="I113" s="386">
        <f t="shared" si="2"/>
        <v>65247397</v>
      </c>
    </row>
    <row r="114" spans="1:9" hidden="1" outlineLevel="1">
      <c r="A114" s="424" t="s">
        <v>286</v>
      </c>
      <c r="B114" s="208">
        <v>14240100</v>
      </c>
      <c r="C114" s="209">
        <v>0</v>
      </c>
      <c r="D114" s="209">
        <v>0</v>
      </c>
      <c r="E114" s="209">
        <v>0</v>
      </c>
      <c r="F114" s="208">
        <v>0</v>
      </c>
      <c r="G114" s="208">
        <v>0</v>
      </c>
      <c r="H114" s="208">
        <v>0</v>
      </c>
      <c r="I114" s="386">
        <f t="shared" si="2"/>
        <v>14240100</v>
      </c>
    </row>
    <row r="115" spans="1:9" hidden="1" outlineLevel="1">
      <c r="A115" s="424" t="s">
        <v>288</v>
      </c>
      <c r="B115" s="208">
        <v>144709339</v>
      </c>
      <c r="C115" s="209">
        <v>0</v>
      </c>
      <c r="D115" s="209">
        <v>0</v>
      </c>
      <c r="E115" s="209">
        <v>0</v>
      </c>
      <c r="F115" s="208">
        <v>0</v>
      </c>
      <c r="G115" s="208">
        <v>0</v>
      </c>
      <c r="H115" s="208">
        <v>0</v>
      </c>
      <c r="I115" s="386">
        <f t="shared" si="2"/>
        <v>144709339</v>
      </c>
    </row>
    <row r="116" spans="1:9" hidden="1" outlineLevel="1">
      <c r="A116" s="423" t="s">
        <v>290</v>
      </c>
      <c r="B116" s="208">
        <v>33210608</v>
      </c>
      <c r="C116" s="209">
        <v>0</v>
      </c>
      <c r="D116" s="209">
        <v>0</v>
      </c>
      <c r="E116" s="209">
        <v>0</v>
      </c>
      <c r="F116" s="208">
        <v>0</v>
      </c>
      <c r="G116" s="208">
        <v>0</v>
      </c>
      <c r="H116" s="208">
        <v>0</v>
      </c>
      <c r="I116" s="386">
        <f t="shared" si="2"/>
        <v>33210608</v>
      </c>
    </row>
    <row r="117" spans="1:9" hidden="1" outlineLevel="1">
      <c r="A117" s="424" t="s">
        <v>292</v>
      </c>
      <c r="B117" s="208">
        <v>27036947</v>
      </c>
      <c r="C117" s="209">
        <v>0</v>
      </c>
      <c r="D117" s="209">
        <v>0</v>
      </c>
      <c r="E117" s="209">
        <v>0</v>
      </c>
      <c r="F117" s="208">
        <v>0</v>
      </c>
      <c r="G117" s="208">
        <v>0</v>
      </c>
      <c r="H117" s="208">
        <v>0</v>
      </c>
      <c r="I117" s="386">
        <f t="shared" si="2"/>
        <v>27036947</v>
      </c>
    </row>
    <row r="118" spans="1:9" hidden="1" outlineLevel="1">
      <c r="A118" s="424" t="s">
        <v>294</v>
      </c>
      <c r="B118" s="208">
        <v>48905783</v>
      </c>
      <c r="C118" s="209">
        <v>0</v>
      </c>
      <c r="D118" s="209">
        <v>0</v>
      </c>
      <c r="E118" s="209">
        <v>0</v>
      </c>
      <c r="F118" s="208">
        <v>0</v>
      </c>
      <c r="G118" s="208">
        <v>0</v>
      </c>
      <c r="H118" s="208">
        <v>0</v>
      </c>
      <c r="I118" s="386">
        <f t="shared" si="2"/>
        <v>48905783</v>
      </c>
    </row>
    <row r="119" spans="1:9" hidden="1" outlineLevel="1">
      <c r="A119" s="423" t="s">
        <v>296</v>
      </c>
      <c r="B119" s="208">
        <v>92467481</v>
      </c>
      <c r="C119" s="209">
        <v>0</v>
      </c>
      <c r="D119" s="209">
        <v>0</v>
      </c>
      <c r="E119" s="209">
        <v>0</v>
      </c>
      <c r="F119" s="208">
        <v>0</v>
      </c>
      <c r="G119" s="208">
        <v>0</v>
      </c>
      <c r="H119" s="208">
        <v>0</v>
      </c>
      <c r="I119" s="386">
        <f t="shared" si="2"/>
        <v>92467481</v>
      </c>
    </row>
    <row r="120" spans="1:9" hidden="1" outlineLevel="1">
      <c r="A120" s="424" t="s">
        <v>298</v>
      </c>
      <c r="B120" s="208">
        <v>62746749</v>
      </c>
      <c r="C120" s="209">
        <v>0</v>
      </c>
      <c r="D120" s="209">
        <v>0</v>
      </c>
      <c r="E120" s="209">
        <v>0</v>
      </c>
      <c r="F120" s="208">
        <v>0</v>
      </c>
      <c r="G120" s="208">
        <v>0</v>
      </c>
      <c r="H120" s="208">
        <v>0</v>
      </c>
      <c r="I120" s="386">
        <f t="shared" si="2"/>
        <v>62746749</v>
      </c>
    </row>
    <row r="121" spans="1:9" hidden="1" outlineLevel="1">
      <c r="A121" s="424" t="s">
        <v>300</v>
      </c>
      <c r="B121" s="208">
        <v>174480815</v>
      </c>
      <c r="C121" s="209">
        <v>0</v>
      </c>
      <c r="D121" s="209">
        <v>0</v>
      </c>
      <c r="E121" s="209">
        <v>0</v>
      </c>
      <c r="F121" s="208">
        <v>0</v>
      </c>
      <c r="G121" s="208">
        <v>0</v>
      </c>
      <c r="H121" s="208">
        <v>0</v>
      </c>
      <c r="I121" s="386">
        <f t="shared" si="2"/>
        <v>174480815</v>
      </c>
    </row>
    <row r="122" spans="1:9" hidden="1" outlineLevel="1">
      <c r="A122" s="423" t="s">
        <v>302</v>
      </c>
      <c r="B122" s="208">
        <v>57855437</v>
      </c>
      <c r="C122" s="209">
        <v>0</v>
      </c>
      <c r="D122" s="209">
        <v>0</v>
      </c>
      <c r="E122" s="209">
        <v>0</v>
      </c>
      <c r="F122" s="208">
        <v>0</v>
      </c>
      <c r="G122" s="208">
        <v>0</v>
      </c>
      <c r="H122" s="208">
        <v>0</v>
      </c>
      <c r="I122" s="386">
        <f t="shared" si="2"/>
        <v>57855437</v>
      </c>
    </row>
    <row r="123" spans="1:9" hidden="1" outlineLevel="1">
      <c r="A123" s="424" t="s">
        <v>304</v>
      </c>
      <c r="B123" s="208">
        <v>135244485</v>
      </c>
      <c r="C123" s="209">
        <v>0</v>
      </c>
      <c r="D123" s="209">
        <v>0</v>
      </c>
      <c r="E123" s="209">
        <v>0</v>
      </c>
      <c r="F123" s="208">
        <v>0</v>
      </c>
      <c r="G123" s="208">
        <v>0</v>
      </c>
      <c r="H123" s="208">
        <v>0</v>
      </c>
      <c r="I123" s="386">
        <f t="shared" si="2"/>
        <v>135244485</v>
      </c>
    </row>
    <row r="124" spans="1:9" hidden="1" outlineLevel="1">
      <c r="A124" s="424" t="s">
        <v>306</v>
      </c>
      <c r="B124" s="208">
        <v>41391857</v>
      </c>
      <c r="C124" s="209">
        <v>0</v>
      </c>
      <c r="D124" s="209">
        <v>0</v>
      </c>
      <c r="E124" s="209">
        <v>0</v>
      </c>
      <c r="F124" s="208">
        <v>0</v>
      </c>
      <c r="G124" s="208">
        <v>0</v>
      </c>
      <c r="H124" s="208">
        <v>0</v>
      </c>
      <c r="I124" s="386">
        <f t="shared" si="2"/>
        <v>41391857</v>
      </c>
    </row>
    <row r="125" spans="1:9" hidden="1" outlineLevel="1">
      <c r="A125" s="423" t="s">
        <v>308</v>
      </c>
      <c r="B125" s="208">
        <v>85782003</v>
      </c>
      <c r="C125" s="209">
        <v>0</v>
      </c>
      <c r="D125" s="209">
        <v>0</v>
      </c>
      <c r="E125" s="209">
        <v>0</v>
      </c>
      <c r="F125" s="208">
        <v>0</v>
      </c>
      <c r="G125" s="208">
        <v>0</v>
      </c>
      <c r="H125" s="208">
        <v>0</v>
      </c>
      <c r="I125" s="386">
        <f t="shared" si="2"/>
        <v>85782003</v>
      </c>
    </row>
    <row r="126" spans="1:9" hidden="1" outlineLevel="1">
      <c r="A126" s="424" t="s">
        <v>310</v>
      </c>
      <c r="B126" s="208">
        <v>6760139883</v>
      </c>
      <c r="C126" s="209">
        <v>0</v>
      </c>
      <c r="D126" s="209">
        <v>0</v>
      </c>
      <c r="E126" s="209">
        <v>0</v>
      </c>
      <c r="F126" s="208">
        <v>142961279</v>
      </c>
      <c r="G126" s="208">
        <v>0</v>
      </c>
      <c r="H126" s="208">
        <v>6765660</v>
      </c>
      <c r="I126" s="386">
        <f t="shared" si="2"/>
        <v>6909866822</v>
      </c>
    </row>
    <row r="127" spans="1:9" hidden="1" outlineLevel="1">
      <c r="A127" s="424" t="s">
        <v>312</v>
      </c>
      <c r="B127" s="208">
        <v>2052716008</v>
      </c>
      <c r="C127" s="209">
        <v>0</v>
      </c>
      <c r="D127" s="209">
        <v>0</v>
      </c>
      <c r="E127" s="209">
        <v>0</v>
      </c>
      <c r="F127" s="208">
        <v>0</v>
      </c>
      <c r="G127" s="208">
        <v>0</v>
      </c>
      <c r="H127" s="208">
        <v>0</v>
      </c>
      <c r="I127" s="386">
        <f t="shared" si="2"/>
        <v>2052716008</v>
      </c>
    </row>
    <row r="128" spans="1:9" hidden="1" outlineLevel="1">
      <c r="A128" s="423" t="s">
        <v>314</v>
      </c>
      <c r="B128" s="208">
        <v>79275835</v>
      </c>
      <c r="C128" s="209">
        <v>0</v>
      </c>
      <c r="D128" s="209">
        <v>0</v>
      </c>
      <c r="E128" s="209">
        <v>0</v>
      </c>
      <c r="F128" s="208">
        <v>0</v>
      </c>
      <c r="G128" s="208">
        <v>0</v>
      </c>
      <c r="H128" s="208">
        <v>0</v>
      </c>
      <c r="I128" s="386">
        <f t="shared" si="2"/>
        <v>79275835</v>
      </c>
    </row>
    <row r="129" spans="1:9" hidden="1" outlineLevel="1">
      <c r="A129" s="424" t="s">
        <v>316</v>
      </c>
      <c r="B129" s="208">
        <v>2975555620</v>
      </c>
      <c r="C129" s="209">
        <v>0</v>
      </c>
      <c r="D129" s="209">
        <v>0</v>
      </c>
      <c r="E129" s="209">
        <v>0</v>
      </c>
      <c r="F129" s="208">
        <v>0</v>
      </c>
      <c r="G129" s="208">
        <v>0</v>
      </c>
      <c r="H129" s="208">
        <v>0</v>
      </c>
      <c r="I129" s="386">
        <f t="shared" si="2"/>
        <v>2975555620</v>
      </c>
    </row>
    <row r="130" spans="1:9" hidden="1" outlineLevel="1">
      <c r="A130" s="424" t="s">
        <v>318</v>
      </c>
      <c r="B130" s="208">
        <v>215607970</v>
      </c>
      <c r="C130" s="209">
        <v>0</v>
      </c>
      <c r="D130" s="209">
        <v>0</v>
      </c>
      <c r="E130" s="209">
        <v>0</v>
      </c>
      <c r="F130" s="208">
        <v>1804637</v>
      </c>
      <c r="G130" s="208">
        <v>0</v>
      </c>
      <c r="H130" s="208">
        <v>0</v>
      </c>
      <c r="I130" s="386">
        <f t="shared" si="2"/>
        <v>217412607</v>
      </c>
    </row>
    <row r="131" spans="1:9" hidden="1" outlineLevel="1">
      <c r="A131" s="423" t="s">
        <v>320</v>
      </c>
      <c r="B131" s="208">
        <v>36896821</v>
      </c>
      <c r="C131" s="209">
        <v>0</v>
      </c>
      <c r="D131" s="209">
        <v>0</v>
      </c>
      <c r="E131" s="209">
        <v>0</v>
      </c>
      <c r="F131" s="208">
        <v>0</v>
      </c>
      <c r="G131" s="208">
        <v>0</v>
      </c>
      <c r="H131" s="208">
        <v>0</v>
      </c>
      <c r="I131" s="386">
        <f t="shared" si="2"/>
        <v>36896821</v>
      </c>
    </row>
    <row r="132" spans="1:9" hidden="1" outlineLevel="1">
      <c r="A132" s="424" t="s">
        <v>322</v>
      </c>
      <c r="B132" s="208">
        <v>26111099</v>
      </c>
      <c r="C132" s="209">
        <v>0</v>
      </c>
      <c r="D132" s="209">
        <v>0</v>
      </c>
      <c r="E132" s="209">
        <v>0</v>
      </c>
      <c r="F132" s="208">
        <v>0</v>
      </c>
      <c r="G132" s="208">
        <v>0</v>
      </c>
      <c r="H132" s="208">
        <v>0</v>
      </c>
      <c r="I132" s="386">
        <f t="shared" si="2"/>
        <v>26111099</v>
      </c>
    </row>
    <row r="133" spans="1:9" hidden="1" outlineLevel="1">
      <c r="A133" s="424" t="s">
        <v>324</v>
      </c>
      <c r="B133" s="208">
        <v>5390351</v>
      </c>
      <c r="C133" s="209">
        <v>0</v>
      </c>
      <c r="D133" s="209">
        <v>0</v>
      </c>
      <c r="E133" s="209">
        <v>0</v>
      </c>
      <c r="F133" s="208">
        <v>0</v>
      </c>
      <c r="G133" s="208">
        <v>0</v>
      </c>
      <c r="H133" s="208">
        <v>0</v>
      </c>
      <c r="I133" s="386">
        <f t="shared" si="2"/>
        <v>5390351</v>
      </c>
    </row>
    <row r="134" spans="1:9" hidden="1" outlineLevel="1">
      <c r="A134" s="423" t="s">
        <v>326</v>
      </c>
      <c r="B134" s="208">
        <v>96460337</v>
      </c>
      <c r="C134" s="209">
        <v>0</v>
      </c>
      <c r="D134" s="209">
        <v>0</v>
      </c>
      <c r="E134" s="209">
        <v>0</v>
      </c>
      <c r="F134" s="208">
        <v>0</v>
      </c>
      <c r="G134" s="208">
        <v>0</v>
      </c>
      <c r="H134" s="208">
        <v>0</v>
      </c>
      <c r="I134" s="386">
        <f t="shared" si="2"/>
        <v>96460337</v>
      </c>
    </row>
    <row r="135" spans="1:9" hidden="1" outlineLevel="1">
      <c r="A135" s="424" t="s">
        <v>328</v>
      </c>
      <c r="B135" s="208">
        <v>70767204</v>
      </c>
      <c r="C135" s="209">
        <v>0</v>
      </c>
      <c r="D135" s="209">
        <v>0</v>
      </c>
      <c r="E135" s="209">
        <v>0</v>
      </c>
      <c r="F135" s="208">
        <v>0</v>
      </c>
      <c r="G135" s="208">
        <v>0</v>
      </c>
      <c r="H135" s="208">
        <v>0</v>
      </c>
      <c r="I135" s="386">
        <f t="shared" si="2"/>
        <v>70767204</v>
      </c>
    </row>
    <row r="136" spans="1:9" hidden="1" outlineLevel="1">
      <c r="A136" s="424" t="s">
        <v>330</v>
      </c>
      <c r="B136" s="208">
        <v>43532592</v>
      </c>
      <c r="C136" s="209">
        <v>0</v>
      </c>
      <c r="D136" s="209">
        <v>0</v>
      </c>
      <c r="E136" s="209">
        <v>0</v>
      </c>
      <c r="F136" s="208">
        <v>0</v>
      </c>
      <c r="G136" s="208">
        <v>0</v>
      </c>
      <c r="H136" s="208">
        <v>0</v>
      </c>
      <c r="I136" s="386">
        <f t="shared" ref="I136:I174" si="3">+SUM(B136:H136)</f>
        <v>43532592</v>
      </c>
    </row>
    <row r="137" spans="1:9" hidden="1" outlineLevel="1">
      <c r="A137" s="423" t="s">
        <v>1858</v>
      </c>
      <c r="B137" s="208">
        <v>192128304</v>
      </c>
      <c r="C137" s="209">
        <v>0</v>
      </c>
      <c r="D137" s="209">
        <v>0</v>
      </c>
      <c r="E137" s="209">
        <v>0</v>
      </c>
      <c r="F137" s="208">
        <v>0</v>
      </c>
      <c r="G137" s="208">
        <v>0</v>
      </c>
      <c r="H137" s="208">
        <v>0</v>
      </c>
      <c r="I137" s="386">
        <f t="shared" si="3"/>
        <v>192128304</v>
      </c>
    </row>
    <row r="138" spans="1:9" hidden="1" outlineLevel="1">
      <c r="A138" s="424" t="s">
        <v>332</v>
      </c>
      <c r="B138" s="208">
        <v>34074724</v>
      </c>
      <c r="C138" s="209">
        <v>0</v>
      </c>
      <c r="D138" s="209">
        <v>0</v>
      </c>
      <c r="E138" s="209">
        <v>0</v>
      </c>
      <c r="F138" s="208">
        <v>0</v>
      </c>
      <c r="G138" s="208">
        <v>0</v>
      </c>
      <c r="H138" s="208">
        <v>0</v>
      </c>
      <c r="I138" s="386">
        <f t="shared" si="3"/>
        <v>34074724</v>
      </c>
    </row>
    <row r="139" spans="1:9" hidden="1" outlineLevel="1">
      <c r="A139" s="424" t="s">
        <v>334</v>
      </c>
      <c r="B139" s="208">
        <v>1320270</v>
      </c>
      <c r="C139" s="209">
        <v>0</v>
      </c>
      <c r="D139" s="209">
        <v>0</v>
      </c>
      <c r="E139" s="209">
        <v>0</v>
      </c>
      <c r="F139" s="208">
        <v>0</v>
      </c>
      <c r="G139" s="208">
        <v>0</v>
      </c>
      <c r="H139" s="208">
        <v>0</v>
      </c>
      <c r="I139" s="386">
        <f t="shared" si="3"/>
        <v>1320270</v>
      </c>
    </row>
    <row r="140" spans="1:9" hidden="1" outlineLevel="1">
      <c r="A140" s="423" t="s">
        <v>336</v>
      </c>
      <c r="B140" s="208">
        <v>68457083</v>
      </c>
      <c r="C140" s="209">
        <v>0</v>
      </c>
      <c r="D140" s="209">
        <v>0</v>
      </c>
      <c r="E140" s="209">
        <v>0</v>
      </c>
      <c r="F140" s="208">
        <v>0</v>
      </c>
      <c r="G140" s="208">
        <v>0</v>
      </c>
      <c r="H140" s="208">
        <v>0</v>
      </c>
      <c r="I140" s="386">
        <f t="shared" si="3"/>
        <v>68457083</v>
      </c>
    </row>
    <row r="141" spans="1:9" hidden="1" outlineLevel="1">
      <c r="A141" s="424" t="s">
        <v>338</v>
      </c>
      <c r="B141" s="208">
        <v>20620381</v>
      </c>
      <c r="C141" s="209">
        <v>0</v>
      </c>
      <c r="D141" s="209">
        <v>0</v>
      </c>
      <c r="E141" s="209">
        <v>0</v>
      </c>
      <c r="F141" s="208">
        <v>0</v>
      </c>
      <c r="G141" s="208">
        <v>0</v>
      </c>
      <c r="H141" s="208">
        <v>0</v>
      </c>
      <c r="I141" s="386">
        <f t="shared" si="3"/>
        <v>20620381</v>
      </c>
    </row>
    <row r="142" spans="1:9" hidden="1" outlineLevel="1">
      <c r="A142" s="424" t="s">
        <v>340</v>
      </c>
      <c r="B142" s="208">
        <v>85977212</v>
      </c>
      <c r="C142" s="209">
        <v>0</v>
      </c>
      <c r="D142" s="209">
        <v>0</v>
      </c>
      <c r="E142" s="209">
        <v>0</v>
      </c>
      <c r="F142" s="208">
        <v>0</v>
      </c>
      <c r="G142" s="208">
        <v>0</v>
      </c>
      <c r="H142" s="208">
        <v>0</v>
      </c>
      <c r="I142" s="386">
        <f t="shared" si="3"/>
        <v>85977212</v>
      </c>
    </row>
    <row r="143" spans="1:9" hidden="1" outlineLevel="1">
      <c r="A143" s="423" t="s">
        <v>342</v>
      </c>
      <c r="B143" s="208">
        <v>40112012</v>
      </c>
      <c r="C143" s="209">
        <v>0</v>
      </c>
      <c r="D143" s="209">
        <v>0</v>
      </c>
      <c r="E143" s="209">
        <v>0</v>
      </c>
      <c r="F143" s="208">
        <v>0</v>
      </c>
      <c r="G143" s="208">
        <v>0</v>
      </c>
      <c r="H143" s="208">
        <v>0</v>
      </c>
      <c r="I143" s="386">
        <f t="shared" si="3"/>
        <v>40112012</v>
      </c>
    </row>
    <row r="144" spans="1:9" hidden="1" outlineLevel="1">
      <c r="A144" s="424" t="s">
        <v>344</v>
      </c>
      <c r="B144" s="208">
        <v>123182165</v>
      </c>
      <c r="C144" s="209">
        <v>0</v>
      </c>
      <c r="D144" s="209">
        <v>0</v>
      </c>
      <c r="E144" s="209">
        <v>0</v>
      </c>
      <c r="F144" s="208">
        <v>0</v>
      </c>
      <c r="G144" s="208">
        <v>0</v>
      </c>
      <c r="H144" s="208">
        <v>0</v>
      </c>
      <c r="I144" s="386">
        <f t="shared" si="3"/>
        <v>123182165</v>
      </c>
    </row>
    <row r="145" spans="1:9" hidden="1" outlineLevel="1">
      <c r="A145" s="424" t="s">
        <v>346</v>
      </c>
      <c r="B145" s="208">
        <v>203144062</v>
      </c>
      <c r="C145" s="209">
        <v>0</v>
      </c>
      <c r="D145" s="209">
        <v>0</v>
      </c>
      <c r="E145" s="209">
        <v>0</v>
      </c>
      <c r="F145" s="208">
        <v>1140316</v>
      </c>
      <c r="G145" s="208">
        <v>0</v>
      </c>
      <c r="H145" s="208">
        <v>0</v>
      </c>
      <c r="I145" s="386">
        <f t="shared" si="3"/>
        <v>204284378</v>
      </c>
    </row>
    <row r="146" spans="1:9" hidden="1" outlineLevel="1">
      <c r="A146" s="423" t="s">
        <v>348</v>
      </c>
      <c r="B146" s="208">
        <v>26584542</v>
      </c>
      <c r="C146" s="209">
        <v>0</v>
      </c>
      <c r="D146" s="209">
        <v>0</v>
      </c>
      <c r="E146" s="209">
        <v>0</v>
      </c>
      <c r="F146" s="208">
        <v>0</v>
      </c>
      <c r="G146" s="208">
        <v>0</v>
      </c>
      <c r="H146" s="208">
        <v>0</v>
      </c>
      <c r="I146" s="386">
        <f t="shared" si="3"/>
        <v>26584542</v>
      </c>
    </row>
    <row r="147" spans="1:9" hidden="1" outlineLevel="1">
      <c r="A147" s="424" t="s">
        <v>350</v>
      </c>
      <c r="B147" s="208">
        <v>66964156</v>
      </c>
      <c r="C147" s="209">
        <v>0</v>
      </c>
      <c r="D147" s="209">
        <v>0</v>
      </c>
      <c r="E147" s="209">
        <v>0</v>
      </c>
      <c r="F147" s="208">
        <v>0</v>
      </c>
      <c r="G147" s="208">
        <v>0</v>
      </c>
      <c r="H147" s="208">
        <v>0</v>
      </c>
      <c r="I147" s="386">
        <f t="shared" si="3"/>
        <v>66964156</v>
      </c>
    </row>
    <row r="148" spans="1:9" hidden="1" outlineLevel="1">
      <c r="A148" s="424" t="s">
        <v>352</v>
      </c>
      <c r="B148" s="208">
        <v>10531243285</v>
      </c>
      <c r="C148" s="209">
        <v>0</v>
      </c>
      <c r="D148" s="209">
        <v>0</v>
      </c>
      <c r="E148" s="209">
        <v>0</v>
      </c>
      <c r="F148" s="208">
        <v>777669783</v>
      </c>
      <c r="G148" s="208">
        <v>3465404</v>
      </c>
      <c r="H148" s="208">
        <v>0</v>
      </c>
      <c r="I148" s="386">
        <f t="shared" si="3"/>
        <v>11312378472</v>
      </c>
    </row>
    <row r="149" spans="1:9" hidden="1" outlineLevel="1">
      <c r="A149" s="423" t="s">
        <v>354</v>
      </c>
      <c r="B149" s="208">
        <v>59496461</v>
      </c>
      <c r="C149" s="209">
        <v>0</v>
      </c>
      <c r="D149" s="209">
        <v>0</v>
      </c>
      <c r="E149" s="209">
        <v>0</v>
      </c>
      <c r="F149" s="208">
        <v>0</v>
      </c>
      <c r="G149" s="208">
        <v>0</v>
      </c>
      <c r="H149" s="208">
        <v>0</v>
      </c>
      <c r="I149" s="386">
        <f t="shared" si="3"/>
        <v>59496461</v>
      </c>
    </row>
    <row r="150" spans="1:9" hidden="1" outlineLevel="1">
      <c r="A150" s="424" t="s">
        <v>356</v>
      </c>
      <c r="B150" s="208">
        <v>8384960</v>
      </c>
      <c r="C150" s="209">
        <v>0</v>
      </c>
      <c r="D150" s="209">
        <v>0</v>
      </c>
      <c r="E150" s="209">
        <v>0</v>
      </c>
      <c r="F150" s="208">
        <v>0</v>
      </c>
      <c r="G150" s="208">
        <v>0</v>
      </c>
      <c r="H150" s="208">
        <v>0</v>
      </c>
      <c r="I150" s="386">
        <f t="shared" si="3"/>
        <v>8384960</v>
      </c>
    </row>
    <row r="151" spans="1:9" hidden="1" outlineLevel="1">
      <c r="A151" s="424" t="s">
        <v>358</v>
      </c>
      <c r="B151" s="208">
        <v>1958283026</v>
      </c>
      <c r="C151" s="209">
        <v>0</v>
      </c>
      <c r="D151" s="209">
        <v>0</v>
      </c>
      <c r="E151" s="209">
        <v>0</v>
      </c>
      <c r="F151" s="208">
        <v>41931316</v>
      </c>
      <c r="G151" s="208">
        <v>2671136</v>
      </c>
      <c r="H151" s="208">
        <v>0</v>
      </c>
      <c r="I151" s="386">
        <f t="shared" si="3"/>
        <v>2002885478</v>
      </c>
    </row>
    <row r="152" spans="1:9" hidden="1" outlineLevel="1">
      <c r="A152" s="423" t="s">
        <v>360</v>
      </c>
      <c r="B152" s="208">
        <v>913944</v>
      </c>
      <c r="C152" s="209">
        <v>0</v>
      </c>
      <c r="D152" s="209">
        <v>0</v>
      </c>
      <c r="E152" s="209">
        <v>0</v>
      </c>
      <c r="F152" s="208">
        <v>0</v>
      </c>
      <c r="G152" s="208">
        <v>0</v>
      </c>
      <c r="H152" s="208">
        <v>0</v>
      </c>
      <c r="I152" s="386">
        <f t="shared" si="3"/>
        <v>913944</v>
      </c>
    </row>
    <row r="153" spans="1:9" hidden="1" outlineLevel="1">
      <c r="A153" s="424" t="s">
        <v>362</v>
      </c>
      <c r="B153" s="208">
        <v>23584877</v>
      </c>
      <c r="C153" s="209">
        <v>0</v>
      </c>
      <c r="D153" s="209">
        <v>0</v>
      </c>
      <c r="E153" s="209">
        <v>0</v>
      </c>
      <c r="F153" s="208">
        <v>0</v>
      </c>
      <c r="G153" s="208">
        <v>0</v>
      </c>
      <c r="H153" s="208">
        <v>0</v>
      </c>
      <c r="I153" s="386">
        <f t="shared" si="3"/>
        <v>23584877</v>
      </c>
    </row>
    <row r="154" spans="1:9" hidden="1" outlineLevel="1">
      <c r="A154" s="424" t="s">
        <v>364</v>
      </c>
      <c r="B154" s="208">
        <v>5455993</v>
      </c>
      <c r="C154" s="209">
        <v>0</v>
      </c>
      <c r="D154" s="209">
        <v>0</v>
      </c>
      <c r="E154" s="209">
        <v>0</v>
      </c>
      <c r="F154" s="208">
        <v>0</v>
      </c>
      <c r="G154" s="208">
        <v>0</v>
      </c>
      <c r="H154" s="208">
        <v>0</v>
      </c>
      <c r="I154" s="386">
        <f t="shared" si="3"/>
        <v>5455993</v>
      </c>
    </row>
    <row r="155" spans="1:9" hidden="1" outlineLevel="1">
      <c r="A155" s="423" t="s">
        <v>402</v>
      </c>
      <c r="B155" s="208">
        <v>4394828406</v>
      </c>
      <c r="C155" s="209">
        <v>0</v>
      </c>
      <c r="D155" s="209">
        <v>0</v>
      </c>
      <c r="E155" s="209">
        <v>0</v>
      </c>
      <c r="F155" s="208">
        <v>0</v>
      </c>
      <c r="G155" s="208">
        <v>0</v>
      </c>
      <c r="H155" s="208">
        <v>0</v>
      </c>
      <c r="I155" s="386">
        <f t="shared" si="3"/>
        <v>4394828406</v>
      </c>
    </row>
    <row r="156" spans="1:9" hidden="1" outlineLevel="1">
      <c r="A156" s="424" t="s">
        <v>366</v>
      </c>
      <c r="B156" s="208">
        <v>75412441</v>
      </c>
      <c r="C156" s="209">
        <v>0</v>
      </c>
      <c r="D156" s="209">
        <v>0</v>
      </c>
      <c r="E156" s="209">
        <v>0</v>
      </c>
      <c r="F156" s="208">
        <v>0</v>
      </c>
      <c r="G156" s="208">
        <v>0</v>
      </c>
      <c r="H156" s="208">
        <v>0</v>
      </c>
      <c r="I156" s="386">
        <f t="shared" si="3"/>
        <v>75412441</v>
      </c>
    </row>
    <row r="157" spans="1:9" hidden="1" outlineLevel="1">
      <c r="A157" s="424" t="s">
        <v>368</v>
      </c>
      <c r="B157" s="208">
        <v>273518848</v>
      </c>
      <c r="C157" s="209">
        <v>0</v>
      </c>
      <c r="D157" s="209">
        <v>0</v>
      </c>
      <c r="E157" s="209">
        <v>0</v>
      </c>
      <c r="F157" s="208">
        <v>0</v>
      </c>
      <c r="G157" s="208">
        <v>0</v>
      </c>
      <c r="H157" s="208">
        <v>0</v>
      </c>
      <c r="I157" s="386">
        <f t="shared" si="3"/>
        <v>273518848</v>
      </c>
    </row>
    <row r="158" spans="1:9" hidden="1" outlineLevel="1">
      <c r="A158" s="423" t="s">
        <v>370</v>
      </c>
      <c r="B158" s="208">
        <v>648785158</v>
      </c>
      <c r="C158" s="209">
        <v>0</v>
      </c>
      <c r="D158" s="209">
        <v>0</v>
      </c>
      <c r="E158" s="209">
        <v>0</v>
      </c>
      <c r="F158" s="208">
        <v>0</v>
      </c>
      <c r="G158" s="208">
        <v>0</v>
      </c>
      <c r="H158" s="208">
        <v>0</v>
      </c>
      <c r="I158" s="386">
        <f t="shared" si="3"/>
        <v>648785158</v>
      </c>
    </row>
    <row r="159" spans="1:9" hidden="1" outlineLevel="1">
      <c r="A159" s="424" t="s">
        <v>372</v>
      </c>
      <c r="B159" s="208">
        <v>83393935</v>
      </c>
      <c r="C159" s="209">
        <v>0</v>
      </c>
      <c r="D159" s="209">
        <v>0</v>
      </c>
      <c r="E159" s="209">
        <v>0</v>
      </c>
      <c r="F159" s="208">
        <v>0</v>
      </c>
      <c r="G159" s="208">
        <v>0</v>
      </c>
      <c r="H159" s="208">
        <v>0</v>
      </c>
      <c r="I159" s="386">
        <f t="shared" si="3"/>
        <v>83393935</v>
      </c>
    </row>
    <row r="160" spans="1:9" hidden="1" outlineLevel="1">
      <c r="A160" s="424" t="s">
        <v>374</v>
      </c>
      <c r="B160" s="208">
        <v>51231277</v>
      </c>
      <c r="C160" s="209">
        <v>0</v>
      </c>
      <c r="D160" s="209">
        <v>0</v>
      </c>
      <c r="E160" s="209">
        <v>0</v>
      </c>
      <c r="F160" s="208">
        <v>0</v>
      </c>
      <c r="G160" s="208">
        <v>0</v>
      </c>
      <c r="H160" s="208">
        <v>0</v>
      </c>
      <c r="I160" s="386">
        <f t="shared" si="3"/>
        <v>51231277</v>
      </c>
    </row>
    <row r="161" spans="1:9" hidden="1" outlineLevel="1">
      <c r="A161" s="423" t="s">
        <v>376</v>
      </c>
      <c r="B161" s="208">
        <v>42922617</v>
      </c>
      <c r="C161" s="209">
        <v>0</v>
      </c>
      <c r="D161" s="209">
        <v>0</v>
      </c>
      <c r="E161" s="209">
        <v>0</v>
      </c>
      <c r="F161" s="208">
        <v>0</v>
      </c>
      <c r="G161" s="208">
        <v>0</v>
      </c>
      <c r="H161" s="208">
        <v>0</v>
      </c>
      <c r="I161" s="386">
        <f t="shared" si="3"/>
        <v>42922617</v>
      </c>
    </row>
    <row r="162" spans="1:9" hidden="1" outlineLevel="1">
      <c r="A162" s="424" t="s">
        <v>1859</v>
      </c>
      <c r="B162" s="208">
        <v>9705432</v>
      </c>
      <c r="C162" s="209">
        <v>0</v>
      </c>
      <c r="D162" s="209">
        <v>0</v>
      </c>
      <c r="E162" s="209">
        <v>0</v>
      </c>
      <c r="F162" s="208">
        <v>0</v>
      </c>
      <c r="G162" s="208">
        <v>0</v>
      </c>
      <c r="H162" s="208">
        <v>0</v>
      </c>
      <c r="I162" s="386">
        <f t="shared" si="3"/>
        <v>9705432</v>
      </c>
    </row>
    <row r="163" spans="1:9" hidden="1" outlineLevel="1">
      <c r="A163" s="424" t="s">
        <v>378</v>
      </c>
      <c r="B163" s="208">
        <v>130644438</v>
      </c>
      <c r="C163" s="209">
        <v>0</v>
      </c>
      <c r="D163" s="209">
        <v>0</v>
      </c>
      <c r="E163" s="209">
        <v>0</v>
      </c>
      <c r="F163" s="208">
        <v>0</v>
      </c>
      <c r="G163" s="208">
        <v>0</v>
      </c>
      <c r="H163" s="208">
        <v>0</v>
      </c>
      <c r="I163" s="386">
        <f t="shared" si="3"/>
        <v>130644438</v>
      </c>
    </row>
    <row r="164" spans="1:9" hidden="1" outlineLevel="1">
      <c r="A164" s="423" t="s">
        <v>380</v>
      </c>
      <c r="B164" s="208">
        <v>41441923</v>
      </c>
      <c r="C164" s="209">
        <v>0</v>
      </c>
      <c r="D164" s="209">
        <v>0</v>
      </c>
      <c r="E164" s="209">
        <v>0</v>
      </c>
      <c r="F164" s="208">
        <v>0</v>
      </c>
      <c r="G164" s="208">
        <v>0</v>
      </c>
      <c r="H164" s="208">
        <v>0</v>
      </c>
      <c r="I164" s="386">
        <f t="shared" si="3"/>
        <v>41441923</v>
      </c>
    </row>
    <row r="165" spans="1:9" hidden="1" outlineLevel="1">
      <c r="A165" s="424" t="s">
        <v>382</v>
      </c>
      <c r="B165" s="208">
        <v>71192148</v>
      </c>
      <c r="C165" s="209">
        <v>0</v>
      </c>
      <c r="D165" s="209">
        <v>0</v>
      </c>
      <c r="E165" s="209">
        <v>0</v>
      </c>
      <c r="F165" s="208">
        <v>0</v>
      </c>
      <c r="G165" s="208">
        <v>0</v>
      </c>
      <c r="H165" s="208">
        <v>0</v>
      </c>
      <c r="I165" s="386">
        <f t="shared" si="3"/>
        <v>71192148</v>
      </c>
    </row>
    <row r="166" spans="1:9" hidden="1" outlineLevel="1">
      <c r="A166" s="424" t="s">
        <v>384</v>
      </c>
      <c r="B166" s="208">
        <v>30167722</v>
      </c>
      <c r="C166" s="209">
        <v>0</v>
      </c>
      <c r="D166" s="209">
        <v>0</v>
      </c>
      <c r="E166" s="209">
        <v>0</v>
      </c>
      <c r="F166" s="208">
        <v>0</v>
      </c>
      <c r="G166" s="208">
        <v>0</v>
      </c>
      <c r="H166" s="208">
        <v>0</v>
      </c>
      <c r="I166" s="386">
        <f t="shared" si="3"/>
        <v>30167722</v>
      </c>
    </row>
    <row r="167" spans="1:9" hidden="1" outlineLevel="1">
      <c r="A167" s="423" t="s">
        <v>386</v>
      </c>
      <c r="B167" s="208">
        <v>155829227</v>
      </c>
      <c r="C167" s="209">
        <v>0</v>
      </c>
      <c r="D167" s="209">
        <v>0</v>
      </c>
      <c r="E167" s="209">
        <v>0</v>
      </c>
      <c r="F167" s="208">
        <v>0</v>
      </c>
      <c r="G167" s="208">
        <v>0</v>
      </c>
      <c r="H167" s="208">
        <v>0</v>
      </c>
      <c r="I167" s="386">
        <f t="shared" si="3"/>
        <v>155829227</v>
      </c>
    </row>
    <row r="168" spans="1:9" hidden="1" outlineLevel="1">
      <c r="A168" s="424" t="s">
        <v>388</v>
      </c>
      <c r="B168" s="208">
        <v>1877073717</v>
      </c>
      <c r="C168" s="209">
        <v>0</v>
      </c>
      <c r="D168" s="209">
        <v>0</v>
      </c>
      <c r="E168" s="209">
        <v>0</v>
      </c>
      <c r="F168" s="208">
        <v>0</v>
      </c>
      <c r="G168" s="208">
        <v>0</v>
      </c>
      <c r="H168" s="208">
        <v>0</v>
      </c>
      <c r="I168" s="386">
        <f t="shared" si="3"/>
        <v>1877073717</v>
      </c>
    </row>
    <row r="169" spans="1:9" hidden="1" outlineLevel="1">
      <c r="A169" s="424" t="s">
        <v>1860</v>
      </c>
      <c r="B169" s="208">
        <v>62547608</v>
      </c>
      <c r="C169" s="209">
        <v>0</v>
      </c>
      <c r="D169" s="209">
        <v>0</v>
      </c>
      <c r="E169" s="209">
        <v>0</v>
      </c>
      <c r="F169" s="208">
        <v>0</v>
      </c>
      <c r="G169" s="208">
        <v>0</v>
      </c>
      <c r="H169" s="208">
        <v>0</v>
      </c>
      <c r="I169" s="386">
        <f t="shared" si="3"/>
        <v>62547608</v>
      </c>
    </row>
    <row r="170" spans="1:9" hidden="1" outlineLevel="1">
      <c r="A170" s="423" t="s">
        <v>390</v>
      </c>
      <c r="B170" s="208">
        <v>142279622</v>
      </c>
      <c r="C170" s="209">
        <v>0</v>
      </c>
      <c r="D170" s="209">
        <v>0</v>
      </c>
      <c r="E170" s="209">
        <v>0</v>
      </c>
      <c r="F170" s="208">
        <v>0</v>
      </c>
      <c r="G170" s="208">
        <v>0</v>
      </c>
      <c r="H170" s="208">
        <v>0</v>
      </c>
      <c r="I170" s="386">
        <f t="shared" si="3"/>
        <v>142279622</v>
      </c>
    </row>
    <row r="171" spans="1:9" hidden="1" outlineLevel="1">
      <c r="A171" s="424" t="s">
        <v>392</v>
      </c>
      <c r="B171" s="208">
        <v>26576012</v>
      </c>
      <c r="C171" s="209">
        <v>0</v>
      </c>
      <c r="D171" s="209">
        <v>0</v>
      </c>
      <c r="E171" s="209">
        <v>0</v>
      </c>
      <c r="F171" s="208">
        <v>0</v>
      </c>
      <c r="G171" s="208">
        <v>0</v>
      </c>
      <c r="H171" s="208">
        <v>0</v>
      </c>
      <c r="I171" s="386">
        <f t="shared" si="3"/>
        <v>26576012</v>
      </c>
    </row>
    <row r="172" spans="1:9" hidden="1" outlineLevel="1">
      <c r="A172" s="424" t="s">
        <v>394</v>
      </c>
      <c r="B172" s="208">
        <v>32255284</v>
      </c>
      <c r="C172" s="209">
        <v>0</v>
      </c>
      <c r="D172" s="209">
        <v>0</v>
      </c>
      <c r="E172" s="209">
        <v>0</v>
      </c>
      <c r="F172" s="208">
        <v>0</v>
      </c>
      <c r="G172" s="208">
        <v>0</v>
      </c>
      <c r="H172" s="208">
        <v>0</v>
      </c>
      <c r="I172" s="386">
        <f t="shared" si="3"/>
        <v>32255284</v>
      </c>
    </row>
    <row r="173" spans="1:9" hidden="1" outlineLevel="1">
      <c r="A173" s="423" t="s">
        <v>396</v>
      </c>
      <c r="B173" s="208">
        <v>69585677</v>
      </c>
      <c r="C173" s="209">
        <v>0</v>
      </c>
      <c r="D173" s="209">
        <v>0</v>
      </c>
      <c r="E173" s="209">
        <v>0</v>
      </c>
      <c r="F173" s="208">
        <v>0</v>
      </c>
      <c r="G173" s="208">
        <v>0</v>
      </c>
      <c r="H173" s="208">
        <v>0</v>
      </c>
      <c r="I173" s="386">
        <f t="shared" si="3"/>
        <v>69585677</v>
      </c>
    </row>
    <row r="174" spans="1:9" hidden="1" outlineLevel="1">
      <c r="A174" s="424" t="s">
        <v>398</v>
      </c>
      <c r="B174" s="208">
        <v>43771945</v>
      </c>
      <c r="C174" s="209">
        <v>0</v>
      </c>
      <c r="D174" s="209">
        <v>0</v>
      </c>
      <c r="E174" s="209">
        <v>0</v>
      </c>
      <c r="F174" s="208">
        <v>0</v>
      </c>
      <c r="G174" s="208">
        <v>0</v>
      </c>
      <c r="H174" s="208">
        <v>0</v>
      </c>
      <c r="I174" s="386">
        <f t="shared" si="3"/>
        <v>43771945</v>
      </c>
    </row>
    <row r="175" spans="1:9" hidden="1" outlineLevel="1">
      <c r="A175" s="424" t="s">
        <v>831</v>
      </c>
      <c r="B175" s="208">
        <v>15410139</v>
      </c>
      <c r="C175" s="209">
        <v>0</v>
      </c>
      <c r="D175" s="209">
        <v>0</v>
      </c>
      <c r="E175" s="209">
        <v>0</v>
      </c>
      <c r="F175" s="208">
        <v>0</v>
      </c>
      <c r="G175" s="208">
        <v>0</v>
      </c>
      <c r="H175" s="208">
        <v>0</v>
      </c>
      <c r="I175" s="386"/>
    </row>
    <row r="176" spans="1:9" hidden="1" outlineLevel="1">
      <c r="A176" s="424" t="s">
        <v>400</v>
      </c>
      <c r="B176" s="208">
        <v>52070402</v>
      </c>
      <c r="C176" s="209">
        <v>0</v>
      </c>
      <c r="D176" s="209">
        <v>0</v>
      </c>
      <c r="E176" s="209">
        <v>0</v>
      </c>
      <c r="F176" s="208">
        <v>0</v>
      </c>
      <c r="G176" s="208">
        <v>0</v>
      </c>
      <c r="H176" s="208">
        <v>0</v>
      </c>
      <c r="I176" s="386">
        <f>+SUM(B176:H176)</f>
        <v>52070402</v>
      </c>
    </row>
    <row r="177" spans="1:10" collapsed="1">
      <c r="A177" s="422" t="s">
        <v>404</v>
      </c>
      <c r="B177" s="206">
        <f>SUM(B178:B411)</f>
        <v>105390095623</v>
      </c>
      <c r="C177" s="206">
        <f t="shared" ref="C177:E177" si="4">SUM(C178:C411)</f>
        <v>0</v>
      </c>
      <c r="D177" s="206">
        <f t="shared" si="4"/>
        <v>830246579</v>
      </c>
      <c r="E177" s="206">
        <f t="shared" si="4"/>
        <v>0</v>
      </c>
      <c r="F177" s="206">
        <f t="shared" ref="F177" si="5">SUM(F178:F411)</f>
        <v>3520641288</v>
      </c>
      <c r="G177" s="206">
        <f t="shared" ref="G177:H177" si="6">SUM(G178:G411)</f>
        <v>18144064</v>
      </c>
      <c r="H177" s="206">
        <f t="shared" si="6"/>
        <v>0</v>
      </c>
      <c r="I177" s="386">
        <f>SUM(B177:H177)</f>
        <v>109759127554</v>
      </c>
    </row>
    <row r="178" spans="1:10" hidden="1" outlineLevel="1">
      <c r="A178" s="423" t="s">
        <v>405</v>
      </c>
      <c r="B178" s="210">
        <v>91081632</v>
      </c>
      <c r="C178" s="211">
        <v>0</v>
      </c>
      <c r="D178" s="211">
        <v>0</v>
      </c>
      <c r="E178" s="211">
        <v>0</v>
      </c>
      <c r="F178" s="211">
        <v>0</v>
      </c>
      <c r="G178" s="211">
        <v>0</v>
      </c>
      <c r="H178" s="211">
        <v>0</v>
      </c>
      <c r="I178" s="386">
        <f t="shared" ref="I178:I247" si="7">SUM(B178:H178)</f>
        <v>91081632</v>
      </c>
      <c r="J178" s="203" t="s">
        <v>406</v>
      </c>
    </row>
    <row r="179" spans="1:10" hidden="1" outlineLevel="1">
      <c r="A179" s="423" t="s">
        <v>86</v>
      </c>
      <c r="B179" s="210">
        <v>104380372</v>
      </c>
      <c r="C179" s="211">
        <v>0</v>
      </c>
      <c r="D179" s="211">
        <v>0</v>
      </c>
      <c r="E179" s="211">
        <v>0</v>
      </c>
      <c r="F179" s="211">
        <v>0</v>
      </c>
      <c r="G179" s="211">
        <v>0</v>
      </c>
      <c r="H179" s="211">
        <v>0</v>
      </c>
      <c r="I179" s="386">
        <f t="shared" si="7"/>
        <v>104380372</v>
      </c>
      <c r="J179" s="203" t="s">
        <v>87</v>
      </c>
    </row>
    <row r="180" spans="1:10" hidden="1" outlineLevel="1">
      <c r="A180" s="423" t="s">
        <v>407</v>
      </c>
      <c r="B180" s="210">
        <v>119766110</v>
      </c>
      <c r="C180" s="211">
        <v>0</v>
      </c>
      <c r="D180" s="211">
        <v>0</v>
      </c>
      <c r="E180" s="211">
        <v>0</v>
      </c>
      <c r="F180" s="211">
        <v>0</v>
      </c>
      <c r="G180" s="211">
        <v>426151</v>
      </c>
      <c r="H180" s="211">
        <v>0</v>
      </c>
      <c r="I180" s="386">
        <f t="shared" si="7"/>
        <v>120192261</v>
      </c>
      <c r="J180" s="203" t="s">
        <v>408</v>
      </c>
    </row>
    <row r="181" spans="1:10" hidden="1" outlineLevel="1">
      <c r="A181" s="423" t="s">
        <v>409</v>
      </c>
      <c r="B181" s="210">
        <v>304554865</v>
      </c>
      <c r="C181" s="211">
        <v>0</v>
      </c>
      <c r="D181" s="211">
        <v>0</v>
      </c>
      <c r="E181" s="211">
        <v>0</v>
      </c>
      <c r="F181" s="211">
        <v>0</v>
      </c>
      <c r="G181" s="211">
        <v>0</v>
      </c>
      <c r="H181" s="211">
        <v>0</v>
      </c>
      <c r="I181" s="386">
        <f t="shared" si="7"/>
        <v>304554865</v>
      </c>
      <c r="J181" s="203" t="s">
        <v>410</v>
      </c>
    </row>
    <row r="182" spans="1:10" hidden="1" outlineLevel="1">
      <c r="A182" s="423" t="s">
        <v>411</v>
      </c>
      <c r="B182" s="210">
        <v>892823073</v>
      </c>
      <c r="C182" s="211">
        <v>0</v>
      </c>
      <c r="D182" s="211">
        <v>0</v>
      </c>
      <c r="E182" s="211">
        <v>0</v>
      </c>
      <c r="F182" s="211">
        <v>7660295</v>
      </c>
      <c r="G182" s="211">
        <v>0</v>
      </c>
      <c r="H182" s="211">
        <v>0</v>
      </c>
      <c r="I182" s="386">
        <f t="shared" si="7"/>
        <v>900483368</v>
      </c>
      <c r="J182" s="203" t="s">
        <v>412</v>
      </c>
    </row>
    <row r="183" spans="1:10" hidden="1" outlineLevel="1">
      <c r="A183" s="423" t="s">
        <v>413</v>
      </c>
      <c r="B183" s="210">
        <v>169071179</v>
      </c>
      <c r="C183" s="211">
        <v>0</v>
      </c>
      <c r="D183" s="211">
        <v>0</v>
      </c>
      <c r="E183" s="211">
        <v>0</v>
      </c>
      <c r="F183" s="211">
        <v>0</v>
      </c>
      <c r="G183" s="211">
        <v>0</v>
      </c>
      <c r="H183" s="211">
        <v>0</v>
      </c>
      <c r="I183" s="386">
        <f t="shared" si="7"/>
        <v>169071179</v>
      </c>
      <c r="J183" s="203" t="s">
        <v>414</v>
      </c>
    </row>
    <row r="184" spans="1:10" hidden="1" outlineLevel="1">
      <c r="A184" s="423" t="s">
        <v>415</v>
      </c>
      <c r="B184" s="210">
        <v>119127881</v>
      </c>
      <c r="C184" s="211">
        <v>0</v>
      </c>
      <c r="D184" s="211">
        <v>0</v>
      </c>
      <c r="E184" s="211">
        <v>0</v>
      </c>
      <c r="F184" s="211">
        <v>0</v>
      </c>
      <c r="G184" s="211">
        <v>0</v>
      </c>
      <c r="H184" s="211">
        <v>0</v>
      </c>
      <c r="I184" s="386">
        <f t="shared" si="7"/>
        <v>119127881</v>
      </c>
      <c r="J184" s="203" t="s">
        <v>416</v>
      </c>
    </row>
    <row r="185" spans="1:10" hidden="1" outlineLevel="1">
      <c r="A185" s="423" t="s">
        <v>417</v>
      </c>
      <c r="B185" s="210">
        <v>1924969118</v>
      </c>
      <c r="C185" s="211">
        <v>0</v>
      </c>
      <c r="D185" s="211">
        <v>0</v>
      </c>
      <c r="E185" s="211">
        <v>0</v>
      </c>
      <c r="F185" s="211">
        <v>0</v>
      </c>
      <c r="G185" s="211">
        <v>3340069</v>
      </c>
      <c r="H185" s="211">
        <v>0</v>
      </c>
      <c r="I185" s="386">
        <f t="shared" si="7"/>
        <v>1928309187</v>
      </c>
      <c r="J185" s="203" t="s">
        <v>418</v>
      </c>
    </row>
    <row r="186" spans="1:10" hidden="1" outlineLevel="1">
      <c r="A186" s="423" t="s">
        <v>419</v>
      </c>
      <c r="B186" s="210">
        <v>3547127524</v>
      </c>
      <c r="C186" s="211">
        <v>0</v>
      </c>
      <c r="D186" s="211">
        <v>0</v>
      </c>
      <c r="E186" s="211">
        <v>0</v>
      </c>
      <c r="F186" s="211">
        <v>0</v>
      </c>
      <c r="G186" s="211">
        <v>0</v>
      </c>
      <c r="H186" s="211">
        <v>0</v>
      </c>
      <c r="I186" s="386">
        <f t="shared" si="7"/>
        <v>3547127524</v>
      </c>
      <c r="J186" s="203" t="s">
        <v>420</v>
      </c>
    </row>
    <row r="187" spans="1:10" hidden="1" outlineLevel="1">
      <c r="A187" s="423" t="s">
        <v>421</v>
      </c>
      <c r="B187" s="210">
        <v>120797180</v>
      </c>
      <c r="C187" s="211">
        <v>0</v>
      </c>
      <c r="D187" s="211">
        <v>0</v>
      </c>
      <c r="E187" s="211">
        <v>0</v>
      </c>
      <c r="F187" s="211">
        <v>0</v>
      </c>
      <c r="G187" s="211">
        <v>0</v>
      </c>
      <c r="H187" s="211">
        <v>0</v>
      </c>
      <c r="I187" s="386">
        <f t="shared" si="7"/>
        <v>120797180</v>
      </c>
      <c r="J187" s="203" t="s">
        <v>422</v>
      </c>
    </row>
    <row r="188" spans="1:10" hidden="1" outlineLevel="1">
      <c r="A188" s="423" t="s">
        <v>423</v>
      </c>
      <c r="B188" s="210">
        <v>192488235</v>
      </c>
      <c r="C188" s="211">
        <v>0</v>
      </c>
      <c r="D188" s="211">
        <v>0</v>
      </c>
      <c r="E188" s="211">
        <v>0</v>
      </c>
      <c r="F188" s="211">
        <v>0</v>
      </c>
      <c r="G188" s="211">
        <v>0</v>
      </c>
      <c r="H188" s="211">
        <v>0</v>
      </c>
      <c r="I188" s="386">
        <f t="shared" si="7"/>
        <v>192488235</v>
      </c>
      <c r="J188" s="203" t="s">
        <v>424</v>
      </c>
    </row>
    <row r="189" spans="1:10" hidden="1" outlineLevel="1">
      <c r="A189" s="423" t="s">
        <v>425</v>
      </c>
      <c r="B189" s="210">
        <v>581872721</v>
      </c>
      <c r="C189" s="211">
        <v>0</v>
      </c>
      <c r="D189" s="211">
        <v>0</v>
      </c>
      <c r="E189" s="211">
        <v>0</v>
      </c>
      <c r="F189" s="211">
        <v>0</v>
      </c>
      <c r="G189" s="211">
        <v>0</v>
      </c>
      <c r="H189" s="211">
        <v>0</v>
      </c>
      <c r="I189" s="386">
        <f t="shared" si="7"/>
        <v>581872721</v>
      </c>
      <c r="J189" s="203" t="s">
        <v>426</v>
      </c>
    </row>
    <row r="190" spans="1:10" hidden="1" outlineLevel="1">
      <c r="A190" s="423" t="s">
        <v>427</v>
      </c>
      <c r="B190" s="210">
        <v>378068064</v>
      </c>
      <c r="C190" s="211">
        <v>0</v>
      </c>
      <c r="D190" s="211">
        <v>0</v>
      </c>
      <c r="E190" s="211">
        <v>0</v>
      </c>
      <c r="F190" s="211">
        <v>0</v>
      </c>
      <c r="G190" s="211">
        <v>0</v>
      </c>
      <c r="H190" s="211">
        <v>0</v>
      </c>
      <c r="I190" s="386">
        <f t="shared" si="7"/>
        <v>378068064</v>
      </c>
      <c r="J190" s="203" t="s">
        <v>428</v>
      </c>
    </row>
    <row r="191" spans="1:10" hidden="1" outlineLevel="1">
      <c r="A191" s="423" t="s">
        <v>429</v>
      </c>
      <c r="B191" s="210">
        <v>51024647</v>
      </c>
      <c r="C191" s="211">
        <v>0</v>
      </c>
      <c r="D191" s="211">
        <v>0</v>
      </c>
      <c r="E191" s="211">
        <v>0</v>
      </c>
      <c r="F191" s="211">
        <v>0</v>
      </c>
      <c r="G191" s="211">
        <v>0</v>
      </c>
      <c r="H191" s="211">
        <v>0</v>
      </c>
      <c r="I191" s="386">
        <f t="shared" si="7"/>
        <v>51024647</v>
      </c>
      <c r="J191" s="203" t="s">
        <v>430</v>
      </c>
    </row>
    <row r="192" spans="1:10" hidden="1" outlineLevel="1">
      <c r="A192" s="423" t="s">
        <v>431</v>
      </c>
      <c r="B192" s="210">
        <v>29292348</v>
      </c>
      <c r="C192" s="211">
        <v>0</v>
      </c>
      <c r="D192" s="211">
        <v>0</v>
      </c>
      <c r="E192" s="211">
        <v>0</v>
      </c>
      <c r="F192" s="211">
        <v>0</v>
      </c>
      <c r="G192" s="211">
        <v>0</v>
      </c>
      <c r="H192" s="211">
        <v>0</v>
      </c>
      <c r="I192" s="386">
        <f t="shared" si="7"/>
        <v>29292348</v>
      </c>
      <c r="J192" s="203" t="s">
        <v>432</v>
      </c>
    </row>
    <row r="193" spans="1:10" hidden="1" outlineLevel="1">
      <c r="A193" s="423" t="s">
        <v>433</v>
      </c>
      <c r="B193" s="210">
        <v>1223434202</v>
      </c>
      <c r="C193" s="211">
        <v>0</v>
      </c>
      <c r="D193" s="211">
        <v>0</v>
      </c>
      <c r="E193" s="211">
        <v>0</v>
      </c>
      <c r="F193" s="211">
        <v>2834251</v>
      </c>
      <c r="G193" s="211">
        <v>0</v>
      </c>
      <c r="H193" s="211">
        <v>0</v>
      </c>
      <c r="I193" s="386">
        <f t="shared" si="7"/>
        <v>1226268453</v>
      </c>
      <c r="J193" s="203" t="s">
        <v>434</v>
      </c>
    </row>
    <row r="194" spans="1:10" hidden="1" outlineLevel="1">
      <c r="A194" s="423" t="s">
        <v>435</v>
      </c>
      <c r="B194" s="210">
        <v>138277865</v>
      </c>
      <c r="C194" s="211">
        <v>0</v>
      </c>
      <c r="D194" s="211">
        <v>0</v>
      </c>
      <c r="E194" s="211">
        <v>0</v>
      </c>
      <c r="F194" s="211">
        <v>0</v>
      </c>
      <c r="G194" s="211">
        <v>0</v>
      </c>
      <c r="H194" s="211">
        <v>0</v>
      </c>
      <c r="I194" s="386">
        <f t="shared" si="7"/>
        <v>138277865</v>
      </c>
      <c r="J194" s="203" t="s">
        <v>436</v>
      </c>
    </row>
    <row r="195" spans="1:10" hidden="1" outlineLevel="1">
      <c r="A195" s="423" t="s">
        <v>437</v>
      </c>
      <c r="B195" s="210">
        <v>850932000</v>
      </c>
      <c r="C195" s="211">
        <v>0</v>
      </c>
      <c r="D195" s="211">
        <v>0</v>
      </c>
      <c r="E195" s="211">
        <v>0</v>
      </c>
      <c r="F195" s="211">
        <v>0</v>
      </c>
      <c r="G195" s="211">
        <v>0</v>
      </c>
      <c r="H195" s="211">
        <v>0</v>
      </c>
      <c r="I195" s="386">
        <f t="shared" si="7"/>
        <v>850932000</v>
      </c>
      <c r="J195" s="203" t="s">
        <v>438</v>
      </c>
    </row>
    <row r="196" spans="1:10" hidden="1" outlineLevel="1">
      <c r="A196" s="423" t="s">
        <v>439</v>
      </c>
      <c r="B196" s="210">
        <v>202652623</v>
      </c>
      <c r="C196" s="211">
        <v>0</v>
      </c>
      <c r="D196" s="211">
        <v>0</v>
      </c>
      <c r="E196" s="211">
        <v>0</v>
      </c>
      <c r="F196" s="211">
        <v>0</v>
      </c>
      <c r="G196" s="211">
        <v>0</v>
      </c>
      <c r="H196" s="211">
        <v>0</v>
      </c>
      <c r="I196" s="386">
        <f t="shared" si="7"/>
        <v>202652623</v>
      </c>
      <c r="J196" s="203" t="s">
        <v>440</v>
      </c>
    </row>
    <row r="197" spans="1:10" hidden="1" outlineLevel="1">
      <c r="A197" s="423" t="s">
        <v>441</v>
      </c>
      <c r="B197" s="210">
        <v>1443264816</v>
      </c>
      <c r="C197" s="211">
        <v>0</v>
      </c>
      <c r="D197" s="211">
        <v>0</v>
      </c>
      <c r="E197" s="211">
        <v>0</v>
      </c>
      <c r="F197" s="211">
        <v>16770932</v>
      </c>
      <c r="G197" s="211">
        <v>0</v>
      </c>
      <c r="H197" s="211">
        <v>0</v>
      </c>
      <c r="I197" s="386">
        <f t="shared" si="7"/>
        <v>1460035748</v>
      </c>
      <c r="J197" s="203" t="s">
        <v>442</v>
      </c>
    </row>
    <row r="198" spans="1:10" hidden="1" outlineLevel="1">
      <c r="A198" s="423" t="s">
        <v>443</v>
      </c>
      <c r="B198" s="210">
        <v>9823711</v>
      </c>
      <c r="C198" s="211">
        <v>0</v>
      </c>
      <c r="D198" s="211">
        <v>0</v>
      </c>
      <c r="E198" s="211">
        <v>0</v>
      </c>
      <c r="F198" s="211">
        <v>0</v>
      </c>
      <c r="G198" s="211">
        <v>0</v>
      </c>
      <c r="H198" s="211">
        <v>0</v>
      </c>
      <c r="I198" s="386">
        <f t="shared" si="7"/>
        <v>9823711</v>
      </c>
      <c r="J198" s="203" t="s">
        <v>444</v>
      </c>
    </row>
    <row r="199" spans="1:10" hidden="1" outlineLevel="1">
      <c r="A199" s="423" t="s">
        <v>445</v>
      </c>
      <c r="B199" s="210">
        <v>223600889</v>
      </c>
      <c r="C199" s="211">
        <v>0</v>
      </c>
      <c r="D199" s="211">
        <v>0</v>
      </c>
      <c r="E199" s="211">
        <v>0</v>
      </c>
      <c r="F199" s="211">
        <v>0</v>
      </c>
      <c r="G199" s="211">
        <v>0</v>
      </c>
      <c r="H199" s="211">
        <v>0</v>
      </c>
      <c r="I199" s="386">
        <f t="shared" si="7"/>
        <v>223600889</v>
      </c>
      <c r="J199" s="203" t="s">
        <v>446</v>
      </c>
    </row>
    <row r="200" spans="1:10" hidden="1" outlineLevel="1">
      <c r="A200" s="423" t="s">
        <v>447</v>
      </c>
      <c r="B200" s="210">
        <v>111147696</v>
      </c>
      <c r="C200" s="211">
        <v>0</v>
      </c>
      <c r="D200" s="211">
        <v>0</v>
      </c>
      <c r="E200" s="211">
        <v>0</v>
      </c>
      <c r="F200" s="211">
        <v>0</v>
      </c>
      <c r="G200" s="211">
        <v>0</v>
      </c>
      <c r="H200" s="211">
        <v>0</v>
      </c>
      <c r="I200" s="386">
        <f t="shared" si="7"/>
        <v>111147696</v>
      </c>
      <c r="J200" s="203" t="s">
        <v>448</v>
      </c>
    </row>
    <row r="201" spans="1:10" hidden="1" outlineLevel="1">
      <c r="A201" s="423" t="s">
        <v>449</v>
      </c>
      <c r="B201" s="210">
        <v>5307159969</v>
      </c>
      <c r="C201" s="211">
        <v>0</v>
      </c>
      <c r="D201" s="211">
        <v>0</v>
      </c>
      <c r="E201" s="211">
        <v>0</v>
      </c>
      <c r="F201" s="211">
        <v>5483663</v>
      </c>
      <c r="G201" s="211">
        <v>0</v>
      </c>
      <c r="H201" s="211">
        <v>0</v>
      </c>
      <c r="I201" s="386">
        <f t="shared" si="7"/>
        <v>5312643632</v>
      </c>
      <c r="J201" s="203" t="s">
        <v>450</v>
      </c>
    </row>
    <row r="202" spans="1:10" hidden="1" outlineLevel="1">
      <c r="A202" s="423" t="s">
        <v>451</v>
      </c>
      <c r="B202" s="210">
        <v>71221377</v>
      </c>
      <c r="C202" s="211">
        <v>0</v>
      </c>
      <c r="D202" s="211">
        <v>0</v>
      </c>
      <c r="E202" s="211">
        <v>0</v>
      </c>
      <c r="F202" s="211">
        <v>0</v>
      </c>
      <c r="G202" s="211">
        <v>0</v>
      </c>
      <c r="H202" s="211">
        <v>0</v>
      </c>
      <c r="I202" s="386">
        <f t="shared" si="7"/>
        <v>71221377</v>
      </c>
      <c r="J202" s="203" t="s">
        <v>452</v>
      </c>
    </row>
    <row r="203" spans="1:10" hidden="1" outlineLevel="1">
      <c r="A203" s="423" t="s">
        <v>453</v>
      </c>
      <c r="B203" s="210">
        <v>306421229</v>
      </c>
      <c r="C203" s="211">
        <v>0</v>
      </c>
      <c r="D203" s="211">
        <v>0</v>
      </c>
      <c r="E203" s="211">
        <v>0</v>
      </c>
      <c r="F203" s="211">
        <v>0</v>
      </c>
      <c r="G203" s="211">
        <v>0</v>
      </c>
      <c r="H203" s="211">
        <v>0</v>
      </c>
      <c r="I203" s="386">
        <f t="shared" si="7"/>
        <v>306421229</v>
      </c>
      <c r="J203" s="203" t="s">
        <v>454</v>
      </c>
    </row>
    <row r="204" spans="1:10" hidden="1" outlineLevel="1">
      <c r="A204" s="423" t="s">
        <v>455</v>
      </c>
      <c r="B204" s="210">
        <v>28566827</v>
      </c>
      <c r="C204" s="211">
        <v>0</v>
      </c>
      <c r="D204" s="211">
        <v>0</v>
      </c>
      <c r="E204" s="211">
        <v>0</v>
      </c>
      <c r="F204" s="211">
        <v>0</v>
      </c>
      <c r="G204" s="211">
        <v>0</v>
      </c>
      <c r="H204" s="211">
        <v>0</v>
      </c>
      <c r="I204" s="386">
        <f t="shared" si="7"/>
        <v>28566827</v>
      </c>
      <c r="J204" s="203" t="s">
        <v>456</v>
      </c>
    </row>
    <row r="205" spans="1:10" hidden="1" outlineLevel="1">
      <c r="A205" s="423" t="s">
        <v>457</v>
      </c>
      <c r="B205" s="210">
        <v>4718954</v>
      </c>
      <c r="C205" s="211">
        <v>0</v>
      </c>
      <c r="D205" s="211">
        <v>0</v>
      </c>
      <c r="E205" s="211">
        <v>0</v>
      </c>
      <c r="F205" s="211">
        <v>0</v>
      </c>
      <c r="G205" s="211">
        <v>0</v>
      </c>
      <c r="H205" s="211">
        <v>0</v>
      </c>
      <c r="I205" s="386">
        <f t="shared" si="7"/>
        <v>4718954</v>
      </c>
      <c r="J205" s="203" t="s">
        <v>458</v>
      </c>
    </row>
    <row r="206" spans="1:10" hidden="1" outlineLevel="1">
      <c r="A206" s="423" t="s">
        <v>459</v>
      </c>
      <c r="B206" s="210">
        <v>321981008</v>
      </c>
      <c r="C206" s="211">
        <v>0</v>
      </c>
      <c r="D206" s="211">
        <v>0</v>
      </c>
      <c r="E206" s="211">
        <v>0</v>
      </c>
      <c r="F206" s="211">
        <v>0</v>
      </c>
      <c r="G206" s="211">
        <v>0</v>
      </c>
      <c r="H206" s="211">
        <v>0</v>
      </c>
      <c r="I206" s="386">
        <f t="shared" si="7"/>
        <v>321981008</v>
      </c>
      <c r="J206" s="203" t="s">
        <v>460</v>
      </c>
    </row>
    <row r="207" spans="1:10" hidden="1" outlineLevel="1">
      <c r="A207" s="423" t="s">
        <v>461</v>
      </c>
      <c r="B207" s="210">
        <v>32141905</v>
      </c>
      <c r="C207" s="211">
        <v>0</v>
      </c>
      <c r="D207" s="211">
        <v>0</v>
      </c>
      <c r="E207" s="211">
        <v>0</v>
      </c>
      <c r="F207" s="211">
        <v>0</v>
      </c>
      <c r="G207" s="211">
        <v>0</v>
      </c>
      <c r="H207" s="211">
        <v>0</v>
      </c>
      <c r="I207" s="386">
        <f t="shared" si="7"/>
        <v>32141905</v>
      </c>
      <c r="J207" s="203" t="s">
        <v>462</v>
      </c>
    </row>
    <row r="208" spans="1:10" hidden="1" outlineLevel="1">
      <c r="A208" s="423" t="s">
        <v>463</v>
      </c>
      <c r="B208" s="210">
        <v>1969743666</v>
      </c>
      <c r="C208" s="211">
        <v>0</v>
      </c>
      <c r="D208" s="211">
        <v>0</v>
      </c>
      <c r="E208" s="211">
        <v>0</v>
      </c>
      <c r="F208" s="211">
        <v>0</v>
      </c>
      <c r="G208" s="211">
        <v>0</v>
      </c>
      <c r="H208" s="211">
        <v>0</v>
      </c>
      <c r="I208" s="386">
        <f t="shared" si="7"/>
        <v>1969743666</v>
      </c>
      <c r="J208" s="203" t="s">
        <v>464</v>
      </c>
    </row>
    <row r="209" spans="1:10" hidden="1" outlineLevel="1">
      <c r="A209" s="423" t="s">
        <v>465</v>
      </c>
      <c r="B209" s="210">
        <v>6009790</v>
      </c>
      <c r="C209" s="211">
        <v>0</v>
      </c>
      <c r="D209" s="211">
        <v>0</v>
      </c>
      <c r="E209" s="211">
        <v>0</v>
      </c>
      <c r="F209" s="211">
        <v>0</v>
      </c>
      <c r="G209" s="211">
        <v>0</v>
      </c>
      <c r="H209" s="211">
        <v>0</v>
      </c>
      <c r="I209" s="386">
        <f t="shared" si="7"/>
        <v>6009790</v>
      </c>
      <c r="J209" s="203" t="s">
        <v>466</v>
      </c>
    </row>
    <row r="210" spans="1:10" hidden="1" outlineLevel="1">
      <c r="A210" s="423" t="s">
        <v>467</v>
      </c>
      <c r="B210" s="210">
        <v>109516059</v>
      </c>
      <c r="C210" s="211">
        <v>0</v>
      </c>
      <c r="D210" s="211">
        <v>0</v>
      </c>
      <c r="E210" s="211">
        <v>0</v>
      </c>
      <c r="F210" s="211">
        <v>0</v>
      </c>
      <c r="G210" s="211">
        <v>0</v>
      </c>
      <c r="H210" s="211">
        <v>0</v>
      </c>
      <c r="I210" s="386">
        <f t="shared" si="7"/>
        <v>109516059</v>
      </c>
      <c r="J210" s="203" t="s">
        <v>468</v>
      </c>
    </row>
    <row r="211" spans="1:10" hidden="1" outlineLevel="1">
      <c r="A211" s="423" t="s">
        <v>469</v>
      </c>
      <c r="B211" s="210">
        <v>21932007582</v>
      </c>
      <c r="C211" s="211">
        <v>0</v>
      </c>
      <c r="D211" s="211">
        <v>75568822</v>
      </c>
      <c r="E211" s="211">
        <v>0</v>
      </c>
      <c r="F211" s="211">
        <v>45686980</v>
      </c>
      <c r="G211" s="211">
        <v>708838</v>
      </c>
      <c r="H211" s="211">
        <v>0</v>
      </c>
      <c r="I211" s="386">
        <f t="shared" si="7"/>
        <v>22053972222</v>
      </c>
      <c r="J211" s="203" t="s">
        <v>470</v>
      </c>
    </row>
    <row r="212" spans="1:10" hidden="1" outlineLevel="1">
      <c r="A212" s="423" t="s">
        <v>471</v>
      </c>
      <c r="B212" s="210">
        <v>131848005</v>
      </c>
      <c r="C212" s="211">
        <v>0</v>
      </c>
      <c r="D212" s="211">
        <v>0</v>
      </c>
      <c r="E212" s="211">
        <v>0</v>
      </c>
      <c r="F212" s="211">
        <v>0</v>
      </c>
      <c r="G212" s="211">
        <v>0</v>
      </c>
      <c r="H212" s="211">
        <v>0</v>
      </c>
      <c r="I212" s="386">
        <f t="shared" si="7"/>
        <v>131848005</v>
      </c>
      <c r="J212" s="203" t="s">
        <v>472</v>
      </c>
    </row>
    <row r="213" spans="1:10" hidden="1" outlineLevel="1">
      <c r="A213" s="423" t="s">
        <v>473</v>
      </c>
      <c r="B213" s="210">
        <v>16485387</v>
      </c>
      <c r="C213" s="211">
        <v>0</v>
      </c>
      <c r="D213" s="211">
        <v>0</v>
      </c>
      <c r="E213" s="211">
        <v>0</v>
      </c>
      <c r="F213" s="211">
        <v>0</v>
      </c>
      <c r="G213" s="211">
        <v>0</v>
      </c>
      <c r="H213" s="211">
        <v>0</v>
      </c>
      <c r="I213" s="386">
        <f t="shared" si="7"/>
        <v>16485387</v>
      </c>
      <c r="J213" s="203" t="s">
        <v>474</v>
      </c>
    </row>
    <row r="214" spans="1:10" hidden="1" outlineLevel="1">
      <c r="A214" s="423" t="s">
        <v>475</v>
      </c>
      <c r="B214" s="210">
        <v>58678267</v>
      </c>
      <c r="C214" s="211">
        <v>0</v>
      </c>
      <c r="D214" s="211">
        <v>0</v>
      </c>
      <c r="E214" s="211">
        <v>0</v>
      </c>
      <c r="F214" s="211">
        <v>0</v>
      </c>
      <c r="G214" s="211">
        <v>0</v>
      </c>
      <c r="H214" s="211">
        <v>0</v>
      </c>
      <c r="I214" s="386">
        <f t="shared" si="7"/>
        <v>58678267</v>
      </c>
      <c r="J214" s="203" t="s">
        <v>476</v>
      </c>
    </row>
    <row r="215" spans="1:10" hidden="1" outlineLevel="1">
      <c r="A215" s="423" t="s">
        <v>477</v>
      </c>
      <c r="B215" s="210">
        <v>1198171580</v>
      </c>
      <c r="C215" s="211">
        <v>0</v>
      </c>
      <c r="D215" s="211">
        <v>26359889</v>
      </c>
      <c r="E215" s="211">
        <v>0</v>
      </c>
      <c r="F215" s="211">
        <v>35354330</v>
      </c>
      <c r="G215" s="211">
        <v>0</v>
      </c>
      <c r="H215" s="211">
        <v>0</v>
      </c>
      <c r="I215" s="386">
        <f t="shared" si="7"/>
        <v>1259885799</v>
      </c>
      <c r="J215" s="203" t="s">
        <v>478</v>
      </c>
    </row>
    <row r="216" spans="1:10" hidden="1" outlineLevel="1">
      <c r="A216" s="423" t="s">
        <v>479</v>
      </c>
      <c r="B216" s="210">
        <v>181791267</v>
      </c>
      <c r="C216" s="211">
        <v>0</v>
      </c>
      <c r="D216" s="211">
        <v>0</v>
      </c>
      <c r="E216" s="211">
        <v>0</v>
      </c>
      <c r="F216" s="211">
        <v>0</v>
      </c>
      <c r="G216" s="211">
        <v>0</v>
      </c>
      <c r="H216" s="211">
        <v>0</v>
      </c>
      <c r="I216" s="386">
        <f t="shared" si="7"/>
        <v>181791267</v>
      </c>
      <c r="J216" s="203" t="s">
        <v>480</v>
      </c>
    </row>
    <row r="217" spans="1:10" hidden="1" outlineLevel="1">
      <c r="A217" s="423" t="s">
        <v>481</v>
      </c>
      <c r="B217" s="210">
        <v>121320760</v>
      </c>
      <c r="C217" s="211">
        <v>0</v>
      </c>
      <c r="D217" s="211">
        <v>0</v>
      </c>
      <c r="E217" s="211">
        <v>0</v>
      </c>
      <c r="F217" s="211">
        <v>0</v>
      </c>
      <c r="G217" s="211">
        <v>0</v>
      </c>
      <c r="H217" s="211">
        <v>0</v>
      </c>
      <c r="I217" s="386">
        <f t="shared" si="7"/>
        <v>121320760</v>
      </c>
      <c r="J217" s="203" t="s">
        <v>482</v>
      </c>
    </row>
    <row r="218" spans="1:10" hidden="1" outlineLevel="1">
      <c r="A218" s="423" t="s">
        <v>483</v>
      </c>
      <c r="B218" s="210">
        <v>6443497851</v>
      </c>
      <c r="C218" s="211">
        <v>0</v>
      </c>
      <c r="D218" s="211">
        <v>0</v>
      </c>
      <c r="E218" s="211">
        <v>0</v>
      </c>
      <c r="F218" s="211">
        <v>114595893</v>
      </c>
      <c r="G218" s="211">
        <v>0</v>
      </c>
      <c r="H218" s="211">
        <v>0</v>
      </c>
      <c r="I218" s="386">
        <f t="shared" si="7"/>
        <v>6558093744</v>
      </c>
      <c r="J218" s="203" t="s">
        <v>484</v>
      </c>
    </row>
    <row r="219" spans="1:10" hidden="1" outlineLevel="1">
      <c r="A219" s="423" t="s">
        <v>485</v>
      </c>
      <c r="B219" s="210">
        <v>335822390</v>
      </c>
      <c r="C219" s="211">
        <v>0</v>
      </c>
      <c r="D219" s="211">
        <v>0</v>
      </c>
      <c r="E219" s="211">
        <v>0</v>
      </c>
      <c r="F219" s="211">
        <v>0</v>
      </c>
      <c r="G219" s="211">
        <v>0</v>
      </c>
      <c r="H219" s="211">
        <v>0</v>
      </c>
      <c r="I219" s="386">
        <f t="shared" si="7"/>
        <v>335822390</v>
      </c>
      <c r="J219" s="203" t="s">
        <v>486</v>
      </c>
    </row>
    <row r="220" spans="1:10" hidden="1" outlineLevel="1">
      <c r="A220" s="423" t="s">
        <v>487</v>
      </c>
      <c r="B220" s="210">
        <v>72468533</v>
      </c>
      <c r="C220" s="211">
        <v>0</v>
      </c>
      <c r="D220" s="211">
        <v>0</v>
      </c>
      <c r="E220" s="211">
        <v>0</v>
      </c>
      <c r="F220" s="211">
        <v>0</v>
      </c>
      <c r="G220" s="211">
        <v>0</v>
      </c>
      <c r="H220" s="211">
        <v>0</v>
      </c>
      <c r="I220" s="386">
        <f t="shared" si="7"/>
        <v>72468533</v>
      </c>
      <c r="J220" s="203" t="s">
        <v>488</v>
      </c>
    </row>
    <row r="221" spans="1:10" hidden="1" outlineLevel="1">
      <c r="A221" s="423" t="s">
        <v>489</v>
      </c>
      <c r="B221" s="210">
        <v>427162829</v>
      </c>
      <c r="C221" s="211">
        <v>0</v>
      </c>
      <c r="D221" s="211">
        <v>0</v>
      </c>
      <c r="E221" s="211">
        <v>0</v>
      </c>
      <c r="F221" s="211">
        <v>0</v>
      </c>
      <c r="G221" s="211">
        <v>0</v>
      </c>
      <c r="H221" s="211">
        <v>0</v>
      </c>
      <c r="I221" s="386">
        <f t="shared" si="7"/>
        <v>427162829</v>
      </c>
      <c r="J221" s="203" t="s">
        <v>490</v>
      </c>
    </row>
    <row r="222" spans="1:10" hidden="1" outlineLevel="1">
      <c r="A222" s="423" t="s">
        <v>491</v>
      </c>
      <c r="B222" s="210">
        <v>19068722</v>
      </c>
      <c r="C222" s="211">
        <v>0</v>
      </c>
      <c r="D222" s="211">
        <v>0</v>
      </c>
      <c r="E222" s="211">
        <v>0</v>
      </c>
      <c r="F222" s="211">
        <v>0</v>
      </c>
      <c r="G222" s="211">
        <v>0</v>
      </c>
      <c r="H222" s="211">
        <v>0</v>
      </c>
      <c r="I222" s="386">
        <f t="shared" si="7"/>
        <v>19068722</v>
      </c>
      <c r="J222" s="203" t="s">
        <v>492</v>
      </c>
    </row>
    <row r="223" spans="1:10" hidden="1" outlineLevel="1">
      <c r="A223" s="423" t="s">
        <v>493</v>
      </c>
      <c r="B223" s="210">
        <v>217064428</v>
      </c>
      <c r="C223" s="211">
        <v>0</v>
      </c>
      <c r="D223" s="211">
        <v>0</v>
      </c>
      <c r="E223" s="211">
        <v>0</v>
      </c>
      <c r="F223" s="211">
        <v>0</v>
      </c>
      <c r="G223" s="211">
        <v>0</v>
      </c>
      <c r="H223" s="211">
        <v>0</v>
      </c>
      <c r="I223" s="386">
        <f t="shared" si="7"/>
        <v>217064428</v>
      </c>
      <c r="J223" s="203" t="s">
        <v>494</v>
      </c>
    </row>
    <row r="224" spans="1:10" hidden="1" outlineLevel="1">
      <c r="A224" s="423" t="s">
        <v>495</v>
      </c>
      <c r="B224" s="210">
        <v>783727527</v>
      </c>
      <c r="C224" s="211">
        <v>0</v>
      </c>
      <c r="D224" s="211">
        <v>0</v>
      </c>
      <c r="E224" s="211">
        <v>0</v>
      </c>
      <c r="F224" s="211">
        <v>0</v>
      </c>
      <c r="G224" s="211">
        <v>0</v>
      </c>
      <c r="H224" s="211">
        <v>0</v>
      </c>
      <c r="I224" s="386">
        <f t="shared" si="7"/>
        <v>783727527</v>
      </c>
      <c r="J224" s="203" t="s">
        <v>496</v>
      </c>
    </row>
    <row r="225" spans="1:10" hidden="1" outlineLevel="1">
      <c r="A225" s="423" t="s">
        <v>497</v>
      </c>
      <c r="B225" s="210">
        <v>177407966</v>
      </c>
      <c r="C225" s="211">
        <v>0</v>
      </c>
      <c r="D225" s="211">
        <v>0</v>
      </c>
      <c r="E225" s="211">
        <v>0</v>
      </c>
      <c r="F225" s="211">
        <v>0</v>
      </c>
      <c r="G225" s="211">
        <v>0</v>
      </c>
      <c r="H225" s="211">
        <v>0</v>
      </c>
      <c r="I225" s="386">
        <f t="shared" si="7"/>
        <v>177407966</v>
      </c>
      <c r="J225" s="203" t="s">
        <v>498</v>
      </c>
    </row>
    <row r="226" spans="1:10" hidden="1" outlineLevel="1">
      <c r="A226" s="423" t="s">
        <v>499</v>
      </c>
      <c r="B226" s="210">
        <v>14717428</v>
      </c>
      <c r="C226" s="211">
        <v>0</v>
      </c>
      <c r="D226" s="211">
        <v>0</v>
      </c>
      <c r="E226" s="211">
        <v>0</v>
      </c>
      <c r="F226" s="211">
        <v>0</v>
      </c>
      <c r="G226" s="211">
        <v>0</v>
      </c>
      <c r="H226" s="211">
        <v>0</v>
      </c>
      <c r="I226" s="386">
        <f t="shared" si="7"/>
        <v>14717428</v>
      </c>
      <c r="J226" s="203" t="s">
        <v>500</v>
      </c>
    </row>
    <row r="227" spans="1:10" hidden="1" outlineLevel="1">
      <c r="A227" s="423" t="s">
        <v>501</v>
      </c>
      <c r="B227" s="210">
        <v>144203267</v>
      </c>
      <c r="C227" s="211">
        <v>0</v>
      </c>
      <c r="D227" s="211">
        <v>0</v>
      </c>
      <c r="E227" s="211">
        <v>0</v>
      </c>
      <c r="F227" s="211">
        <v>0</v>
      </c>
      <c r="G227" s="211">
        <v>0</v>
      </c>
      <c r="H227" s="211">
        <v>0</v>
      </c>
      <c r="I227" s="386">
        <f t="shared" si="7"/>
        <v>144203267</v>
      </c>
      <c r="J227" s="203" t="s">
        <v>502</v>
      </c>
    </row>
    <row r="228" spans="1:10" hidden="1" outlineLevel="1">
      <c r="A228" s="423" t="s">
        <v>503</v>
      </c>
      <c r="B228" s="210">
        <v>1242544271</v>
      </c>
      <c r="C228" s="211">
        <v>0</v>
      </c>
      <c r="D228" s="211">
        <v>0</v>
      </c>
      <c r="E228" s="211">
        <v>0</v>
      </c>
      <c r="F228" s="211">
        <v>0</v>
      </c>
      <c r="G228" s="211">
        <v>0</v>
      </c>
      <c r="H228" s="211">
        <v>0</v>
      </c>
      <c r="I228" s="386">
        <f t="shared" si="7"/>
        <v>1242544271</v>
      </c>
      <c r="J228" s="203" t="s">
        <v>504</v>
      </c>
    </row>
    <row r="229" spans="1:10" hidden="1" outlineLevel="1">
      <c r="A229" s="423" t="s">
        <v>505</v>
      </c>
      <c r="B229" s="210">
        <v>109245897</v>
      </c>
      <c r="C229" s="211">
        <v>0</v>
      </c>
      <c r="D229" s="211">
        <v>0</v>
      </c>
      <c r="E229" s="211">
        <v>0</v>
      </c>
      <c r="F229" s="211">
        <v>0</v>
      </c>
      <c r="G229" s="211">
        <v>0</v>
      </c>
      <c r="H229" s="211">
        <v>0</v>
      </c>
      <c r="I229" s="386">
        <f t="shared" si="7"/>
        <v>109245897</v>
      </c>
      <c r="J229" s="203" t="s">
        <v>506</v>
      </c>
    </row>
    <row r="230" spans="1:10" hidden="1" outlineLevel="1">
      <c r="A230" s="423" t="s">
        <v>507</v>
      </c>
      <c r="B230" s="210">
        <v>122364622</v>
      </c>
      <c r="C230" s="211">
        <v>0</v>
      </c>
      <c r="D230" s="211">
        <v>0</v>
      </c>
      <c r="E230" s="211">
        <v>0</v>
      </c>
      <c r="F230" s="211">
        <v>0</v>
      </c>
      <c r="G230" s="211">
        <v>0</v>
      </c>
      <c r="H230" s="211">
        <v>0</v>
      </c>
      <c r="I230" s="386">
        <f t="shared" si="7"/>
        <v>122364622</v>
      </c>
      <c r="J230" s="203" t="s">
        <v>508</v>
      </c>
    </row>
    <row r="231" spans="1:10" hidden="1" outlineLevel="1">
      <c r="A231" s="423" t="s">
        <v>509</v>
      </c>
      <c r="B231" s="210">
        <v>129982090</v>
      </c>
      <c r="C231" s="211">
        <v>0</v>
      </c>
      <c r="D231" s="211">
        <v>0</v>
      </c>
      <c r="E231" s="211">
        <v>0</v>
      </c>
      <c r="F231" s="211">
        <v>0</v>
      </c>
      <c r="G231" s="211">
        <v>0</v>
      </c>
      <c r="H231" s="211">
        <v>0</v>
      </c>
      <c r="I231" s="386">
        <f t="shared" si="7"/>
        <v>129982090</v>
      </c>
      <c r="J231" s="203" t="s">
        <v>510</v>
      </c>
    </row>
    <row r="232" spans="1:10" hidden="1" outlineLevel="1">
      <c r="A232" s="423" t="s">
        <v>511</v>
      </c>
      <c r="B232" s="210">
        <v>62106</v>
      </c>
      <c r="C232" s="211">
        <v>0</v>
      </c>
      <c r="D232" s="211">
        <v>0</v>
      </c>
      <c r="E232" s="211">
        <v>0</v>
      </c>
      <c r="F232" s="211">
        <v>0</v>
      </c>
      <c r="G232" s="211">
        <v>0</v>
      </c>
      <c r="H232" s="211">
        <v>0</v>
      </c>
      <c r="I232" s="386">
        <f t="shared" si="7"/>
        <v>62106</v>
      </c>
      <c r="J232" s="203" t="s">
        <v>512</v>
      </c>
    </row>
    <row r="233" spans="1:10" hidden="1" outlineLevel="1">
      <c r="A233" s="423" t="s">
        <v>172</v>
      </c>
      <c r="B233" s="210">
        <v>9055995</v>
      </c>
      <c r="C233" s="211">
        <v>0</v>
      </c>
      <c r="D233" s="211">
        <v>0</v>
      </c>
      <c r="E233" s="211">
        <v>0</v>
      </c>
      <c r="F233" s="211">
        <v>0</v>
      </c>
      <c r="G233" s="211">
        <v>0</v>
      </c>
      <c r="H233" s="211">
        <v>0</v>
      </c>
      <c r="I233" s="386">
        <f t="shared" si="7"/>
        <v>9055995</v>
      </c>
      <c r="J233" s="203" t="s">
        <v>173</v>
      </c>
    </row>
    <row r="234" spans="1:10" hidden="1" outlineLevel="1">
      <c r="A234" s="423" t="s">
        <v>513</v>
      </c>
      <c r="B234" s="210">
        <v>86428070</v>
      </c>
      <c r="C234" s="211">
        <v>0</v>
      </c>
      <c r="D234" s="211">
        <v>0</v>
      </c>
      <c r="E234" s="211">
        <v>0</v>
      </c>
      <c r="F234" s="211">
        <v>0</v>
      </c>
      <c r="G234" s="211">
        <v>0</v>
      </c>
      <c r="H234" s="211">
        <v>0</v>
      </c>
      <c r="I234" s="386">
        <f t="shared" si="7"/>
        <v>86428070</v>
      </c>
      <c r="J234" s="203" t="s">
        <v>514</v>
      </c>
    </row>
    <row r="235" spans="1:10" hidden="1" outlineLevel="1">
      <c r="A235" s="423" t="s">
        <v>515</v>
      </c>
      <c r="B235" s="210">
        <v>3276700</v>
      </c>
      <c r="C235" s="211">
        <v>0</v>
      </c>
      <c r="D235" s="211">
        <v>0</v>
      </c>
      <c r="E235" s="211">
        <v>0</v>
      </c>
      <c r="F235" s="211">
        <v>0</v>
      </c>
      <c r="G235" s="211">
        <v>0</v>
      </c>
      <c r="H235" s="211">
        <v>0</v>
      </c>
      <c r="I235" s="386">
        <f t="shared" si="7"/>
        <v>3276700</v>
      </c>
      <c r="J235" s="203" t="s">
        <v>516</v>
      </c>
    </row>
    <row r="236" spans="1:10" hidden="1" outlineLevel="1">
      <c r="A236" s="423" t="s">
        <v>517</v>
      </c>
      <c r="B236" s="210">
        <v>138094398</v>
      </c>
      <c r="C236" s="211">
        <v>0</v>
      </c>
      <c r="D236" s="211">
        <v>0</v>
      </c>
      <c r="E236" s="211">
        <v>0</v>
      </c>
      <c r="F236" s="211">
        <v>0</v>
      </c>
      <c r="G236" s="211">
        <v>0</v>
      </c>
      <c r="H236" s="211">
        <v>0</v>
      </c>
      <c r="I236" s="386">
        <f t="shared" si="7"/>
        <v>138094398</v>
      </c>
      <c r="J236" s="203" t="s">
        <v>518</v>
      </c>
    </row>
    <row r="237" spans="1:10" hidden="1" outlineLevel="1">
      <c r="A237" s="423" t="s">
        <v>519</v>
      </c>
      <c r="B237" s="210">
        <v>94582070</v>
      </c>
      <c r="C237" s="211">
        <v>0</v>
      </c>
      <c r="D237" s="211">
        <v>0</v>
      </c>
      <c r="E237" s="211">
        <v>0</v>
      </c>
      <c r="F237" s="211">
        <v>0</v>
      </c>
      <c r="G237" s="211">
        <v>0</v>
      </c>
      <c r="H237" s="211">
        <v>0</v>
      </c>
      <c r="I237" s="386">
        <f t="shared" si="7"/>
        <v>94582070</v>
      </c>
      <c r="J237" s="203" t="s">
        <v>520</v>
      </c>
    </row>
    <row r="238" spans="1:10" hidden="1" outlineLevel="1">
      <c r="A238" s="423" t="s">
        <v>521</v>
      </c>
      <c r="B238" s="210">
        <v>303088082</v>
      </c>
      <c r="C238" s="211">
        <v>0</v>
      </c>
      <c r="D238" s="211">
        <v>0</v>
      </c>
      <c r="E238" s="211">
        <v>0</v>
      </c>
      <c r="F238" s="211">
        <v>0</v>
      </c>
      <c r="G238" s="211">
        <v>0</v>
      </c>
      <c r="H238" s="211">
        <v>0</v>
      </c>
      <c r="I238" s="386">
        <f t="shared" si="7"/>
        <v>303088082</v>
      </c>
      <c r="J238" s="203" t="s">
        <v>522</v>
      </c>
    </row>
    <row r="239" spans="1:10" hidden="1" outlineLevel="1">
      <c r="A239" s="423" t="s">
        <v>523</v>
      </c>
      <c r="B239" s="210">
        <v>139597374</v>
      </c>
      <c r="C239" s="211">
        <v>0</v>
      </c>
      <c r="D239" s="211">
        <v>0</v>
      </c>
      <c r="E239" s="211">
        <v>0</v>
      </c>
      <c r="F239" s="211">
        <v>0</v>
      </c>
      <c r="G239" s="211">
        <v>0</v>
      </c>
      <c r="H239" s="211">
        <v>0</v>
      </c>
      <c r="I239" s="386">
        <f t="shared" si="7"/>
        <v>139597374</v>
      </c>
      <c r="J239" s="203" t="s">
        <v>524</v>
      </c>
    </row>
    <row r="240" spans="1:10" hidden="1" outlineLevel="1">
      <c r="A240" s="423" t="s">
        <v>525</v>
      </c>
      <c r="B240" s="210">
        <v>19242494</v>
      </c>
      <c r="C240" s="211">
        <v>0</v>
      </c>
      <c r="D240" s="211">
        <v>0</v>
      </c>
      <c r="E240" s="211">
        <v>0</v>
      </c>
      <c r="F240" s="211">
        <v>0</v>
      </c>
      <c r="G240" s="211">
        <v>0</v>
      </c>
      <c r="H240" s="211">
        <v>0</v>
      </c>
      <c r="I240" s="386">
        <f t="shared" si="7"/>
        <v>19242494</v>
      </c>
      <c r="J240" s="203" t="s">
        <v>526</v>
      </c>
    </row>
    <row r="241" spans="1:10" hidden="1" outlineLevel="1">
      <c r="A241" s="423" t="s">
        <v>527</v>
      </c>
      <c r="B241" s="210">
        <v>181910899</v>
      </c>
      <c r="C241" s="211">
        <v>0</v>
      </c>
      <c r="D241" s="211">
        <v>0</v>
      </c>
      <c r="E241" s="211">
        <v>0</v>
      </c>
      <c r="F241" s="211">
        <v>0</v>
      </c>
      <c r="G241" s="211">
        <v>0</v>
      </c>
      <c r="H241" s="211">
        <v>0</v>
      </c>
      <c r="I241" s="386">
        <f t="shared" si="7"/>
        <v>181910899</v>
      </c>
      <c r="J241" s="203" t="s">
        <v>528</v>
      </c>
    </row>
    <row r="242" spans="1:10" hidden="1" outlineLevel="1">
      <c r="A242" s="423" t="s">
        <v>529</v>
      </c>
      <c r="B242" s="210">
        <v>11202656</v>
      </c>
      <c r="C242" s="211">
        <v>0</v>
      </c>
      <c r="D242" s="211">
        <v>0</v>
      </c>
      <c r="E242" s="211">
        <v>0</v>
      </c>
      <c r="F242" s="211">
        <v>0</v>
      </c>
      <c r="G242" s="211">
        <v>0</v>
      </c>
      <c r="H242" s="211">
        <v>0</v>
      </c>
      <c r="I242" s="386">
        <f t="shared" si="7"/>
        <v>11202656</v>
      </c>
      <c r="J242" s="203" t="s">
        <v>530</v>
      </c>
    </row>
    <row r="243" spans="1:10" hidden="1" outlineLevel="1">
      <c r="A243" s="423" t="s">
        <v>531</v>
      </c>
      <c r="B243" s="210">
        <v>331696388</v>
      </c>
      <c r="C243" s="211">
        <v>0</v>
      </c>
      <c r="D243" s="211">
        <v>0</v>
      </c>
      <c r="E243" s="211">
        <v>0</v>
      </c>
      <c r="F243" s="211">
        <v>0</v>
      </c>
      <c r="G243" s="211">
        <v>0</v>
      </c>
      <c r="H243" s="211">
        <v>0</v>
      </c>
      <c r="I243" s="386">
        <f t="shared" si="7"/>
        <v>331696388</v>
      </c>
      <c r="J243" s="203" t="s">
        <v>532</v>
      </c>
    </row>
    <row r="244" spans="1:10" hidden="1" outlineLevel="1">
      <c r="A244" s="423" t="s">
        <v>533</v>
      </c>
      <c r="B244" s="210">
        <v>245192402</v>
      </c>
      <c r="C244" s="211">
        <v>0</v>
      </c>
      <c r="D244" s="211">
        <v>0</v>
      </c>
      <c r="E244" s="211">
        <v>0</v>
      </c>
      <c r="F244" s="211">
        <v>0</v>
      </c>
      <c r="G244" s="211">
        <v>0</v>
      </c>
      <c r="H244" s="211">
        <v>0</v>
      </c>
      <c r="I244" s="386">
        <f t="shared" si="7"/>
        <v>245192402</v>
      </c>
      <c r="J244" s="203" t="s">
        <v>534</v>
      </c>
    </row>
    <row r="245" spans="1:10" hidden="1" outlineLevel="1">
      <c r="A245" s="423" t="s">
        <v>535</v>
      </c>
      <c r="B245" s="210">
        <v>142115100</v>
      </c>
      <c r="C245" s="211">
        <v>0</v>
      </c>
      <c r="D245" s="211">
        <v>0</v>
      </c>
      <c r="E245" s="211">
        <v>0</v>
      </c>
      <c r="F245" s="211">
        <v>0</v>
      </c>
      <c r="G245" s="211">
        <v>0</v>
      </c>
      <c r="H245" s="211">
        <v>0</v>
      </c>
      <c r="I245" s="386">
        <f t="shared" si="7"/>
        <v>142115100</v>
      </c>
      <c r="J245" s="203" t="s">
        <v>536</v>
      </c>
    </row>
    <row r="246" spans="1:10" hidden="1" outlineLevel="1">
      <c r="A246" s="423" t="s">
        <v>537</v>
      </c>
      <c r="B246" s="210">
        <v>31439938</v>
      </c>
      <c r="C246" s="211">
        <v>0</v>
      </c>
      <c r="D246" s="211">
        <v>0</v>
      </c>
      <c r="E246" s="211">
        <v>0</v>
      </c>
      <c r="F246" s="211">
        <v>0</v>
      </c>
      <c r="G246" s="211">
        <v>0</v>
      </c>
      <c r="H246" s="211">
        <v>0</v>
      </c>
      <c r="I246" s="386">
        <f t="shared" si="7"/>
        <v>31439938</v>
      </c>
      <c r="J246" s="203" t="s">
        <v>538</v>
      </c>
    </row>
    <row r="247" spans="1:10" hidden="1" outlineLevel="1">
      <c r="A247" s="423" t="s">
        <v>539</v>
      </c>
      <c r="B247" s="210">
        <v>150455657</v>
      </c>
      <c r="C247" s="211">
        <v>0</v>
      </c>
      <c r="D247" s="211">
        <v>0</v>
      </c>
      <c r="E247" s="211">
        <v>0</v>
      </c>
      <c r="F247" s="211">
        <v>0</v>
      </c>
      <c r="G247" s="211">
        <v>0</v>
      </c>
      <c r="H247" s="211">
        <v>0</v>
      </c>
      <c r="I247" s="386">
        <f t="shared" si="7"/>
        <v>150455657</v>
      </c>
      <c r="J247" s="203" t="s">
        <v>540</v>
      </c>
    </row>
    <row r="248" spans="1:10" hidden="1" outlineLevel="1">
      <c r="A248" s="423" t="s">
        <v>541</v>
      </c>
      <c r="B248" s="210">
        <v>2564012052</v>
      </c>
      <c r="C248" s="211">
        <v>0</v>
      </c>
      <c r="D248" s="211">
        <v>0</v>
      </c>
      <c r="E248" s="211">
        <v>0</v>
      </c>
      <c r="F248" s="211">
        <v>68670999</v>
      </c>
      <c r="G248" s="211">
        <v>0</v>
      </c>
      <c r="H248" s="211">
        <v>0</v>
      </c>
      <c r="I248" s="386">
        <f t="shared" ref="I248:I311" si="8">SUM(B248:H248)</f>
        <v>2632683051</v>
      </c>
      <c r="J248" s="203" t="s">
        <v>542</v>
      </c>
    </row>
    <row r="249" spans="1:10" hidden="1" outlineLevel="1">
      <c r="A249" s="423" t="s">
        <v>543</v>
      </c>
      <c r="B249" s="210">
        <v>298942678</v>
      </c>
      <c r="C249" s="211">
        <v>0</v>
      </c>
      <c r="D249" s="211">
        <v>0</v>
      </c>
      <c r="E249" s="211">
        <v>0</v>
      </c>
      <c r="F249" s="211">
        <v>0</v>
      </c>
      <c r="G249" s="211">
        <v>0</v>
      </c>
      <c r="H249" s="211">
        <v>0</v>
      </c>
      <c r="I249" s="386">
        <f t="shared" si="8"/>
        <v>298942678</v>
      </c>
      <c r="J249" s="203" t="s">
        <v>544</v>
      </c>
    </row>
    <row r="250" spans="1:10" hidden="1" outlineLevel="1">
      <c r="A250" s="423" t="s">
        <v>545</v>
      </c>
      <c r="B250" s="210">
        <v>83737207</v>
      </c>
      <c r="C250" s="211">
        <v>0</v>
      </c>
      <c r="D250" s="211">
        <v>0</v>
      </c>
      <c r="E250" s="211">
        <v>0</v>
      </c>
      <c r="F250" s="211">
        <v>0</v>
      </c>
      <c r="G250" s="211">
        <v>0</v>
      </c>
      <c r="H250" s="211">
        <v>0</v>
      </c>
      <c r="I250" s="386">
        <f t="shared" si="8"/>
        <v>83737207</v>
      </c>
      <c r="J250" s="203" t="s">
        <v>546</v>
      </c>
    </row>
    <row r="251" spans="1:10" hidden="1" outlineLevel="1">
      <c r="A251" s="423" t="s">
        <v>547</v>
      </c>
      <c r="B251" s="210">
        <v>155752424</v>
      </c>
      <c r="C251" s="211">
        <v>0</v>
      </c>
      <c r="D251" s="211">
        <v>0</v>
      </c>
      <c r="E251" s="211">
        <v>0</v>
      </c>
      <c r="F251" s="211">
        <v>0</v>
      </c>
      <c r="G251" s="211">
        <v>0</v>
      </c>
      <c r="H251" s="211">
        <v>0</v>
      </c>
      <c r="I251" s="386">
        <f t="shared" si="8"/>
        <v>155752424</v>
      </c>
      <c r="J251" s="203" t="s">
        <v>548</v>
      </c>
    </row>
    <row r="252" spans="1:10" hidden="1" outlineLevel="1">
      <c r="A252" s="423" t="s">
        <v>549</v>
      </c>
      <c r="B252" s="210">
        <v>75912656</v>
      </c>
      <c r="C252" s="211">
        <v>0</v>
      </c>
      <c r="D252" s="211">
        <v>0</v>
      </c>
      <c r="E252" s="211">
        <v>0</v>
      </c>
      <c r="F252" s="211">
        <v>0</v>
      </c>
      <c r="G252" s="211">
        <v>0</v>
      </c>
      <c r="H252" s="211">
        <v>0</v>
      </c>
      <c r="I252" s="386">
        <f t="shared" si="8"/>
        <v>75912656</v>
      </c>
      <c r="J252" s="203" t="s">
        <v>550</v>
      </c>
    </row>
    <row r="253" spans="1:10" hidden="1" outlineLevel="1">
      <c r="A253" s="423" t="s">
        <v>551</v>
      </c>
      <c r="B253" s="210">
        <v>459326757</v>
      </c>
      <c r="C253" s="211">
        <v>0</v>
      </c>
      <c r="D253" s="211">
        <v>0</v>
      </c>
      <c r="E253" s="211">
        <v>0</v>
      </c>
      <c r="F253" s="211">
        <v>0</v>
      </c>
      <c r="G253" s="211">
        <v>0</v>
      </c>
      <c r="H253" s="211">
        <v>0</v>
      </c>
      <c r="I253" s="386">
        <f t="shared" si="8"/>
        <v>459326757</v>
      </c>
      <c r="J253" s="203" t="s">
        <v>552</v>
      </c>
    </row>
    <row r="254" spans="1:10" hidden="1" outlineLevel="1">
      <c r="A254" s="423" t="s">
        <v>553</v>
      </c>
      <c r="B254" s="210">
        <v>353715302</v>
      </c>
      <c r="C254" s="211">
        <v>0</v>
      </c>
      <c r="D254" s="211">
        <v>0</v>
      </c>
      <c r="E254" s="211">
        <v>0</v>
      </c>
      <c r="F254" s="211">
        <v>0</v>
      </c>
      <c r="G254" s="211">
        <v>0</v>
      </c>
      <c r="H254" s="211">
        <v>0</v>
      </c>
      <c r="I254" s="386">
        <f t="shared" si="8"/>
        <v>353715302</v>
      </c>
      <c r="J254" s="203" t="s">
        <v>554</v>
      </c>
    </row>
    <row r="255" spans="1:10" hidden="1" outlineLevel="1">
      <c r="A255" s="423" t="s">
        <v>555</v>
      </c>
      <c r="B255" s="210">
        <v>173151986</v>
      </c>
      <c r="C255" s="211">
        <v>0</v>
      </c>
      <c r="D255" s="211">
        <v>0</v>
      </c>
      <c r="E255" s="211">
        <v>0</v>
      </c>
      <c r="F255" s="211">
        <v>0</v>
      </c>
      <c r="G255" s="211">
        <v>0</v>
      </c>
      <c r="H255" s="211">
        <v>0</v>
      </c>
      <c r="I255" s="386">
        <f t="shared" si="8"/>
        <v>173151986</v>
      </c>
      <c r="J255" s="203" t="s">
        <v>556</v>
      </c>
    </row>
    <row r="256" spans="1:10" hidden="1" outlineLevel="1">
      <c r="A256" s="423" t="s">
        <v>559</v>
      </c>
      <c r="B256" s="210">
        <v>10987166</v>
      </c>
      <c r="C256" s="211">
        <v>0</v>
      </c>
      <c r="D256" s="211">
        <v>0</v>
      </c>
      <c r="E256" s="211">
        <v>0</v>
      </c>
      <c r="F256" s="211">
        <v>0</v>
      </c>
      <c r="G256" s="211">
        <v>0</v>
      </c>
      <c r="H256" s="211">
        <v>0</v>
      </c>
      <c r="I256" s="386">
        <f t="shared" si="8"/>
        <v>10987166</v>
      </c>
      <c r="J256" s="203" t="s">
        <v>560</v>
      </c>
    </row>
    <row r="257" spans="1:10" hidden="1" outlineLevel="1">
      <c r="A257" s="423" t="s">
        <v>561</v>
      </c>
      <c r="B257" s="210">
        <v>3254890</v>
      </c>
      <c r="C257" s="211">
        <v>0</v>
      </c>
      <c r="D257" s="211">
        <v>0</v>
      </c>
      <c r="E257" s="211">
        <v>0</v>
      </c>
      <c r="F257" s="211">
        <v>0</v>
      </c>
      <c r="G257" s="211">
        <v>0</v>
      </c>
      <c r="H257" s="211">
        <v>0</v>
      </c>
      <c r="I257" s="386">
        <f t="shared" si="8"/>
        <v>3254890</v>
      </c>
      <c r="J257" s="203" t="s">
        <v>562</v>
      </c>
    </row>
    <row r="258" spans="1:10" hidden="1" outlineLevel="1">
      <c r="A258" s="423" t="s">
        <v>563</v>
      </c>
      <c r="B258" s="210">
        <v>78978002</v>
      </c>
      <c r="C258" s="211">
        <v>0</v>
      </c>
      <c r="D258" s="211">
        <v>0</v>
      </c>
      <c r="E258" s="211">
        <v>0</v>
      </c>
      <c r="F258" s="211">
        <v>0</v>
      </c>
      <c r="G258" s="211">
        <v>0</v>
      </c>
      <c r="H258" s="211">
        <v>0</v>
      </c>
      <c r="I258" s="386">
        <f t="shared" si="8"/>
        <v>78978002</v>
      </c>
      <c r="J258" s="203" t="s">
        <v>564</v>
      </c>
    </row>
    <row r="259" spans="1:10" hidden="1" outlineLevel="1">
      <c r="A259" s="423" t="s">
        <v>565</v>
      </c>
      <c r="B259" s="210">
        <v>116308497</v>
      </c>
      <c r="C259" s="211">
        <v>0</v>
      </c>
      <c r="D259" s="211">
        <v>0</v>
      </c>
      <c r="E259" s="211">
        <v>0</v>
      </c>
      <c r="F259" s="211">
        <v>0</v>
      </c>
      <c r="G259" s="211">
        <v>0</v>
      </c>
      <c r="H259" s="211">
        <v>0</v>
      </c>
      <c r="I259" s="386">
        <f t="shared" si="8"/>
        <v>116308497</v>
      </c>
      <c r="J259" s="203" t="s">
        <v>566</v>
      </c>
    </row>
    <row r="260" spans="1:10" hidden="1" outlineLevel="1">
      <c r="A260" s="423" t="s">
        <v>567</v>
      </c>
      <c r="B260" s="210">
        <v>2337275359</v>
      </c>
      <c r="C260" s="211">
        <v>0</v>
      </c>
      <c r="D260" s="211">
        <v>0</v>
      </c>
      <c r="E260" s="211">
        <v>0</v>
      </c>
      <c r="F260" s="211">
        <v>386354</v>
      </c>
      <c r="G260" s="211">
        <v>0</v>
      </c>
      <c r="H260" s="211">
        <v>0</v>
      </c>
      <c r="I260" s="386">
        <f t="shared" si="8"/>
        <v>2337661713</v>
      </c>
      <c r="J260" s="203" t="s">
        <v>568</v>
      </c>
    </row>
    <row r="261" spans="1:10" hidden="1" outlineLevel="1">
      <c r="A261" s="423" t="s">
        <v>569</v>
      </c>
      <c r="B261" s="210">
        <v>46026523</v>
      </c>
      <c r="C261" s="211">
        <v>0</v>
      </c>
      <c r="D261" s="211">
        <v>0</v>
      </c>
      <c r="E261" s="211">
        <v>0</v>
      </c>
      <c r="F261" s="211">
        <v>0</v>
      </c>
      <c r="G261" s="211">
        <v>0</v>
      </c>
      <c r="H261" s="211">
        <v>0</v>
      </c>
      <c r="I261" s="386">
        <f t="shared" si="8"/>
        <v>46026523</v>
      </c>
      <c r="J261" s="203" t="s">
        <v>570</v>
      </c>
    </row>
    <row r="262" spans="1:10" hidden="1" outlineLevel="1">
      <c r="A262" s="423" t="s">
        <v>571</v>
      </c>
      <c r="B262" s="210">
        <v>55759316</v>
      </c>
      <c r="C262" s="211">
        <v>0</v>
      </c>
      <c r="D262" s="211">
        <v>0</v>
      </c>
      <c r="E262" s="211">
        <v>0</v>
      </c>
      <c r="F262" s="211">
        <v>0</v>
      </c>
      <c r="G262" s="211">
        <v>0</v>
      </c>
      <c r="H262" s="211">
        <v>0</v>
      </c>
      <c r="I262" s="386">
        <f t="shared" si="8"/>
        <v>55759316</v>
      </c>
      <c r="J262" s="203" t="s">
        <v>572</v>
      </c>
    </row>
    <row r="263" spans="1:10" hidden="1" outlineLevel="1">
      <c r="A263" s="423" t="s">
        <v>573</v>
      </c>
      <c r="B263" s="210">
        <v>255962896</v>
      </c>
      <c r="C263" s="211">
        <v>0</v>
      </c>
      <c r="D263" s="211">
        <v>0</v>
      </c>
      <c r="E263" s="211">
        <v>0</v>
      </c>
      <c r="F263" s="211">
        <v>0</v>
      </c>
      <c r="G263" s="211">
        <v>0</v>
      </c>
      <c r="H263" s="211">
        <v>0</v>
      </c>
      <c r="I263" s="386">
        <f t="shared" si="8"/>
        <v>255962896</v>
      </c>
      <c r="J263" s="203" t="s">
        <v>574</v>
      </c>
    </row>
    <row r="264" spans="1:10" hidden="1" outlineLevel="1">
      <c r="A264" s="423" t="s">
        <v>575</v>
      </c>
      <c r="B264" s="210">
        <v>115468416</v>
      </c>
      <c r="C264" s="211">
        <v>0</v>
      </c>
      <c r="D264" s="211">
        <v>0</v>
      </c>
      <c r="E264" s="211">
        <v>0</v>
      </c>
      <c r="F264" s="211">
        <v>0</v>
      </c>
      <c r="G264" s="211">
        <v>0</v>
      </c>
      <c r="H264" s="211">
        <v>0</v>
      </c>
      <c r="I264" s="386">
        <f t="shared" si="8"/>
        <v>115468416</v>
      </c>
      <c r="J264" s="203" t="s">
        <v>576</v>
      </c>
    </row>
    <row r="265" spans="1:10" hidden="1" outlineLevel="1">
      <c r="A265" s="423" t="s">
        <v>577</v>
      </c>
      <c r="B265" s="210">
        <v>138225184</v>
      </c>
      <c r="C265" s="211">
        <v>0</v>
      </c>
      <c r="D265" s="211">
        <v>0</v>
      </c>
      <c r="E265" s="211">
        <v>0</v>
      </c>
      <c r="F265" s="211">
        <v>3031221031</v>
      </c>
      <c r="G265" s="211">
        <v>0</v>
      </c>
      <c r="H265" s="211">
        <v>0</v>
      </c>
      <c r="I265" s="386">
        <f t="shared" si="8"/>
        <v>3169446215</v>
      </c>
      <c r="J265" s="203" t="s">
        <v>578</v>
      </c>
    </row>
    <row r="266" spans="1:10" hidden="1" outlineLevel="1">
      <c r="A266" s="423" t="s">
        <v>579</v>
      </c>
      <c r="B266" s="210">
        <v>140170690</v>
      </c>
      <c r="C266" s="211">
        <v>0</v>
      </c>
      <c r="D266" s="211">
        <v>0</v>
      </c>
      <c r="E266" s="211">
        <v>0</v>
      </c>
      <c r="F266" s="211">
        <v>0</v>
      </c>
      <c r="G266" s="211">
        <v>0</v>
      </c>
      <c r="H266" s="211">
        <v>0</v>
      </c>
      <c r="I266" s="386">
        <f t="shared" si="8"/>
        <v>140170690</v>
      </c>
      <c r="J266" s="203" t="s">
        <v>580</v>
      </c>
    </row>
    <row r="267" spans="1:10" hidden="1" outlineLevel="1">
      <c r="A267" s="423" t="s">
        <v>581</v>
      </c>
      <c r="B267" s="210">
        <v>32190923</v>
      </c>
      <c r="C267" s="211">
        <v>0</v>
      </c>
      <c r="D267" s="211">
        <v>0</v>
      </c>
      <c r="E267" s="211">
        <v>0</v>
      </c>
      <c r="F267" s="211">
        <v>0</v>
      </c>
      <c r="G267" s="211">
        <v>0</v>
      </c>
      <c r="H267" s="211">
        <v>0</v>
      </c>
      <c r="I267" s="386">
        <f t="shared" si="8"/>
        <v>32190923</v>
      </c>
      <c r="J267" s="203" t="s">
        <v>582</v>
      </c>
    </row>
    <row r="268" spans="1:10" hidden="1" outlineLevel="1">
      <c r="A268" s="423" t="s">
        <v>583</v>
      </c>
      <c r="B268" s="210">
        <v>117495396</v>
      </c>
      <c r="C268" s="211">
        <v>0</v>
      </c>
      <c r="D268" s="211">
        <v>0</v>
      </c>
      <c r="E268" s="211">
        <v>0</v>
      </c>
      <c r="F268" s="211">
        <v>0</v>
      </c>
      <c r="G268" s="211">
        <v>0</v>
      </c>
      <c r="H268" s="211">
        <v>0</v>
      </c>
      <c r="I268" s="386">
        <f t="shared" si="8"/>
        <v>117495396</v>
      </c>
      <c r="J268" s="203" t="s">
        <v>584</v>
      </c>
    </row>
    <row r="269" spans="1:10" hidden="1" outlineLevel="1">
      <c r="A269" s="423" t="s">
        <v>585</v>
      </c>
      <c r="B269" s="210">
        <v>1664705</v>
      </c>
      <c r="C269" s="211">
        <v>0</v>
      </c>
      <c r="D269" s="211">
        <v>0</v>
      </c>
      <c r="E269" s="211">
        <v>0</v>
      </c>
      <c r="F269" s="211">
        <v>0</v>
      </c>
      <c r="G269" s="211">
        <v>0</v>
      </c>
      <c r="H269" s="211">
        <v>0</v>
      </c>
      <c r="I269" s="386">
        <f t="shared" si="8"/>
        <v>1664705</v>
      </c>
      <c r="J269" s="203" t="s">
        <v>586</v>
      </c>
    </row>
    <row r="270" spans="1:10" hidden="1" outlineLevel="1">
      <c r="A270" s="423" t="s">
        <v>585</v>
      </c>
      <c r="B270" s="210">
        <v>41898817</v>
      </c>
      <c r="C270" s="211">
        <v>0</v>
      </c>
      <c r="D270" s="211">
        <v>0</v>
      </c>
      <c r="E270" s="211">
        <v>0</v>
      </c>
      <c r="F270" s="211">
        <v>0</v>
      </c>
      <c r="G270" s="211">
        <v>0</v>
      </c>
      <c r="H270" s="211">
        <v>0</v>
      </c>
      <c r="I270" s="386">
        <f t="shared" si="8"/>
        <v>41898817</v>
      </c>
      <c r="J270" s="203" t="s">
        <v>586</v>
      </c>
    </row>
    <row r="271" spans="1:10" hidden="1" outlineLevel="1">
      <c r="A271" s="423" t="s">
        <v>587</v>
      </c>
      <c r="B271" s="210">
        <v>71296872</v>
      </c>
      <c r="C271" s="211">
        <v>0</v>
      </c>
      <c r="D271" s="211">
        <v>0</v>
      </c>
      <c r="E271" s="211">
        <v>0</v>
      </c>
      <c r="F271" s="211">
        <v>0</v>
      </c>
      <c r="G271" s="211">
        <v>0</v>
      </c>
      <c r="H271" s="211">
        <v>0</v>
      </c>
      <c r="I271" s="386">
        <f t="shared" si="8"/>
        <v>71296872</v>
      </c>
      <c r="J271" s="203" t="s">
        <v>588</v>
      </c>
    </row>
    <row r="272" spans="1:10" hidden="1" outlineLevel="1">
      <c r="A272" s="423" t="s">
        <v>589</v>
      </c>
      <c r="B272" s="210">
        <v>136253265</v>
      </c>
      <c r="C272" s="211">
        <v>0</v>
      </c>
      <c r="D272" s="211">
        <v>0</v>
      </c>
      <c r="E272" s="211">
        <v>0</v>
      </c>
      <c r="F272" s="211">
        <v>0</v>
      </c>
      <c r="G272" s="211">
        <v>0</v>
      </c>
      <c r="H272" s="211">
        <v>0</v>
      </c>
      <c r="I272" s="386">
        <f t="shared" si="8"/>
        <v>136253265</v>
      </c>
      <c r="J272" s="203" t="s">
        <v>590</v>
      </c>
    </row>
    <row r="273" spans="1:10" hidden="1" outlineLevel="1">
      <c r="A273" s="423" t="s">
        <v>591</v>
      </c>
      <c r="B273" s="210">
        <v>602170139</v>
      </c>
      <c r="C273" s="211">
        <v>0</v>
      </c>
      <c r="D273" s="211">
        <v>0</v>
      </c>
      <c r="E273" s="211">
        <v>0</v>
      </c>
      <c r="F273" s="211">
        <v>0</v>
      </c>
      <c r="G273" s="211">
        <v>5846587</v>
      </c>
      <c r="H273" s="211">
        <v>0</v>
      </c>
      <c r="I273" s="386">
        <f t="shared" si="8"/>
        <v>608016726</v>
      </c>
      <c r="J273" s="203" t="s">
        <v>592</v>
      </c>
    </row>
    <row r="274" spans="1:10" hidden="1" outlineLevel="1">
      <c r="A274" s="423" t="s">
        <v>593</v>
      </c>
      <c r="B274" s="210">
        <v>270616277</v>
      </c>
      <c r="C274" s="211">
        <v>0</v>
      </c>
      <c r="D274" s="211">
        <v>0</v>
      </c>
      <c r="E274" s="211">
        <v>0</v>
      </c>
      <c r="F274" s="211">
        <v>0</v>
      </c>
      <c r="G274" s="211">
        <v>0</v>
      </c>
      <c r="H274" s="211">
        <v>0</v>
      </c>
      <c r="I274" s="386">
        <f t="shared" si="8"/>
        <v>270616277</v>
      </c>
      <c r="J274" s="203" t="s">
        <v>594</v>
      </c>
    </row>
    <row r="275" spans="1:10" hidden="1" outlineLevel="1">
      <c r="A275" s="423" t="s">
        <v>595</v>
      </c>
      <c r="B275" s="210">
        <v>277037032</v>
      </c>
      <c r="C275" s="211">
        <v>0</v>
      </c>
      <c r="D275" s="211">
        <v>0</v>
      </c>
      <c r="E275" s="211">
        <v>0</v>
      </c>
      <c r="F275" s="211">
        <v>0</v>
      </c>
      <c r="G275" s="211">
        <v>0</v>
      </c>
      <c r="H275" s="211">
        <v>0</v>
      </c>
      <c r="I275" s="386">
        <f t="shared" si="8"/>
        <v>277037032</v>
      </c>
      <c r="J275" s="203" t="s">
        <v>596</v>
      </c>
    </row>
    <row r="276" spans="1:10" hidden="1" outlineLevel="1">
      <c r="A276" s="423" t="s">
        <v>597</v>
      </c>
      <c r="B276" s="210">
        <v>165431649</v>
      </c>
      <c r="C276" s="211">
        <v>0</v>
      </c>
      <c r="D276" s="211">
        <v>0</v>
      </c>
      <c r="E276" s="211">
        <v>0</v>
      </c>
      <c r="F276" s="211">
        <v>0</v>
      </c>
      <c r="G276" s="211">
        <v>0</v>
      </c>
      <c r="H276" s="211">
        <v>0</v>
      </c>
      <c r="I276" s="386">
        <f t="shared" si="8"/>
        <v>165431649</v>
      </c>
      <c r="J276" s="203" t="s">
        <v>598</v>
      </c>
    </row>
    <row r="277" spans="1:10" hidden="1" outlineLevel="1">
      <c r="A277" s="423" t="s">
        <v>599</v>
      </c>
      <c r="B277" s="210">
        <v>102302571</v>
      </c>
      <c r="C277" s="211">
        <v>0</v>
      </c>
      <c r="D277" s="211">
        <v>0</v>
      </c>
      <c r="E277" s="211">
        <v>0</v>
      </c>
      <c r="F277" s="211">
        <v>0</v>
      </c>
      <c r="G277" s="211">
        <v>0</v>
      </c>
      <c r="H277" s="211">
        <v>0</v>
      </c>
      <c r="I277" s="386">
        <f t="shared" si="8"/>
        <v>102302571</v>
      </c>
      <c r="J277" s="203" t="s">
        <v>600</v>
      </c>
    </row>
    <row r="278" spans="1:10" hidden="1" outlineLevel="1">
      <c r="A278" s="423" t="s">
        <v>601</v>
      </c>
      <c r="B278" s="210">
        <v>15834429</v>
      </c>
      <c r="C278" s="211">
        <v>0</v>
      </c>
      <c r="D278" s="211">
        <v>0</v>
      </c>
      <c r="E278" s="211">
        <v>0</v>
      </c>
      <c r="F278" s="211">
        <v>0</v>
      </c>
      <c r="G278" s="211">
        <v>0</v>
      </c>
      <c r="H278" s="211">
        <v>0</v>
      </c>
      <c r="I278" s="386">
        <f t="shared" si="8"/>
        <v>15834429</v>
      </c>
      <c r="J278" s="203" t="s">
        <v>602</v>
      </c>
    </row>
    <row r="279" spans="1:10" hidden="1" outlineLevel="1">
      <c r="A279" s="423" t="s">
        <v>603</v>
      </c>
      <c r="B279" s="210">
        <v>119907767</v>
      </c>
      <c r="C279" s="211">
        <v>0</v>
      </c>
      <c r="D279" s="211">
        <v>0</v>
      </c>
      <c r="E279" s="211">
        <v>0</v>
      </c>
      <c r="F279" s="211">
        <v>0</v>
      </c>
      <c r="G279" s="211">
        <v>0</v>
      </c>
      <c r="H279" s="211">
        <v>0</v>
      </c>
      <c r="I279" s="386">
        <f t="shared" si="8"/>
        <v>119907767</v>
      </c>
      <c r="J279" s="203" t="s">
        <v>604</v>
      </c>
    </row>
    <row r="280" spans="1:10" hidden="1" outlineLevel="1">
      <c r="A280" s="423" t="s">
        <v>605</v>
      </c>
      <c r="B280" s="210">
        <v>274553068</v>
      </c>
      <c r="C280" s="211">
        <v>0</v>
      </c>
      <c r="D280" s="211">
        <v>0</v>
      </c>
      <c r="E280" s="211">
        <v>0</v>
      </c>
      <c r="F280" s="211">
        <v>0</v>
      </c>
      <c r="G280" s="211">
        <v>0</v>
      </c>
      <c r="H280" s="211">
        <v>0</v>
      </c>
      <c r="I280" s="386">
        <f t="shared" si="8"/>
        <v>274553068</v>
      </c>
      <c r="J280" s="203" t="s">
        <v>606</v>
      </c>
    </row>
    <row r="281" spans="1:10" hidden="1" outlineLevel="1">
      <c r="A281" s="423" t="s">
        <v>607</v>
      </c>
      <c r="B281" s="210">
        <v>19568428</v>
      </c>
      <c r="C281" s="211">
        <v>0</v>
      </c>
      <c r="D281" s="211">
        <v>0</v>
      </c>
      <c r="E281" s="211">
        <v>0</v>
      </c>
      <c r="F281" s="211">
        <v>0</v>
      </c>
      <c r="G281" s="211">
        <v>0</v>
      </c>
      <c r="H281" s="211">
        <v>0</v>
      </c>
      <c r="I281" s="386">
        <f t="shared" si="8"/>
        <v>19568428</v>
      </c>
      <c r="J281" s="203" t="s">
        <v>608</v>
      </c>
    </row>
    <row r="282" spans="1:10" hidden="1" outlineLevel="1">
      <c r="A282" s="423" t="s">
        <v>609</v>
      </c>
      <c r="B282" s="210">
        <v>212802154</v>
      </c>
      <c r="C282" s="211">
        <v>0</v>
      </c>
      <c r="D282" s="211">
        <v>0</v>
      </c>
      <c r="E282" s="211">
        <v>0</v>
      </c>
      <c r="F282" s="211">
        <v>0</v>
      </c>
      <c r="G282" s="211">
        <v>0</v>
      </c>
      <c r="H282" s="211">
        <v>0</v>
      </c>
      <c r="I282" s="386">
        <f t="shared" si="8"/>
        <v>212802154</v>
      </c>
      <c r="J282" s="203" t="s">
        <v>610</v>
      </c>
    </row>
    <row r="283" spans="1:10" hidden="1" outlineLevel="1">
      <c r="A283" s="423" t="s">
        <v>611</v>
      </c>
      <c r="B283" s="210">
        <v>163426844</v>
      </c>
      <c r="C283" s="211">
        <v>0</v>
      </c>
      <c r="D283" s="211">
        <v>0</v>
      </c>
      <c r="E283" s="211">
        <v>0</v>
      </c>
      <c r="F283" s="211">
        <v>0</v>
      </c>
      <c r="G283" s="211">
        <v>0</v>
      </c>
      <c r="H283" s="211">
        <v>0</v>
      </c>
      <c r="I283" s="386">
        <f t="shared" si="8"/>
        <v>163426844</v>
      </c>
      <c r="J283" s="203" t="s">
        <v>612</v>
      </c>
    </row>
    <row r="284" spans="1:10" hidden="1" outlineLevel="1">
      <c r="A284" s="423" t="s">
        <v>613</v>
      </c>
      <c r="B284" s="210">
        <v>5896100</v>
      </c>
      <c r="C284" s="211">
        <v>0</v>
      </c>
      <c r="D284" s="211">
        <v>0</v>
      </c>
      <c r="E284" s="211">
        <v>0</v>
      </c>
      <c r="F284" s="211">
        <v>0</v>
      </c>
      <c r="G284" s="211">
        <v>0</v>
      </c>
      <c r="H284" s="211">
        <v>0</v>
      </c>
      <c r="I284" s="386">
        <f t="shared" si="8"/>
        <v>5896100</v>
      </c>
      <c r="J284" s="203" t="s">
        <v>614</v>
      </c>
    </row>
    <row r="285" spans="1:10" hidden="1" outlineLevel="1">
      <c r="A285" s="423" t="s">
        <v>615</v>
      </c>
      <c r="B285" s="210">
        <v>110454111</v>
      </c>
      <c r="C285" s="211">
        <v>0</v>
      </c>
      <c r="D285" s="211">
        <v>0</v>
      </c>
      <c r="E285" s="211">
        <v>0</v>
      </c>
      <c r="F285" s="211">
        <v>0</v>
      </c>
      <c r="G285" s="211">
        <v>0</v>
      </c>
      <c r="H285" s="211">
        <v>0</v>
      </c>
      <c r="I285" s="386">
        <f t="shared" si="8"/>
        <v>110454111</v>
      </c>
      <c r="J285" s="203" t="s">
        <v>616</v>
      </c>
    </row>
    <row r="286" spans="1:10" hidden="1" outlineLevel="1">
      <c r="A286" s="423" t="s">
        <v>617</v>
      </c>
      <c r="B286" s="210">
        <v>61599145</v>
      </c>
      <c r="C286" s="211">
        <v>0</v>
      </c>
      <c r="D286" s="211">
        <v>0</v>
      </c>
      <c r="E286" s="211">
        <v>0</v>
      </c>
      <c r="F286" s="211">
        <v>0</v>
      </c>
      <c r="G286" s="211">
        <v>0</v>
      </c>
      <c r="H286" s="211">
        <v>0</v>
      </c>
      <c r="I286" s="386">
        <f t="shared" si="8"/>
        <v>61599145</v>
      </c>
      <c r="J286" s="203" t="s">
        <v>618</v>
      </c>
    </row>
    <row r="287" spans="1:10" hidden="1" outlineLevel="1">
      <c r="A287" s="423" t="s">
        <v>619</v>
      </c>
      <c r="B287" s="210">
        <v>403192811</v>
      </c>
      <c r="C287" s="211">
        <v>0</v>
      </c>
      <c r="D287" s="211">
        <v>0</v>
      </c>
      <c r="E287" s="211">
        <v>0</v>
      </c>
      <c r="F287" s="211">
        <v>0</v>
      </c>
      <c r="G287" s="211">
        <v>0</v>
      </c>
      <c r="H287" s="211">
        <v>0</v>
      </c>
      <c r="I287" s="386">
        <f t="shared" si="8"/>
        <v>403192811</v>
      </c>
      <c r="J287" s="203" t="s">
        <v>620</v>
      </c>
    </row>
    <row r="288" spans="1:10" hidden="1" outlineLevel="1">
      <c r="A288" s="423" t="s">
        <v>621</v>
      </c>
      <c r="B288" s="210">
        <v>978350700</v>
      </c>
      <c r="C288" s="211">
        <v>0</v>
      </c>
      <c r="D288" s="211">
        <v>0</v>
      </c>
      <c r="E288" s="211">
        <v>0</v>
      </c>
      <c r="F288" s="211">
        <v>0</v>
      </c>
      <c r="G288" s="211">
        <v>0</v>
      </c>
      <c r="H288" s="211">
        <v>0</v>
      </c>
      <c r="I288" s="386">
        <f t="shared" si="8"/>
        <v>978350700</v>
      </c>
      <c r="J288" s="203" t="s">
        <v>622</v>
      </c>
    </row>
    <row r="289" spans="1:10" hidden="1" outlineLevel="1">
      <c r="A289" s="423" t="s">
        <v>623</v>
      </c>
      <c r="B289" s="210">
        <v>10781064</v>
      </c>
      <c r="C289" s="211">
        <v>0</v>
      </c>
      <c r="D289" s="211">
        <v>0</v>
      </c>
      <c r="E289" s="211">
        <v>0</v>
      </c>
      <c r="F289" s="211">
        <v>0</v>
      </c>
      <c r="G289" s="211">
        <v>0</v>
      </c>
      <c r="H289" s="211">
        <v>0</v>
      </c>
      <c r="I289" s="386">
        <f t="shared" si="8"/>
        <v>10781064</v>
      </c>
      <c r="J289" s="203" t="s">
        <v>624</v>
      </c>
    </row>
    <row r="290" spans="1:10" hidden="1" outlineLevel="1">
      <c r="A290" s="423" t="s">
        <v>625</v>
      </c>
      <c r="B290" s="210">
        <v>50460666</v>
      </c>
      <c r="C290" s="211">
        <v>0</v>
      </c>
      <c r="D290" s="211">
        <v>0</v>
      </c>
      <c r="E290" s="211">
        <v>0</v>
      </c>
      <c r="F290" s="211">
        <v>0</v>
      </c>
      <c r="G290" s="211">
        <v>0</v>
      </c>
      <c r="H290" s="211">
        <v>0</v>
      </c>
      <c r="I290" s="386">
        <f t="shared" si="8"/>
        <v>50460666</v>
      </c>
      <c r="J290" s="203" t="s">
        <v>626</v>
      </c>
    </row>
    <row r="291" spans="1:10" hidden="1" outlineLevel="1">
      <c r="A291" s="423" t="s">
        <v>627</v>
      </c>
      <c r="B291" s="210">
        <v>364111240</v>
      </c>
      <c r="C291" s="211">
        <v>0</v>
      </c>
      <c r="D291" s="211">
        <v>0</v>
      </c>
      <c r="E291" s="211">
        <v>0</v>
      </c>
      <c r="F291" s="211">
        <v>1494672</v>
      </c>
      <c r="G291" s="211">
        <v>0</v>
      </c>
      <c r="H291" s="211">
        <v>0</v>
      </c>
      <c r="I291" s="386">
        <f t="shared" si="8"/>
        <v>365605912</v>
      </c>
      <c r="J291" s="203" t="s">
        <v>628</v>
      </c>
    </row>
    <row r="292" spans="1:10" hidden="1" outlineLevel="1">
      <c r="A292" s="423" t="s">
        <v>629</v>
      </c>
      <c r="B292" s="210">
        <v>278415639</v>
      </c>
      <c r="C292" s="211">
        <v>0</v>
      </c>
      <c r="D292" s="211">
        <v>0</v>
      </c>
      <c r="E292" s="211">
        <v>0</v>
      </c>
      <c r="F292" s="211">
        <v>0</v>
      </c>
      <c r="G292" s="211">
        <v>0</v>
      </c>
      <c r="H292" s="211">
        <v>0</v>
      </c>
      <c r="I292" s="386">
        <f t="shared" si="8"/>
        <v>278415639</v>
      </c>
      <c r="J292" s="203" t="s">
        <v>630</v>
      </c>
    </row>
    <row r="293" spans="1:10" hidden="1" outlineLevel="1">
      <c r="A293" s="423" t="s">
        <v>631</v>
      </c>
      <c r="B293" s="210">
        <v>145129163</v>
      </c>
      <c r="C293" s="211">
        <v>0</v>
      </c>
      <c r="D293" s="211">
        <v>0</v>
      </c>
      <c r="E293" s="211">
        <v>0</v>
      </c>
      <c r="F293" s="211">
        <v>0</v>
      </c>
      <c r="G293" s="211">
        <v>0</v>
      </c>
      <c r="H293" s="211">
        <v>0</v>
      </c>
      <c r="I293" s="386">
        <f t="shared" si="8"/>
        <v>145129163</v>
      </c>
      <c r="J293" s="203" t="s">
        <v>632</v>
      </c>
    </row>
    <row r="294" spans="1:10" hidden="1" outlineLevel="1">
      <c r="A294" s="423" t="s">
        <v>633</v>
      </c>
      <c r="B294" s="210">
        <v>28806327</v>
      </c>
      <c r="C294" s="211">
        <v>0</v>
      </c>
      <c r="D294" s="211">
        <v>0</v>
      </c>
      <c r="E294" s="211">
        <v>0</v>
      </c>
      <c r="F294" s="211">
        <v>0</v>
      </c>
      <c r="G294" s="211">
        <v>0</v>
      </c>
      <c r="H294" s="211">
        <v>0</v>
      </c>
      <c r="I294" s="386">
        <f t="shared" si="8"/>
        <v>28806327</v>
      </c>
      <c r="J294" s="203" t="s">
        <v>634</v>
      </c>
    </row>
    <row r="295" spans="1:10" hidden="1" outlineLevel="1">
      <c r="A295" s="423" t="s">
        <v>635</v>
      </c>
      <c r="B295" s="210">
        <v>53108871</v>
      </c>
      <c r="C295" s="211">
        <v>0</v>
      </c>
      <c r="D295" s="211">
        <v>0</v>
      </c>
      <c r="E295" s="211">
        <v>0</v>
      </c>
      <c r="F295" s="211">
        <v>0</v>
      </c>
      <c r="G295" s="211">
        <v>0</v>
      </c>
      <c r="H295" s="211">
        <v>0</v>
      </c>
      <c r="I295" s="386">
        <f t="shared" si="8"/>
        <v>53108871</v>
      </c>
      <c r="J295" s="203" t="s">
        <v>636</v>
      </c>
    </row>
    <row r="296" spans="1:10" hidden="1" outlineLevel="1">
      <c r="A296" s="423" t="s">
        <v>637</v>
      </c>
      <c r="B296" s="210">
        <v>564467244</v>
      </c>
      <c r="C296" s="211">
        <v>0</v>
      </c>
      <c r="D296" s="211">
        <v>0</v>
      </c>
      <c r="E296" s="211">
        <v>0</v>
      </c>
      <c r="F296" s="211">
        <v>0</v>
      </c>
      <c r="G296" s="211">
        <v>0</v>
      </c>
      <c r="H296" s="211">
        <v>0</v>
      </c>
      <c r="I296" s="386">
        <f t="shared" si="8"/>
        <v>564467244</v>
      </c>
      <c r="J296" s="203" t="s">
        <v>638</v>
      </c>
    </row>
    <row r="297" spans="1:10" hidden="1" outlineLevel="1">
      <c r="A297" s="423" t="s">
        <v>639</v>
      </c>
      <c r="B297" s="210">
        <v>2376743958</v>
      </c>
      <c r="C297" s="211">
        <v>0</v>
      </c>
      <c r="D297" s="211">
        <v>0</v>
      </c>
      <c r="E297" s="211">
        <v>0</v>
      </c>
      <c r="F297" s="211">
        <v>1251382</v>
      </c>
      <c r="G297" s="211">
        <v>3880109</v>
      </c>
      <c r="H297" s="211">
        <v>0</v>
      </c>
      <c r="I297" s="386">
        <f t="shared" si="8"/>
        <v>2381875449</v>
      </c>
      <c r="J297" s="203" t="s">
        <v>640</v>
      </c>
    </row>
    <row r="298" spans="1:10" hidden="1" outlineLevel="1">
      <c r="A298" s="423" t="s">
        <v>641</v>
      </c>
      <c r="B298" s="210">
        <v>27180051</v>
      </c>
      <c r="C298" s="211">
        <v>0</v>
      </c>
      <c r="D298" s="211">
        <v>0</v>
      </c>
      <c r="E298" s="211">
        <v>0</v>
      </c>
      <c r="F298" s="211">
        <v>0</v>
      </c>
      <c r="G298" s="211">
        <v>0</v>
      </c>
      <c r="H298" s="211">
        <v>0</v>
      </c>
      <c r="I298" s="386">
        <f t="shared" si="8"/>
        <v>27180051</v>
      </c>
      <c r="J298" s="203" t="s">
        <v>642</v>
      </c>
    </row>
    <row r="299" spans="1:10" hidden="1" outlineLevel="1">
      <c r="A299" s="423" t="s">
        <v>643</v>
      </c>
      <c r="B299" s="210">
        <v>88541264</v>
      </c>
      <c r="C299" s="211">
        <v>0</v>
      </c>
      <c r="D299" s="211">
        <v>0</v>
      </c>
      <c r="E299" s="211">
        <v>0</v>
      </c>
      <c r="F299" s="211">
        <v>0</v>
      </c>
      <c r="G299" s="211">
        <v>0</v>
      </c>
      <c r="H299" s="211">
        <v>0</v>
      </c>
      <c r="I299" s="386">
        <f t="shared" si="8"/>
        <v>88541264</v>
      </c>
      <c r="J299" s="203" t="s">
        <v>644</v>
      </c>
    </row>
    <row r="300" spans="1:10" hidden="1" outlineLevel="1">
      <c r="A300" s="423" t="s">
        <v>645</v>
      </c>
      <c r="B300" s="210">
        <v>1002892468</v>
      </c>
      <c r="C300" s="211">
        <v>0</v>
      </c>
      <c r="D300" s="211">
        <v>0</v>
      </c>
      <c r="E300" s="211">
        <v>0</v>
      </c>
      <c r="F300" s="211">
        <v>0</v>
      </c>
      <c r="G300" s="211">
        <v>0</v>
      </c>
      <c r="H300" s="211">
        <v>0</v>
      </c>
      <c r="I300" s="386">
        <f t="shared" si="8"/>
        <v>1002892468</v>
      </c>
      <c r="J300" s="203" t="s">
        <v>646</v>
      </c>
    </row>
    <row r="301" spans="1:10" hidden="1" outlineLevel="1">
      <c r="A301" s="423" t="s">
        <v>647</v>
      </c>
      <c r="B301" s="210">
        <v>90897601</v>
      </c>
      <c r="C301" s="211">
        <v>0</v>
      </c>
      <c r="D301" s="211">
        <v>0</v>
      </c>
      <c r="E301" s="211">
        <v>0</v>
      </c>
      <c r="F301" s="211">
        <v>0</v>
      </c>
      <c r="G301" s="211">
        <v>0</v>
      </c>
      <c r="H301" s="211">
        <v>0</v>
      </c>
      <c r="I301" s="386">
        <f t="shared" si="8"/>
        <v>90897601</v>
      </c>
      <c r="J301" s="203" t="s">
        <v>648</v>
      </c>
    </row>
    <row r="302" spans="1:10" hidden="1" outlineLevel="1">
      <c r="A302" s="423" t="s">
        <v>649</v>
      </c>
      <c r="B302" s="210">
        <v>117989560</v>
      </c>
      <c r="C302" s="211">
        <v>0</v>
      </c>
      <c r="D302" s="211">
        <v>0</v>
      </c>
      <c r="E302" s="211">
        <v>0</v>
      </c>
      <c r="F302" s="211">
        <v>0</v>
      </c>
      <c r="G302" s="211">
        <v>0</v>
      </c>
      <c r="H302" s="211">
        <v>0</v>
      </c>
      <c r="I302" s="386">
        <f t="shared" si="8"/>
        <v>117989560</v>
      </c>
      <c r="J302" s="203" t="s">
        <v>650</v>
      </c>
    </row>
    <row r="303" spans="1:10" hidden="1" outlineLevel="1">
      <c r="A303" s="423" t="s">
        <v>651</v>
      </c>
      <c r="B303" s="210">
        <v>1302569585</v>
      </c>
      <c r="C303" s="211">
        <v>0</v>
      </c>
      <c r="D303" s="211">
        <v>0</v>
      </c>
      <c r="E303" s="211">
        <v>0</v>
      </c>
      <c r="F303" s="211">
        <v>8017944</v>
      </c>
      <c r="G303" s="211">
        <v>1869022</v>
      </c>
      <c r="H303" s="211">
        <v>0</v>
      </c>
      <c r="I303" s="386">
        <f t="shared" si="8"/>
        <v>1312456551</v>
      </c>
      <c r="J303" s="203" t="s">
        <v>652</v>
      </c>
    </row>
    <row r="304" spans="1:10" hidden="1" outlineLevel="1">
      <c r="A304" s="423" t="s">
        <v>653</v>
      </c>
      <c r="B304" s="210">
        <v>11374656</v>
      </c>
      <c r="C304" s="211">
        <v>0</v>
      </c>
      <c r="D304" s="211">
        <v>0</v>
      </c>
      <c r="E304" s="211">
        <v>0</v>
      </c>
      <c r="F304" s="211">
        <v>0</v>
      </c>
      <c r="G304" s="211">
        <v>0</v>
      </c>
      <c r="H304" s="211">
        <v>0</v>
      </c>
      <c r="I304" s="386">
        <f t="shared" si="8"/>
        <v>11374656</v>
      </c>
      <c r="J304" s="203" t="s">
        <v>654</v>
      </c>
    </row>
    <row r="305" spans="1:10" hidden="1" outlineLevel="1">
      <c r="A305" s="423" t="s">
        <v>655</v>
      </c>
      <c r="B305" s="210">
        <v>68316944</v>
      </c>
      <c r="C305" s="211">
        <v>0</v>
      </c>
      <c r="D305" s="211">
        <v>0</v>
      </c>
      <c r="E305" s="211">
        <v>0</v>
      </c>
      <c r="F305" s="211">
        <v>114129952</v>
      </c>
      <c r="G305" s="211">
        <v>0</v>
      </c>
      <c r="H305" s="211">
        <v>0</v>
      </c>
      <c r="I305" s="386">
        <f t="shared" si="8"/>
        <v>182446896</v>
      </c>
      <c r="J305" s="203" t="s">
        <v>578</v>
      </c>
    </row>
    <row r="306" spans="1:10" hidden="1" outlineLevel="1">
      <c r="A306" s="423" t="s">
        <v>656</v>
      </c>
      <c r="B306" s="210">
        <v>132895566</v>
      </c>
      <c r="C306" s="211">
        <v>0</v>
      </c>
      <c r="D306" s="211">
        <v>0</v>
      </c>
      <c r="E306" s="211">
        <v>0</v>
      </c>
      <c r="F306" s="211">
        <v>0</v>
      </c>
      <c r="G306" s="211">
        <v>0</v>
      </c>
      <c r="H306" s="211">
        <v>0</v>
      </c>
      <c r="I306" s="386">
        <f t="shared" si="8"/>
        <v>132895566</v>
      </c>
      <c r="J306" s="203" t="s">
        <v>657</v>
      </c>
    </row>
    <row r="307" spans="1:10" hidden="1" outlineLevel="1">
      <c r="A307" s="423" t="s">
        <v>658</v>
      </c>
      <c r="B307" s="210">
        <v>88775913</v>
      </c>
      <c r="C307" s="211">
        <v>0</v>
      </c>
      <c r="D307" s="211">
        <v>0</v>
      </c>
      <c r="E307" s="211">
        <v>0</v>
      </c>
      <c r="F307" s="211">
        <v>0</v>
      </c>
      <c r="G307" s="211">
        <v>0</v>
      </c>
      <c r="H307" s="211">
        <v>0</v>
      </c>
      <c r="I307" s="386">
        <f t="shared" si="8"/>
        <v>88775913</v>
      </c>
      <c r="J307" s="203" t="s">
        <v>659</v>
      </c>
    </row>
    <row r="308" spans="1:10" hidden="1" outlineLevel="1">
      <c r="A308" s="423" t="s">
        <v>660</v>
      </c>
      <c r="B308" s="210">
        <v>29767612</v>
      </c>
      <c r="C308" s="211">
        <v>0</v>
      </c>
      <c r="D308" s="211">
        <v>0</v>
      </c>
      <c r="E308" s="211">
        <v>0</v>
      </c>
      <c r="F308" s="211">
        <v>0</v>
      </c>
      <c r="G308" s="211">
        <v>0</v>
      </c>
      <c r="H308" s="211">
        <v>0</v>
      </c>
      <c r="I308" s="386">
        <f t="shared" si="8"/>
        <v>29767612</v>
      </c>
      <c r="J308" s="203" t="s">
        <v>661</v>
      </c>
    </row>
    <row r="309" spans="1:10" hidden="1" outlineLevel="1">
      <c r="A309" s="423" t="s">
        <v>662</v>
      </c>
      <c r="B309" s="210">
        <v>1821337913</v>
      </c>
      <c r="C309" s="211">
        <v>0</v>
      </c>
      <c r="D309" s="211">
        <v>0</v>
      </c>
      <c r="E309" s="211">
        <v>0</v>
      </c>
      <c r="F309" s="211">
        <v>564364</v>
      </c>
      <c r="G309" s="211">
        <v>0</v>
      </c>
      <c r="H309" s="211">
        <v>0</v>
      </c>
      <c r="I309" s="386">
        <f t="shared" si="8"/>
        <v>1821902277</v>
      </c>
      <c r="J309" s="203" t="s">
        <v>663</v>
      </c>
    </row>
    <row r="310" spans="1:10" hidden="1" outlineLevel="1">
      <c r="A310" s="423" t="s">
        <v>664</v>
      </c>
      <c r="B310" s="210">
        <v>405496384</v>
      </c>
      <c r="C310" s="211">
        <v>0</v>
      </c>
      <c r="D310" s="211">
        <v>0</v>
      </c>
      <c r="E310" s="211">
        <v>0</v>
      </c>
      <c r="F310" s="211">
        <v>0</v>
      </c>
      <c r="G310" s="211">
        <v>0</v>
      </c>
      <c r="H310" s="211">
        <v>0</v>
      </c>
      <c r="I310" s="386">
        <f t="shared" si="8"/>
        <v>405496384</v>
      </c>
      <c r="J310" s="203" t="s">
        <v>665</v>
      </c>
    </row>
    <row r="311" spans="1:10" hidden="1" outlineLevel="1">
      <c r="A311" s="423" t="s">
        <v>666</v>
      </c>
      <c r="B311" s="210">
        <v>234218905</v>
      </c>
      <c r="C311" s="211">
        <v>0</v>
      </c>
      <c r="D311" s="211">
        <v>0</v>
      </c>
      <c r="E311" s="211">
        <v>0</v>
      </c>
      <c r="F311" s="211">
        <v>0</v>
      </c>
      <c r="G311" s="211">
        <v>0</v>
      </c>
      <c r="H311" s="211">
        <v>0</v>
      </c>
      <c r="I311" s="386">
        <f t="shared" si="8"/>
        <v>234218905</v>
      </c>
      <c r="J311" s="203" t="s">
        <v>667</v>
      </c>
    </row>
    <row r="312" spans="1:10" hidden="1" outlineLevel="1">
      <c r="A312" s="423" t="s">
        <v>668</v>
      </c>
      <c r="B312" s="210">
        <v>14896055</v>
      </c>
      <c r="C312" s="211">
        <v>0</v>
      </c>
      <c r="D312" s="211">
        <v>0</v>
      </c>
      <c r="E312" s="211">
        <v>0</v>
      </c>
      <c r="F312" s="211">
        <v>0</v>
      </c>
      <c r="G312" s="211">
        <v>0</v>
      </c>
      <c r="H312" s="211">
        <v>0</v>
      </c>
      <c r="I312" s="386">
        <f t="shared" ref="I312:I375" si="9">SUM(B312:H312)</f>
        <v>14896055</v>
      </c>
      <c r="J312" s="203" t="s">
        <v>669</v>
      </c>
    </row>
    <row r="313" spans="1:10" hidden="1" outlineLevel="1">
      <c r="A313" s="423" t="s">
        <v>670</v>
      </c>
      <c r="B313" s="210">
        <v>419927949</v>
      </c>
      <c r="C313" s="211">
        <v>0</v>
      </c>
      <c r="D313" s="211">
        <v>0</v>
      </c>
      <c r="E313" s="211">
        <v>0</v>
      </c>
      <c r="F313" s="211">
        <v>4430073</v>
      </c>
      <c r="G313" s="211">
        <v>0</v>
      </c>
      <c r="H313" s="211">
        <v>0</v>
      </c>
      <c r="I313" s="386">
        <f t="shared" si="9"/>
        <v>424358022</v>
      </c>
      <c r="J313" s="203" t="s">
        <v>671</v>
      </c>
    </row>
    <row r="314" spans="1:10" hidden="1" outlineLevel="1">
      <c r="A314" s="423" t="s">
        <v>672</v>
      </c>
      <c r="B314" s="210">
        <v>91864181</v>
      </c>
      <c r="C314" s="211">
        <v>0</v>
      </c>
      <c r="D314" s="211">
        <v>0</v>
      </c>
      <c r="E314" s="211">
        <v>0</v>
      </c>
      <c r="F314" s="211">
        <v>0</v>
      </c>
      <c r="G314" s="211">
        <v>0</v>
      </c>
      <c r="H314" s="211">
        <v>0</v>
      </c>
      <c r="I314" s="386">
        <f t="shared" si="9"/>
        <v>91864181</v>
      </c>
      <c r="J314" s="203" t="s">
        <v>673</v>
      </c>
    </row>
    <row r="315" spans="1:10" hidden="1" outlineLevel="1">
      <c r="A315" s="423" t="s">
        <v>674</v>
      </c>
      <c r="B315" s="210">
        <v>172707198</v>
      </c>
      <c r="C315" s="211">
        <v>0</v>
      </c>
      <c r="D315" s="211">
        <v>0</v>
      </c>
      <c r="E315" s="211">
        <v>0</v>
      </c>
      <c r="F315" s="211">
        <v>0</v>
      </c>
      <c r="G315" s="211">
        <v>0</v>
      </c>
      <c r="H315" s="211">
        <v>0</v>
      </c>
      <c r="I315" s="386">
        <f t="shared" si="9"/>
        <v>172707198</v>
      </c>
      <c r="J315" s="203" t="s">
        <v>675</v>
      </c>
    </row>
    <row r="316" spans="1:10" hidden="1" outlineLevel="1">
      <c r="A316" s="423" t="s">
        <v>676</v>
      </c>
      <c r="B316" s="210">
        <v>122098163</v>
      </c>
      <c r="C316" s="211">
        <v>0</v>
      </c>
      <c r="D316" s="211">
        <v>0</v>
      </c>
      <c r="E316" s="211">
        <v>0</v>
      </c>
      <c r="F316" s="211">
        <v>0</v>
      </c>
      <c r="G316" s="211">
        <v>0</v>
      </c>
      <c r="H316" s="211">
        <v>0</v>
      </c>
      <c r="I316" s="386">
        <f t="shared" si="9"/>
        <v>122098163</v>
      </c>
      <c r="J316" s="203" t="s">
        <v>677</v>
      </c>
    </row>
    <row r="317" spans="1:10" hidden="1" outlineLevel="1">
      <c r="A317" s="423" t="s">
        <v>678</v>
      </c>
      <c r="B317" s="210">
        <v>163007763</v>
      </c>
      <c r="C317" s="211">
        <v>0</v>
      </c>
      <c r="D317" s="211">
        <v>0</v>
      </c>
      <c r="E317" s="211">
        <v>0</v>
      </c>
      <c r="F317" s="211">
        <v>0</v>
      </c>
      <c r="G317" s="211">
        <v>0</v>
      </c>
      <c r="H317" s="211">
        <v>0</v>
      </c>
      <c r="I317" s="386">
        <f t="shared" si="9"/>
        <v>163007763</v>
      </c>
      <c r="J317" s="203" t="s">
        <v>679</v>
      </c>
    </row>
    <row r="318" spans="1:10" hidden="1" outlineLevel="1">
      <c r="A318" s="423" t="s">
        <v>680</v>
      </c>
      <c r="B318" s="210">
        <v>258385300</v>
      </c>
      <c r="C318" s="211">
        <v>0</v>
      </c>
      <c r="D318" s="211">
        <v>0</v>
      </c>
      <c r="E318" s="211">
        <v>0</v>
      </c>
      <c r="F318" s="211">
        <v>0</v>
      </c>
      <c r="G318" s="211">
        <v>0</v>
      </c>
      <c r="H318" s="211">
        <v>0</v>
      </c>
      <c r="I318" s="386">
        <f t="shared" si="9"/>
        <v>258385300</v>
      </c>
      <c r="J318" s="203" t="s">
        <v>681</v>
      </c>
    </row>
    <row r="319" spans="1:10" hidden="1" outlineLevel="1">
      <c r="A319" s="423" t="s">
        <v>682</v>
      </c>
      <c r="B319" s="210">
        <v>229099657</v>
      </c>
      <c r="C319" s="211">
        <v>0</v>
      </c>
      <c r="D319" s="211">
        <v>0</v>
      </c>
      <c r="E319" s="211">
        <v>0</v>
      </c>
      <c r="F319" s="211">
        <v>0</v>
      </c>
      <c r="G319" s="211">
        <v>0</v>
      </c>
      <c r="H319" s="211">
        <v>0</v>
      </c>
      <c r="I319" s="386">
        <f t="shared" si="9"/>
        <v>229099657</v>
      </c>
      <c r="J319" s="203" t="s">
        <v>683</v>
      </c>
    </row>
    <row r="320" spans="1:10" hidden="1" outlineLevel="1">
      <c r="A320" s="423" t="s">
        <v>684</v>
      </c>
      <c r="B320" s="210">
        <v>141186503</v>
      </c>
      <c r="C320" s="211">
        <v>0</v>
      </c>
      <c r="D320" s="211">
        <v>0</v>
      </c>
      <c r="E320" s="211">
        <v>0</v>
      </c>
      <c r="F320" s="211">
        <v>0</v>
      </c>
      <c r="G320" s="211">
        <v>0</v>
      </c>
      <c r="H320" s="211">
        <v>0</v>
      </c>
      <c r="I320" s="386">
        <f t="shared" si="9"/>
        <v>141186503</v>
      </c>
      <c r="J320" s="203" t="s">
        <v>685</v>
      </c>
    </row>
    <row r="321" spans="1:10" hidden="1" outlineLevel="1">
      <c r="A321" s="423" t="s">
        <v>688</v>
      </c>
      <c r="B321" s="210">
        <v>345797000</v>
      </c>
      <c r="C321" s="211">
        <v>0</v>
      </c>
      <c r="D321" s="211">
        <v>0</v>
      </c>
      <c r="E321" s="211">
        <v>0</v>
      </c>
      <c r="F321" s="211">
        <v>0</v>
      </c>
      <c r="G321" s="211">
        <v>0</v>
      </c>
      <c r="H321" s="211">
        <v>0</v>
      </c>
      <c r="I321" s="386">
        <f t="shared" si="9"/>
        <v>345797000</v>
      </c>
      <c r="J321" s="203" t="s">
        <v>689</v>
      </c>
    </row>
    <row r="322" spans="1:10" hidden="1" outlineLevel="1">
      <c r="A322" s="423" t="s">
        <v>690</v>
      </c>
      <c r="B322" s="210">
        <v>110529234</v>
      </c>
      <c r="C322" s="211">
        <v>0</v>
      </c>
      <c r="D322" s="211">
        <v>0</v>
      </c>
      <c r="E322" s="211">
        <v>0</v>
      </c>
      <c r="F322" s="211">
        <v>0</v>
      </c>
      <c r="G322" s="211">
        <v>0</v>
      </c>
      <c r="H322" s="211">
        <v>0</v>
      </c>
      <c r="I322" s="386">
        <f t="shared" si="9"/>
        <v>110529234</v>
      </c>
      <c r="J322" s="203" t="s">
        <v>691</v>
      </c>
    </row>
    <row r="323" spans="1:10" hidden="1" outlineLevel="1">
      <c r="A323" s="423" t="s">
        <v>692</v>
      </c>
      <c r="B323" s="210">
        <v>447568450</v>
      </c>
      <c r="C323" s="211">
        <v>0</v>
      </c>
      <c r="D323" s="211">
        <v>0</v>
      </c>
      <c r="E323" s="211">
        <v>0</v>
      </c>
      <c r="F323" s="211">
        <v>0</v>
      </c>
      <c r="G323" s="211">
        <v>0</v>
      </c>
      <c r="H323" s="211">
        <v>0</v>
      </c>
      <c r="I323" s="386">
        <f t="shared" si="9"/>
        <v>447568450</v>
      </c>
      <c r="J323" s="203" t="s">
        <v>693</v>
      </c>
    </row>
    <row r="324" spans="1:10" hidden="1" outlineLevel="1">
      <c r="A324" s="423" t="s">
        <v>694</v>
      </c>
      <c r="B324" s="210">
        <v>3142693</v>
      </c>
      <c r="C324" s="211">
        <v>0</v>
      </c>
      <c r="D324" s="211">
        <v>0</v>
      </c>
      <c r="E324" s="211">
        <v>0</v>
      </c>
      <c r="F324" s="211">
        <v>0</v>
      </c>
      <c r="G324" s="211">
        <v>0</v>
      </c>
      <c r="H324" s="211">
        <v>0</v>
      </c>
      <c r="I324" s="386">
        <f t="shared" si="9"/>
        <v>3142693</v>
      </c>
      <c r="J324" s="203" t="s">
        <v>695</v>
      </c>
    </row>
    <row r="325" spans="1:10" hidden="1" outlineLevel="1">
      <c r="A325" s="423" t="s">
        <v>696</v>
      </c>
      <c r="B325" s="210">
        <v>118903622</v>
      </c>
      <c r="C325" s="211">
        <v>0</v>
      </c>
      <c r="D325" s="211">
        <v>0</v>
      </c>
      <c r="E325" s="211">
        <v>0</v>
      </c>
      <c r="F325" s="211">
        <v>0</v>
      </c>
      <c r="G325" s="211">
        <v>0</v>
      </c>
      <c r="H325" s="211">
        <v>0</v>
      </c>
      <c r="I325" s="386">
        <f t="shared" si="9"/>
        <v>118903622</v>
      </c>
      <c r="J325" s="203" t="s">
        <v>697</v>
      </c>
    </row>
    <row r="326" spans="1:10" hidden="1" outlineLevel="1">
      <c r="A326" s="423" t="s">
        <v>698</v>
      </c>
      <c r="B326" s="210">
        <v>705811221</v>
      </c>
      <c r="C326" s="211">
        <v>0</v>
      </c>
      <c r="D326" s="211">
        <v>0</v>
      </c>
      <c r="E326" s="211">
        <v>0</v>
      </c>
      <c r="F326" s="211">
        <v>0</v>
      </c>
      <c r="G326" s="211">
        <v>0</v>
      </c>
      <c r="H326" s="211">
        <v>0</v>
      </c>
      <c r="I326" s="386">
        <f t="shared" si="9"/>
        <v>705811221</v>
      </c>
      <c r="J326" s="203" t="s">
        <v>699</v>
      </c>
    </row>
    <row r="327" spans="1:10" hidden="1" outlineLevel="1">
      <c r="A327" s="423" t="s">
        <v>700</v>
      </c>
      <c r="B327" s="210">
        <v>10498448</v>
      </c>
      <c r="C327" s="211">
        <v>0</v>
      </c>
      <c r="D327" s="211">
        <v>0</v>
      </c>
      <c r="E327" s="211">
        <v>0</v>
      </c>
      <c r="F327" s="211">
        <v>0</v>
      </c>
      <c r="G327" s="211">
        <v>0</v>
      </c>
      <c r="H327" s="211">
        <v>0</v>
      </c>
      <c r="I327" s="386">
        <f t="shared" si="9"/>
        <v>10498448</v>
      </c>
      <c r="J327" s="203" t="s">
        <v>701</v>
      </c>
    </row>
    <row r="328" spans="1:10" hidden="1" outlineLevel="1">
      <c r="A328" s="423" t="s">
        <v>702</v>
      </c>
      <c r="B328" s="210">
        <v>483018775</v>
      </c>
      <c r="C328" s="211">
        <v>0</v>
      </c>
      <c r="D328" s="211">
        <v>0</v>
      </c>
      <c r="E328" s="211">
        <v>0</v>
      </c>
      <c r="F328" s="211">
        <v>0</v>
      </c>
      <c r="G328" s="211">
        <v>0</v>
      </c>
      <c r="H328" s="211">
        <v>0</v>
      </c>
      <c r="I328" s="386">
        <f t="shared" si="9"/>
        <v>483018775</v>
      </c>
      <c r="J328" s="203" t="s">
        <v>703</v>
      </c>
    </row>
    <row r="329" spans="1:10" hidden="1" outlineLevel="1">
      <c r="A329" s="423" t="s">
        <v>704</v>
      </c>
      <c r="B329" s="210">
        <v>93639946</v>
      </c>
      <c r="C329" s="211">
        <v>0</v>
      </c>
      <c r="D329" s="211">
        <v>0</v>
      </c>
      <c r="E329" s="211">
        <v>0</v>
      </c>
      <c r="F329" s="211">
        <v>0</v>
      </c>
      <c r="G329" s="211">
        <v>0</v>
      </c>
      <c r="H329" s="211">
        <v>0</v>
      </c>
      <c r="I329" s="386">
        <f t="shared" si="9"/>
        <v>93639946</v>
      </c>
      <c r="J329" s="203" t="s">
        <v>705</v>
      </c>
    </row>
    <row r="330" spans="1:10" hidden="1" outlineLevel="1">
      <c r="A330" s="423" t="s">
        <v>706</v>
      </c>
      <c r="B330" s="210">
        <v>251403215</v>
      </c>
      <c r="C330" s="211">
        <v>0</v>
      </c>
      <c r="D330" s="211">
        <v>0</v>
      </c>
      <c r="E330" s="211">
        <v>0</v>
      </c>
      <c r="F330" s="211">
        <v>0</v>
      </c>
      <c r="G330" s="211">
        <v>0</v>
      </c>
      <c r="H330" s="211">
        <v>0</v>
      </c>
      <c r="I330" s="386">
        <f t="shared" si="9"/>
        <v>251403215</v>
      </c>
      <c r="J330" s="203" t="s">
        <v>707</v>
      </c>
    </row>
    <row r="331" spans="1:10" hidden="1" outlineLevel="1">
      <c r="A331" s="423" t="s">
        <v>708</v>
      </c>
      <c r="B331" s="210">
        <v>1224365473</v>
      </c>
      <c r="C331" s="211">
        <v>0</v>
      </c>
      <c r="D331" s="211">
        <v>0</v>
      </c>
      <c r="E331" s="211">
        <v>0</v>
      </c>
      <c r="F331" s="211">
        <v>0</v>
      </c>
      <c r="G331" s="211">
        <v>0</v>
      </c>
      <c r="H331" s="211">
        <v>0</v>
      </c>
      <c r="I331" s="386">
        <f t="shared" si="9"/>
        <v>1224365473</v>
      </c>
      <c r="J331" s="203" t="s">
        <v>709</v>
      </c>
    </row>
    <row r="332" spans="1:10" hidden="1" outlineLevel="1">
      <c r="A332" s="423" t="s">
        <v>710</v>
      </c>
      <c r="B332" s="210">
        <v>117829125</v>
      </c>
      <c r="C332" s="211">
        <v>0</v>
      </c>
      <c r="D332" s="211">
        <v>0</v>
      </c>
      <c r="E332" s="211">
        <v>0</v>
      </c>
      <c r="F332" s="211">
        <v>0</v>
      </c>
      <c r="G332" s="211">
        <v>0</v>
      </c>
      <c r="H332" s="211">
        <v>0</v>
      </c>
      <c r="I332" s="386">
        <f t="shared" si="9"/>
        <v>117829125</v>
      </c>
      <c r="J332" s="203" t="s">
        <v>711</v>
      </c>
    </row>
    <row r="333" spans="1:10" hidden="1" outlineLevel="1">
      <c r="A333" s="423" t="s">
        <v>712</v>
      </c>
      <c r="B333" s="210">
        <v>546231684</v>
      </c>
      <c r="C333" s="211">
        <v>0</v>
      </c>
      <c r="D333" s="211">
        <v>0</v>
      </c>
      <c r="E333" s="211">
        <v>0</v>
      </c>
      <c r="F333" s="211">
        <v>0</v>
      </c>
      <c r="G333" s="211">
        <v>0</v>
      </c>
      <c r="H333" s="211">
        <v>0</v>
      </c>
      <c r="I333" s="386">
        <f t="shared" si="9"/>
        <v>546231684</v>
      </c>
      <c r="J333" s="203" t="s">
        <v>713</v>
      </c>
    </row>
    <row r="334" spans="1:10" hidden="1" outlineLevel="1">
      <c r="A334" s="423" t="s">
        <v>714</v>
      </c>
      <c r="B334" s="210">
        <v>31497561</v>
      </c>
      <c r="C334" s="211">
        <v>0</v>
      </c>
      <c r="D334" s="211">
        <v>0</v>
      </c>
      <c r="E334" s="211">
        <v>0</v>
      </c>
      <c r="F334" s="211">
        <v>0</v>
      </c>
      <c r="G334" s="211">
        <v>0</v>
      </c>
      <c r="H334" s="211">
        <v>0</v>
      </c>
      <c r="I334" s="386">
        <f t="shared" si="9"/>
        <v>31497561</v>
      </c>
      <c r="J334" s="203" t="s">
        <v>715</v>
      </c>
    </row>
    <row r="335" spans="1:10" hidden="1" outlineLevel="1">
      <c r="A335" s="423" t="s">
        <v>716</v>
      </c>
      <c r="B335" s="210">
        <v>232955679</v>
      </c>
      <c r="C335" s="211">
        <v>0</v>
      </c>
      <c r="D335" s="211">
        <v>0</v>
      </c>
      <c r="E335" s="211">
        <v>0</v>
      </c>
      <c r="F335" s="211">
        <v>0</v>
      </c>
      <c r="G335" s="211">
        <v>0</v>
      </c>
      <c r="H335" s="211">
        <v>0</v>
      </c>
      <c r="I335" s="386">
        <f t="shared" si="9"/>
        <v>232955679</v>
      </c>
      <c r="J335" s="203" t="s">
        <v>717</v>
      </c>
    </row>
    <row r="336" spans="1:10" hidden="1" outlineLevel="1">
      <c r="A336" s="423" t="s">
        <v>718</v>
      </c>
      <c r="B336" s="210">
        <v>171462025</v>
      </c>
      <c r="C336" s="211">
        <v>0</v>
      </c>
      <c r="D336" s="211">
        <v>0</v>
      </c>
      <c r="E336" s="211">
        <v>0</v>
      </c>
      <c r="F336" s="211">
        <v>0</v>
      </c>
      <c r="G336" s="211">
        <v>0</v>
      </c>
      <c r="H336" s="211">
        <v>0</v>
      </c>
      <c r="I336" s="386">
        <f t="shared" si="9"/>
        <v>171462025</v>
      </c>
      <c r="J336" s="203" t="s">
        <v>719</v>
      </c>
    </row>
    <row r="337" spans="1:10" hidden="1" outlineLevel="1">
      <c r="A337" s="423" t="s">
        <v>720</v>
      </c>
      <c r="B337" s="210">
        <v>80511358</v>
      </c>
      <c r="C337" s="211">
        <v>0</v>
      </c>
      <c r="D337" s="211">
        <v>0</v>
      </c>
      <c r="E337" s="211">
        <v>0</v>
      </c>
      <c r="F337" s="211">
        <v>0</v>
      </c>
      <c r="G337" s="211">
        <v>0</v>
      </c>
      <c r="H337" s="211">
        <v>0</v>
      </c>
      <c r="I337" s="386">
        <f t="shared" si="9"/>
        <v>80511358</v>
      </c>
      <c r="J337" s="203" t="s">
        <v>721</v>
      </c>
    </row>
    <row r="338" spans="1:10" hidden="1" outlineLevel="1">
      <c r="A338" s="423" t="s">
        <v>722</v>
      </c>
      <c r="B338" s="210">
        <v>44636290</v>
      </c>
      <c r="C338" s="211">
        <v>0</v>
      </c>
      <c r="D338" s="211">
        <v>0</v>
      </c>
      <c r="E338" s="211">
        <v>0</v>
      </c>
      <c r="F338" s="211">
        <v>0</v>
      </c>
      <c r="G338" s="211">
        <v>0</v>
      </c>
      <c r="H338" s="211">
        <v>0</v>
      </c>
      <c r="I338" s="386">
        <f t="shared" si="9"/>
        <v>44636290</v>
      </c>
      <c r="J338" s="203" t="s">
        <v>723</v>
      </c>
    </row>
    <row r="339" spans="1:10" hidden="1" outlineLevel="1">
      <c r="A339" s="423" t="s">
        <v>724</v>
      </c>
      <c r="B339" s="210">
        <v>294350403</v>
      </c>
      <c r="C339" s="211">
        <v>0</v>
      </c>
      <c r="D339" s="211">
        <v>0</v>
      </c>
      <c r="E339" s="211">
        <v>0</v>
      </c>
      <c r="F339" s="211">
        <v>0</v>
      </c>
      <c r="G339" s="211">
        <v>0</v>
      </c>
      <c r="H339" s="211">
        <v>0</v>
      </c>
      <c r="I339" s="386">
        <f t="shared" si="9"/>
        <v>294350403</v>
      </c>
      <c r="J339" s="203" t="s">
        <v>725</v>
      </c>
    </row>
    <row r="340" spans="1:10" hidden="1" outlineLevel="1">
      <c r="A340" s="423" t="s">
        <v>726</v>
      </c>
      <c r="B340" s="210">
        <v>384737435</v>
      </c>
      <c r="C340" s="211">
        <v>0</v>
      </c>
      <c r="D340" s="211">
        <v>0</v>
      </c>
      <c r="E340" s="211">
        <v>0</v>
      </c>
      <c r="F340" s="211">
        <v>3112756</v>
      </c>
      <c r="G340" s="211">
        <v>0</v>
      </c>
      <c r="H340" s="211">
        <v>0</v>
      </c>
      <c r="I340" s="386">
        <f t="shared" si="9"/>
        <v>387850191</v>
      </c>
      <c r="J340" s="203" t="s">
        <v>727</v>
      </c>
    </row>
    <row r="341" spans="1:10" hidden="1" outlineLevel="1">
      <c r="A341" s="423" t="s">
        <v>728</v>
      </c>
      <c r="B341" s="210">
        <v>28818528</v>
      </c>
      <c r="C341" s="211">
        <v>0</v>
      </c>
      <c r="D341" s="211">
        <v>0</v>
      </c>
      <c r="E341" s="211">
        <v>0</v>
      </c>
      <c r="F341" s="211">
        <v>0</v>
      </c>
      <c r="G341" s="211">
        <v>0</v>
      </c>
      <c r="H341" s="211">
        <v>0</v>
      </c>
      <c r="I341" s="386">
        <f t="shared" si="9"/>
        <v>28818528</v>
      </c>
      <c r="J341" s="203" t="s">
        <v>729</v>
      </c>
    </row>
    <row r="342" spans="1:10" hidden="1" outlineLevel="1">
      <c r="A342" s="423" t="s">
        <v>730</v>
      </c>
      <c r="B342" s="210">
        <v>114225262</v>
      </c>
      <c r="C342" s="211">
        <v>0</v>
      </c>
      <c r="D342" s="211">
        <v>0</v>
      </c>
      <c r="E342" s="211">
        <v>0</v>
      </c>
      <c r="F342" s="211">
        <v>0</v>
      </c>
      <c r="G342" s="211">
        <v>0</v>
      </c>
      <c r="H342" s="211">
        <v>0</v>
      </c>
      <c r="I342" s="386">
        <f t="shared" si="9"/>
        <v>114225262</v>
      </c>
      <c r="J342" s="203" t="s">
        <v>731</v>
      </c>
    </row>
    <row r="343" spans="1:10" hidden="1" outlineLevel="1">
      <c r="A343" s="423" t="s">
        <v>732</v>
      </c>
      <c r="B343" s="210">
        <v>9457778</v>
      </c>
      <c r="C343" s="211">
        <v>0</v>
      </c>
      <c r="D343" s="211">
        <v>0</v>
      </c>
      <c r="E343" s="211">
        <v>0</v>
      </c>
      <c r="F343" s="211">
        <v>0</v>
      </c>
      <c r="G343" s="211">
        <v>0</v>
      </c>
      <c r="H343" s="211">
        <v>0</v>
      </c>
      <c r="I343" s="386">
        <f t="shared" si="9"/>
        <v>9457778</v>
      </c>
      <c r="J343" s="203" t="s">
        <v>733</v>
      </c>
    </row>
    <row r="344" spans="1:10" hidden="1" outlineLevel="1">
      <c r="A344" s="423" t="s">
        <v>734</v>
      </c>
      <c r="B344" s="210">
        <v>1178195767</v>
      </c>
      <c r="C344" s="211">
        <v>0</v>
      </c>
      <c r="D344" s="211">
        <v>0</v>
      </c>
      <c r="E344" s="211">
        <v>0</v>
      </c>
      <c r="F344" s="211">
        <v>13539276</v>
      </c>
      <c r="G344" s="211">
        <v>0</v>
      </c>
      <c r="H344" s="211">
        <v>0</v>
      </c>
      <c r="I344" s="386">
        <f t="shared" si="9"/>
        <v>1191735043</v>
      </c>
      <c r="J344" s="203" t="s">
        <v>735</v>
      </c>
    </row>
    <row r="345" spans="1:10" hidden="1" outlineLevel="1">
      <c r="A345" s="423" t="s">
        <v>736</v>
      </c>
      <c r="B345" s="210">
        <v>68340937</v>
      </c>
      <c r="C345" s="211">
        <v>0</v>
      </c>
      <c r="D345" s="211">
        <v>0</v>
      </c>
      <c r="E345" s="211">
        <v>0</v>
      </c>
      <c r="F345" s="211">
        <v>0</v>
      </c>
      <c r="G345" s="211">
        <v>0</v>
      </c>
      <c r="H345" s="211">
        <v>0</v>
      </c>
      <c r="I345" s="386">
        <f t="shared" si="9"/>
        <v>68340937</v>
      </c>
      <c r="J345" s="203" t="s">
        <v>737</v>
      </c>
    </row>
    <row r="346" spans="1:10" hidden="1" outlineLevel="1">
      <c r="A346" s="423" t="s">
        <v>738</v>
      </c>
      <c r="B346" s="210">
        <v>82770286</v>
      </c>
      <c r="C346" s="211">
        <v>0</v>
      </c>
      <c r="D346" s="211">
        <v>0</v>
      </c>
      <c r="E346" s="211">
        <v>0</v>
      </c>
      <c r="F346" s="211">
        <v>0</v>
      </c>
      <c r="G346" s="211">
        <v>0</v>
      </c>
      <c r="H346" s="211">
        <v>0</v>
      </c>
      <c r="I346" s="386">
        <f t="shared" si="9"/>
        <v>82770286</v>
      </c>
      <c r="J346" s="203" t="s">
        <v>739</v>
      </c>
    </row>
    <row r="347" spans="1:10" hidden="1" outlineLevel="1">
      <c r="A347" s="423" t="s">
        <v>740</v>
      </c>
      <c r="B347" s="210">
        <v>24777036</v>
      </c>
      <c r="C347" s="211">
        <v>0</v>
      </c>
      <c r="D347" s="211">
        <v>0</v>
      </c>
      <c r="E347" s="211">
        <v>0</v>
      </c>
      <c r="F347" s="211">
        <v>0</v>
      </c>
      <c r="G347" s="211">
        <v>0</v>
      </c>
      <c r="H347" s="211">
        <v>0</v>
      </c>
      <c r="I347" s="386">
        <f t="shared" si="9"/>
        <v>24777036</v>
      </c>
      <c r="J347" s="203" t="s">
        <v>741</v>
      </c>
    </row>
    <row r="348" spans="1:10" hidden="1" outlineLevel="1">
      <c r="A348" s="423" t="s">
        <v>742</v>
      </c>
      <c r="B348" s="210">
        <v>344980392</v>
      </c>
      <c r="C348" s="211">
        <v>0</v>
      </c>
      <c r="D348" s="211">
        <v>0</v>
      </c>
      <c r="E348" s="211">
        <v>0</v>
      </c>
      <c r="F348" s="211">
        <v>0</v>
      </c>
      <c r="G348" s="211">
        <v>0</v>
      </c>
      <c r="H348" s="211">
        <v>0</v>
      </c>
      <c r="I348" s="386">
        <f t="shared" si="9"/>
        <v>344980392</v>
      </c>
      <c r="J348" s="203" t="s">
        <v>743</v>
      </c>
    </row>
    <row r="349" spans="1:10" hidden="1" outlineLevel="1">
      <c r="A349" s="423" t="s">
        <v>744</v>
      </c>
      <c r="B349" s="210">
        <v>96602293</v>
      </c>
      <c r="C349" s="211">
        <v>0</v>
      </c>
      <c r="D349" s="211">
        <v>0</v>
      </c>
      <c r="E349" s="211">
        <v>0</v>
      </c>
      <c r="F349" s="211">
        <v>0</v>
      </c>
      <c r="G349" s="211">
        <v>0</v>
      </c>
      <c r="H349" s="211">
        <v>0</v>
      </c>
      <c r="I349" s="386">
        <f t="shared" si="9"/>
        <v>96602293</v>
      </c>
      <c r="J349" s="203" t="s">
        <v>745</v>
      </c>
    </row>
    <row r="350" spans="1:10" hidden="1" outlineLevel="1">
      <c r="A350" s="423" t="s">
        <v>746</v>
      </c>
      <c r="B350" s="210">
        <v>1133346564</v>
      </c>
      <c r="C350" s="211">
        <v>0</v>
      </c>
      <c r="D350" s="211">
        <v>0</v>
      </c>
      <c r="E350" s="211">
        <v>0</v>
      </c>
      <c r="F350" s="211">
        <v>0</v>
      </c>
      <c r="G350" s="211">
        <v>0</v>
      </c>
      <c r="H350" s="211">
        <v>0</v>
      </c>
      <c r="I350" s="386">
        <f t="shared" si="9"/>
        <v>1133346564</v>
      </c>
      <c r="J350" s="203" t="s">
        <v>747</v>
      </c>
    </row>
    <row r="351" spans="1:10" hidden="1" outlineLevel="1">
      <c r="A351" s="423" t="s">
        <v>748</v>
      </c>
      <c r="B351" s="210">
        <v>48659225</v>
      </c>
      <c r="C351" s="211">
        <v>0</v>
      </c>
      <c r="D351" s="211">
        <v>0</v>
      </c>
      <c r="E351" s="211">
        <v>0</v>
      </c>
      <c r="F351" s="211">
        <v>0</v>
      </c>
      <c r="G351" s="211">
        <v>0</v>
      </c>
      <c r="H351" s="211">
        <v>0</v>
      </c>
      <c r="I351" s="386">
        <f t="shared" si="9"/>
        <v>48659225</v>
      </c>
      <c r="J351" s="203" t="s">
        <v>749</v>
      </c>
    </row>
    <row r="352" spans="1:10" hidden="1" outlineLevel="1">
      <c r="A352" s="423" t="s">
        <v>750</v>
      </c>
      <c r="B352" s="210">
        <v>132689589</v>
      </c>
      <c r="C352" s="211">
        <v>0</v>
      </c>
      <c r="D352" s="211">
        <v>0</v>
      </c>
      <c r="E352" s="211">
        <v>0</v>
      </c>
      <c r="F352" s="211">
        <v>0</v>
      </c>
      <c r="G352" s="211">
        <v>0</v>
      </c>
      <c r="H352" s="211">
        <v>0</v>
      </c>
      <c r="I352" s="386">
        <f t="shared" si="9"/>
        <v>132689589</v>
      </c>
      <c r="J352" s="203" t="s">
        <v>751</v>
      </c>
    </row>
    <row r="353" spans="1:10" hidden="1" outlineLevel="1">
      <c r="A353" s="423" t="s">
        <v>752</v>
      </c>
      <c r="B353" s="210">
        <v>1190883758</v>
      </c>
      <c r="C353" s="211">
        <v>0</v>
      </c>
      <c r="D353" s="211">
        <v>0</v>
      </c>
      <c r="E353" s="211">
        <v>0</v>
      </c>
      <c r="F353" s="211">
        <v>0</v>
      </c>
      <c r="G353" s="211">
        <v>0</v>
      </c>
      <c r="H353" s="211">
        <v>0</v>
      </c>
      <c r="I353" s="386">
        <f t="shared" si="9"/>
        <v>1190883758</v>
      </c>
      <c r="J353" s="203" t="s">
        <v>753</v>
      </c>
    </row>
    <row r="354" spans="1:10" hidden="1" outlineLevel="1">
      <c r="A354" s="423" t="s">
        <v>754</v>
      </c>
      <c r="B354" s="210">
        <v>3205916109</v>
      </c>
      <c r="C354" s="211">
        <v>0</v>
      </c>
      <c r="D354" s="211">
        <v>0</v>
      </c>
      <c r="E354" s="211">
        <v>0</v>
      </c>
      <c r="F354" s="211">
        <v>0</v>
      </c>
      <c r="G354" s="211">
        <v>0</v>
      </c>
      <c r="H354" s="211">
        <v>0</v>
      </c>
      <c r="I354" s="386">
        <f t="shared" si="9"/>
        <v>3205916109</v>
      </c>
      <c r="J354" s="203" t="s">
        <v>755</v>
      </c>
    </row>
    <row r="355" spans="1:10" hidden="1" outlineLevel="1">
      <c r="A355" s="423" t="s">
        <v>756</v>
      </c>
      <c r="B355" s="210">
        <v>162643572</v>
      </c>
      <c r="C355" s="211">
        <v>0</v>
      </c>
      <c r="D355" s="211">
        <v>0</v>
      </c>
      <c r="E355" s="211">
        <v>0</v>
      </c>
      <c r="F355" s="211">
        <v>0</v>
      </c>
      <c r="G355" s="211">
        <v>0</v>
      </c>
      <c r="H355" s="211">
        <v>0</v>
      </c>
      <c r="I355" s="386">
        <f t="shared" si="9"/>
        <v>162643572</v>
      </c>
      <c r="J355" s="203" t="s">
        <v>610</v>
      </c>
    </row>
    <row r="356" spans="1:10" hidden="1" outlineLevel="1">
      <c r="A356" s="423" t="s">
        <v>757</v>
      </c>
      <c r="B356" s="210">
        <v>4928889</v>
      </c>
      <c r="C356" s="211">
        <v>0</v>
      </c>
      <c r="D356" s="211">
        <v>0</v>
      </c>
      <c r="E356" s="211">
        <v>0</v>
      </c>
      <c r="F356" s="211">
        <v>0</v>
      </c>
      <c r="G356" s="211">
        <v>0</v>
      </c>
      <c r="H356" s="211">
        <v>0</v>
      </c>
      <c r="I356" s="386">
        <f t="shared" si="9"/>
        <v>4928889</v>
      </c>
      <c r="J356" s="203" t="s">
        <v>758</v>
      </c>
    </row>
    <row r="357" spans="1:10" hidden="1" outlineLevel="1">
      <c r="A357" s="423" t="s">
        <v>759</v>
      </c>
      <c r="B357" s="210">
        <v>126032248</v>
      </c>
      <c r="C357" s="211">
        <v>0</v>
      </c>
      <c r="D357" s="211">
        <v>0</v>
      </c>
      <c r="E357" s="211">
        <v>0</v>
      </c>
      <c r="F357" s="211">
        <v>0</v>
      </c>
      <c r="G357" s="211">
        <v>0</v>
      </c>
      <c r="H357" s="211">
        <v>0</v>
      </c>
      <c r="I357" s="386">
        <f t="shared" si="9"/>
        <v>126032248</v>
      </c>
      <c r="J357" s="203" t="s">
        <v>760</v>
      </c>
    </row>
    <row r="358" spans="1:10" hidden="1" outlineLevel="1">
      <c r="A358" s="423" t="s">
        <v>761</v>
      </c>
      <c r="B358" s="210">
        <v>988917900</v>
      </c>
      <c r="C358" s="211">
        <v>0</v>
      </c>
      <c r="D358" s="211">
        <v>0</v>
      </c>
      <c r="E358" s="211">
        <v>0</v>
      </c>
      <c r="F358" s="211">
        <v>0</v>
      </c>
      <c r="G358" s="211">
        <v>0</v>
      </c>
      <c r="H358" s="211">
        <v>0</v>
      </c>
      <c r="I358" s="386">
        <f t="shared" si="9"/>
        <v>988917900</v>
      </c>
      <c r="J358" s="203" t="s">
        <v>762</v>
      </c>
    </row>
    <row r="359" spans="1:10" hidden="1" outlineLevel="1">
      <c r="A359" s="423" t="s">
        <v>763</v>
      </c>
      <c r="B359" s="210">
        <v>269258242</v>
      </c>
      <c r="C359" s="211">
        <v>0</v>
      </c>
      <c r="D359" s="211">
        <v>0</v>
      </c>
      <c r="E359" s="211">
        <v>0</v>
      </c>
      <c r="F359" s="211">
        <v>0</v>
      </c>
      <c r="G359" s="211">
        <v>0</v>
      </c>
      <c r="H359" s="211">
        <v>0</v>
      </c>
      <c r="I359" s="386">
        <f t="shared" si="9"/>
        <v>269258242</v>
      </c>
      <c r="J359" s="203" t="s">
        <v>764</v>
      </c>
    </row>
    <row r="360" spans="1:10" hidden="1" outlineLevel="1">
      <c r="A360" s="423" t="s">
        <v>765</v>
      </c>
      <c r="B360" s="210">
        <v>100516999</v>
      </c>
      <c r="C360" s="211">
        <v>0</v>
      </c>
      <c r="D360" s="211">
        <v>0</v>
      </c>
      <c r="E360" s="211">
        <v>0</v>
      </c>
      <c r="F360" s="211">
        <v>0</v>
      </c>
      <c r="G360" s="211">
        <v>0</v>
      </c>
      <c r="H360" s="211">
        <v>0</v>
      </c>
      <c r="I360" s="386">
        <f t="shared" si="9"/>
        <v>100516999</v>
      </c>
      <c r="J360" s="203" t="s">
        <v>766</v>
      </c>
    </row>
    <row r="361" spans="1:10" hidden="1" outlineLevel="1">
      <c r="A361" s="423" t="s">
        <v>767</v>
      </c>
      <c r="B361" s="210">
        <v>49901845</v>
      </c>
      <c r="C361" s="211">
        <v>0</v>
      </c>
      <c r="D361" s="211">
        <v>0</v>
      </c>
      <c r="E361" s="211">
        <v>0</v>
      </c>
      <c r="F361" s="211">
        <v>0</v>
      </c>
      <c r="G361" s="211">
        <v>0</v>
      </c>
      <c r="H361" s="211">
        <v>0</v>
      </c>
      <c r="I361" s="386">
        <f t="shared" si="9"/>
        <v>49901845</v>
      </c>
      <c r="J361" s="203" t="s">
        <v>768</v>
      </c>
    </row>
    <row r="362" spans="1:10" hidden="1" outlineLevel="1">
      <c r="A362" s="423" t="s">
        <v>769</v>
      </c>
      <c r="B362" s="210">
        <v>57883786</v>
      </c>
      <c r="C362" s="211">
        <v>0</v>
      </c>
      <c r="D362" s="211">
        <v>0</v>
      </c>
      <c r="E362" s="211">
        <v>0</v>
      </c>
      <c r="F362" s="211">
        <v>0</v>
      </c>
      <c r="G362" s="211">
        <v>0</v>
      </c>
      <c r="H362" s="211">
        <v>0</v>
      </c>
      <c r="I362" s="386">
        <f t="shared" si="9"/>
        <v>57883786</v>
      </c>
      <c r="J362" s="203" t="s">
        <v>770</v>
      </c>
    </row>
    <row r="363" spans="1:10" hidden="1" outlineLevel="1">
      <c r="A363" s="423" t="s">
        <v>771</v>
      </c>
      <c r="B363" s="210">
        <v>113604575</v>
      </c>
      <c r="C363" s="211">
        <v>0</v>
      </c>
      <c r="D363" s="211">
        <v>0</v>
      </c>
      <c r="E363" s="211">
        <v>0</v>
      </c>
      <c r="F363" s="211">
        <v>0</v>
      </c>
      <c r="G363" s="211">
        <v>0</v>
      </c>
      <c r="H363" s="211">
        <v>0</v>
      </c>
      <c r="I363" s="386">
        <f t="shared" si="9"/>
        <v>113604575</v>
      </c>
      <c r="J363" s="203" t="s">
        <v>772</v>
      </c>
    </row>
    <row r="364" spans="1:10" hidden="1" outlineLevel="1">
      <c r="A364" s="423" t="s">
        <v>773</v>
      </c>
      <c r="B364" s="210">
        <v>1447615987</v>
      </c>
      <c r="C364" s="211">
        <v>0</v>
      </c>
      <c r="D364" s="211">
        <v>0</v>
      </c>
      <c r="E364" s="211">
        <v>0</v>
      </c>
      <c r="F364" s="211">
        <v>0</v>
      </c>
      <c r="G364" s="211">
        <v>0</v>
      </c>
      <c r="H364" s="211">
        <v>0</v>
      </c>
      <c r="I364" s="386">
        <f t="shared" si="9"/>
        <v>1447615987</v>
      </c>
      <c r="J364" s="203" t="s">
        <v>774</v>
      </c>
    </row>
    <row r="365" spans="1:10" hidden="1" outlineLevel="1">
      <c r="A365" s="423" t="s">
        <v>356</v>
      </c>
      <c r="B365" s="210">
        <v>975190</v>
      </c>
      <c r="C365" s="211">
        <v>0</v>
      </c>
      <c r="D365" s="211">
        <v>0</v>
      </c>
      <c r="E365" s="211">
        <v>0</v>
      </c>
      <c r="F365" s="211">
        <v>0</v>
      </c>
      <c r="G365" s="211">
        <v>0</v>
      </c>
      <c r="H365" s="211">
        <v>0</v>
      </c>
      <c r="I365" s="386">
        <f t="shared" si="9"/>
        <v>975190</v>
      </c>
      <c r="J365" s="203" t="s">
        <v>357</v>
      </c>
    </row>
    <row r="366" spans="1:10" ht="17.25" hidden="1" customHeight="1" outlineLevel="1">
      <c r="A366" s="423" t="s">
        <v>775</v>
      </c>
      <c r="B366" s="210">
        <v>1126825756</v>
      </c>
      <c r="C366" s="211">
        <v>0</v>
      </c>
      <c r="D366" s="211">
        <v>0</v>
      </c>
      <c r="E366" s="211">
        <v>0</v>
      </c>
      <c r="F366" s="211">
        <v>0</v>
      </c>
      <c r="G366" s="211">
        <v>0</v>
      </c>
      <c r="H366" s="211">
        <v>0</v>
      </c>
      <c r="I366" s="386">
        <f t="shared" si="9"/>
        <v>1126825756</v>
      </c>
      <c r="J366" s="203" t="s">
        <v>776</v>
      </c>
    </row>
    <row r="367" spans="1:10" hidden="1" outlineLevel="1">
      <c r="A367" s="423" t="s">
        <v>777</v>
      </c>
      <c r="B367" s="210">
        <v>1854970548</v>
      </c>
      <c r="C367" s="211">
        <v>0</v>
      </c>
      <c r="D367" s="211">
        <v>0</v>
      </c>
      <c r="E367" s="211">
        <v>0</v>
      </c>
      <c r="F367" s="211">
        <v>40283433</v>
      </c>
      <c r="G367" s="211">
        <v>2073288</v>
      </c>
      <c r="H367" s="211">
        <v>0</v>
      </c>
      <c r="I367" s="386">
        <f t="shared" si="9"/>
        <v>1897327269</v>
      </c>
      <c r="J367" s="203" t="s">
        <v>778</v>
      </c>
    </row>
    <row r="368" spans="1:10" hidden="1" outlineLevel="1">
      <c r="A368" s="423" t="s">
        <v>360</v>
      </c>
      <c r="B368" s="210">
        <v>8979223</v>
      </c>
      <c r="C368" s="211">
        <v>0</v>
      </c>
      <c r="D368" s="211">
        <v>0</v>
      </c>
      <c r="E368" s="211">
        <v>0</v>
      </c>
      <c r="F368" s="211">
        <v>0</v>
      </c>
      <c r="G368" s="211">
        <v>0</v>
      </c>
      <c r="H368" s="211">
        <v>0</v>
      </c>
      <c r="I368" s="386">
        <f t="shared" si="9"/>
        <v>8979223</v>
      </c>
      <c r="J368" s="203" t="s">
        <v>361</v>
      </c>
    </row>
    <row r="369" spans="1:10" hidden="1" outlineLevel="1">
      <c r="A369" s="423" t="s">
        <v>779</v>
      </c>
      <c r="B369" s="210">
        <v>119646729</v>
      </c>
      <c r="C369" s="211">
        <v>0</v>
      </c>
      <c r="D369" s="211">
        <v>0</v>
      </c>
      <c r="E369" s="211">
        <v>0</v>
      </c>
      <c r="F369" s="211">
        <v>0</v>
      </c>
      <c r="G369" s="211">
        <v>0</v>
      </c>
      <c r="H369" s="211">
        <v>0</v>
      </c>
      <c r="I369" s="386">
        <f t="shared" si="9"/>
        <v>119646729</v>
      </c>
      <c r="J369" s="203" t="s">
        <v>780</v>
      </c>
    </row>
    <row r="370" spans="1:10" hidden="1" outlineLevel="1">
      <c r="A370" s="423" t="s">
        <v>781</v>
      </c>
      <c r="B370" s="210">
        <v>208395394</v>
      </c>
      <c r="C370" s="211">
        <v>0</v>
      </c>
      <c r="D370" s="211">
        <v>0</v>
      </c>
      <c r="E370" s="211">
        <v>0</v>
      </c>
      <c r="F370" s="211">
        <v>0</v>
      </c>
      <c r="G370" s="211">
        <v>0</v>
      </c>
      <c r="H370" s="211">
        <v>0</v>
      </c>
      <c r="I370" s="386">
        <f t="shared" si="9"/>
        <v>208395394</v>
      </c>
      <c r="J370" s="203" t="s">
        <v>782</v>
      </c>
    </row>
    <row r="371" spans="1:10" hidden="1" outlineLevel="1">
      <c r="A371" s="423" t="s">
        <v>783</v>
      </c>
      <c r="B371" s="210">
        <v>59034795</v>
      </c>
      <c r="C371" s="211">
        <v>0</v>
      </c>
      <c r="D371" s="211">
        <v>0</v>
      </c>
      <c r="E371" s="211">
        <v>0</v>
      </c>
      <c r="F371" s="211">
        <v>0</v>
      </c>
      <c r="G371" s="211">
        <v>0</v>
      </c>
      <c r="H371" s="211">
        <v>0</v>
      </c>
      <c r="I371" s="386">
        <f t="shared" si="9"/>
        <v>59034795</v>
      </c>
      <c r="J371" s="203" t="s">
        <v>784</v>
      </c>
    </row>
    <row r="372" spans="1:10" hidden="1" outlineLevel="1">
      <c r="A372" s="423" t="s">
        <v>785</v>
      </c>
      <c r="B372" s="210">
        <v>450513062</v>
      </c>
      <c r="C372" s="211">
        <v>0</v>
      </c>
      <c r="D372" s="211">
        <v>0</v>
      </c>
      <c r="E372" s="211">
        <v>0</v>
      </c>
      <c r="F372" s="211">
        <v>0</v>
      </c>
      <c r="G372" s="211">
        <v>0</v>
      </c>
      <c r="H372" s="211">
        <v>0</v>
      </c>
      <c r="I372" s="386">
        <f t="shared" si="9"/>
        <v>450513062</v>
      </c>
      <c r="J372" s="203" t="s">
        <v>786</v>
      </c>
    </row>
    <row r="373" spans="1:10" hidden="1" outlineLevel="1">
      <c r="A373" s="423" t="s">
        <v>787</v>
      </c>
      <c r="B373" s="210">
        <v>152660191</v>
      </c>
      <c r="C373" s="211">
        <v>0</v>
      </c>
      <c r="D373" s="211">
        <v>0</v>
      </c>
      <c r="E373" s="211">
        <v>0</v>
      </c>
      <c r="F373" s="211">
        <v>0</v>
      </c>
      <c r="G373" s="211">
        <v>0</v>
      </c>
      <c r="H373" s="211">
        <v>0</v>
      </c>
      <c r="I373" s="386">
        <f t="shared" si="9"/>
        <v>152660191</v>
      </c>
      <c r="J373" s="203" t="s">
        <v>788</v>
      </c>
    </row>
    <row r="374" spans="1:10" hidden="1" outlineLevel="1">
      <c r="A374" s="423" t="s">
        <v>789</v>
      </c>
      <c r="B374" s="210">
        <v>2033008</v>
      </c>
      <c r="C374" s="211">
        <v>0</v>
      </c>
      <c r="D374" s="211">
        <v>0</v>
      </c>
      <c r="E374" s="211">
        <v>0</v>
      </c>
      <c r="F374" s="211">
        <v>0</v>
      </c>
      <c r="G374" s="211">
        <v>0</v>
      </c>
      <c r="H374" s="211">
        <v>0</v>
      </c>
      <c r="I374" s="386">
        <f t="shared" si="9"/>
        <v>2033008</v>
      </c>
      <c r="J374" s="203" t="s">
        <v>790</v>
      </c>
    </row>
    <row r="375" spans="1:10" hidden="1" outlineLevel="1">
      <c r="A375" s="423" t="s">
        <v>791</v>
      </c>
      <c r="B375" s="210">
        <v>96130202</v>
      </c>
      <c r="C375" s="211">
        <v>0</v>
      </c>
      <c r="D375" s="211">
        <v>0</v>
      </c>
      <c r="E375" s="211">
        <v>0</v>
      </c>
      <c r="F375" s="211">
        <v>0</v>
      </c>
      <c r="G375" s="211">
        <v>0</v>
      </c>
      <c r="H375" s="211">
        <v>0</v>
      </c>
      <c r="I375" s="386">
        <f t="shared" si="9"/>
        <v>96130202</v>
      </c>
      <c r="J375" s="203" t="s">
        <v>792</v>
      </c>
    </row>
    <row r="376" spans="1:10" hidden="1" outlineLevel="1">
      <c r="A376" s="423" t="s">
        <v>793</v>
      </c>
      <c r="B376" s="210">
        <v>140314930</v>
      </c>
      <c r="C376" s="211">
        <v>0</v>
      </c>
      <c r="D376" s="211">
        <v>0</v>
      </c>
      <c r="E376" s="211">
        <v>0</v>
      </c>
      <c r="F376" s="211">
        <v>0</v>
      </c>
      <c r="G376" s="211">
        <v>0</v>
      </c>
      <c r="H376" s="211">
        <v>0</v>
      </c>
      <c r="I376" s="386">
        <f t="shared" ref="I376:I410" si="10">SUM(B376:H376)</f>
        <v>140314930</v>
      </c>
      <c r="J376" s="203" t="s">
        <v>794</v>
      </c>
    </row>
    <row r="377" spans="1:10" hidden="1" outlineLevel="1">
      <c r="A377" s="423" t="s">
        <v>795</v>
      </c>
      <c r="B377" s="210">
        <v>162381048</v>
      </c>
      <c r="C377" s="211">
        <v>0</v>
      </c>
      <c r="D377" s="211">
        <v>0</v>
      </c>
      <c r="E377" s="211">
        <v>0</v>
      </c>
      <c r="F377" s="211">
        <v>0</v>
      </c>
      <c r="G377" s="211">
        <v>0</v>
      </c>
      <c r="H377" s="211">
        <v>0</v>
      </c>
      <c r="I377" s="386">
        <f t="shared" si="10"/>
        <v>162381048</v>
      </c>
      <c r="J377" s="203" t="s">
        <v>796</v>
      </c>
    </row>
    <row r="378" spans="1:10" hidden="1" outlineLevel="1">
      <c r="A378" s="423" t="s">
        <v>797</v>
      </c>
      <c r="B378" s="210">
        <v>37459119</v>
      </c>
      <c r="C378" s="211">
        <v>0</v>
      </c>
      <c r="D378" s="211">
        <v>0</v>
      </c>
      <c r="E378" s="211">
        <v>0</v>
      </c>
      <c r="F378" s="211">
        <v>0</v>
      </c>
      <c r="G378" s="211">
        <v>0</v>
      </c>
      <c r="H378" s="211">
        <v>0</v>
      </c>
      <c r="I378" s="386">
        <f t="shared" si="10"/>
        <v>37459119</v>
      </c>
      <c r="J378" s="203" t="s">
        <v>798</v>
      </c>
    </row>
    <row r="379" spans="1:10" hidden="1" outlineLevel="1">
      <c r="A379" s="423" t="s">
        <v>799</v>
      </c>
      <c r="B379" s="210">
        <v>17423578</v>
      </c>
      <c r="C379" s="211">
        <v>0</v>
      </c>
      <c r="D379" s="211">
        <v>0</v>
      </c>
      <c r="E379" s="211">
        <v>0</v>
      </c>
      <c r="F379" s="211">
        <v>0</v>
      </c>
      <c r="G379" s="211">
        <v>0</v>
      </c>
      <c r="H379" s="211">
        <v>0</v>
      </c>
      <c r="I379" s="386">
        <f t="shared" si="10"/>
        <v>17423578</v>
      </c>
      <c r="J379" s="203" t="s">
        <v>800</v>
      </c>
    </row>
    <row r="380" spans="1:10" hidden="1" outlineLevel="1">
      <c r="A380" s="423" t="s">
        <v>801</v>
      </c>
      <c r="B380" s="210">
        <v>21846485</v>
      </c>
      <c r="C380" s="211">
        <v>0</v>
      </c>
      <c r="D380" s="211">
        <v>0</v>
      </c>
      <c r="E380" s="211">
        <v>0</v>
      </c>
      <c r="F380" s="211">
        <v>0</v>
      </c>
      <c r="G380" s="211">
        <v>0</v>
      </c>
      <c r="H380" s="211">
        <v>0</v>
      </c>
      <c r="I380" s="386">
        <f t="shared" si="10"/>
        <v>21846485</v>
      </c>
      <c r="J380" s="203" t="s">
        <v>802</v>
      </c>
    </row>
    <row r="381" spans="1:10" hidden="1" outlineLevel="1">
      <c r="A381" s="423" t="s">
        <v>803</v>
      </c>
      <c r="B381" s="210">
        <v>115903091</v>
      </c>
      <c r="C381" s="211">
        <v>0</v>
      </c>
      <c r="D381" s="211">
        <v>0</v>
      </c>
      <c r="E381" s="211">
        <v>0</v>
      </c>
      <c r="F381" s="211">
        <v>0</v>
      </c>
      <c r="G381" s="211">
        <v>0</v>
      </c>
      <c r="H381" s="211">
        <v>0</v>
      </c>
      <c r="I381" s="386">
        <f t="shared" si="10"/>
        <v>115903091</v>
      </c>
      <c r="J381" s="203" t="s">
        <v>804</v>
      </c>
    </row>
    <row r="382" spans="1:10" hidden="1" outlineLevel="1">
      <c r="A382" s="423" t="s">
        <v>805</v>
      </c>
      <c r="B382" s="210">
        <v>295767356</v>
      </c>
      <c r="C382" s="211">
        <v>0</v>
      </c>
      <c r="D382" s="211">
        <v>0</v>
      </c>
      <c r="E382" s="211">
        <v>0</v>
      </c>
      <c r="F382" s="211">
        <v>0</v>
      </c>
      <c r="G382" s="211">
        <v>0</v>
      </c>
      <c r="H382" s="211">
        <v>0</v>
      </c>
      <c r="I382" s="386">
        <f t="shared" si="10"/>
        <v>295767356</v>
      </c>
      <c r="J382" s="203" t="s">
        <v>806</v>
      </c>
    </row>
    <row r="383" spans="1:10" hidden="1" outlineLevel="1">
      <c r="A383" s="423" t="s">
        <v>807</v>
      </c>
      <c r="B383" s="210">
        <v>142105303</v>
      </c>
      <c r="C383" s="211">
        <v>0</v>
      </c>
      <c r="D383" s="211">
        <v>0</v>
      </c>
      <c r="E383" s="211">
        <v>0</v>
      </c>
      <c r="F383" s="211">
        <v>0</v>
      </c>
      <c r="G383" s="211">
        <v>0</v>
      </c>
      <c r="H383" s="211">
        <v>0</v>
      </c>
      <c r="I383" s="386">
        <f t="shared" si="10"/>
        <v>142105303</v>
      </c>
      <c r="J383" s="203" t="s">
        <v>808</v>
      </c>
    </row>
    <row r="384" spans="1:10" hidden="1" outlineLevel="1">
      <c r="A384" s="423" t="s">
        <v>809</v>
      </c>
      <c r="B384" s="210">
        <v>915343790</v>
      </c>
      <c r="C384" s="211">
        <v>0</v>
      </c>
      <c r="D384" s="211">
        <v>0</v>
      </c>
      <c r="E384" s="211">
        <v>0</v>
      </c>
      <c r="F384" s="211">
        <v>5152708</v>
      </c>
      <c r="G384" s="211">
        <v>0</v>
      </c>
      <c r="H384" s="211">
        <v>0</v>
      </c>
      <c r="I384" s="386">
        <f t="shared" si="10"/>
        <v>920496498</v>
      </c>
      <c r="J384" s="203" t="s">
        <v>810</v>
      </c>
    </row>
    <row r="385" spans="1:10" hidden="1" outlineLevel="1">
      <c r="A385" s="423" t="s">
        <v>811</v>
      </c>
      <c r="B385" s="210">
        <v>195640169</v>
      </c>
      <c r="C385" s="211">
        <v>0</v>
      </c>
      <c r="D385" s="211">
        <v>0</v>
      </c>
      <c r="E385" s="211">
        <v>0</v>
      </c>
      <c r="F385" s="211">
        <v>0</v>
      </c>
      <c r="G385" s="211">
        <v>0</v>
      </c>
      <c r="H385" s="211">
        <v>0</v>
      </c>
      <c r="I385" s="386">
        <f t="shared" si="10"/>
        <v>195640169</v>
      </c>
      <c r="J385" s="203" t="s">
        <v>812</v>
      </c>
    </row>
    <row r="386" spans="1:10" hidden="1" outlineLevel="1">
      <c r="A386" s="423" t="s">
        <v>813</v>
      </c>
      <c r="B386" s="210">
        <v>33909042</v>
      </c>
      <c r="C386" s="211">
        <v>0</v>
      </c>
      <c r="D386" s="211">
        <v>0</v>
      </c>
      <c r="E386" s="211">
        <v>0</v>
      </c>
      <c r="F386" s="211">
        <v>0</v>
      </c>
      <c r="G386" s="211">
        <v>0</v>
      </c>
      <c r="H386" s="211">
        <v>0</v>
      </c>
      <c r="I386" s="386">
        <f t="shared" si="10"/>
        <v>33909042</v>
      </c>
      <c r="J386" s="203" t="s">
        <v>814</v>
      </c>
    </row>
    <row r="387" spans="1:10" hidden="1" outlineLevel="1">
      <c r="A387" s="423" t="s">
        <v>815</v>
      </c>
      <c r="B387" s="210">
        <v>71572816</v>
      </c>
      <c r="C387" s="211">
        <v>0</v>
      </c>
      <c r="D387" s="211">
        <v>0</v>
      </c>
      <c r="E387" s="211">
        <v>0</v>
      </c>
      <c r="F387" s="211">
        <v>0</v>
      </c>
      <c r="G387" s="211">
        <v>0</v>
      </c>
      <c r="H387" s="211">
        <v>0</v>
      </c>
      <c r="I387" s="386">
        <f t="shared" si="10"/>
        <v>71572816</v>
      </c>
      <c r="J387" s="203" t="s">
        <v>816</v>
      </c>
    </row>
    <row r="388" spans="1:10" hidden="1" outlineLevel="1">
      <c r="A388" s="423" t="s">
        <v>817</v>
      </c>
      <c r="B388" s="210">
        <v>155668250</v>
      </c>
      <c r="C388" s="211">
        <v>0</v>
      </c>
      <c r="D388" s="211">
        <v>0</v>
      </c>
      <c r="E388" s="211">
        <v>0</v>
      </c>
      <c r="F388" s="211">
        <v>0</v>
      </c>
      <c r="G388" s="211">
        <v>0</v>
      </c>
      <c r="H388" s="211">
        <v>0</v>
      </c>
      <c r="I388" s="386">
        <f t="shared" si="10"/>
        <v>155668250</v>
      </c>
      <c r="J388" s="203" t="s">
        <v>818</v>
      </c>
    </row>
    <row r="389" spans="1:10" hidden="1" outlineLevel="1">
      <c r="A389" s="423" t="s">
        <v>819</v>
      </c>
      <c r="B389" s="210">
        <v>10266585</v>
      </c>
      <c r="C389" s="211">
        <v>0</v>
      </c>
      <c r="D389" s="211">
        <v>0</v>
      </c>
      <c r="E389" s="211">
        <v>0</v>
      </c>
      <c r="F389" s="211">
        <v>0</v>
      </c>
      <c r="G389" s="211">
        <v>0</v>
      </c>
      <c r="H389" s="211">
        <v>0</v>
      </c>
      <c r="I389" s="386">
        <f t="shared" si="10"/>
        <v>10266585</v>
      </c>
      <c r="J389" s="203" t="s">
        <v>820</v>
      </c>
    </row>
    <row r="390" spans="1:10" hidden="1" outlineLevel="1">
      <c r="A390" s="423" t="s">
        <v>821</v>
      </c>
      <c r="B390" s="210">
        <v>5315764</v>
      </c>
      <c r="C390" s="211">
        <v>0</v>
      </c>
      <c r="D390" s="211">
        <v>407801326</v>
      </c>
      <c r="E390" s="211">
        <v>0</v>
      </c>
      <c r="F390" s="211">
        <v>0</v>
      </c>
      <c r="G390" s="211">
        <v>0</v>
      </c>
      <c r="H390" s="211">
        <v>0</v>
      </c>
      <c r="I390" s="386">
        <f t="shared" si="10"/>
        <v>413117090</v>
      </c>
      <c r="J390" s="203" t="s">
        <v>822</v>
      </c>
    </row>
    <row r="391" spans="1:10" hidden="1" outlineLevel="1">
      <c r="A391" s="423" t="s">
        <v>821</v>
      </c>
      <c r="B391" s="210">
        <v>8276782</v>
      </c>
      <c r="C391" s="211">
        <v>0</v>
      </c>
      <c r="D391" s="211">
        <v>18733211</v>
      </c>
      <c r="E391" s="211">
        <v>0</v>
      </c>
      <c r="F391" s="211">
        <v>0</v>
      </c>
      <c r="G391" s="211">
        <v>0</v>
      </c>
      <c r="H391" s="211">
        <v>0</v>
      </c>
      <c r="I391" s="386">
        <f t="shared" si="10"/>
        <v>27009993</v>
      </c>
      <c r="J391" s="203" t="s">
        <v>822</v>
      </c>
    </row>
    <row r="392" spans="1:10" hidden="1" outlineLevel="1">
      <c r="A392" s="423" t="s">
        <v>821</v>
      </c>
      <c r="B392" s="210">
        <v>6368032</v>
      </c>
      <c r="C392" s="211">
        <v>0</v>
      </c>
      <c r="D392" s="211">
        <v>301783331</v>
      </c>
      <c r="E392" s="211">
        <v>0</v>
      </c>
      <c r="F392" s="211">
        <v>0</v>
      </c>
      <c r="G392" s="211">
        <v>0</v>
      </c>
      <c r="H392" s="211">
        <v>0</v>
      </c>
      <c r="I392" s="386">
        <f t="shared" si="10"/>
        <v>308151363</v>
      </c>
      <c r="J392" s="203" t="s">
        <v>822</v>
      </c>
    </row>
    <row r="393" spans="1:10" hidden="1" outlineLevel="1">
      <c r="A393" s="423" t="s">
        <v>823</v>
      </c>
      <c r="B393" s="210">
        <v>19451521</v>
      </c>
      <c r="C393" s="211">
        <v>0</v>
      </c>
      <c r="D393" s="211">
        <v>0</v>
      </c>
      <c r="E393" s="211">
        <v>0</v>
      </c>
      <c r="F393" s="211">
        <v>0</v>
      </c>
      <c r="G393" s="211">
        <v>0</v>
      </c>
      <c r="H393" s="211">
        <v>0</v>
      </c>
      <c r="I393" s="386">
        <f t="shared" si="10"/>
        <v>19451521</v>
      </c>
      <c r="J393" s="203" t="s">
        <v>824</v>
      </c>
    </row>
    <row r="394" spans="1:10" hidden="1" outlineLevel="1">
      <c r="A394" s="423" t="s">
        <v>825</v>
      </c>
      <c r="B394" s="210">
        <v>67781609</v>
      </c>
      <c r="C394" s="211">
        <v>0</v>
      </c>
      <c r="D394" s="211">
        <v>0</v>
      </c>
      <c r="E394" s="211">
        <v>0</v>
      </c>
      <c r="F394" s="211">
        <v>0</v>
      </c>
      <c r="G394" s="211">
        <v>0</v>
      </c>
      <c r="H394" s="211">
        <v>0</v>
      </c>
      <c r="I394" s="386">
        <f t="shared" si="10"/>
        <v>67781609</v>
      </c>
      <c r="J394" s="203" t="s">
        <v>826</v>
      </c>
    </row>
    <row r="395" spans="1:10" hidden="1" outlineLevel="1">
      <c r="A395" s="423" t="s">
        <v>827</v>
      </c>
      <c r="B395" s="210">
        <v>32748317</v>
      </c>
      <c r="C395" s="211">
        <v>0</v>
      </c>
      <c r="D395" s="211">
        <v>0</v>
      </c>
      <c r="E395" s="211">
        <v>0</v>
      </c>
      <c r="F395" s="211">
        <v>0</v>
      </c>
      <c r="G395" s="211">
        <v>0</v>
      </c>
      <c r="H395" s="211">
        <v>0</v>
      </c>
      <c r="I395" s="386">
        <f t="shared" si="10"/>
        <v>32748317</v>
      </c>
      <c r="J395" s="203" t="s">
        <v>828</v>
      </c>
    </row>
    <row r="396" spans="1:10" hidden="1" outlineLevel="1">
      <c r="A396" s="423" t="s">
        <v>829</v>
      </c>
      <c r="B396" s="210">
        <v>38975399</v>
      </c>
      <c r="C396" s="211">
        <v>0</v>
      </c>
      <c r="D396" s="211">
        <v>0</v>
      </c>
      <c r="E396" s="211">
        <v>0</v>
      </c>
      <c r="F396" s="211">
        <v>0</v>
      </c>
      <c r="G396" s="211">
        <v>0</v>
      </c>
      <c r="H396" s="211">
        <v>0</v>
      </c>
      <c r="I396" s="386">
        <f t="shared" si="10"/>
        <v>38975399</v>
      </c>
      <c r="J396" s="203" t="s">
        <v>830</v>
      </c>
    </row>
    <row r="397" spans="1:10" hidden="1" outlineLevel="1">
      <c r="A397" s="423" t="s">
        <v>831</v>
      </c>
      <c r="B397" s="210">
        <v>1111648277</v>
      </c>
      <c r="C397" s="211">
        <v>0</v>
      </c>
      <c r="D397" s="211">
        <v>0</v>
      </c>
      <c r="E397" s="211">
        <v>0</v>
      </c>
      <c r="F397" s="211">
        <v>0</v>
      </c>
      <c r="G397" s="211">
        <v>0</v>
      </c>
      <c r="H397" s="211">
        <v>0</v>
      </c>
      <c r="I397" s="386">
        <f t="shared" si="10"/>
        <v>1111648277</v>
      </c>
      <c r="J397" s="203" t="s">
        <v>832</v>
      </c>
    </row>
    <row r="398" spans="1:10" hidden="1" outlineLevel="1">
      <c r="A398" s="423" t="s">
        <v>833</v>
      </c>
      <c r="B398" s="210">
        <v>95226966</v>
      </c>
      <c r="C398" s="211">
        <v>0</v>
      </c>
      <c r="D398" s="211">
        <v>0</v>
      </c>
      <c r="E398" s="211">
        <v>0</v>
      </c>
      <c r="F398" s="211">
        <v>0</v>
      </c>
      <c r="G398" s="211">
        <v>0</v>
      </c>
      <c r="H398" s="211">
        <v>0</v>
      </c>
      <c r="I398" s="386">
        <f t="shared" si="10"/>
        <v>95226966</v>
      </c>
      <c r="J398" s="203" t="s">
        <v>834</v>
      </c>
    </row>
    <row r="399" spans="1:10" hidden="1" outlineLevel="1">
      <c r="A399" s="423" t="s">
        <v>835</v>
      </c>
      <c r="B399" s="210">
        <v>451702806</v>
      </c>
      <c r="C399" s="211">
        <v>0</v>
      </c>
      <c r="D399" s="211">
        <v>0</v>
      </c>
      <c r="E399" s="211">
        <v>0</v>
      </c>
      <c r="F399" s="211">
        <v>0</v>
      </c>
      <c r="G399" s="211">
        <v>0</v>
      </c>
      <c r="H399" s="211">
        <v>0</v>
      </c>
      <c r="I399" s="386">
        <f t="shared" si="10"/>
        <v>451702806</v>
      </c>
      <c r="J399" s="203" t="s">
        <v>836</v>
      </c>
    </row>
    <row r="400" spans="1:10" hidden="1" outlineLevel="1">
      <c r="A400" s="423" t="s">
        <v>837</v>
      </c>
      <c r="B400" s="210">
        <v>37965796</v>
      </c>
      <c r="C400" s="211">
        <v>0</v>
      </c>
      <c r="D400" s="211">
        <v>0</v>
      </c>
      <c r="E400" s="211">
        <v>0</v>
      </c>
      <c r="F400" s="211">
        <v>0</v>
      </c>
      <c r="G400" s="211">
        <v>0</v>
      </c>
      <c r="H400" s="211">
        <v>0</v>
      </c>
      <c r="I400" s="386">
        <f t="shared" si="10"/>
        <v>37965796</v>
      </c>
      <c r="J400" s="203" t="s">
        <v>838</v>
      </c>
    </row>
    <row r="401" spans="1:10" hidden="1" outlineLevel="1">
      <c r="A401" s="423" t="s">
        <v>837</v>
      </c>
      <c r="B401" s="210">
        <v>4756847</v>
      </c>
      <c r="C401" s="211">
        <v>0</v>
      </c>
      <c r="D401" s="211">
        <v>0</v>
      </c>
      <c r="E401" s="211">
        <v>0</v>
      </c>
      <c r="F401" s="211">
        <v>0</v>
      </c>
      <c r="G401" s="211">
        <v>0</v>
      </c>
      <c r="H401" s="211">
        <v>0</v>
      </c>
      <c r="I401" s="386">
        <f t="shared" si="10"/>
        <v>4756847</v>
      </c>
      <c r="J401" s="203" t="s">
        <v>838</v>
      </c>
    </row>
    <row r="402" spans="1:10" hidden="1" outlineLevel="1">
      <c r="A402" s="423" t="s">
        <v>837</v>
      </c>
      <c r="B402" s="210">
        <v>23559816</v>
      </c>
      <c r="C402" s="211">
        <v>0</v>
      </c>
      <c r="D402" s="211">
        <v>0</v>
      </c>
      <c r="E402" s="211">
        <v>0</v>
      </c>
      <c r="F402" s="211">
        <v>0</v>
      </c>
      <c r="G402" s="211">
        <v>0</v>
      </c>
      <c r="H402" s="211">
        <v>0</v>
      </c>
      <c r="I402" s="386">
        <f t="shared" si="10"/>
        <v>23559816</v>
      </c>
      <c r="J402" s="203" t="s">
        <v>838</v>
      </c>
    </row>
    <row r="403" spans="1:10" hidden="1" outlineLevel="1">
      <c r="A403" s="423" t="s">
        <v>839</v>
      </c>
      <c r="B403" s="210">
        <v>3863682</v>
      </c>
      <c r="C403" s="211">
        <v>0</v>
      </c>
      <c r="D403" s="211">
        <v>0</v>
      </c>
      <c r="E403" s="211">
        <v>0</v>
      </c>
      <c r="F403" s="211">
        <v>0</v>
      </c>
      <c r="G403" s="211">
        <v>0</v>
      </c>
      <c r="H403" s="211">
        <v>0</v>
      </c>
      <c r="I403" s="386">
        <f t="shared" si="10"/>
        <v>3863682</v>
      </c>
      <c r="J403" s="203" t="s">
        <v>840</v>
      </c>
    </row>
    <row r="404" spans="1:10" hidden="1" outlineLevel="1">
      <c r="A404" s="423" t="s">
        <v>841</v>
      </c>
      <c r="B404" s="210">
        <v>51116116</v>
      </c>
      <c r="C404" s="211">
        <v>0</v>
      </c>
      <c r="D404" s="211">
        <v>0</v>
      </c>
      <c r="E404" s="211">
        <v>0</v>
      </c>
      <c r="F404" s="211">
        <v>0</v>
      </c>
      <c r="G404" s="211">
        <v>0</v>
      </c>
      <c r="H404" s="211">
        <v>0</v>
      </c>
      <c r="I404" s="386">
        <f t="shared" si="10"/>
        <v>51116116</v>
      </c>
      <c r="J404" s="203" t="s">
        <v>842</v>
      </c>
    </row>
    <row r="405" spans="1:10" hidden="1" outlineLevel="1">
      <c r="A405" s="423" t="s">
        <v>843</v>
      </c>
      <c r="B405" s="210">
        <v>62371706</v>
      </c>
      <c r="C405" s="211">
        <v>0</v>
      </c>
      <c r="D405" s="211">
        <v>0</v>
      </c>
      <c r="E405" s="211">
        <v>0</v>
      </c>
      <c r="F405" s="211">
        <v>0</v>
      </c>
      <c r="G405" s="211">
        <v>0</v>
      </c>
      <c r="H405" s="211">
        <v>0</v>
      </c>
      <c r="I405" s="386">
        <f t="shared" si="10"/>
        <v>62371706</v>
      </c>
      <c r="J405" s="203" t="s">
        <v>844</v>
      </c>
    </row>
    <row r="406" spans="1:10" hidden="1" outlineLevel="1">
      <c r="A406" s="423" t="s">
        <v>845</v>
      </c>
      <c r="B406" s="210">
        <v>639145481</v>
      </c>
      <c r="C406" s="211">
        <v>0</v>
      </c>
      <c r="D406" s="211">
        <v>0</v>
      </c>
      <c r="E406" s="211">
        <v>0</v>
      </c>
      <c r="F406" s="211">
        <v>0</v>
      </c>
      <c r="G406" s="211">
        <v>0</v>
      </c>
      <c r="H406" s="211">
        <v>0</v>
      </c>
      <c r="I406" s="386">
        <f t="shared" si="10"/>
        <v>639145481</v>
      </c>
      <c r="J406" s="203" t="s">
        <v>846</v>
      </c>
    </row>
    <row r="407" spans="1:10" hidden="1" outlineLevel="1">
      <c r="A407" s="423" t="s">
        <v>847</v>
      </c>
      <c r="B407" s="210">
        <v>48793952</v>
      </c>
      <c r="C407" s="211">
        <v>0</v>
      </c>
      <c r="D407" s="211">
        <v>0</v>
      </c>
      <c r="E407" s="211">
        <v>0</v>
      </c>
      <c r="F407" s="211">
        <v>0</v>
      </c>
      <c r="G407" s="211">
        <v>0</v>
      </c>
      <c r="H407" s="211">
        <v>0</v>
      </c>
      <c r="I407" s="386">
        <f t="shared" si="10"/>
        <v>48793952</v>
      </c>
      <c r="J407" s="203" t="s">
        <v>848</v>
      </c>
    </row>
    <row r="408" spans="1:10" hidden="1" outlineLevel="1">
      <c r="A408" s="423" t="s">
        <v>849</v>
      </c>
      <c r="B408" s="210">
        <v>124760681</v>
      </c>
      <c r="C408" s="211">
        <v>0</v>
      </c>
      <c r="D408" s="211">
        <v>0</v>
      </c>
      <c r="E408" s="211">
        <v>0</v>
      </c>
      <c r="F408" s="211">
        <v>0</v>
      </c>
      <c r="G408" s="211">
        <v>0</v>
      </c>
      <c r="H408" s="211">
        <v>0</v>
      </c>
      <c r="I408" s="386">
        <f t="shared" si="10"/>
        <v>124760681</v>
      </c>
      <c r="J408" s="203" t="s">
        <v>850</v>
      </c>
    </row>
    <row r="409" spans="1:10" hidden="1" outlineLevel="1">
      <c r="A409" s="423" t="s">
        <v>398</v>
      </c>
      <c r="B409" s="210">
        <v>15935131</v>
      </c>
      <c r="C409" s="211">
        <v>0</v>
      </c>
      <c r="D409" s="211">
        <v>0</v>
      </c>
      <c r="E409" s="211">
        <v>0</v>
      </c>
      <c r="F409" s="211">
        <v>0</v>
      </c>
      <c r="G409" s="211">
        <v>0</v>
      </c>
      <c r="H409" s="211">
        <v>0</v>
      </c>
      <c r="I409" s="386">
        <f t="shared" si="10"/>
        <v>15935131</v>
      </c>
      <c r="J409" s="203" t="s">
        <v>399</v>
      </c>
    </row>
    <row r="410" spans="1:10" hidden="1" outlineLevel="1">
      <c r="A410" s="423" t="s">
        <v>851</v>
      </c>
      <c r="B410" s="210">
        <v>11990006</v>
      </c>
      <c r="C410" s="211">
        <v>0</v>
      </c>
      <c r="D410" s="211">
        <v>0</v>
      </c>
      <c r="E410" s="211">
        <v>0</v>
      </c>
      <c r="F410" s="211">
        <v>0</v>
      </c>
      <c r="G410" s="211">
        <v>0</v>
      </c>
      <c r="H410" s="211">
        <v>0</v>
      </c>
      <c r="I410" s="386">
        <f t="shared" si="10"/>
        <v>11990006</v>
      </c>
      <c r="J410" s="203" t="s">
        <v>852</v>
      </c>
    </row>
    <row r="411" spans="1:10" hidden="1" outlineLevel="1">
      <c r="A411" s="423" t="s">
        <v>853</v>
      </c>
      <c r="B411" s="210">
        <v>144274972</v>
      </c>
      <c r="C411" s="211">
        <v>0</v>
      </c>
      <c r="D411" s="211">
        <v>0</v>
      </c>
      <c r="E411" s="211">
        <v>0</v>
      </c>
      <c r="F411" s="211">
        <v>0</v>
      </c>
      <c r="G411" s="211">
        <v>0</v>
      </c>
      <c r="H411" s="211">
        <v>0</v>
      </c>
      <c r="I411" s="386">
        <f>SUM(B411:H411)</f>
        <v>144274972</v>
      </c>
      <c r="J411" s="203" t="s">
        <v>854</v>
      </c>
    </row>
    <row r="412" spans="1:10" collapsed="1">
      <c r="A412" s="422" t="s">
        <v>855</v>
      </c>
      <c r="B412" s="206">
        <f>SUM(B413:B793)</f>
        <v>102377364682.5</v>
      </c>
      <c r="C412" s="207">
        <v>0</v>
      </c>
      <c r="D412" s="207">
        <f>SUM(D413:D793)</f>
        <v>8329577</v>
      </c>
      <c r="E412" s="207">
        <f>SUM(E413:E793)</f>
        <v>0</v>
      </c>
      <c r="F412" s="207">
        <f>SUM(F413:F793)</f>
        <v>5283493345</v>
      </c>
      <c r="G412" s="207">
        <f>SUM(G413:G793)</f>
        <v>12165062</v>
      </c>
      <c r="H412" s="207">
        <f>SUM(H413:H793)</f>
        <v>249566</v>
      </c>
      <c r="I412" s="386">
        <f>SUM(B412:H412)</f>
        <v>107681602232.5</v>
      </c>
    </row>
    <row r="413" spans="1:10" hidden="1" outlineLevel="1">
      <c r="A413" s="425" t="s">
        <v>1861</v>
      </c>
      <c r="B413" s="815">
        <v>6078966.04</v>
      </c>
      <c r="C413" s="211">
        <v>0</v>
      </c>
      <c r="D413" s="211">
        <v>0</v>
      </c>
      <c r="E413" s="211">
        <v>0</v>
      </c>
      <c r="F413" s="211">
        <v>0</v>
      </c>
      <c r="G413" s="211">
        <v>0</v>
      </c>
      <c r="H413" s="211">
        <v>0</v>
      </c>
      <c r="I413" s="386">
        <f>SUM(B413:H413)</f>
        <v>6078966.04</v>
      </c>
      <c r="J413" s="203" t="s">
        <v>1862</v>
      </c>
    </row>
    <row r="414" spans="1:10" hidden="1" outlineLevel="1">
      <c r="A414" s="425" t="s">
        <v>856</v>
      </c>
      <c r="B414" s="815">
        <v>18425752</v>
      </c>
      <c r="C414" s="211">
        <v>0</v>
      </c>
      <c r="D414" s="211">
        <v>0</v>
      </c>
      <c r="E414" s="211">
        <v>0</v>
      </c>
      <c r="F414" s="211">
        <v>0</v>
      </c>
      <c r="G414" s="211">
        <v>0</v>
      </c>
      <c r="H414" s="211">
        <v>0</v>
      </c>
      <c r="I414" s="386">
        <f t="shared" ref="I414:I477" si="11">SUM(B414:H414)</f>
        <v>18425752</v>
      </c>
      <c r="J414" s="203" t="s">
        <v>857</v>
      </c>
    </row>
    <row r="415" spans="1:10" hidden="1" outlineLevel="1">
      <c r="A415" s="425" t="s">
        <v>858</v>
      </c>
      <c r="B415" s="815">
        <v>31284831</v>
      </c>
      <c r="C415" s="211">
        <v>0</v>
      </c>
      <c r="D415" s="211">
        <v>0</v>
      </c>
      <c r="E415" s="211">
        <v>0</v>
      </c>
      <c r="F415" s="211">
        <v>0</v>
      </c>
      <c r="G415" s="211">
        <v>0</v>
      </c>
      <c r="H415" s="211">
        <v>0</v>
      </c>
      <c r="I415" s="386">
        <f t="shared" si="11"/>
        <v>31284831</v>
      </c>
      <c r="J415" s="203" t="s">
        <v>859</v>
      </c>
    </row>
    <row r="416" spans="1:10" hidden="1" outlineLevel="1">
      <c r="A416" s="425" t="s">
        <v>860</v>
      </c>
      <c r="B416" s="815">
        <v>54775238</v>
      </c>
      <c r="C416" s="211">
        <v>0</v>
      </c>
      <c r="D416" s="211">
        <v>0</v>
      </c>
      <c r="E416" s="211">
        <v>0</v>
      </c>
      <c r="F416" s="211">
        <v>0</v>
      </c>
      <c r="G416" s="211">
        <v>0</v>
      </c>
      <c r="H416" s="211">
        <v>0</v>
      </c>
      <c r="I416" s="386">
        <f t="shared" si="11"/>
        <v>54775238</v>
      </c>
      <c r="J416" s="203" t="s">
        <v>861</v>
      </c>
    </row>
    <row r="417" spans="1:10" hidden="1" outlineLevel="1">
      <c r="A417" s="425" t="s">
        <v>862</v>
      </c>
      <c r="B417" s="815">
        <v>23755295</v>
      </c>
      <c r="C417" s="211">
        <v>0</v>
      </c>
      <c r="D417" s="211">
        <v>0</v>
      </c>
      <c r="E417" s="211">
        <v>0</v>
      </c>
      <c r="F417" s="211">
        <v>0</v>
      </c>
      <c r="G417" s="211">
        <v>0</v>
      </c>
      <c r="H417" s="211">
        <v>0</v>
      </c>
      <c r="I417" s="386">
        <f t="shared" si="11"/>
        <v>23755295</v>
      </c>
      <c r="J417" s="203" t="s">
        <v>863</v>
      </c>
    </row>
    <row r="418" spans="1:10" hidden="1" outlineLevel="1">
      <c r="A418" s="425" t="s">
        <v>864</v>
      </c>
      <c r="B418" s="815">
        <v>41353895</v>
      </c>
      <c r="C418" s="211">
        <v>0</v>
      </c>
      <c r="D418" s="211">
        <v>0</v>
      </c>
      <c r="E418" s="211">
        <v>0</v>
      </c>
      <c r="F418" s="211">
        <v>0</v>
      </c>
      <c r="G418" s="211">
        <v>0</v>
      </c>
      <c r="H418" s="211">
        <v>0</v>
      </c>
      <c r="I418" s="386">
        <f t="shared" si="11"/>
        <v>41353895</v>
      </c>
      <c r="J418" s="203" t="s">
        <v>865</v>
      </c>
    </row>
    <row r="419" spans="1:10" hidden="1" outlineLevel="1">
      <c r="A419" s="425" t="s">
        <v>866</v>
      </c>
      <c r="B419" s="815">
        <v>13546877</v>
      </c>
      <c r="C419" s="211">
        <v>0</v>
      </c>
      <c r="D419" s="211">
        <v>0</v>
      </c>
      <c r="E419" s="211">
        <v>0</v>
      </c>
      <c r="F419" s="211">
        <v>0</v>
      </c>
      <c r="G419" s="211">
        <v>0</v>
      </c>
      <c r="H419" s="211">
        <v>0</v>
      </c>
      <c r="I419" s="386">
        <f t="shared" si="11"/>
        <v>13546877</v>
      </c>
      <c r="J419" s="203" t="s">
        <v>867</v>
      </c>
    </row>
    <row r="420" spans="1:10" hidden="1" outlineLevel="1">
      <c r="A420" s="425" t="s">
        <v>868</v>
      </c>
      <c r="B420" s="815">
        <v>78854670</v>
      </c>
      <c r="C420" s="211">
        <v>0</v>
      </c>
      <c r="D420" s="211">
        <v>0</v>
      </c>
      <c r="E420" s="211">
        <v>0</v>
      </c>
      <c r="F420" s="211">
        <v>0</v>
      </c>
      <c r="G420" s="211">
        <v>0</v>
      </c>
      <c r="H420" s="211">
        <v>0</v>
      </c>
      <c r="I420" s="386">
        <f t="shared" si="11"/>
        <v>78854670</v>
      </c>
      <c r="J420" s="203" t="s">
        <v>869</v>
      </c>
    </row>
    <row r="421" spans="1:10" hidden="1" outlineLevel="1">
      <c r="A421" s="425" t="s">
        <v>870</v>
      </c>
      <c r="B421" s="815">
        <v>167499086</v>
      </c>
      <c r="C421" s="211">
        <v>0</v>
      </c>
      <c r="D421" s="211">
        <v>0</v>
      </c>
      <c r="E421" s="211">
        <v>0</v>
      </c>
      <c r="F421" s="211">
        <v>925102</v>
      </c>
      <c r="G421" s="211">
        <v>0</v>
      </c>
      <c r="H421" s="211">
        <v>0</v>
      </c>
      <c r="I421" s="386">
        <f t="shared" si="11"/>
        <v>168424188</v>
      </c>
      <c r="J421" s="203" t="s">
        <v>871</v>
      </c>
    </row>
    <row r="422" spans="1:10" hidden="1" outlineLevel="1">
      <c r="A422" s="425" t="s">
        <v>872</v>
      </c>
      <c r="B422" s="815">
        <v>24445731</v>
      </c>
      <c r="C422" s="211">
        <v>0</v>
      </c>
      <c r="D422" s="211">
        <v>0</v>
      </c>
      <c r="E422" s="211">
        <v>0</v>
      </c>
      <c r="F422" s="211">
        <v>0</v>
      </c>
      <c r="G422" s="211">
        <v>0</v>
      </c>
      <c r="H422" s="211">
        <v>0</v>
      </c>
      <c r="I422" s="386">
        <f t="shared" si="11"/>
        <v>24445731</v>
      </c>
      <c r="J422" s="203" t="s">
        <v>873</v>
      </c>
    </row>
    <row r="423" spans="1:10" hidden="1" outlineLevel="1">
      <c r="A423" s="425" t="s">
        <v>874</v>
      </c>
      <c r="B423" s="815">
        <v>500262351</v>
      </c>
      <c r="C423" s="211">
        <v>0</v>
      </c>
      <c r="D423" s="211">
        <v>0</v>
      </c>
      <c r="E423" s="211">
        <v>0</v>
      </c>
      <c r="F423" s="211">
        <v>0</v>
      </c>
      <c r="G423" s="211">
        <v>0</v>
      </c>
      <c r="H423" s="211">
        <v>0</v>
      </c>
      <c r="I423" s="386">
        <f t="shared" si="11"/>
        <v>500262351</v>
      </c>
      <c r="J423" s="203" t="s">
        <v>875</v>
      </c>
    </row>
    <row r="424" spans="1:10" hidden="1" outlineLevel="1">
      <c r="A424" s="425" t="s">
        <v>1863</v>
      </c>
      <c r="B424" s="814">
        <v>0</v>
      </c>
      <c r="C424" s="211">
        <v>0</v>
      </c>
      <c r="D424" s="211">
        <v>0</v>
      </c>
      <c r="E424" s="211">
        <v>0</v>
      </c>
      <c r="F424" s="211">
        <v>0</v>
      </c>
      <c r="G424" s="211">
        <v>0</v>
      </c>
      <c r="H424" s="211">
        <v>0</v>
      </c>
      <c r="I424" s="386">
        <f t="shared" si="11"/>
        <v>0</v>
      </c>
      <c r="J424" s="203" t="s">
        <v>1864</v>
      </c>
    </row>
    <row r="425" spans="1:10" hidden="1" outlineLevel="1">
      <c r="A425" s="425" t="s">
        <v>876</v>
      </c>
      <c r="B425" s="815">
        <v>27902438</v>
      </c>
      <c r="C425" s="211">
        <v>0</v>
      </c>
      <c r="D425" s="211">
        <v>0</v>
      </c>
      <c r="E425" s="211">
        <v>0</v>
      </c>
      <c r="F425" s="211">
        <v>0</v>
      </c>
      <c r="G425" s="211">
        <v>0</v>
      </c>
      <c r="H425" s="211">
        <v>0</v>
      </c>
      <c r="I425" s="386">
        <f t="shared" si="11"/>
        <v>27902438</v>
      </c>
      <c r="J425" s="203" t="s">
        <v>877</v>
      </c>
    </row>
    <row r="426" spans="1:10" hidden="1" outlineLevel="1">
      <c r="A426" s="425" t="s">
        <v>878</v>
      </c>
      <c r="B426" s="815">
        <v>27633970</v>
      </c>
      <c r="C426" s="211">
        <v>0</v>
      </c>
      <c r="D426" s="211">
        <v>0</v>
      </c>
      <c r="E426" s="211">
        <v>0</v>
      </c>
      <c r="F426" s="211">
        <v>0</v>
      </c>
      <c r="G426" s="211">
        <v>0</v>
      </c>
      <c r="H426" s="211">
        <v>0</v>
      </c>
      <c r="I426" s="386">
        <f t="shared" si="11"/>
        <v>27633970</v>
      </c>
      <c r="J426" s="203" t="s">
        <v>879</v>
      </c>
    </row>
    <row r="427" spans="1:10" hidden="1" outlineLevel="1">
      <c r="A427" s="425" t="s">
        <v>322</v>
      </c>
      <c r="B427" s="815">
        <v>42437857</v>
      </c>
      <c r="C427" s="211">
        <v>0</v>
      </c>
      <c r="D427" s="211">
        <v>0</v>
      </c>
      <c r="E427" s="211">
        <v>0</v>
      </c>
      <c r="F427" s="211">
        <v>0</v>
      </c>
      <c r="G427" s="211">
        <v>0</v>
      </c>
      <c r="H427" s="211">
        <v>0</v>
      </c>
      <c r="I427" s="386">
        <f t="shared" si="11"/>
        <v>42437857</v>
      </c>
      <c r="J427" s="203" t="s">
        <v>323</v>
      </c>
    </row>
    <row r="428" spans="1:10" hidden="1" outlineLevel="1">
      <c r="A428" s="425" t="s">
        <v>880</v>
      </c>
      <c r="B428" s="815">
        <v>54568061</v>
      </c>
      <c r="C428" s="211">
        <v>0</v>
      </c>
      <c r="D428" s="211">
        <v>0</v>
      </c>
      <c r="E428" s="211">
        <v>0</v>
      </c>
      <c r="F428" s="211">
        <v>0</v>
      </c>
      <c r="G428" s="211">
        <v>0</v>
      </c>
      <c r="H428" s="211">
        <v>0</v>
      </c>
      <c r="I428" s="386">
        <f t="shared" si="11"/>
        <v>54568061</v>
      </c>
      <c r="J428" s="203" t="s">
        <v>881</v>
      </c>
    </row>
    <row r="429" spans="1:10" hidden="1" outlineLevel="1">
      <c r="A429" s="425" t="s">
        <v>882</v>
      </c>
      <c r="B429" s="815">
        <v>182430555.40000001</v>
      </c>
      <c r="C429" s="211">
        <v>0</v>
      </c>
      <c r="D429" s="211">
        <v>0</v>
      </c>
      <c r="E429" s="211">
        <v>0</v>
      </c>
      <c r="F429" s="211">
        <v>0</v>
      </c>
      <c r="G429" s="211">
        <v>0</v>
      </c>
      <c r="H429" s="211">
        <v>0</v>
      </c>
      <c r="I429" s="386">
        <f t="shared" si="11"/>
        <v>182430555.40000001</v>
      </c>
      <c r="J429" s="203" t="s">
        <v>883</v>
      </c>
    </row>
    <row r="430" spans="1:10" hidden="1" outlineLevel="1">
      <c r="A430" s="425" t="s">
        <v>884</v>
      </c>
      <c r="B430" s="815">
        <v>194980086</v>
      </c>
      <c r="C430" s="211">
        <v>0</v>
      </c>
      <c r="D430" s="211">
        <v>0</v>
      </c>
      <c r="E430" s="211">
        <v>0</v>
      </c>
      <c r="F430" s="211">
        <v>0</v>
      </c>
      <c r="G430" s="211">
        <v>0</v>
      </c>
      <c r="H430" s="211">
        <v>0</v>
      </c>
      <c r="I430" s="386">
        <f t="shared" si="11"/>
        <v>194980086</v>
      </c>
      <c r="J430" s="203" t="s">
        <v>885</v>
      </c>
    </row>
    <row r="431" spans="1:10" hidden="1" outlineLevel="1">
      <c r="A431" s="425" t="s">
        <v>886</v>
      </c>
      <c r="B431" s="815">
        <v>59806101</v>
      </c>
      <c r="C431" s="211">
        <v>0</v>
      </c>
      <c r="D431" s="211">
        <v>0</v>
      </c>
      <c r="E431" s="211">
        <v>0</v>
      </c>
      <c r="F431" s="211">
        <v>0</v>
      </c>
      <c r="G431" s="211">
        <v>0</v>
      </c>
      <c r="H431" s="211">
        <v>0</v>
      </c>
      <c r="I431" s="386">
        <f t="shared" si="11"/>
        <v>59806101</v>
      </c>
      <c r="J431" s="203" t="s">
        <v>887</v>
      </c>
    </row>
    <row r="432" spans="1:10" hidden="1" outlineLevel="1">
      <c r="A432" s="425" t="s">
        <v>888</v>
      </c>
      <c r="B432" s="815">
        <v>39741554</v>
      </c>
      <c r="C432" s="211">
        <v>0</v>
      </c>
      <c r="D432" s="211">
        <v>0</v>
      </c>
      <c r="E432" s="211">
        <v>0</v>
      </c>
      <c r="F432" s="211">
        <v>0</v>
      </c>
      <c r="G432" s="211">
        <v>0</v>
      </c>
      <c r="H432" s="211">
        <v>0</v>
      </c>
      <c r="I432" s="386">
        <f t="shared" si="11"/>
        <v>39741554</v>
      </c>
      <c r="J432" s="203" t="s">
        <v>889</v>
      </c>
    </row>
    <row r="433" spans="1:10" hidden="1" outlineLevel="1">
      <c r="A433" s="425" t="s">
        <v>890</v>
      </c>
      <c r="B433" s="815">
        <v>181682481</v>
      </c>
      <c r="C433" s="211">
        <v>0</v>
      </c>
      <c r="D433" s="211">
        <v>0</v>
      </c>
      <c r="E433" s="211">
        <v>0</v>
      </c>
      <c r="F433" s="211">
        <v>0</v>
      </c>
      <c r="G433" s="211">
        <v>0</v>
      </c>
      <c r="H433" s="211">
        <v>0</v>
      </c>
      <c r="I433" s="386">
        <f t="shared" si="11"/>
        <v>181682481</v>
      </c>
      <c r="J433" s="203" t="s">
        <v>891</v>
      </c>
    </row>
    <row r="434" spans="1:10" hidden="1" outlineLevel="1">
      <c r="A434" s="425" t="s">
        <v>892</v>
      </c>
      <c r="B434" s="815">
        <v>7258319</v>
      </c>
      <c r="C434" s="211">
        <v>0</v>
      </c>
      <c r="D434" s="211">
        <v>0</v>
      </c>
      <c r="E434" s="211">
        <v>0</v>
      </c>
      <c r="F434" s="211">
        <v>0</v>
      </c>
      <c r="G434" s="211">
        <v>0</v>
      </c>
      <c r="H434" s="211">
        <v>0</v>
      </c>
      <c r="I434" s="386">
        <f t="shared" si="11"/>
        <v>7258319</v>
      </c>
      <c r="J434" s="203" t="s">
        <v>893</v>
      </c>
    </row>
    <row r="435" spans="1:10" hidden="1" outlineLevel="1">
      <c r="A435" s="425" t="s">
        <v>894</v>
      </c>
      <c r="B435" s="815">
        <v>96874307</v>
      </c>
      <c r="C435" s="211">
        <v>0</v>
      </c>
      <c r="D435" s="211">
        <v>0</v>
      </c>
      <c r="E435" s="211">
        <v>0</v>
      </c>
      <c r="F435" s="211">
        <v>0</v>
      </c>
      <c r="G435" s="211">
        <v>0</v>
      </c>
      <c r="H435" s="211">
        <v>0</v>
      </c>
      <c r="I435" s="386">
        <f t="shared" si="11"/>
        <v>96874307</v>
      </c>
      <c r="J435" s="203" t="s">
        <v>895</v>
      </c>
    </row>
    <row r="436" spans="1:10" hidden="1" outlineLevel="1">
      <c r="A436" s="425" t="s">
        <v>896</v>
      </c>
      <c r="B436" s="815">
        <v>127944407</v>
      </c>
      <c r="C436" s="211">
        <v>0</v>
      </c>
      <c r="D436" s="211">
        <v>0</v>
      </c>
      <c r="E436" s="211">
        <v>0</v>
      </c>
      <c r="F436" s="211">
        <v>0</v>
      </c>
      <c r="G436" s="211">
        <v>0</v>
      </c>
      <c r="H436" s="211">
        <v>0</v>
      </c>
      <c r="I436" s="386">
        <f t="shared" si="11"/>
        <v>127944407</v>
      </c>
      <c r="J436" s="203" t="s">
        <v>897</v>
      </c>
    </row>
    <row r="437" spans="1:10" hidden="1" outlineLevel="1">
      <c r="A437" s="425" t="s">
        <v>1865</v>
      </c>
      <c r="B437" s="815">
        <v>29504783</v>
      </c>
      <c r="C437" s="211">
        <v>0</v>
      </c>
      <c r="D437" s="211">
        <v>0</v>
      </c>
      <c r="E437" s="211">
        <v>0</v>
      </c>
      <c r="F437" s="211">
        <v>0</v>
      </c>
      <c r="G437" s="211">
        <v>0</v>
      </c>
      <c r="H437" s="211">
        <v>0</v>
      </c>
      <c r="I437" s="386">
        <f t="shared" si="11"/>
        <v>29504783</v>
      </c>
      <c r="J437" s="203" t="s">
        <v>1866</v>
      </c>
    </row>
    <row r="438" spans="1:10" hidden="1" outlineLevel="1">
      <c r="A438" s="425" t="s">
        <v>898</v>
      </c>
      <c r="B438" s="815">
        <v>54139007</v>
      </c>
      <c r="C438" s="211">
        <v>0</v>
      </c>
      <c r="D438" s="211">
        <v>0</v>
      </c>
      <c r="E438" s="211">
        <v>0</v>
      </c>
      <c r="F438" s="211">
        <v>0</v>
      </c>
      <c r="G438" s="211">
        <v>0</v>
      </c>
      <c r="H438" s="211">
        <v>0</v>
      </c>
      <c r="I438" s="386">
        <f t="shared" si="11"/>
        <v>54139007</v>
      </c>
      <c r="J438" s="203" t="s">
        <v>899</v>
      </c>
    </row>
    <row r="439" spans="1:10" hidden="1" outlineLevel="1">
      <c r="A439" s="425" t="s">
        <v>900</v>
      </c>
      <c r="B439" s="815">
        <v>10443898</v>
      </c>
      <c r="C439" s="211">
        <v>0</v>
      </c>
      <c r="D439" s="211">
        <v>0</v>
      </c>
      <c r="E439" s="211">
        <v>0</v>
      </c>
      <c r="F439" s="211">
        <v>0</v>
      </c>
      <c r="G439" s="211">
        <v>0</v>
      </c>
      <c r="H439" s="211">
        <v>0</v>
      </c>
      <c r="I439" s="386">
        <f t="shared" si="11"/>
        <v>10443898</v>
      </c>
      <c r="J439" s="203" t="s">
        <v>901</v>
      </c>
    </row>
    <row r="440" spans="1:10" hidden="1" outlineLevel="1">
      <c r="A440" s="425" t="s">
        <v>902</v>
      </c>
      <c r="B440" s="815">
        <v>188789219</v>
      </c>
      <c r="C440" s="211">
        <v>0</v>
      </c>
      <c r="D440" s="211">
        <v>0</v>
      </c>
      <c r="E440" s="211">
        <v>0</v>
      </c>
      <c r="F440" s="211">
        <v>0</v>
      </c>
      <c r="G440" s="211">
        <v>0</v>
      </c>
      <c r="H440" s="211">
        <v>0</v>
      </c>
      <c r="I440" s="386">
        <f t="shared" si="11"/>
        <v>188789219</v>
      </c>
      <c r="J440" s="203" t="s">
        <v>903</v>
      </c>
    </row>
    <row r="441" spans="1:10" hidden="1" outlineLevel="1">
      <c r="A441" s="425" t="s">
        <v>904</v>
      </c>
      <c r="B441" s="815">
        <v>197731148</v>
      </c>
      <c r="C441" s="211">
        <v>0</v>
      </c>
      <c r="D441" s="211">
        <v>0</v>
      </c>
      <c r="E441" s="211">
        <v>0</v>
      </c>
      <c r="F441" s="211">
        <v>0</v>
      </c>
      <c r="G441" s="211">
        <v>0</v>
      </c>
      <c r="H441" s="211">
        <v>0</v>
      </c>
      <c r="I441" s="386">
        <f t="shared" si="11"/>
        <v>197731148</v>
      </c>
      <c r="J441" s="203" t="s">
        <v>905</v>
      </c>
    </row>
    <row r="442" spans="1:10" hidden="1" outlineLevel="1">
      <c r="A442" s="425" t="s">
        <v>906</v>
      </c>
      <c r="B442" s="815">
        <v>85367727.952999994</v>
      </c>
      <c r="C442" s="211">
        <v>0</v>
      </c>
      <c r="D442" s="211">
        <v>0</v>
      </c>
      <c r="E442" s="211">
        <v>0</v>
      </c>
      <c r="F442" s="211">
        <v>0</v>
      </c>
      <c r="G442" s="211">
        <v>0</v>
      </c>
      <c r="H442" s="211">
        <v>0</v>
      </c>
      <c r="I442" s="386">
        <f t="shared" si="11"/>
        <v>85367727.952999994</v>
      </c>
      <c r="J442" s="203" t="s">
        <v>907</v>
      </c>
    </row>
    <row r="443" spans="1:10" hidden="1" outlineLevel="1">
      <c r="A443" s="425" t="s">
        <v>908</v>
      </c>
      <c r="B443" s="815">
        <v>146247455</v>
      </c>
      <c r="C443" s="211">
        <v>0</v>
      </c>
      <c r="D443" s="211">
        <v>0</v>
      </c>
      <c r="E443" s="211">
        <v>0</v>
      </c>
      <c r="F443" s="211">
        <v>0</v>
      </c>
      <c r="G443" s="211">
        <v>0</v>
      </c>
      <c r="H443" s="211">
        <v>0</v>
      </c>
      <c r="I443" s="386">
        <f t="shared" si="11"/>
        <v>146247455</v>
      </c>
      <c r="J443" s="203" t="s">
        <v>909</v>
      </c>
    </row>
    <row r="444" spans="1:10" hidden="1" outlineLevel="1">
      <c r="A444" s="425" t="s">
        <v>910</v>
      </c>
      <c r="B444" s="815">
        <v>453653901</v>
      </c>
      <c r="C444" s="211">
        <v>0</v>
      </c>
      <c r="D444" s="211">
        <v>0</v>
      </c>
      <c r="E444" s="211">
        <v>0</v>
      </c>
      <c r="F444" s="211">
        <v>6401311</v>
      </c>
      <c r="G444" s="211">
        <v>0</v>
      </c>
      <c r="H444" s="211">
        <v>0</v>
      </c>
      <c r="I444" s="386">
        <f t="shared" si="11"/>
        <v>460055212</v>
      </c>
      <c r="J444" s="203" t="s">
        <v>911</v>
      </c>
    </row>
    <row r="445" spans="1:10" hidden="1" outlineLevel="1">
      <c r="A445" s="425" t="s">
        <v>912</v>
      </c>
      <c r="B445" s="815">
        <v>17058447</v>
      </c>
      <c r="C445" s="211">
        <v>0</v>
      </c>
      <c r="D445" s="211">
        <v>0</v>
      </c>
      <c r="E445" s="211">
        <v>0</v>
      </c>
      <c r="F445" s="211">
        <v>0</v>
      </c>
      <c r="G445" s="211">
        <v>0</v>
      </c>
      <c r="H445" s="211">
        <v>0</v>
      </c>
      <c r="I445" s="386">
        <f t="shared" si="11"/>
        <v>17058447</v>
      </c>
      <c r="J445" s="203" t="s">
        <v>913</v>
      </c>
    </row>
    <row r="446" spans="1:10" hidden="1" outlineLevel="1">
      <c r="A446" s="425" t="s">
        <v>914</v>
      </c>
      <c r="B446" s="815">
        <v>104723630</v>
      </c>
      <c r="C446" s="211">
        <v>0</v>
      </c>
      <c r="D446" s="211">
        <v>0</v>
      </c>
      <c r="E446" s="211">
        <v>0</v>
      </c>
      <c r="F446" s="211">
        <v>0</v>
      </c>
      <c r="G446" s="211">
        <v>0</v>
      </c>
      <c r="H446" s="211">
        <v>0</v>
      </c>
      <c r="I446" s="386">
        <f t="shared" si="11"/>
        <v>104723630</v>
      </c>
      <c r="J446" s="203" t="s">
        <v>915</v>
      </c>
    </row>
    <row r="447" spans="1:10" hidden="1" outlineLevel="1">
      <c r="A447" s="425" t="s">
        <v>916</v>
      </c>
      <c r="B447" s="815">
        <v>13414232</v>
      </c>
      <c r="C447" s="211">
        <v>0</v>
      </c>
      <c r="D447" s="211">
        <v>0</v>
      </c>
      <c r="E447" s="211">
        <v>0</v>
      </c>
      <c r="F447" s="211">
        <v>0</v>
      </c>
      <c r="G447" s="211">
        <v>0</v>
      </c>
      <c r="H447" s="211">
        <v>0</v>
      </c>
      <c r="I447" s="386">
        <f t="shared" si="11"/>
        <v>13414232</v>
      </c>
      <c r="J447" s="203" t="s">
        <v>917</v>
      </c>
    </row>
    <row r="448" spans="1:10" hidden="1" outlineLevel="1">
      <c r="A448" s="425" t="s">
        <v>918</v>
      </c>
      <c r="B448" s="815">
        <v>144168815</v>
      </c>
      <c r="C448" s="211">
        <v>0</v>
      </c>
      <c r="D448" s="211">
        <v>0</v>
      </c>
      <c r="E448" s="211">
        <v>0</v>
      </c>
      <c r="F448" s="211">
        <v>0</v>
      </c>
      <c r="G448" s="211">
        <v>0</v>
      </c>
      <c r="H448" s="211">
        <v>0</v>
      </c>
      <c r="I448" s="386">
        <f t="shared" si="11"/>
        <v>144168815</v>
      </c>
      <c r="J448" s="203" t="s">
        <v>919</v>
      </c>
    </row>
    <row r="449" spans="1:10" hidden="1" outlineLevel="1">
      <c r="A449" s="425" t="s">
        <v>920</v>
      </c>
      <c r="B449" s="815">
        <v>476437261.56599998</v>
      </c>
      <c r="C449" s="211">
        <v>0</v>
      </c>
      <c r="D449" s="211">
        <v>0</v>
      </c>
      <c r="E449" s="211">
        <v>0</v>
      </c>
      <c r="F449" s="211">
        <v>0</v>
      </c>
      <c r="G449" s="211">
        <v>0</v>
      </c>
      <c r="H449" s="211">
        <v>0</v>
      </c>
      <c r="I449" s="386">
        <f t="shared" si="11"/>
        <v>476437261.56599998</v>
      </c>
      <c r="J449" s="203" t="s">
        <v>921</v>
      </c>
    </row>
    <row r="450" spans="1:10" hidden="1" outlineLevel="1">
      <c r="A450" s="425" t="s">
        <v>922</v>
      </c>
      <c r="B450" s="815">
        <v>11349717</v>
      </c>
      <c r="C450" s="211">
        <v>0</v>
      </c>
      <c r="D450" s="211">
        <v>0</v>
      </c>
      <c r="E450" s="211">
        <v>0</v>
      </c>
      <c r="F450" s="211">
        <v>0</v>
      </c>
      <c r="G450" s="211">
        <v>0</v>
      </c>
      <c r="H450" s="211">
        <v>156250</v>
      </c>
      <c r="I450" s="386">
        <f t="shared" si="11"/>
        <v>11505967</v>
      </c>
      <c r="J450" s="203" t="s">
        <v>923</v>
      </c>
    </row>
    <row r="451" spans="1:10" hidden="1" outlineLevel="1">
      <c r="A451" s="425" t="s">
        <v>924</v>
      </c>
      <c r="B451" s="815">
        <v>2329263</v>
      </c>
      <c r="C451" s="211">
        <v>0</v>
      </c>
      <c r="D451" s="211">
        <v>0</v>
      </c>
      <c r="E451" s="211">
        <v>0</v>
      </c>
      <c r="F451" s="211">
        <v>0</v>
      </c>
      <c r="G451" s="211">
        <v>0</v>
      </c>
      <c r="H451" s="211">
        <v>0</v>
      </c>
      <c r="I451" s="386">
        <f t="shared" si="11"/>
        <v>2329263</v>
      </c>
      <c r="J451" s="203" t="s">
        <v>925</v>
      </c>
    </row>
    <row r="452" spans="1:10" hidden="1" outlineLevel="1">
      <c r="A452" s="425" t="s">
        <v>1867</v>
      </c>
      <c r="B452" s="815">
        <v>6371795</v>
      </c>
      <c r="C452" s="211">
        <v>0</v>
      </c>
      <c r="D452" s="211">
        <v>0</v>
      </c>
      <c r="E452" s="211">
        <v>0</v>
      </c>
      <c r="F452" s="211">
        <v>0</v>
      </c>
      <c r="G452" s="211">
        <v>0</v>
      </c>
      <c r="H452" s="211">
        <v>0</v>
      </c>
      <c r="I452" s="386">
        <f t="shared" si="11"/>
        <v>6371795</v>
      </c>
      <c r="J452" s="203" t="s">
        <v>1868</v>
      </c>
    </row>
    <row r="453" spans="1:10" hidden="1" outlineLevel="1">
      <c r="A453" s="425" t="s">
        <v>926</v>
      </c>
      <c r="B453" s="815">
        <v>231349937</v>
      </c>
      <c r="C453" s="211">
        <v>0</v>
      </c>
      <c r="D453" s="211">
        <v>0</v>
      </c>
      <c r="E453" s="211">
        <v>0</v>
      </c>
      <c r="F453" s="211">
        <v>0</v>
      </c>
      <c r="G453" s="211">
        <v>0</v>
      </c>
      <c r="H453" s="211">
        <v>0</v>
      </c>
      <c r="I453" s="386">
        <f t="shared" si="11"/>
        <v>231349937</v>
      </c>
      <c r="J453" s="203" t="s">
        <v>927</v>
      </c>
    </row>
    <row r="454" spans="1:10" hidden="1" outlineLevel="1">
      <c r="A454" s="425" t="s">
        <v>928</v>
      </c>
      <c r="B454" s="815">
        <v>101840663.62</v>
      </c>
      <c r="C454" s="211">
        <v>0</v>
      </c>
      <c r="D454" s="211">
        <v>0</v>
      </c>
      <c r="E454" s="211">
        <v>0</v>
      </c>
      <c r="F454" s="211">
        <v>0</v>
      </c>
      <c r="G454" s="211">
        <v>0</v>
      </c>
      <c r="H454" s="211">
        <v>0</v>
      </c>
      <c r="I454" s="386">
        <f t="shared" si="11"/>
        <v>101840663.62</v>
      </c>
      <c r="J454" s="203" t="s">
        <v>929</v>
      </c>
    </row>
    <row r="455" spans="1:10" hidden="1" outlineLevel="1">
      <c r="A455" s="425" t="s">
        <v>930</v>
      </c>
      <c r="B455" s="815">
        <v>202998838</v>
      </c>
      <c r="C455" s="211">
        <v>0</v>
      </c>
      <c r="D455" s="211">
        <v>0</v>
      </c>
      <c r="E455" s="211">
        <v>0</v>
      </c>
      <c r="F455" s="211">
        <v>0</v>
      </c>
      <c r="G455" s="211">
        <v>0</v>
      </c>
      <c r="H455" s="211">
        <v>0</v>
      </c>
      <c r="I455" s="386">
        <f t="shared" si="11"/>
        <v>202998838</v>
      </c>
      <c r="J455" s="203" t="s">
        <v>931</v>
      </c>
    </row>
    <row r="456" spans="1:10" hidden="1" outlineLevel="1">
      <c r="A456" s="425" t="s">
        <v>932</v>
      </c>
      <c r="B456" s="815">
        <v>21545915</v>
      </c>
      <c r="C456" s="211">
        <v>0</v>
      </c>
      <c r="D456" s="211">
        <v>0</v>
      </c>
      <c r="E456" s="211">
        <v>0</v>
      </c>
      <c r="F456" s="211">
        <v>0</v>
      </c>
      <c r="G456" s="211">
        <v>0</v>
      </c>
      <c r="H456" s="211">
        <v>0</v>
      </c>
      <c r="I456" s="386">
        <f t="shared" si="11"/>
        <v>21545915</v>
      </c>
      <c r="J456" s="203" t="s">
        <v>933</v>
      </c>
    </row>
    <row r="457" spans="1:10" hidden="1" outlineLevel="1">
      <c r="A457" s="425" t="s">
        <v>934</v>
      </c>
      <c r="B457" s="815">
        <v>1671231616</v>
      </c>
      <c r="C457" s="211">
        <v>0</v>
      </c>
      <c r="D457" s="211">
        <v>0</v>
      </c>
      <c r="E457" s="211">
        <v>0</v>
      </c>
      <c r="F457" s="211">
        <v>0</v>
      </c>
      <c r="G457" s="211">
        <v>0</v>
      </c>
      <c r="H457" s="211">
        <v>0</v>
      </c>
      <c r="I457" s="386">
        <f t="shared" si="11"/>
        <v>1671231616</v>
      </c>
      <c r="J457" s="203" t="s">
        <v>935</v>
      </c>
    </row>
    <row r="458" spans="1:10" hidden="1" outlineLevel="1">
      <c r="A458" s="425" t="s">
        <v>936</v>
      </c>
      <c r="B458" s="815">
        <v>572033765.72000003</v>
      </c>
      <c r="C458" s="211">
        <v>0</v>
      </c>
      <c r="D458" s="211">
        <v>0</v>
      </c>
      <c r="E458" s="211">
        <v>0</v>
      </c>
      <c r="F458" s="211">
        <v>0</v>
      </c>
      <c r="G458" s="211">
        <v>0</v>
      </c>
      <c r="H458" s="211">
        <v>0</v>
      </c>
      <c r="I458" s="386">
        <f t="shared" si="11"/>
        <v>572033765.72000003</v>
      </c>
      <c r="J458" s="203" t="s">
        <v>937</v>
      </c>
    </row>
    <row r="459" spans="1:10" hidden="1" outlineLevel="1">
      <c r="A459" s="425" t="s">
        <v>938</v>
      </c>
      <c r="B459" s="815">
        <v>32868674</v>
      </c>
      <c r="C459" s="211">
        <v>0</v>
      </c>
      <c r="D459" s="211">
        <v>0</v>
      </c>
      <c r="E459" s="211">
        <v>0</v>
      </c>
      <c r="F459" s="211">
        <v>0</v>
      </c>
      <c r="G459" s="211">
        <v>0</v>
      </c>
      <c r="H459" s="211">
        <v>0</v>
      </c>
      <c r="I459" s="386">
        <f t="shared" si="11"/>
        <v>32868674</v>
      </c>
      <c r="J459" s="203" t="s">
        <v>939</v>
      </c>
    </row>
    <row r="460" spans="1:10" hidden="1" outlineLevel="1">
      <c r="A460" s="425" t="s">
        <v>940</v>
      </c>
      <c r="B460" s="815">
        <v>47253350</v>
      </c>
      <c r="C460" s="211">
        <v>0</v>
      </c>
      <c r="D460" s="211">
        <v>0</v>
      </c>
      <c r="E460" s="211">
        <v>0</v>
      </c>
      <c r="F460" s="211">
        <v>0</v>
      </c>
      <c r="G460" s="211">
        <v>0</v>
      </c>
      <c r="H460" s="211">
        <v>0</v>
      </c>
      <c r="I460" s="386">
        <f t="shared" si="11"/>
        <v>47253350</v>
      </c>
      <c r="J460" s="203" t="s">
        <v>941</v>
      </c>
    </row>
    <row r="461" spans="1:10" hidden="1" outlineLevel="1">
      <c r="A461" s="425" t="s">
        <v>942</v>
      </c>
      <c r="B461" s="815">
        <v>16079968</v>
      </c>
      <c r="C461" s="211">
        <v>0</v>
      </c>
      <c r="D461" s="211">
        <v>0</v>
      </c>
      <c r="E461" s="211">
        <v>0</v>
      </c>
      <c r="F461" s="211">
        <v>0</v>
      </c>
      <c r="G461" s="211">
        <v>0</v>
      </c>
      <c r="H461" s="211">
        <v>0</v>
      </c>
      <c r="I461" s="386">
        <f t="shared" si="11"/>
        <v>16079968</v>
      </c>
      <c r="J461" s="203" t="s">
        <v>943</v>
      </c>
    </row>
    <row r="462" spans="1:10" hidden="1" outlineLevel="1">
      <c r="A462" s="425" t="s">
        <v>210</v>
      </c>
      <c r="B462" s="815">
        <v>279175062</v>
      </c>
      <c r="C462" s="211">
        <v>0</v>
      </c>
      <c r="D462" s="211">
        <v>0</v>
      </c>
      <c r="E462" s="211">
        <v>0</v>
      </c>
      <c r="F462" s="211">
        <v>0</v>
      </c>
      <c r="G462" s="211">
        <v>0</v>
      </c>
      <c r="H462" s="211">
        <v>0</v>
      </c>
      <c r="I462" s="386">
        <f t="shared" si="11"/>
        <v>279175062</v>
      </c>
      <c r="J462" s="203" t="s">
        <v>211</v>
      </c>
    </row>
    <row r="463" spans="1:10" hidden="1" outlineLevel="1">
      <c r="A463" s="425" t="s">
        <v>944</v>
      </c>
      <c r="B463" s="815">
        <v>119592378</v>
      </c>
      <c r="C463" s="211">
        <v>0</v>
      </c>
      <c r="D463" s="211">
        <v>0</v>
      </c>
      <c r="E463" s="211">
        <v>0</v>
      </c>
      <c r="F463" s="211">
        <v>0</v>
      </c>
      <c r="G463" s="211">
        <v>0</v>
      </c>
      <c r="H463" s="211">
        <v>0</v>
      </c>
      <c r="I463" s="386">
        <f t="shared" si="11"/>
        <v>119592378</v>
      </c>
      <c r="J463" s="203" t="s">
        <v>945</v>
      </c>
    </row>
    <row r="464" spans="1:10" hidden="1" outlineLevel="1">
      <c r="A464" s="425" t="s">
        <v>946</v>
      </c>
      <c r="B464" s="815">
        <v>31804412</v>
      </c>
      <c r="C464" s="211">
        <v>0</v>
      </c>
      <c r="D464" s="211">
        <v>0</v>
      </c>
      <c r="E464" s="211">
        <v>0</v>
      </c>
      <c r="F464" s="211">
        <v>0</v>
      </c>
      <c r="G464" s="211">
        <v>0</v>
      </c>
      <c r="H464" s="211">
        <v>0</v>
      </c>
      <c r="I464" s="386">
        <f t="shared" si="11"/>
        <v>31804412</v>
      </c>
      <c r="J464" s="203" t="s">
        <v>947</v>
      </c>
    </row>
    <row r="465" spans="1:10" hidden="1" outlineLevel="1">
      <c r="A465" s="425" t="s">
        <v>948</v>
      </c>
      <c r="B465" s="815">
        <v>11399063</v>
      </c>
      <c r="C465" s="211">
        <v>0</v>
      </c>
      <c r="D465" s="211">
        <v>0</v>
      </c>
      <c r="E465" s="211">
        <v>0</v>
      </c>
      <c r="F465" s="211">
        <v>0</v>
      </c>
      <c r="G465" s="211">
        <v>0</v>
      </c>
      <c r="H465" s="211">
        <v>0</v>
      </c>
      <c r="I465" s="386">
        <f t="shared" si="11"/>
        <v>11399063</v>
      </c>
      <c r="J465" s="203" t="s">
        <v>949</v>
      </c>
    </row>
    <row r="466" spans="1:10" hidden="1" outlineLevel="1">
      <c r="A466" s="425" t="s">
        <v>950</v>
      </c>
      <c r="B466" s="815">
        <v>23409292</v>
      </c>
      <c r="C466" s="211">
        <v>0</v>
      </c>
      <c r="D466" s="211">
        <v>0</v>
      </c>
      <c r="E466" s="211">
        <v>0</v>
      </c>
      <c r="F466" s="211">
        <v>0</v>
      </c>
      <c r="G466" s="211">
        <v>0</v>
      </c>
      <c r="H466" s="211">
        <v>0</v>
      </c>
      <c r="I466" s="386">
        <f t="shared" si="11"/>
        <v>23409292</v>
      </c>
      <c r="J466" s="203" t="s">
        <v>951</v>
      </c>
    </row>
    <row r="467" spans="1:10" hidden="1" outlineLevel="1">
      <c r="A467" s="425" t="s">
        <v>952</v>
      </c>
      <c r="B467" s="815">
        <v>63836297</v>
      </c>
      <c r="C467" s="211">
        <v>0</v>
      </c>
      <c r="D467" s="211">
        <v>0</v>
      </c>
      <c r="E467" s="211">
        <v>0</v>
      </c>
      <c r="F467" s="211">
        <v>0</v>
      </c>
      <c r="G467" s="211">
        <v>0</v>
      </c>
      <c r="H467" s="211">
        <v>0</v>
      </c>
      <c r="I467" s="386">
        <f t="shared" si="11"/>
        <v>63836297</v>
      </c>
      <c r="J467" s="203" t="s">
        <v>953</v>
      </c>
    </row>
    <row r="468" spans="1:10" hidden="1" outlineLevel="1">
      <c r="A468" s="425" t="s">
        <v>954</v>
      </c>
      <c r="B468" s="815">
        <v>144489730</v>
      </c>
      <c r="C468" s="211">
        <v>0</v>
      </c>
      <c r="D468" s="211">
        <v>0</v>
      </c>
      <c r="E468" s="211">
        <v>0</v>
      </c>
      <c r="F468" s="211">
        <v>0</v>
      </c>
      <c r="G468" s="211">
        <v>0</v>
      </c>
      <c r="H468" s="211">
        <v>0</v>
      </c>
      <c r="I468" s="386">
        <f t="shared" si="11"/>
        <v>144489730</v>
      </c>
      <c r="J468" s="203" t="s">
        <v>955</v>
      </c>
    </row>
    <row r="469" spans="1:10" hidden="1" outlineLevel="1">
      <c r="A469" s="425" t="s">
        <v>956</v>
      </c>
      <c r="B469" s="815">
        <v>35775745</v>
      </c>
      <c r="C469" s="211">
        <v>0</v>
      </c>
      <c r="D469" s="211">
        <v>0</v>
      </c>
      <c r="E469" s="211">
        <v>0</v>
      </c>
      <c r="F469" s="211">
        <v>0</v>
      </c>
      <c r="G469" s="211">
        <v>0</v>
      </c>
      <c r="H469" s="211">
        <v>0</v>
      </c>
      <c r="I469" s="386">
        <f t="shared" si="11"/>
        <v>35775745</v>
      </c>
      <c r="J469" s="203" t="s">
        <v>957</v>
      </c>
    </row>
    <row r="470" spans="1:10" hidden="1" outlineLevel="1">
      <c r="A470" s="425" t="s">
        <v>958</v>
      </c>
      <c r="B470" s="815">
        <v>101636138</v>
      </c>
      <c r="C470" s="211">
        <v>0</v>
      </c>
      <c r="D470" s="211">
        <v>0</v>
      </c>
      <c r="E470" s="211">
        <v>0</v>
      </c>
      <c r="F470" s="211">
        <v>0</v>
      </c>
      <c r="G470" s="211">
        <v>0</v>
      </c>
      <c r="H470" s="211">
        <v>0</v>
      </c>
      <c r="I470" s="386">
        <f t="shared" si="11"/>
        <v>101636138</v>
      </c>
      <c r="J470" s="203" t="s">
        <v>959</v>
      </c>
    </row>
    <row r="471" spans="1:10" hidden="1" outlineLevel="1">
      <c r="A471" s="425" t="s">
        <v>960</v>
      </c>
      <c r="B471" s="815">
        <v>108908044</v>
      </c>
      <c r="C471" s="211">
        <v>0</v>
      </c>
      <c r="D471" s="211">
        <v>0</v>
      </c>
      <c r="E471" s="211">
        <v>0</v>
      </c>
      <c r="F471" s="211">
        <v>0</v>
      </c>
      <c r="G471" s="211">
        <v>0</v>
      </c>
      <c r="H471" s="211">
        <v>0</v>
      </c>
      <c r="I471" s="386">
        <f t="shared" si="11"/>
        <v>108908044</v>
      </c>
      <c r="J471" s="203" t="s">
        <v>961</v>
      </c>
    </row>
    <row r="472" spans="1:10" hidden="1" outlineLevel="1">
      <c r="A472" s="425" t="s">
        <v>962</v>
      </c>
      <c r="B472" s="815">
        <v>135469900</v>
      </c>
      <c r="C472" s="211">
        <v>0</v>
      </c>
      <c r="D472" s="211">
        <v>0</v>
      </c>
      <c r="E472" s="211">
        <v>0</v>
      </c>
      <c r="F472" s="211">
        <v>0</v>
      </c>
      <c r="G472" s="211">
        <v>0</v>
      </c>
      <c r="H472" s="211">
        <v>0</v>
      </c>
      <c r="I472" s="386">
        <f t="shared" si="11"/>
        <v>135469900</v>
      </c>
      <c r="J472" s="203" t="s">
        <v>963</v>
      </c>
    </row>
    <row r="473" spans="1:10" hidden="1" outlineLevel="1">
      <c r="A473" s="425" t="s">
        <v>1869</v>
      </c>
      <c r="B473" s="815">
        <v>4729184.4400000004</v>
      </c>
      <c r="C473" s="211">
        <v>0</v>
      </c>
      <c r="D473" s="211">
        <v>0</v>
      </c>
      <c r="E473" s="211">
        <v>0</v>
      </c>
      <c r="F473" s="211">
        <v>0</v>
      </c>
      <c r="G473" s="211">
        <v>0</v>
      </c>
      <c r="H473" s="211">
        <v>0</v>
      </c>
      <c r="I473" s="386">
        <f t="shared" si="11"/>
        <v>4729184.4400000004</v>
      </c>
      <c r="J473" s="203" t="s">
        <v>1870</v>
      </c>
    </row>
    <row r="474" spans="1:10" hidden="1" outlineLevel="1">
      <c r="A474" s="425" t="s">
        <v>964</v>
      </c>
      <c r="B474" s="815">
        <v>266452097</v>
      </c>
      <c r="C474" s="211">
        <v>0</v>
      </c>
      <c r="D474" s="211">
        <v>0</v>
      </c>
      <c r="E474" s="211">
        <v>0</v>
      </c>
      <c r="F474" s="211">
        <v>0</v>
      </c>
      <c r="G474" s="211">
        <v>0</v>
      </c>
      <c r="H474" s="211">
        <v>0</v>
      </c>
      <c r="I474" s="386">
        <f t="shared" si="11"/>
        <v>266452097</v>
      </c>
      <c r="J474" s="203" t="s">
        <v>965</v>
      </c>
    </row>
    <row r="475" spans="1:10" hidden="1" outlineLevel="1">
      <c r="A475" s="425" t="s">
        <v>1871</v>
      </c>
      <c r="B475" s="814">
        <v>0</v>
      </c>
      <c r="C475" s="211">
        <v>0</v>
      </c>
      <c r="D475" s="211">
        <v>0</v>
      </c>
      <c r="E475" s="211">
        <v>0</v>
      </c>
      <c r="F475" s="211">
        <v>0</v>
      </c>
      <c r="G475" s="211">
        <v>0</v>
      </c>
      <c r="H475" s="211">
        <v>0</v>
      </c>
      <c r="I475" s="386">
        <f t="shared" si="11"/>
        <v>0</v>
      </c>
      <c r="J475" s="203" t="s">
        <v>1872</v>
      </c>
    </row>
    <row r="476" spans="1:10" hidden="1" outlineLevel="1">
      <c r="A476" s="425" t="s">
        <v>966</v>
      </c>
      <c r="B476" s="815">
        <v>16081355</v>
      </c>
      <c r="C476" s="211">
        <v>0</v>
      </c>
      <c r="D476" s="211">
        <v>0</v>
      </c>
      <c r="E476" s="211">
        <v>0</v>
      </c>
      <c r="F476" s="211">
        <v>0</v>
      </c>
      <c r="G476" s="211">
        <v>0</v>
      </c>
      <c r="H476" s="211">
        <v>0</v>
      </c>
      <c r="I476" s="386">
        <f t="shared" si="11"/>
        <v>16081355</v>
      </c>
      <c r="J476" s="203" t="s">
        <v>967</v>
      </c>
    </row>
    <row r="477" spans="1:10" hidden="1" outlineLevel="1">
      <c r="A477" s="425" t="s">
        <v>968</v>
      </c>
      <c r="B477" s="815">
        <v>45418359</v>
      </c>
      <c r="C477" s="211">
        <v>0</v>
      </c>
      <c r="D477" s="211">
        <v>0</v>
      </c>
      <c r="E477" s="211">
        <v>0</v>
      </c>
      <c r="F477" s="211">
        <v>0</v>
      </c>
      <c r="G477" s="211">
        <v>0</v>
      </c>
      <c r="H477" s="211">
        <v>0</v>
      </c>
      <c r="I477" s="386">
        <f t="shared" si="11"/>
        <v>45418359</v>
      </c>
      <c r="J477" s="203" t="s">
        <v>969</v>
      </c>
    </row>
    <row r="478" spans="1:10" hidden="1" outlineLevel="1">
      <c r="A478" s="425" t="s">
        <v>1873</v>
      </c>
      <c r="B478" s="815">
        <v>6331095</v>
      </c>
      <c r="C478" s="211">
        <v>0</v>
      </c>
      <c r="D478" s="211">
        <v>0</v>
      </c>
      <c r="E478" s="211">
        <v>0</v>
      </c>
      <c r="F478" s="211">
        <v>0</v>
      </c>
      <c r="G478" s="211">
        <v>0</v>
      </c>
      <c r="H478" s="211">
        <v>0</v>
      </c>
      <c r="I478" s="386">
        <f t="shared" ref="I478:I541" si="12">SUM(B478:H478)</f>
        <v>6331095</v>
      </c>
      <c r="J478" s="203" t="s">
        <v>1874</v>
      </c>
    </row>
    <row r="479" spans="1:10" hidden="1" outlineLevel="1">
      <c r="A479" s="425" t="s">
        <v>970</v>
      </c>
      <c r="B479" s="815">
        <v>26278002</v>
      </c>
      <c r="C479" s="211">
        <v>0</v>
      </c>
      <c r="D479" s="211">
        <v>0</v>
      </c>
      <c r="E479" s="211">
        <v>0</v>
      </c>
      <c r="F479" s="211">
        <v>0</v>
      </c>
      <c r="G479" s="211">
        <v>0</v>
      </c>
      <c r="H479" s="211">
        <v>0</v>
      </c>
      <c r="I479" s="386">
        <f t="shared" si="12"/>
        <v>26278002</v>
      </c>
      <c r="J479" s="203" t="s">
        <v>971</v>
      </c>
    </row>
    <row r="480" spans="1:10" hidden="1" outlineLevel="1">
      <c r="A480" s="425" t="s">
        <v>972</v>
      </c>
      <c r="B480" s="815">
        <v>500903315</v>
      </c>
      <c r="C480" s="211">
        <v>0</v>
      </c>
      <c r="D480" s="211">
        <v>0</v>
      </c>
      <c r="E480" s="211">
        <v>0</v>
      </c>
      <c r="F480" s="211">
        <v>0</v>
      </c>
      <c r="G480" s="211">
        <v>0</v>
      </c>
      <c r="H480" s="211">
        <v>0</v>
      </c>
      <c r="I480" s="386">
        <f t="shared" si="12"/>
        <v>500903315</v>
      </c>
      <c r="J480" s="203" t="s">
        <v>973</v>
      </c>
    </row>
    <row r="481" spans="1:10" hidden="1" outlineLevel="1">
      <c r="A481" s="425" t="s">
        <v>974</v>
      </c>
      <c r="B481" s="815">
        <v>932424543</v>
      </c>
      <c r="C481" s="211">
        <v>0</v>
      </c>
      <c r="D481" s="211">
        <v>0</v>
      </c>
      <c r="E481" s="211">
        <v>0</v>
      </c>
      <c r="F481" s="211">
        <v>0</v>
      </c>
      <c r="G481" s="211">
        <v>0</v>
      </c>
      <c r="H481" s="211">
        <v>0</v>
      </c>
      <c r="I481" s="386">
        <f t="shared" si="12"/>
        <v>932424543</v>
      </c>
      <c r="J481" s="203" t="s">
        <v>975</v>
      </c>
    </row>
    <row r="482" spans="1:10" hidden="1" outlineLevel="1">
      <c r="A482" s="425" t="s">
        <v>976</v>
      </c>
      <c r="B482" s="815">
        <v>112903408.16</v>
      </c>
      <c r="C482" s="211">
        <v>0</v>
      </c>
      <c r="D482" s="211">
        <v>0</v>
      </c>
      <c r="E482" s="211">
        <v>0</v>
      </c>
      <c r="F482" s="211">
        <v>0</v>
      </c>
      <c r="G482" s="211">
        <v>0</v>
      </c>
      <c r="H482" s="211">
        <v>0</v>
      </c>
      <c r="I482" s="386">
        <f t="shared" si="12"/>
        <v>112903408.16</v>
      </c>
      <c r="J482" s="203" t="s">
        <v>977</v>
      </c>
    </row>
    <row r="483" spans="1:10" hidden="1" outlineLevel="1">
      <c r="A483" s="425" t="s">
        <v>978</v>
      </c>
      <c r="B483" s="815">
        <v>147910530</v>
      </c>
      <c r="C483" s="211">
        <v>0</v>
      </c>
      <c r="D483" s="211">
        <v>0</v>
      </c>
      <c r="E483" s="211">
        <v>0</v>
      </c>
      <c r="F483" s="211">
        <v>0</v>
      </c>
      <c r="G483" s="211">
        <v>0</v>
      </c>
      <c r="H483" s="211">
        <v>0</v>
      </c>
      <c r="I483" s="386">
        <f t="shared" si="12"/>
        <v>147910530</v>
      </c>
      <c r="J483" s="203" t="s">
        <v>979</v>
      </c>
    </row>
    <row r="484" spans="1:10" hidden="1" outlineLevel="1">
      <c r="A484" s="425" t="s">
        <v>980</v>
      </c>
      <c r="B484" s="815">
        <v>285269248</v>
      </c>
      <c r="C484" s="211">
        <v>0</v>
      </c>
      <c r="D484" s="211">
        <v>0</v>
      </c>
      <c r="E484" s="211">
        <v>0</v>
      </c>
      <c r="F484" s="211">
        <v>0</v>
      </c>
      <c r="G484" s="211">
        <v>0</v>
      </c>
      <c r="H484" s="211">
        <v>0</v>
      </c>
      <c r="I484" s="386">
        <f t="shared" si="12"/>
        <v>285269248</v>
      </c>
      <c r="J484" s="203" t="s">
        <v>981</v>
      </c>
    </row>
    <row r="485" spans="1:10" hidden="1" outlineLevel="1">
      <c r="A485" s="425" t="s">
        <v>982</v>
      </c>
      <c r="B485" s="815">
        <v>22378068</v>
      </c>
      <c r="C485" s="211">
        <v>0</v>
      </c>
      <c r="D485" s="211">
        <v>0</v>
      </c>
      <c r="E485" s="211">
        <v>0</v>
      </c>
      <c r="F485" s="211">
        <v>0</v>
      </c>
      <c r="G485" s="211">
        <v>0</v>
      </c>
      <c r="H485" s="211">
        <v>0</v>
      </c>
      <c r="I485" s="386">
        <f t="shared" si="12"/>
        <v>22378068</v>
      </c>
      <c r="J485" s="203" t="s">
        <v>983</v>
      </c>
    </row>
    <row r="486" spans="1:10" hidden="1" outlineLevel="1">
      <c r="A486" s="425" t="s">
        <v>984</v>
      </c>
      <c r="B486" s="815">
        <v>154933305</v>
      </c>
      <c r="C486" s="211">
        <v>0</v>
      </c>
      <c r="D486" s="211">
        <v>0</v>
      </c>
      <c r="E486" s="211">
        <v>0</v>
      </c>
      <c r="F486" s="211">
        <v>0</v>
      </c>
      <c r="G486" s="211">
        <v>0</v>
      </c>
      <c r="H486" s="211">
        <v>0</v>
      </c>
      <c r="I486" s="386">
        <f t="shared" si="12"/>
        <v>154933305</v>
      </c>
      <c r="J486" s="203" t="s">
        <v>985</v>
      </c>
    </row>
    <row r="487" spans="1:10" hidden="1" outlineLevel="1">
      <c r="A487" s="425" t="s">
        <v>986</v>
      </c>
      <c r="B487" s="815">
        <v>47342596</v>
      </c>
      <c r="C487" s="211">
        <v>0</v>
      </c>
      <c r="D487" s="211">
        <v>0</v>
      </c>
      <c r="E487" s="211">
        <v>0</v>
      </c>
      <c r="F487" s="211">
        <v>0</v>
      </c>
      <c r="G487" s="211">
        <v>0</v>
      </c>
      <c r="H487" s="211">
        <v>0</v>
      </c>
      <c r="I487" s="386">
        <f t="shared" si="12"/>
        <v>47342596</v>
      </c>
      <c r="J487" s="203" t="s">
        <v>987</v>
      </c>
    </row>
    <row r="488" spans="1:10" hidden="1" outlineLevel="1">
      <c r="A488" s="425" t="s">
        <v>988</v>
      </c>
      <c r="B488" s="815">
        <v>169907058.39399999</v>
      </c>
      <c r="C488" s="211">
        <v>0</v>
      </c>
      <c r="D488" s="211">
        <v>0</v>
      </c>
      <c r="E488" s="211">
        <v>0</v>
      </c>
      <c r="F488" s="211">
        <v>0</v>
      </c>
      <c r="G488" s="211">
        <v>0</v>
      </c>
      <c r="H488" s="211">
        <v>0</v>
      </c>
      <c r="I488" s="386">
        <f t="shared" si="12"/>
        <v>169907058.39399999</v>
      </c>
      <c r="J488" s="203" t="s">
        <v>989</v>
      </c>
    </row>
    <row r="489" spans="1:10" hidden="1" outlineLevel="1">
      <c r="A489" s="425" t="s">
        <v>990</v>
      </c>
      <c r="B489" s="815">
        <v>39147582</v>
      </c>
      <c r="C489" s="211">
        <v>0</v>
      </c>
      <c r="D489" s="211">
        <v>0</v>
      </c>
      <c r="E489" s="211">
        <v>0</v>
      </c>
      <c r="F489" s="211">
        <v>0</v>
      </c>
      <c r="G489" s="211">
        <v>0</v>
      </c>
      <c r="H489" s="211">
        <v>0</v>
      </c>
      <c r="I489" s="386">
        <f t="shared" si="12"/>
        <v>39147582</v>
      </c>
      <c r="J489" s="203" t="s">
        <v>991</v>
      </c>
    </row>
    <row r="490" spans="1:10" hidden="1" outlineLevel="1">
      <c r="A490" s="425" t="s">
        <v>992</v>
      </c>
      <c r="B490" s="815">
        <v>61992142</v>
      </c>
      <c r="C490" s="211">
        <v>0</v>
      </c>
      <c r="D490" s="211">
        <v>0</v>
      </c>
      <c r="E490" s="211">
        <v>0</v>
      </c>
      <c r="F490" s="211">
        <v>0</v>
      </c>
      <c r="G490" s="211">
        <v>0</v>
      </c>
      <c r="H490" s="211">
        <v>0</v>
      </c>
      <c r="I490" s="386">
        <f t="shared" si="12"/>
        <v>61992142</v>
      </c>
      <c r="J490" s="203" t="s">
        <v>993</v>
      </c>
    </row>
    <row r="491" spans="1:10" hidden="1" outlineLevel="1">
      <c r="A491" s="425" t="s">
        <v>994</v>
      </c>
      <c r="B491" s="815">
        <v>37796903</v>
      </c>
      <c r="C491" s="211">
        <v>0</v>
      </c>
      <c r="D491" s="211">
        <v>0</v>
      </c>
      <c r="E491" s="211">
        <v>0</v>
      </c>
      <c r="F491" s="211">
        <v>0</v>
      </c>
      <c r="G491" s="211">
        <v>0</v>
      </c>
      <c r="H491" s="211">
        <v>0</v>
      </c>
      <c r="I491" s="386">
        <f t="shared" si="12"/>
        <v>37796903</v>
      </c>
      <c r="J491" s="203" t="s">
        <v>995</v>
      </c>
    </row>
    <row r="492" spans="1:10" hidden="1" outlineLevel="1">
      <c r="A492" s="425" t="s">
        <v>996</v>
      </c>
      <c r="B492" s="815">
        <v>15037161</v>
      </c>
      <c r="C492" s="211">
        <v>0</v>
      </c>
      <c r="D492" s="211">
        <v>0</v>
      </c>
      <c r="E492" s="211">
        <v>0</v>
      </c>
      <c r="F492" s="211">
        <v>0</v>
      </c>
      <c r="G492" s="211">
        <v>0</v>
      </c>
      <c r="H492" s="211">
        <v>0</v>
      </c>
      <c r="I492" s="386">
        <f t="shared" si="12"/>
        <v>15037161</v>
      </c>
      <c r="J492" s="203" t="s">
        <v>997</v>
      </c>
    </row>
    <row r="493" spans="1:10" hidden="1" outlineLevel="1">
      <c r="A493" s="425" t="s">
        <v>998</v>
      </c>
      <c r="B493" s="815">
        <v>11588290</v>
      </c>
      <c r="C493" s="211">
        <v>0</v>
      </c>
      <c r="D493" s="211">
        <v>0</v>
      </c>
      <c r="E493" s="211">
        <v>0</v>
      </c>
      <c r="F493" s="211">
        <v>0</v>
      </c>
      <c r="G493" s="211">
        <v>0</v>
      </c>
      <c r="H493" s="211">
        <v>0</v>
      </c>
      <c r="I493" s="386">
        <f t="shared" si="12"/>
        <v>11588290</v>
      </c>
      <c r="J493" s="203" t="s">
        <v>999</v>
      </c>
    </row>
    <row r="494" spans="1:10" hidden="1" outlineLevel="1">
      <c r="A494" s="425" t="s">
        <v>1000</v>
      </c>
      <c r="B494" s="815">
        <v>20519559</v>
      </c>
      <c r="C494" s="211">
        <v>0</v>
      </c>
      <c r="D494" s="211">
        <v>0</v>
      </c>
      <c r="E494" s="211">
        <v>0</v>
      </c>
      <c r="F494" s="211">
        <v>0</v>
      </c>
      <c r="G494" s="211">
        <v>0</v>
      </c>
      <c r="H494" s="211">
        <v>0</v>
      </c>
      <c r="I494" s="386">
        <f t="shared" si="12"/>
        <v>20519559</v>
      </c>
      <c r="J494" s="203" t="s">
        <v>1001</v>
      </c>
    </row>
    <row r="495" spans="1:10" hidden="1" outlineLevel="1">
      <c r="A495" s="425" t="s">
        <v>1002</v>
      </c>
      <c r="B495" s="815">
        <v>94838521</v>
      </c>
      <c r="C495" s="211">
        <v>0</v>
      </c>
      <c r="D495" s="211">
        <v>0</v>
      </c>
      <c r="E495" s="211">
        <v>0</v>
      </c>
      <c r="F495" s="211">
        <v>0</v>
      </c>
      <c r="G495" s="211">
        <v>0</v>
      </c>
      <c r="H495" s="211">
        <v>0</v>
      </c>
      <c r="I495" s="386">
        <f t="shared" si="12"/>
        <v>94838521</v>
      </c>
      <c r="J495" s="203" t="s">
        <v>1003</v>
      </c>
    </row>
    <row r="496" spans="1:10" hidden="1" outlineLevel="1">
      <c r="A496" s="425" t="s">
        <v>1004</v>
      </c>
      <c r="B496" s="815">
        <v>44699871</v>
      </c>
      <c r="C496" s="211">
        <v>0</v>
      </c>
      <c r="D496" s="211">
        <v>0</v>
      </c>
      <c r="E496" s="211">
        <v>0</v>
      </c>
      <c r="F496" s="211">
        <v>0</v>
      </c>
      <c r="G496" s="211">
        <v>0</v>
      </c>
      <c r="H496" s="211">
        <v>0</v>
      </c>
      <c r="I496" s="386">
        <f t="shared" si="12"/>
        <v>44699871</v>
      </c>
      <c r="J496" s="203" t="s">
        <v>1005</v>
      </c>
    </row>
    <row r="497" spans="1:10" hidden="1" outlineLevel="1">
      <c r="A497" s="425" t="s">
        <v>1006</v>
      </c>
      <c r="B497" s="815">
        <v>52804951</v>
      </c>
      <c r="C497" s="211">
        <v>0</v>
      </c>
      <c r="D497" s="211">
        <v>0</v>
      </c>
      <c r="E497" s="211">
        <v>0</v>
      </c>
      <c r="F497" s="211">
        <v>0</v>
      </c>
      <c r="G497" s="211">
        <v>0</v>
      </c>
      <c r="H497" s="211">
        <v>0</v>
      </c>
      <c r="I497" s="386">
        <f t="shared" si="12"/>
        <v>52804951</v>
      </c>
      <c r="J497" s="203" t="s">
        <v>1007</v>
      </c>
    </row>
    <row r="498" spans="1:10" hidden="1" outlineLevel="1">
      <c r="A498" s="425" t="s">
        <v>1008</v>
      </c>
      <c r="B498" s="815">
        <v>14141114</v>
      </c>
      <c r="C498" s="211">
        <v>0</v>
      </c>
      <c r="D498" s="211">
        <v>0</v>
      </c>
      <c r="E498" s="211">
        <v>0</v>
      </c>
      <c r="F498" s="211">
        <v>0</v>
      </c>
      <c r="G498" s="211">
        <v>0</v>
      </c>
      <c r="H498" s="211">
        <v>0</v>
      </c>
      <c r="I498" s="386">
        <f t="shared" si="12"/>
        <v>14141114</v>
      </c>
      <c r="J498" s="203" t="s">
        <v>1009</v>
      </c>
    </row>
    <row r="499" spans="1:10" hidden="1" outlineLevel="1">
      <c r="A499" s="425" t="s">
        <v>1010</v>
      </c>
      <c r="B499" s="815">
        <v>17304854</v>
      </c>
      <c r="C499" s="211">
        <v>0</v>
      </c>
      <c r="D499" s="211">
        <v>0</v>
      </c>
      <c r="E499" s="211">
        <v>0</v>
      </c>
      <c r="F499" s="211">
        <v>0</v>
      </c>
      <c r="G499" s="211">
        <v>0</v>
      </c>
      <c r="H499" s="211">
        <v>0</v>
      </c>
      <c r="I499" s="386">
        <f t="shared" si="12"/>
        <v>17304854</v>
      </c>
      <c r="J499" s="203" t="s">
        <v>1011</v>
      </c>
    </row>
    <row r="500" spans="1:10" hidden="1" outlineLevel="1">
      <c r="A500" s="425" t="s">
        <v>1012</v>
      </c>
      <c r="B500" s="815">
        <v>5780753</v>
      </c>
      <c r="C500" s="211">
        <v>0</v>
      </c>
      <c r="D500" s="211">
        <v>0</v>
      </c>
      <c r="E500" s="211">
        <v>0</v>
      </c>
      <c r="F500" s="211">
        <v>0</v>
      </c>
      <c r="G500" s="211">
        <v>0</v>
      </c>
      <c r="H500" s="211">
        <v>0</v>
      </c>
      <c r="I500" s="386">
        <f t="shared" si="12"/>
        <v>5780753</v>
      </c>
      <c r="J500" s="203" t="s">
        <v>1013</v>
      </c>
    </row>
    <row r="501" spans="1:10" hidden="1" outlineLevel="1">
      <c r="A501" s="425" t="s">
        <v>1014</v>
      </c>
      <c r="B501" s="815">
        <v>50824022</v>
      </c>
      <c r="C501" s="211">
        <v>0</v>
      </c>
      <c r="D501" s="211">
        <v>0</v>
      </c>
      <c r="E501" s="211">
        <v>0</v>
      </c>
      <c r="F501" s="211">
        <v>0</v>
      </c>
      <c r="G501" s="211">
        <v>0</v>
      </c>
      <c r="H501" s="211">
        <v>0</v>
      </c>
      <c r="I501" s="386">
        <f t="shared" si="12"/>
        <v>50824022</v>
      </c>
      <c r="J501" s="203" t="s">
        <v>1015</v>
      </c>
    </row>
    <row r="502" spans="1:10" hidden="1" outlineLevel="1">
      <c r="A502" s="425" t="s">
        <v>1016</v>
      </c>
      <c r="B502" s="815">
        <v>7235631</v>
      </c>
      <c r="C502" s="211">
        <v>0</v>
      </c>
      <c r="D502" s="211">
        <v>0</v>
      </c>
      <c r="E502" s="211">
        <v>0</v>
      </c>
      <c r="F502" s="211">
        <v>0</v>
      </c>
      <c r="G502" s="211">
        <v>0</v>
      </c>
      <c r="H502" s="211">
        <v>0</v>
      </c>
      <c r="I502" s="386">
        <f t="shared" si="12"/>
        <v>7235631</v>
      </c>
      <c r="J502" s="203" t="s">
        <v>1017</v>
      </c>
    </row>
    <row r="503" spans="1:10" hidden="1" outlineLevel="1">
      <c r="A503" s="425" t="s">
        <v>1018</v>
      </c>
      <c r="B503" s="815">
        <v>64912065</v>
      </c>
      <c r="C503" s="211">
        <v>0</v>
      </c>
      <c r="D503" s="211">
        <v>0</v>
      </c>
      <c r="E503" s="211">
        <v>0</v>
      </c>
      <c r="F503" s="211">
        <v>0</v>
      </c>
      <c r="G503" s="211">
        <v>0</v>
      </c>
      <c r="H503" s="211">
        <v>0</v>
      </c>
      <c r="I503" s="386">
        <f t="shared" si="12"/>
        <v>64912065</v>
      </c>
      <c r="J503" s="203" t="s">
        <v>1019</v>
      </c>
    </row>
    <row r="504" spans="1:10" hidden="1" outlineLevel="1">
      <c r="A504" s="425" t="s">
        <v>1020</v>
      </c>
      <c r="B504" s="815">
        <v>87066241</v>
      </c>
      <c r="C504" s="211">
        <v>0</v>
      </c>
      <c r="D504" s="211">
        <v>0</v>
      </c>
      <c r="E504" s="211">
        <v>0</v>
      </c>
      <c r="F504" s="211">
        <v>0</v>
      </c>
      <c r="G504" s="211">
        <v>0</v>
      </c>
      <c r="H504" s="211">
        <v>0</v>
      </c>
      <c r="I504" s="386">
        <f t="shared" si="12"/>
        <v>87066241</v>
      </c>
      <c r="J504" s="203" t="s">
        <v>1021</v>
      </c>
    </row>
    <row r="505" spans="1:10" hidden="1" outlineLevel="1">
      <c r="A505" s="425" t="s">
        <v>1022</v>
      </c>
      <c r="B505" s="815">
        <v>239395114</v>
      </c>
      <c r="C505" s="211">
        <v>0</v>
      </c>
      <c r="D505" s="211">
        <v>0</v>
      </c>
      <c r="E505" s="211">
        <v>0</v>
      </c>
      <c r="F505" s="211">
        <v>0</v>
      </c>
      <c r="G505" s="211">
        <v>0</v>
      </c>
      <c r="H505" s="211">
        <v>0</v>
      </c>
      <c r="I505" s="386">
        <f t="shared" si="12"/>
        <v>239395114</v>
      </c>
      <c r="J505" s="203" t="s">
        <v>1023</v>
      </c>
    </row>
    <row r="506" spans="1:10" hidden="1" outlineLevel="1">
      <c r="A506" s="425" t="s">
        <v>1024</v>
      </c>
      <c r="B506" s="815">
        <v>780468186.56200004</v>
      </c>
      <c r="C506" s="211">
        <v>0</v>
      </c>
      <c r="D506" s="211">
        <v>0</v>
      </c>
      <c r="E506" s="211">
        <v>0</v>
      </c>
      <c r="F506" s="211">
        <v>16144624</v>
      </c>
      <c r="G506" s="211">
        <v>0</v>
      </c>
      <c r="H506" s="211">
        <v>0</v>
      </c>
      <c r="I506" s="386">
        <f t="shared" si="12"/>
        <v>796612810.56200004</v>
      </c>
      <c r="J506" s="203" t="s">
        <v>1025</v>
      </c>
    </row>
    <row r="507" spans="1:10" hidden="1" outlineLevel="1">
      <c r="A507" s="425" t="s">
        <v>1026</v>
      </c>
      <c r="B507" s="815">
        <v>84013824.5</v>
      </c>
      <c r="C507" s="211">
        <v>0</v>
      </c>
      <c r="D507" s="211">
        <v>0</v>
      </c>
      <c r="E507" s="211">
        <v>0</v>
      </c>
      <c r="F507" s="211">
        <v>0</v>
      </c>
      <c r="G507" s="211">
        <v>0</v>
      </c>
      <c r="H507" s="211">
        <v>0</v>
      </c>
      <c r="I507" s="386">
        <f t="shared" si="12"/>
        <v>84013824.5</v>
      </c>
      <c r="J507" s="203" t="s">
        <v>1027</v>
      </c>
    </row>
    <row r="508" spans="1:10" hidden="1" outlineLevel="1">
      <c r="A508" s="425" t="s">
        <v>1028</v>
      </c>
      <c r="B508" s="815">
        <v>17530858</v>
      </c>
      <c r="C508" s="211">
        <v>0</v>
      </c>
      <c r="D508" s="211">
        <v>0</v>
      </c>
      <c r="E508" s="211">
        <v>0</v>
      </c>
      <c r="F508" s="211">
        <v>0</v>
      </c>
      <c r="G508" s="211">
        <v>0</v>
      </c>
      <c r="H508" s="211">
        <v>0</v>
      </c>
      <c r="I508" s="386">
        <f t="shared" si="12"/>
        <v>17530858</v>
      </c>
      <c r="J508" s="203" t="s">
        <v>1029</v>
      </c>
    </row>
    <row r="509" spans="1:10" hidden="1" outlineLevel="1">
      <c r="A509" s="425" t="s">
        <v>1030</v>
      </c>
      <c r="B509" s="815">
        <v>603267066</v>
      </c>
      <c r="C509" s="211">
        <v>0</v>
      </c>
      <c r="D509" s="211">
        <v>0</v>
      </c>
      <c r="E509" s="211">
        <v>0</v>
      </c>
      <c r="F509" s="211">
        <v>0</v>
      </c>
      <c r="G509" s="211">
        <v>0</v>
      </c>
      <c r="H509" s="211">
        <v>0</v>
      </c>
      <c r="I509" s="386">
        <f t="shared" si="12"/>
        <v>603267066</v>
      </c>
      <c r="J509" s="203" t="s">
        <v>1031</v>
      </c>
    </row>
    <row r="510" spans="1:10" hidden="1" outlineLevel="1">
      <c r="A510" s="425" t="s">
        <v>1032</v>
      </c>
      <c r="B510" s="815">
        <v>10103927</v>
      </c>
      <c r="C510" s="211">
        <v>0</v>
      </c>
      <c r="D510" s="211">
        <v>0</v>
      </c>
      <c r="E510" s="211">
        <v>0</v>
      </c>
      <c r="F510" s="211">
        <v>0</v>
      </c>
      <c r="G510" s="211">
        <v>0</v>
      </c>
      <c r="H510" s="211">
        <v>0</v>
      </c>
      <c r="I510" s="386">
        <f t="shared" si="12"/>
        <v>10103927</v>
      </c>
      <c r="J510" s="203" t="s">
        <v>1033</v>
      </c>
    </row>
    <row r="511" spans="1:10" hidden="1" outlineLevel="1">
      <c r="A511" s="425" t="s">
        <v>1034</v>
      </c>
      <c r="B511" s="815">
        <v>7783080</v>
      </c>
      <c r="C511" s="211">
        <v>0</v>
      </c>
      <c r="D511" s="211">
        <v>0</v>
      </c>
      <c r="E511" s="211">
        <v>0</v>
      </c>
      <c r="F511" s="211">
        <v>0</v>
      </c>
      <c r="G511" s="211">
        <v>0</v>
      </c>
      <c r="H511" s="211">
        <v>0</v>
      </c>
      <c r="I511" s="386">
        <f t="shared" si="12"/>
        <v>7783080</v>
      </c>
      <c r="J511" s="203" t="s">
        <v>1035</v>
      </c>
    </row>
    <row r="512" spans="1:10" hidden="1" outlineLevel="1">
      <c r="A512" s="425" t="s">
        <v>1036</v>
      </c>
      <c r="B512" s="815">
        <v>90502060</v>
      </c>
      <c r="C512" s="211">
        <v>0</v>
      </c>
      <c r="D512" s="211">
        <v>0</v>
      </c>
      <c r="E512" s="211">
        <v>0</v>
      </c>
      <c r="F512" s="211">
        <v>0</v>
      </c>
      <c r="G512" s="211">
        <v>0</v>
      </c>
      <c r="H512" s="211">
        <v>0</v>
      </c>
      <c r="I512" s="386">
        <f t="shared" si="12"/>
        <v>90502060</v>
      </c>
      <c r="J512" s="203" t="s">
        <v>1037</v>
      </c>
    </row>
    <row r="513" spans="1:10" hidden="1" outlineLevel="1">
      <c r="A513" s="425" t="s">
        <v>1038</v>
      </c>
      <c r="B513" s="815">
        <v>21865807</v>
      </c>
      <c r="C513" s="211">
        <v>0</v>
      </c>
      <c r="D513" s="211">
        <v>0</v>
      </c>
      <c r="E513" s="211">
        <v>0</v>
      </c>
      <c r="F513" s="211">
        <v>0</v>
      </c>
      <c r="G513" s="211">
        <v>0</v>
      </c>
      <c r="H513" s="211">
        <v>0</v>
      </c>
      <c r="I513" s="386">
        <f t="shared" si="12"/>
        <v>21865807</v>
      </c>
      <c r="J513" s="203" t="s">
        <v>1039</v>
      </c>
    </row>
    <row r="514" spans="1:10" hidden="1" outlineLevel="1">
      <c r="A514" s="425" t="s">
        <v>1040</v>
      </c>
      <c r="B514" s="815">
        <v>34015679</v>
      </c>
      <c r="C514" s="211">
        <v>0</v>
      </c>
      <c r="D514" s="211">
        <v>0</v>
      </c>
      <c r="E514" s="211">
        <v>0</v>
      </c>
      <c r="F514" s="211">
        <v>0</v>
      </c>
      <c r="G514" s="211">
        <v>0</v>
      </c>
      <c r="H514" s="211">
        <v>0</v>
      </c>
      <c r="I514" s="386">
        <f t="shared" si="12"/>
        <v>34015679</v>
      </c>
      <c r="J514" s="203" t="s">
        <v>1041</v>
      </c>
    </row>
    <row r="515" spans="1:10" hidden="1" outlineLevel="1">
      <c r="A515" s="425" t="s">
        <v>1042</v>
      </c>
      <c r="B515" s="815">
        <v>25380262</v>
      </c>
      <c r="C515" s="211">
        <v>0</v>
      </c>
      <c r="D515" s="211">
        <v>0</v>
      </c>
      <c r="E515" s="211">
        <v>0</v>
      </c>
      <c r="F515" s="211">
        <v>0</v>
      </c>
      <c r="G515" s="211">
        <v>0</v>
      </c>
      <c r="H515" s="211">
        <v>0</v>
      </c>
      <c r="I515" s="386">
        <f t="shared" si="12"/>
        <v>25380262</v>
      </c>
      <c r="J515" s="203" t="s">
        <v>1043</v>
      </c>
    </row>
    <row r="516" spans="1:10" hidden="1" outlineLevel="1">
      <c r="A516" s="425" t="s">
        <v>1044</v>
      </c>
      <c r="B516" s="815">
        <v>43373293</v>
      </c>
      <c r="C516" s="211">
        <v>0</v>
      </c>
      <c r="D516" s="211">
        <v>0</v>
      </c>
      <c r="E516" s="211">
        <v>0</v>
      </c>
      <c r="F516" s="211">
        <v>0</v>
      </c>
      <c r="G516" s="211">
        <v>0</v>
      </c>
      <c r="H516" s="211">
        <v>0</v>
      </c>
      <c r="I516" s="386">
        <f t="shared" si="12"/>
        <v>43373293</v>
      </c>
      <c r="J516" s="203" t="s">
        <v>1045</v>
      </c>
    </row>
    <row r="517" spans="1:10" hidden="1" outlineLevel="1">
      <c r="A517" s="425" t="s">
        <v>1046</v>
      </c>
      <c r="B517" s="815">
        <v>25148257</v>
      </c>
      <c r="C517" s="211">
        <v>0</v>
      </c>
      <c r="D517" s="211">
        <v>0</v>
      </c>
      <c r="E517" s="211">
        <v>0</v>
      </c>
      <c r="F517" s="211">
        <v>0</v>
      </c>
      <c r="G517" s="211">
        <v>0</v>
      </c>
      <c r="H517" s="211">
        <v>0</v>
      </c>
      <c r="I517" s="386">
        <f t="shared" si="12"/>
        <v>25148257</v>
      </c>
      <c r="J517" s="203" t="s">
        <v>1047</v>
      </c>
    </row>
    <row r="518" spans="1:10" hidden="1" outlineLevel="1">
      <c r="A518" s="425" t="s">
        <v>1048</v>
      </c>
      <c r="B518" s="815">
        <v>39851478</v>
      </c>
      <c r="C518" s="211">
        <v>0</v>
      </c>
      <c r="D518" s="211">
        <v>0</v>
      </c>
      <c r="E518" s="211">
        <v>0</v>
      </c>
      <c r="F518" s="211">
        <v>0</v>
      </c>
      <c r="G518" s="211">
        <v>0</v>
      </c>
      <c r="H518" s="211">
        <v>0</v>
      </c>
      <c r="I518" s="386">
        <f t="shared" si="12"/>
        <v>39851478</v>
      </c>
      <c r="J518" s="203" t="s">
        <v>1049</v>
      </c>
    </row>
    <row r="519" spans="1:10" hidden="1" outlineLevel="1">
      <c r="A519" s="425" t="s">
        <v>1050</v>
      </c>
      <c r="B519" s="815">
        <v>58712505</v>
      </c>
      <c r="C519" s="211">
        <v>0</v>
      </c>
      <c r="D519" s="211">
        <v>0</v>
      </c>
      <c r="E519" s="211">
        <v>0</v>
      </c>
      <c r="F519" s="211">
        <v>0</v>
      </c>
      <c r="G519" s="211">
        <v>0</v>
      </c>
      <c r="H519" s="211">
        <v>0</v>
      </c>
      <c r="I519" s="386">
        <f t="shared" si="12"/>
        <v>58712505</v>
      </c>
      <c r="J519" s="203" t="s">
        <v>1051</v>
      </c>
    </row>
    <row r="520" spans="1:10" hidden="1" outlineLevel="1">
      <c r="A520" s="425" t="s">
        <v>1052</v>
      </c>
      <c r="B520" s="815">
        <v>53312543</v>
      </c>
      <c r="C520" s="211">
        <v>0</v>
      </c>
      <c r="D520" s="211">
        <v>0</v>
      </c>
      <c r="E520" s="211">
        <v>0</v>
      </c>
      <c r="F520" s="211">
        <v>0</v>
      </c>
      <c r="G520" s="211">
        <v>0</v>
      </c>
      <c r="H520" s="211">
        <v>0</v>
      </c>
      <c r="I520" s="386">
        <f t="shared" si="12"/>
        <v>53312543</v>
      </c>
      <c r="J520" s="203" t="s">
        <v>1053</v>
      </c>
    </row>
    <row r="521" spans="1:10" hidden="1" outlineLevel="1">
      <c r="A521" s="425" t="s">
        <v>1054</v>
      </c>
      <c r="B521" s="815">
        <v>171860860</v>
      </c>
      <c r="C521" s="211">
        <v>0</v>
      </c>
      <c r="D521" s="211">
        <v>0</v>
      </c>
      <c r="E521" s="211">
        <v>0</v>
      </c>
      <c r="F521" s="211">
        <v>0</v>
      </c>
      <c r="G521" s="211">
        <v>0</v>
      </c>
      <c r="H521" s="211">
        <v>0</v>
      </c>
      <c r="I521" s="386">
        <f t="shared" si="12"/>
        <v>171860860</v>
      </c>
      <c r="J521" s="203" t="s">
        <v>1055</v>
      </c>
    </row>
    <row r="522" spans="1:10" hidden="1" outlineLevel="1">
      <c r="A522" s="425" t="s">
        <v>1056</v>
      </c>
      <c r="B522" s="815">
        <v>25033478</v>
      </c>
      <c r="C522" s="211">
        <v>0</v>
      </c>
      <c r="D522" s="211">
        <v>0</v>
      </c>
      <c r="E522" s="211">
        <v>0</v>
      </c>
      <c r="F522" s="211">
        <v>0</v>
      </c>
      <c r="G522" s="211">
        <v>0</v>
      </c>
      <c r="H522" s="211">
        <v>0</v>
      </c>
      <c r="I522" s="386">
        <f t="shared" si="12"/>
        <v>25033478</v>
      </c>
      <c r="J522" s="203" t="s">
        <v>1057</v>
      </c>
    </row>
    <row r="523" spans="1:10" hidden="1" outlineLevel="1">
      <c r="A523" s="425" t="s">
        <v>1058</v>
      </c>
      <c r="B523" s="815">
        <v>169093057</v>
      </c>
      <c r="C523" s="211">
        <v>0</v>
      </c>
      <c r="D523" s="211">
        <v>0</v>
      </c>
      <c r="E523" s="211">
        <v>0</v>
      </c>
      <c r="F523" s="211">
        <v>0</v>
      </c>
      <c r="G523" s="211">
        <v>0</v>
      </c>
      <c r="H523" s="211">
        <v>0</v>
      </c>
      <c r="I523" s="386">
        <f t="shared" si="12"/>
        <v>169093057</v>
      </c>
      <c r="J523" s="203" t="s">
        <v>1059</v>
      </c>
    </row>
    <row r="524" spans="1:10" hidden="1" outlineLevel="1">
      <c r="A524" s="425" t="s">
        <v>1060</v>
      </c>
      <c r="B524" s="815">
        <v>117153080</v>
      </c>
      <c r="C524" s="211">
        <v>0</v>
      </c>
      <c r="D524" s="211">
        <v>0</v>
      </c>
      <c r="E524" s="211">
        <v>0</v>
      </c>
      <c r="F524" s="211">
        <v>0</v>
      </c>
      <c r="G524" s="211">
        <v>0</v>
      </c>
      <c r="H524" s="211">
        <v>0</v>
      </c>
      <c r="I524" s="386">
        <f t="shared" si="12"/>
        <v>117153080</v>
      </c>
      <c r="J524" s="203" t="s">
        <v>1061</v>
      </c>
    </row>
    <row r="525" spans="1:10" hidden="1" outlineLevel="1">
      <c r="A525" s="425" t="s">
        <v>1062</v>
      </c>
      <c r="B525" s="815">
        <v>74906536</v>
      </c>
      <c r="C525" s="211">
        <v>0</v>
      </c>
      <c r="D525" s="211">
        <v>0</v>
      </c>
      <c r="E525" s="211">
        <v>0</v>
      </c>
      <c r="F525" s="211">
        <v>0</v>
      </c>
      <c r="G525" s="211">
        <v>0</v>
      </c>
      <c r="H525" s="211">
        <v>0</v>
      </c>
      <c r="I525" s="386">
        <f t="shared" si="12"/>
        <v>74906536</v>
      </c>
      <c r="J525" s="203" t="s">
        <v>1063</v>
      </c>
    </row>
    <row r="526" spans="1:10" hidden="1" outlineLevel="1">
      <c r="A526" s="425" t="s">
        <v>1064</v>
      </c>
      <c r="B526" s="815">
        <v>143562363</v>
      </c>
      <c r="C526" s="211">
        <v>0</v>
      </c>
      <c r="D526" s="211">
        <v>0</v>
      </c>
      <c r="E526" s="211">
        <v>0</v>
      </c>
      <c r="F526" s="211">
        <v>0</v>
      </c>
      <c r="G526" s="211">
        <v>0</v>
      </c>
      <c r="H526" s="211">
        <v>0</v>
      </c>
      <c r="I526" s="386">
        <f t="shared" si="12"/>
        <v>143562363</v>
      </c>
      <c r="J526" s="203" t="s">
        <v>1065</v>
      </c>
    </row>
    <row r="527" spans="1:10" hidden="1" outlineLevel="1">
      <c r="A527" s="425" t="s">
        <v>1066</v>
      </c>
      <c r="B527" s="815">
        <v>8000430</v>
      </c>
      <c r="C527" s="211">
        <v>0</v>
      </c>
      <c r="D527" s="211">
        <v>0</v>
      </c>
      <c r="E527" s="211">
        <v>0</v>
      </c>
      <c r="F527" s="211">
        <v>0</v>
      </c>
      <c r="G527" s="211">
        <v>0</v>
      </c>
      <c r="H527" s="211">
        <v>0</v>
      </c>
      <c r="I527" s="386">
        <f t="shared" si="12"/>
        <v>8000430</v>
      </c>
      <c r="J527" s="203" t="s">
        <v>1067</v>
      </c>
    </row>
    <row r="528" spans="1:10" hidden="1" outlineLevel="1">
      <c r="A528" s="425" t="s">
        <v>1068</v>
      </c>
      <c r="B528" s="815">
        <v>114463127</v>
      </c>
      <c r="C528" s="211">
        <v>0</v>
      </c>
      <c r="D528" s="211">
        <v>0</v>
      </c>
      <c r="E528" s="211">
        <v>0</v>
      </c>
      <c r="F528" s="211">
        <v>0</v>
      </c>
      <c r="G528" s="211">
        <v>0</v>
      </c>
      <c r="H528" s="211">
        <v>0</v>
      </c>
      <c r="I528" s="386">
        <f t="shared" si="12"/>
        <v>114463127</v>
      </c>
      <c r="J528" s="203" t="s">
        <v>1069</v>
      </c>
    </row>
    <row r="529" spans="1:10" hidden="1" outlineLevel="1">
      <c r="A529" s="425" t="s">
        <v>1070</v>
      </c>
      <c r="B529" s="815">
        <v>77608827</v>
      </c>
      <c r="C529" s="211">
        <v>0</v>
      </c>
      <c r="D529" s="211">
        <v>0</v>
      </c>
      <c r="E529" s="211">
        <v>0</v>
      </c>
      <c r="F529" s="211">
        <v>0</v>
      </c>
      <c r="G529" s="211">
        <v>0</v>
      </c>
      <c r="H529" s="211">
        <v>0</v>
      </c>
      <c r="I529" s="386">
        <f t="shared" si="12"/>
        <v>77608827</v>
      </c>
      <c r="J529" s="203" t="s">
        <v>1071</v>
      </c>
    </row>
    <row r="530" spans="1:10" hidden="1" outlineLevel="1">
      <c r="A530" s="425" t="s">
        <v>1072</v>
      </c>
      <c r="B530" s="815">
        <v>60986154</v>
      </c>
      <c r="C530" s="211">
        <v>0</v>
      </c>
      <c r="D530" s="211">
        <v>0</v>
      </c>
      <c r="E530" s="211">
        <v>0</v>
      </c>
      <c r="F530" s="211">
        <v>0</v>
      </c>
      <c r="G530" s="211">
        <v>0</v>
      </c>
      <c r="H530" s="211">
        <v>0</v>
      </c>
      <c r="I530" s="386">
        <f t="shared" si="12"/>
        <v>60986154</v>
      </c>
      <c r="J530" s="203" t="s">
        <v>1073</v>
      </c>
    </row>
    <row r="531" spans="1:10" hidden="1" outlineLevel="1">
      <c r="A531" s="425" t="s">
        <v>1074</v>
      </c>
      <c r="B531" s="815">
        <v>221162686</v>
      </c>
      <c r="C531" s="211">
        <v>0</v>
      </c>
      <c r="D531" s="211">
        <v>0</v>
      </c>
      <c r="E531" s="211">
        <v>0</v>
      </c>
      <c r="F531" s="211">
        <v>0</v>
      </c>
      <c r="G531" s="211">
        <v>0</v>
      </c>
      <c r="H531" s="211">
        <v>0</v>
      </c>
      <c r="I531" s="386">
        <f t="shared" si="12"/>
        <v>221162686</v>
      </c>
      <c r="J531" s="203" t="s">
        <v>1075</v>
      </c>
    </row>
    <row r="532" spans="1:10" hidden="1" outlineLevel="1">
      <c r="A532" s="425" t="s">
        <v>1076</v>
      </c>
      <c r="B532" s="815">
        <v>44888755</v>
      </c>
      <c r="C532" s="211">
        <v>0</v>
      </c>
      <c r="D532" s="211">
        <v>0</v>
      </c>
      <c r="E532" s="211">
        <v>0</v>
      </c>
      <c r="F532" s="211">
        <v>0</v>
      </c>
      <c r="G532" s="211">
        <v>0</v>
      </c>
      <c r="H532" s="211">
        <v>0</v>
      </c>
      <c r="I532" s="386">
        <f t="shared" si="12"/>
        <v>44888755</v>
      </c>
      <c r="J532" s="203" t="s">
        <v>1077</v>
      </c>
    </row>
    <row r="533" spans="1:10" hidden="1" outlineLevel="1">
      <c r="A533" s="425" t="s">
        <v>1078</v>
      </c>
      <c r="B533" s="815">
        <v>57378095</v>
      </c>
      <c r="C533" s="211">
        <v>0</v>
      </c>
      <c r="D533" s="211">
        <v>0</v>
      </c>
      <c r="E533" s="211">
        <v>0</v>
      </c>
      <c r="F533" s="211">
        <v>0</v>
      </c>
      <c r="G533" s="211">
        <v>0</v>
      </c>
      <c r="H533" s="211">
        <v>0</v>
      </c>
      <c r="I533" s="386">
        <f t="shared" si="12"/>
        <v>57378095</v>
      </c>
      <c r="J533" s="203" t="s">
        <v>1079</v>
      </c>
    </row>
    <row r="534" spans="1:10" hidden="1" outlineLevel="1">
      <c r="A534" s="425" t="s">
        <v>1080</v>
      </c>
      <c r="B534" s="815">
        <v>112517614</v>
      </c>
      <c r="C534" s="211">
        <v>0</v>
      </c>
      <c r="D534" s="211">
        <v>0</v>
      </c>
      <c r="E534" s="211">
        <v>0</v>
      </c>
      <c r="F534" s="211">
        <v>0</v>
      </c>
      <c r="G534" s="211">
        <v>0</v>
      </c>
      <c r="H534" s="211">
        <v>0</v>
      </c>
      <c r="I534" s="386">
        <f t="shared" si="12"/>
        <v>112517614</v>
      </c>
      <c r="J534" s="203" t="s">
        <v>1081</v>
      </c>
    </row>
    <row r="535" spans="1:10" hidden="1" outlineLevel="1">
      <c r="A535" s="425" t="s">
        <v>1082</v>
      </c>
      <c r="B535" s="815">
        <v>40553197</v>
      </c>
      <c r="C535" s="211">
        <v>0</v>
      </c>
      <c r="D535" s="211">
        <v>0</v>
      </c>
      <c r="E535" s="211">
        <v>0</v>
      </c>
      <c r="F535" s="211">
        <v>0</v>
      </c>
      <c r="G535" s="211">
        <v>0</v>
      </c>
      <c r="H535" s="211">
        <v>0</v>
      </c>
      <c r="I535" s="386">
        <f t="shared" si="12"/>
        <v>40553197</v>
      </c>
      <c r="J535" s="203" t="s">
        <v>1083</v>
      </c>
    </row>
    <row r="536" spans="1:10" hidden="1" outlineLevel="1">
      <c r="A536" s="425" t="s">
        <v>1084</v>
      </c>
      <c r="B536" s="815">
        <v>74088272</v>
      </c>
      <c r="C536" s="211">
        <v>0</v>
      </c>
      <c r="D536" s="211">
        <v>0</v>
      </c>
      <c r="E536" s="211">
        <v>0</v>
      </c>
      <c r="F536" s="211">
        <v>0</v>
      </c>
      <c r="G536" s="211">
        <v>0</v>
      </c>
      <c r="H536" s="211">
        <v>0</v>
      </c>
      <c r="I536" s="386">
        <f t="shared" si="12"/>
        <v>74088272</v>
      </c>
      <c r="J536" s="203" t="s">
        <v>1085</v>
      </c>
    </row>
    <row r="537" spans="1:10" hidden="1" outlineLevel="1">
      <c r="A537" s="425" t="s">
        <v>1086</v>
      </c>
      <c r="B537" s="815">
        <v>105477836</v>
      </c>
      <c r="C537" s="211">
        <v>0</v>
      </c>
      <c r="D537" s="211">
        <v>0</v>
      </c>
      <c r="E537" s="211">
        <v>0</v>
      </c>
      <c r="F537" s="211">
        <v>0</v>
      </c>
      <c r="G537" s="211">
        <v>0</v>
      </c>
      <c r="H537" s="211">
        <v>0</v>
      </c>
      <c r="I537" s="386">
        <f t="shared" si="12"/>
        <v>105477836</v>
      </c>
      <c r="J537" s="203" t="s">
        <v>1087</v>
      </c>
    </row>
    <row r="538" spans="1:10" hidden="1" outlineLevel="1">
      <c r="A538" s="425" t="s">
        <v>1088</v>
      </c>
      <c r="B538" s="815">
        <v>103999946</v>
      </c>
      <c r="C538" s="211">
        <v>0</v>
      </c>
      <c r="D538" s="211">
        <v>0</v>
      </c>
      <c r="E538" s="211">
        <v>0</v>
      </c>
      <c r="F538" s="211">
        <v>0</v>
      </c>
      <c r="G538" s="211">
        <v>0</v>
      </c>
      <c r="H538" s="211">
        <v>0</v>
      </c>
      <c r="I538" s="386">
        <f t="shared" si="12"/>
        <v>103999946</v>
      </c>
      <c r="J538" s="203" t="s">
        <v>1089</v>
      </c>
    </row>
    <row r="539" spans="1:10" hidden="1" outlineLevel="1">
      <c r="A539" s="425" t="s">
        <v>1090</v>
      </c>
      <c r="B539" s="815">
        <v>64382556</v>
      </c>
      <c r="C539" s="211">
        <v>0</v>
      </c>
      <c r="D539" s="211">
        <v>0</v>
      </c>
      <c r="E539" s="211">
        <v>0</v>
      </c>
      <c r="F539" s="211">
        <v>0</v>
      </c>
      <c r="G539" s="211">
        <v>0</v>
      </c>
      <c r="H539" s="211">
        <v>0</v>
      </c>
      <c r="I539" s="386">
        <f t="shared" si="12"/>
        <v>64382556</v>
      </c>
      <c r="J539" s="203" t="s">
        <v>1091</v>
      </c>
    </row>
    <row r="540" spans="1:10" hidden="1" outlineLevel="1">
      <c r="A540" s="425" t="s">
        <v>1092</v>
      </c>
      <c r="B540" s="815">
        <v>91722545</v>
      </c>
      <c r="C540" s="211">
        <v>0</v>
      </c>
      <c r="D540" s="211">
        <v>0</v>
      </c>
      <c r="E540" s="211">
        <v>0</v>
      </c>
      <c r="F540" s="211">
        <v>0</v>
      </c>
      <c r="G540" s="211">
        <v>0</v>
      </c>
      <c r="H540" s="211">
        <v>0</v>
      </c>
      <c r="I540" s="386">
        <f t="shared" si="12"/>
        <v>91722545</v>
      </c>
      <c r="J540" s="203" t="s">
        <v>1093</v>
      </c>
    </row>
    <row r="541" spans="1:10" hidden="1" outlineLevel="1">
      <c r="A541" s="425" t="s">
        <v>1474</v>
      </c>
      <c r="B541" s="815">
        <v>116316652</v>
      </c>
      <c r="C541" s="211">
        <v>0</v>
      </c>
      <c r="D541" s="211">
        <v>0</v>
      </c>
      <c r="E541" s="211">
        <v>0</v>
      </c>
      <c r="F541" s="211">
        <v>0</v>
      </c>
      <c r="G541" s="211">
        <v>0</v>
      </c>
      <c r="H541" s="211">
        <v>0</v>
      </c>
      <c r="I541" s="386">
        <f t="shared" si="12"/>
        <v>116316652</v>
      </c>
      <c r="J541" s="203" t="s">
        <v>1475</v>
      </c>
    </row>
    <row r="542" spans="1:10" hidden="1" outlineLevel="1">
      <c r="A542" s="425" t="s">
        <v>1094</v>
      </c>
      <c r="B542" s="815">
        <v>63401607</v>
      </c>
      <c r="C542" s="211">
        <v>0</v>
      </c>
      <c r="D542" s="211">
        <v>0</v>
      </c>
      <c r="E542" s="211">
        <v>0</v>
      </c>
      <c r="F542" s="211">
        <v>0</v>
      </c>
      <c r="G542" s="211">
        <v>0</v>
      </c>
      <c r="H542" s="211">
        <v>0</v>
      </c>
      <c r="I542" s="386">
        <f t="shared" ref="I542:I605" si="13">SUM(B542:H542)</f>
        <v>63401607</v>
      </c>
      <c r="J542" s="203" t="s">
        <v>1095</v>
      </c>
    </row>
    <row r="543" spans="1:10" hidden="1" outlineLevel="1">
      <c r="A543" s="425" t="s">
        <v>1096</v>
      </c>
      <c r="B543" s="815">
        <v>28600467</v>
      </c>
      <c r="C543" s="211">
        <v>0</v>
      </c>
      <c r="D543" s="211">
        <v>0</v>
      </c>
      <c r="E543" s="211">
        <v>0</v>
      </c>
      <c r="F543" s="211">
        <v>0</v>
      </c>
      <c r="G543" s="211">
        <v>0</v>
      </c>
      <c r="H543" s="211">
        <v>0</v>
      </c>
      <c r="I543" s="386">
        <f t="shared" si="13"/>
        <v>28600467</v>
      </c>
      <c r="J543" s="203" t="s">
        <v>1097</v>
      </c>
    </row>
    <row r="544" spans="1:10" hidden="1" outlineLevel="1">
      <c r="A544" s="425" t="s">
        <v>1098</v>
      </c>
      <c r="B544" s="815">
        <v>23839551</v>
      </c>
      <c r="C544" s="211">
        <v>0</v>
      </c>
      <c r="D544" s="211">
        <v>0</v>
      </c>
      <c r="E544" s="211">
        <v>0</v>
      </c>
      <c r="F544" s="211">
        <v>0</v>
      </c>
      <c r="G544" s="211">
        <v>0</v>
      </c>
      <c r="H544" s="211">
        <v>0</v>
      </c>
      <c r="I544" s="386">
        <f t="shared" si="13"/>
        <v>23839551</v>
      </c>
      <c r="J544" s="203" t="s">
        <v>1099</v>
      </c>
    </row>
    <row r="545" spans="1:10" hidden="1" outlineLevel="1">
      <c r="A545" s="425" t="s">
        <v>1100</v>
      </c>
      <c r="B545" s="815">
        <v>1060698830</v>
      </c>
      <c r="C545" s="211">
        <v>0</v>
      </c>
      <c r="D545" s="211">
        <v>0</v>
      </c>
      <c r="E545" s="211">
        <v>0</v>
      </c>
      <c r="F545" s="211">
        <v>0</v>
      </c>
      <c r="G545" s="211">
        <v>0</v>
      </c>
      <c r="H545" s="211">
        <v>0</v>
      </c>
      <c r="I545" s="386">
        <f t="shared" si="13"/>
        <v>1060698830</v>
      </c>
      <c r="J545" s="203" t="s">
        <v>1101</v>
      </c>
    </row>
    <row r="546" spans="1:10" hidden="1" outlineLevel="1">
      <c r="A546" s="425" t="s">
        <v>521</v>
      </c>
      <c r="B546" s="815">
        <v>21684440.522999998</v>
      </c>
      <c r="C546" s="211">
        <v>0</v>
      </c>
      <c r="D546" s="211">
        <v>0</v>
      </c>
      <c r="E546" s="211">
        <v>0</v>
      </c>
      <c r="F546" s="211">
        <v>0</v>
      </c>
      <c r="G546" s="211">
        <v>0</v>
      </c>
      <c r="H546" s="211">
        <v>0</v>
      </c>
      <c r="I546" s="386">
        <f t="shared" si="13"/>
        <v>21684440.522999998</v>
      </c>
      <c r="J546" s="203" t="s">
        <v>522</v>
      </c>
    </row>
    <row r="547" spans="1:10" hidden="1" outlineLevel="1">
      <c r="A547" s="425" t="s">
        <v>1102</v>
      </c>
      <c r="B547" s="815">
        <v>35914118</v>
      </c>
      <c r="C547" s="211">
        <v>0</v>
      </c>
      <c r="D547" s="211">
        <v>0</v>
      </c>
      <c r="E547" s="211">
        <v>0</v>
      </c>
      <c r="F547" s="211">
        <v>0</v>
      </c>
      <c r="G547" s="211">
        <v>0</v>
      </c>
      <c r="H547" s="211">
        <v>0</v>
      </c>
      <c r="I547" s="386">
        <f t="shared" si="13"/>
        <v>35914118</v>
      </c>
      <c r="J547" s="203" t="s">
        <v>1103</v>
      </c>
    </row>
    <row r="548" spans="1:10" hidden="1" outlineLevel="1">
      <c r="A548" s="425" t="s">
        <v>1104</v>
      </c>
      <c r="B548" s="815">
        <v>32687853</v>
      </c>
      <c r="C548" s="211">
        <v>0</v>
      </c>
      <c r="D548" s="211">
        <v>0</v>
      </c>
      <c r="E548" s="211">
        <v>0</v>
      </c>
      <c r="F548" s="211">
        <v>0</v>
      </c>
      <c r="G548" s="211">
        <v>0</v>
      </c>
      <c r="H548" s="211">
        <v>0</v>
      </c>
      <c r="I548" s="386">
        <f t="shared" si="13"/>
        <v>32687853</v>
      </c>
      <c r="J548" s="203" t="s">
        <v>1105</v>
      </c>
    </row>
    <row r="549" spans="1:10" hidden="1" outlineLevel="1">
      <c r="A549" s="425" t="s">
        <v>1106</v>
      </c>
      <c r="B549" s="815">
        <v>78379318</v>
      </c>
      <c r="C549" s="211">
        <v>0</v>
      </c>
      <c r="D549" s="211">
        <v>0</v>
      </c>
      <c r="E549" s="211">
        <v>0</v>
      </c>
      <c r="F549" s="211">
        <v>0</v>
      </c>
      <c r="G549" s="211">
        <v>0</v>
      </c>
      <c r="H549" s="211">
        <v>0</v>
      </c>
      <c r="I549" s="386">
        <f t="shared" si="13"/>
        <v>78379318</v>
      </c>
      <c r="J549" s="203" t="s">
        <v>1107</v>
      </c>
    </row>
    <row r="550" spans="1:10" hidden="1" outlineLevel="1">
      <c r="A550" s="425" t="s">
        <v>1108</v>
      </c>
      <c r="B550" s="815">
        <v>41068479</v>
      </c>
      <c r="C550" s="211">
        <v>0</v>
      </c>
      <c r="D550" s="211">
        <v>0</v>
      </c>
      <c r="E550" s="211">
        <v>0</v>
      </c>
      <c r="F550" s="211">
        <v>0</v>
      </c>
      <c r="G550" s="211">
        <v>0</v>
      </c>
      <c r="H550" s="211">
        <v>0</v>
      </c>
      <c r="I550" s="386">
        <f t="shared" si="13"/>
        <v>41068479</v>
      </c>
      <c r="J550" s="203" t="s">
        <v>1109</v>
      </c>
    </row>
    <row r="551" spans="1:10" hidden="1" outlineLevel="1">
      <c r="A551" s="425" t="s">
        <v>1110</v>
      </c>
      <c r="B551" s="815">
        <v>119492791</v>
      </c>
      <c r="C551" s="211">
        <v>0</v>
      </c>
      <c r="D551" s="211">
        <v>0</v>
      </c>
      <c r="E551" s="211">
        <v>0</v>
      </c>
      <c r="F551" s="211">
        <v>0</v>
      </c>
      <c r="G551" s="211">
        <v>0</v>
      </c>
      <c r="H551" s="211">
        <v>0</v>
      </c>
      <c r="I551" s="386">
        <f t="shared" si="13"/>
        <v>119492791</v>
      </c>
      <c r="J551" s="203" t="s">
        <v>1111</v>
      </c>
    </row>
    <row r="552" spans="1:10" hidden="1" outlineLevel="1">
      <c r="A552" s="425" t="s">
        <v>1112</v>
      </c>
      <c r="B552" s="815">
        <v>76170999</v>
      </c>
      <c r="C552" s="211">
        <v>0</v>
      </c>
      <c r="D552" s="211">
        <v>0</v>
      </c>
      <c r="E552" s="211">
        <v>0</v>
      </c>
      <c r="F552" s="211">
        <v>0</v>
      </c>
      <c r="G552" s="211">
        <v>0</v>
      </c>
      <c r="H552" s="211">
        <v>0</v>
      </c>
      <c r="I552" s="386">
        <f t="shared" si="13"/>
        <v>76170999</v>
      </c>
      <c r="J552" s="203" t="s">
        <v>1113</v>
      </c>
    </row>
    <row r="553" spans="1:10" hidden="1" outlineLevel="1">
      <c r="A553" s="425" t="s">
        <v>1114</v>
      </c>
      <c r="B553" s="815">
        <v>59601375.380000003</v>
      </c>
      <c r="C553" s="211">
        <v>0</v>
      </c>
      <c r="D553" s="211">
        <v>0</v>
      </c>
      <c r="E553" s="211">
        <v>0</v>
      </c>
      <c r="F553" s="211">
        <v>0</v>
      </c>
      <c r="G553" s="211">
        <v>0</v>
      </c>
      <c r="H553" s="211">
        <v>0</v>
      </c>
      <c r="I553" s="386">
        <f t="shared" si="13"/>
        <v>59601375.380000003</v>
      </c>
      <c r="J553" s="203" t="s">
        <v>1115</v>
      </c>
    </row>
    <row r="554" spans="1:10" hidden="1" outlineLevel="1">
      <c r="A554" s="425" t="s">
        <v>1116</v>
      </c>
      <c r="B554" s="815">
        <v>140314230</v>
      </c>
      <c r="C554" s="211">
        <v>0</v>
      </c>
      <c r="D554" s="211">
        <v>0</v>
      </c>
      <c r="E554" s="211">
        <v>0</v>
      </c>
      <c r="F554" s="211">
        <v>0</v>
      </c>
      <c r="G554" s="211">
        <v>0</v>
      </c>
      <c r="H554" s="211">
        <v>0</v>
      </c>
      <c r="I554" s="386">
        <f t="shared" si="13"/>
        <v>140314230</v>
      </c>
      <c r="J554" s="203" t="s">
        <v>1117</v>
      </c>
    </row>
    <row r="555" spans="1:10" hidden="1" outlineLevel="1">
      <c r="A555" s="425" t="s">
        <v>1118</v>
      </c>
      <c r="B555" s="815">
        <v>15878505</v>
      </c>
      <c r="C555" s="211">
        <v>0</v>
      </c>
      <c r="D555" s="211">
        <v>0</v>
      </c>
      <c r="E555" s="211">
        <v>0</v>
      </c>
      <c r="F555" s="211">
        <v>0</v>
      </c>
      <c r="G555" s="211">
        <v>0</v>
      </c>
      <c r="H555" s="211">
        <v>0</v>
      </c>
      <c r="I555" s="386">
        <f t="shared" si="13"/>
        <v>15878505</v>
      </c>
      <c r="J555" s="203" t="s">
        <v>1119</v>
      </c>
    </row>
    <row r="556" spans="1:10" hidden="1" outlineLevel="1">
      <c r="A556" s="425" t="s">
        <v>1120</v>
      </c>
      <c r="B556" s="815">
        <v>2538919194</v>
      </c>
      <c r="C556" s="211">
        <v>0</v>
      </c>
      <c r="D556" s="211">
        <v>0</v>
      </c>
      <c r="E556" s="211">
        <v>0</v>
      </c>
      <c r="F556" s="211">
        <v>80211837</v>
      </c>
      <c r="G556" s="211">
        <v>3391378</v>
      </c>
      <c r="H556" s="211">
        <v>0</v>
      </c>
      <c r="I556" s="386">
        <f t="shared" si="13"/>
        <v>2622522409</v>
      </c>
      <c r="J556" s="203" t="s">
        <v>1121</v>
      </c>
    </row>
    <row r="557" spans="1:10" hidden="1" outlineLevel="1">
      <c r="A557" s="425" t="s">
        <v>1122</v>
      </c>
      <c r="B557" s="815">
        <v>253721291.81299999</v>
      </c>
      <c r="C557" s="211">
        <v>0</v>
      </c>
      <c r="D557" s="211">
        <v>0</v>
      </c>
      <c r="E557" s="211">
        <v>0</v>
      </c>
      <c r="F557" s="211">
        <v>0</v>
      </c>
      <c r="G557" s="211">
        <v>0</v>
      </c>
      <c r="H557" s="211">
        <v>0</v>
      </c>
      <c r="I557" s="386">
        <f t="shared" si="13"/>
        <v>253721291.81299999</v>
      </c>
      <c r="J557" s="203" t="s">
        <v>1123</v>
      </c>
    </row>
    <row r="558" spans="1:10" hidden="1" outlineLevel="1">
      <c r="A558" s="425" t="s">
        <v>1875</v>
      </c>
      <c r="B558" s="815">
        <v>2352509</v>
      </c>
      <c r="C558" s="211">
        <v>0</v>
      </c>
      <c r="D558" s="211">
        <v>0</v>
      </c>
      <c r="E558" s="211">
        <v>0</v>
      </c>
      <c r="F558" s="211">
        <v>0</v>
      </c>
      <c r="G558" s="211">
        <v>0</v>
      </c>
      <c r="H558" s="211">
        <v>0</v>
      </c>
      <c r="I558" s="386">
        <f t="shared" si="13"/>
        <v>2352509</v>
      </c>
      <c r="J558" s="203" t="s">
        <v>1876</v>
      </c>
    </row>
    <row r="559" spans="1:10" hidden="1" outlineLevel="1">
      <c r="A559" s="425" t="s">
        <v>1124</v>
      </c>
      <c r="B559" s="815">
        <v>33983847.479999997</v>
      </c>
      <c r="C559" s="211">
        <v>0</v>
      </c>
      <c r="D559" s="211">
        <v>0</v>
      </c>
      <c r="E559" s="211">
        <v>0</v>
      </c>
      <c r="F559" s="211">
        <v>0</v>
      </c>
      <c r="G559" s="211">
        <v>0</v>
      </c>
      <c r="H559" s="211">
        <v>0</v>
      </c>
      <c r="I559" s="386">
        <f t="shared" si="13"/>
        <v>33983847.479999997</v>
      </c>
      <c r="J559" s="203" t="s">
        <v>1125</v>
      </c>
    </row>
    <row r="560" spans="1:10" hidden="1" outlineLevel="1">
      <c r="A560" s="425" t="s">
        <v>1126</v>
      </c>
      <c r="B560" s="815">
        <v>114667043.7</v>
      </c>
      <c r="C560" s="211">
        <v>0</v>
      </c>
      <c r="D560" s="211">
        <v>0</v>
      </c>
      <c r="E560" s="211">
        <v>0</v>
      </c>
      <c r="F560" s="211">
        <v>0</v>
      </c>
      <c r="G560" s="211">
        <v>0</v>
      </c>
      <c r="H560" s="211">
        <v>0</v>
      </c>
      <c r="I560" s="386">
        <f t="shared" si="13"/>
        <v>114667043.7</v>
      </c>
      <c r="J560" s="203" t="s">
        <v>1127</v>
      </c>
    </row>
    <row r="561" spans="1:10" hidden="1" outlineLevel="1">
      <c r="A561" s="425" t="s">
        <v>1128</v>
      </c>
      <c r="B561" s="815">
        <v>26477874</v>
      </c>
      <c r="C561" s="211">
        <v>0</v>
      </c>
      <c r="D561" s="211">
        <v>0</v>
      </c>
      <c r="E561" s="211">
        <v>0</v>
      </c>
      <c r="F561" s="211">
        <v>0</v>
      </c>
      <c r="G561" s="211">
        <v>0</v>
      </c>
      <c r="H561" s="211">
        <v>0</v>
      </c>
      <c r="I561" s="386">
        <f t="shared" si="13"/>
        <v>26477874</v>
      </c>
      <c r="J561" s="203" t="s">
        <v>1129</v>
      </c>
    </row>
    <row r="562" spans="1:10" hidden="1" outlineLevel="1">
      <c r="A562" s="425" t="s">
        <v>1130</v>
      </c>
      <c r="B562" s="815">
        <v>126065707</v>
      </c>
      <c r="C562" s="211">
        <v>0</v>
      </c>
      <c r="D562" s="211">
        <v>0</v>
      </c>
      <c r="E562" s="211">
        <v>0</v>
      </c>
      <c r="F562" s="211">
        <v>0</v>
      </c>
      <c r="G562" s="211">
        <v>0</v>
      </c>
      <c r="H562" s="211">
        <v>0</v>
      </c>
      <c r="I562" s="386">
        <f t="shared" si="13"/>
        <v>126065707</v>
      </c>
      <c r="J562" s="203" t="s">
        <v>1131</v>
      </c>
    </row>
    <row r="563" spans="1:10" hidden="1" outlineLevel="1">
      <c r="A563" s="425" t="s">
        <v>1132</v>
      </c>
      <c r="B563" s="815">
        <v>18534759</v>
      </c>
      <c r="C563" s="211">
        <v>0</v>
      </c>
      <c r="D563" s="211">
        <v>0</v>
      </c>
      <c r="E563" s="211">
        <v>0</v>
      </c>
      <c r="F563" s="211">
        <v>0</v>
      </c>
      <c r="G563" s="211">
        <v>0</v>
      </c>
      <c r="H563" s="211">
        <v>0</v>
      </c>
      <c r="I563" s="386">
        <f t="shared" si="13"/>
        <v>18534759</v>
      </c>
      <c r="J563" s="203" t="s">
        <v>1133</v>
      </c>
    </row>
    <row r="564" spans="1:10" hidden="1" outlineLevel="1">
      <c r="A564" s="425" t="s">
        <v>1134</v>
      </c>
      <c r="B564" s="815">
        <v>79107870</v>
      </c>
      <c r="C564" s="211">
        <v>0</v>
      </c>
      <c r="D564" s="211">
        <v>0</v>
      </c>
      <c r="E564" s="211">
        <v>0</v>
      </c>
      <c r="F564" s="211">
        <v>0</v>
      </c>
      <c r="G564" s="211">
        <v>0</v>
      </c>
      <c r="H564" s="211">
        <v>0</v>
      </c>
      <c r="I564" s="386">
        <f t="shared" si="13"/>
        <v>79107870</v>
      </c>
      <c r="J564" s="203" t="s">
        <v>1135</v>
      </c>
    </row>
    <row r="565" spans="1:10" hidden="1" outlineLevel="1">
      <c r="A565" s="425" t="s">
        <v>1136</v>
      </c>
      <c r="B565" s="815">
        <v>16340900</v>
      </c>
      <c r="C565" s="211">
        <v>0</v>
      </c>
      <c r="D565" s="211">
        <v>0</v>
      </c>
      <c r="E565" s="211">
        <v>0</v>
      </c>
      <c r="F565" s="211">
        <v>0</v>
      </c>
      <c r="G565" s="211">
        <v>0</v>
      </c>
      <c r="H565" s="211">
        <v>0</v>
      </c>
      <c r="I565" s="386">
        <f t="shared" si="13"/>
        <v>16340900</v>
      </c>
      <c r="J565" s="203" t="s">
        <v>1137</v>
      </c>
    </row>
    <row r="566" spans="1:10" hidden="1" outlineLevel="1">
      <c r="A566" s="425" t="s">
        <v>1138</v>
      </c>
      <c r="B566" s="815">
        <v>10491997</v>
      </c>
      <c r="C566" s="211">
        <v>0</v>
      </c>
      <c r="D566" s="211">
        <v>0</v>
      </c>
      <c r="E566" s="211">
        <v>0</v>
      </c>
      <c r="F566" s="211">
        <v>0</v>
      </c>
      <c r="G566" s="211">
        <v>0</v>
      </c>
      <c r="H566" s="211">
        <v>0</v>
      </c>
      <c r="I566" s="386">
        <f t="shared" si="13"/>
        <v>10491997</v>
      </c>
      <c r="J566" s="203" t="s">
        <v>1139</v>
      </c>
    </row>
    <row r="567" spans="1:10" hidden="1" outlineLevel="1">
      <c r="A567" s="425" t="s">
        <v>1140</v>
      </c>
      <c r="B567" s="815">
        <v>174220522</v>
      </c>
      <c r="C567" s="211">
        <v>0</v>
      </c>
      <c r="D567" s="211">
        <v>0</v>
      </c>
      <c r="E567" s="211">
        <v>0</v>
      </c>
      <c r="F567" s="211">
        <v>0</v>
      </c>
      <c r="G567" s="211">
        <v>0</v>
      </c>
      <c r="H567" s="211">
        <v>0</v>
      </c>
      <c r="I567" s="386">
        <f t="shared" si="13"/>
        <v>174220522</v>
      </c>
      <c r="J567" s="203" t="s">
        <v>1141</v>
      </c>
    </row>
    <row r="568" spans="1:10" hidden="1" outlineLevel="1">
      <c r="A568" s="425" t="s">
        <v>1142</v>
      </c>
      <c r="B568" s="815">
        <v>31133382</v>
      </c>
      <c r="C568" s="211">
        <v>0</v>
      </c>
      <c r="D568" s="211">
        <v>0</v>
      </c>
      <c r="E568" s="211">
        <v>0</v>
      </c>
      <c r="F568" s="211">
        <v>0</v>
      </c>
      <c r="G568" s="211">
        <v>0</v>
      </c>
      <c r="H568" s="211">
        <v>0</v>
      </c>
      <c r="I568" s="386">
        <f t="shared" si="13"/>
        <v>31133382</v>
      </c>
      <c r="J568" s="203" t="s">
        <v>1143</v>
      </c>
    </row>
    <row r="569" spans="1:10" hidden="1" outlineLevel="1">
      <c r="A569" s="425" t="s">
        <v>1144</v>
      </c>
      <c r="B569" s="815">
        <v>37039641</v>
      </c>
      <c r="C569" s="211">
        <v>0</v>
      </c>
      <c r="D569" s="211">
        <v>0</v>
      </c>
      <c r="E569" s="211">
        <v>0</v>
      </c>
      <c r="F569" s="211">
        <v>0</v>
      </c>
      <c r="G569" s="211">
        <v>0</v>
      </c>
      <c r="H569" s="211">
        <v>0</v>
      </c>
      <c r="I569" s="386">
        <f t="shared" si="13"/>
        <v>37039641</v>
      </c>
      <c r="J569" s="203" t="s">
        <v>1145</v>
      </c>
    </row>
    <row r="570" spans="1:10" hidden="1" outlineLevel="1">
      <c r="A570" s="425" t="s">
        <v>1146</v>
      </c>
      <c r="B570" s="815">
        <v>17297214</v>
      </c>
      <c r="C570" s="211">
        <v>0</v>
      </c>
      <c r="D570" s="211">
        <v>0</v>
      </c>
      <c r="E570" s="211">
        <v>0</v>
      </c>
      <c r="F570" s="211">
        <v>0</v>
      </c>
      <c r="G570" s="211">
        <v>0</v>
      </c>
      <c r="H570" s="211">
        <v>0</v>
      </c>
      <c r="I570" s="386">
        <f t="shared" si="13"/>
        <v>17297214</v>
      </c>
      <c r="J570" s="203" t="s">
        <v>1147</v>
      </c>
    </row>
    <row r="571" spans="1:10" hidden="1" outlineLevel="1">
      <c r="A571" s="425" t="s">
        <v>1148</v>
      </c>
      <c r="B571" s="815">
        <v>6055732</v>
      </c>
      <c r="C571" s="211">
        <v>0</v>
      </c>
      <c r="D571" s="211">
        <v>0</v>
      </c>
      <c r="E571" s="211">
        <v>0</v>
      </c>
      <c r="F571" s="211">
        <v>0</v>
      </c>
      <c r="G571" s="211">
        <v>0</v>
      </c>
      <c r="H571" s="211">
        <v>0</v>
      </c>
      <c r="I571" s="386">
        <f t="shared" si="13"/>
        <v>6055732</v>
      </c>
      <c r="J571" s="203" t="s">
        <v>1149</v>
      </c>
    </row>
    <row r="572" spans="1:10" hidden="1" outlineLevel="1">
      <c r="A572" s="425" t="s">
        <v>1150</v>
      </c>
      <c r="B572" s="815">
        <v>33879194</v>
      </c>
      <c r="C572" s="211">
        <v>0</v>
      </c>
      <c r="D572" s="211">
        <v>0</v>
      </c>
      <c r="E572" s="211">
        <v>0</v>
      </c>
      <c r="F572" s="211">
        <v>0</v>
      </c>
      <c r="G572" s="211">
        <v>0</v>
      </c>
      <c r="H572" s="211">
        <v>0</v>
      </c>
      <c r="I572" s="386">
        <f t="shared" si="13"/>
        <v>33879194</v>
      </c>
      <c r="J572" s="203" t="s">
        <v>1151</v>
      </c>
    </row>
    <row r="573" spans="1:10" hidden="1" outlineLevel="1">
      <c r="A573" s="425" t="s">
        <v>1152</v>
      </c>
      <c r="B573" s="815">
        <v>17059007</v>
      </c>
      <c r="C573" s="211">
        <v>0</v>
      </c>
      <c r="D573" s="211">
        <v>0</v>
      </c>
      <c r="E573" s="211">
        <v>0</v>
      </c>
      <c r="F573" s="211">
        <v>0</v>
      </c>
      <c r="G573" s="211">
        <v>0</v>
      </c>
      <c r="H573" s="211">
        <v>0</v>
      </c>
      <c r="I573" s="386">
        <f t="shared" si="13"/>
        <v>17059007</v>
      </c>
      <c r="J573" s="203" t="s">
        <v>1153</v>
      </c>
    </row>
    <row r="574" spans="1:10" hidden="1" outlineLevel="1">
      <c r="A574" s="425" t="s">
        <v>1154</v>
      </c>
      <c r="B574" s="815">
        <v>8410100</v>
      </c>
      <c r="C574" s="211">
        <v>0</v>
      </c>
      <c r="D574" s="211">
        <v>0</v>
      </c>
      <c r="E574" s="211">
        <v>0</v>
      </c>
      <c r="F574" s="211">
        <v>0</v>
      </c>
      <c r="G574" s="211">
        <v>0</v>
      </c>
      <c r="H574" s="211">
        <v>0</v>
      </c>
      <c r="I574" s="386">
        <f t="shared" si="13"/>
        <v>8410100</v>
      </c>
      <c r="J574" s="203" t="s">
        <v>1155</v>
      </c>
    </row>
    <row r="575" spans="1:10" hidden="1" outlineLevel="1">
      <c r="A575" s="425" t="s">
        <v>1156</v>
      </c>
      <c r="B575" s="815">
        <v>28440272</v>
      </c>
      <c r="C575" s="211">
        <v>0</v>
      </c>
      <c r="D575" s="211">
        <v>0</v>
      </c>
      <c r="E575" s="211">
        <v>0</v>
      </c>
      <c r="F575" s="211">
        <v>0</v>
      </c>
      <c r="G575" s="211">
        <v>0</v>
      </c>
      <c r="H575" s="211">
        <v>0</v>
      </c>
      <c r="I575" s="386">
        <f t="shared" si="13"/>
        <v>28440272</v>
      </c>
      <c r="J575" s="203" t="s">
        <v>1157</v>
      </c>
    </row>
    <row r="576" spans="1:10" hidden="1" outlineLevel="1">
      <c r="A576" s="425" t="s">
        <v>1158</v>
      </c>
      <c r="B576" s="815">
        <v>20544997</v>
      </c>
      <c r="C576" s="211">
        <v>0</v>
      </c>
      <c r="D576" s="211">
        <v>0</v>
      </c>
      <c r="E576" s="211">
        <v>0</v>
      </c>
      <c r="F576" s="211">
        <v>0</v>
      </c>
      <c r="G576" s="211">
        <v>0</v>
      </c>
      <c r="H576" s="211">
        <v>0</v>
      </c>
      <c r="I576" s="386">
        <f t="shared" si="13"/>
        <v>20544997</v>
      </c>
      <c r="J576" s="203" t="s">
        <v>1159</v>
      </c>
    </row>
    <row r="577" spans="1:10" hidden="1" outlineLevel="1">
      <c r="A577" s="425" t="s">
        <v>1160</v>
      </c>
      <c r="B577" s="815">
        <v>378044187.82099998</v>
      </c>
      <c r="C577" s="211">
        <v>0</v>
      </c>
      <c r="D577" s="211">
        <v>0</v>
      </c>
      <c r="E577" s="211">
        <v>0</v>
      </c>
      <c r="F577" s="211">
        <v>0</v>
      </c>
      <c r="G577" s="211">
        <v>0</v>
      </c>
      <c r="H577" s="211">
        <v>0</v>
      </c>
      <c r="I577" s="386">
        <f t="shared" si="13"/>
        <v>378044187.82099998</v>
      </c>
      <c r="J577" s="203" t="s">
        <v>1161</v>
      </c>
    </row>
    <row r="578" spans="1:10" hidden="1" outlineLevel="1">
      <c r="A578" s="425" t="s">
        <v>1162</v>
      </c>
      <c r="B578" s="815">
        <v>81825390</v>
      </c>
      <c r="C578" s="211">
        <v>0</v>
      </c>
      <c r="D578" s="211">
        <v>0</v>
      </c>
      <c r="E578" s="211">
        <v>0</v>
      </c>
      <c r="F578" s="211">
        <v>0</v>
      </c>
      <c r="G578" s="211">
        <v>0</v>
      </c>
      <c r="H578" s="211">
        <v>0</v>
      </c>
      <c r="I578" s="386">
        <f t="shared" si="13"/>
        <v>81825390</v>
      </c>
      <c r="J578" s="203" t="s">
        <v>1163</v>
      </c>
    </row>
    <row r="579" spans="1:10" hidden="1" outlineLevel="1">
      <c r="A579" s="425" t="s">
        <v>1164</v>
      </c>
      <c r="B579" s="815">
        <v>129869981</v>
      </c>
      <c r="C579" s="211">
        <v>0</v>
      </c>
      <c r="D579" s="211">
        <v>0</v>
      </c>
      <c r="E579" s="211">
        <v>0</v>
      </c>
      <c r="F579" s="211">
        <v>0</v>
      </c>
      <c r="G579" s="211">
        <v>0</v>
      </c>
      <c r="H579" s="211">
        <v>0</v>
      </c>
      <c r="I579" s="386">
        <f t="shared" si="13"/>
        <v>129869981</v>
      </c>
      <c r="J579" s="203" t="s">
        <v>1165</v>
      </c>
    </row>
    <row r="580" spans="1:10" hidden="1" outlineLevel="1">
      <c r="A580" s="425" t="s">
        <v>1166</v>
      </c>
      <c r="B580" s="815">
        <v>3187305</v>
      </c>
      <c r="C580" s="211">
        <v>0</v>
      </c>
      <c r="D580" s="211">
        <v>0</v>
      </c>
      <c r="E580" s="211">
        <v>0</v>
      </c>
      <c r="F580" s="211">
        <v>0</v>
      </c>
      <c r="G580" s="211">
        <v>0</v>
      </c>
      <c r="H580" s="211">
        <v>0</v>
      </c>
      <c r="I580" s="386">
        <f t="shared" si="13"/>
        <v>3187305</v>
      </c>
      <c r="J580" s="203" t="s">
        <v>1167</v>
      </c>
    </row>
    <row r="581" spans="1:10" hidden="1" outlineLevel="1">
      <c r="A581" s="425" t="s">
        <v>1168</v>
      </c>
      <c r="B581" s="815">
        <v>28637241</v>
      </c>
      <c r="C581" s="211">
        <v>0</v>
      </c>
      <c r="D581" s="211">
        <v>0</v>
      </c>
      <c r="E581" s="211">
        <v>0</v>
      </c>
      <c r="F581" s="211">
        <v>0</v>
      </c>
      <c r="G581" s="211">
        <v>0</v>
      </c>
      <c r="H581" s="211">
        <v>0</v>
      </c>
      <c r="I581" s="386">
        <f t="shared" si="13"/>
        <v>28637241</v>
      </c>
      <c r="J581" s="203" t="s">
        <v>1169</v>
      </c>
    </row>
    <row r="582" spans="1:10" hidden="1" outlineLevel="1">
      <c r="A582" s="425" t="s">
        <v>1170</v>
      </c>
      <c r="B582" s="815">
        <v>56414596</v>
      </c>
      <c r="C582" s="211">
        <v>0</v>
      </c>
      <c r="D582" s="211">
        <v>0</v>
      </c>
      <c r="E582" s="211">
        <v>0</v>
      </c>
      <c r="F582" s="211">
        <v>0</v>
      </c>
      <c r="G582" s="211">
        <v>0</v>
      </c>
      <c r="H582" s="211">
        <v>0</v>
      </c>
      <c r="I582" s="386">
        <f t="shared" si="13"/>
        <v>56414596</v>
      </c>
      <c r="J582" s="203" t="s">
        <v>1171</v>
      </c>
    </row>
    <row r="583" spans="1:10" hidden="1" outlineLevel="1">
      <c r="A583" s="425" t="s">
        <v>1172</v>
      </c>
      <c r="B583" s="815">
        <v>37737821</v>
      </c>
      <c r="C583" s="211">
        <v>0</v>
      </c>
      <c r="D583" s="211">
        <v>0</v>
      </c>
      <c r="E583" s="211">
        <v>0</v>
      </c>
      <c r="F583" s="211">
        <v>0</v>
      </c>
      <c r="G583" s="211">
        <v>0</v>
      </c>
      <c r="H583" s="211">
        <v>0</v>
      </c>
      <c r="I583" s="386">
        <f t="shared" si="13"/>
        <v>37737821</v>
      </c>
      <c r="J583" s="203" t="s">
        <v>1173</v>
      </c>
    </row>
    <row r="584" spans="1:10" hidden="1" outlineLevel="1">
      <c r="A584" s="425" t="s">
        <v>1174</v>
      </c>
      <c r="B584" s="815">
        <v>332411946</v>
      </c>
      <c r="C584" s="211">
        <v>0</v>
      </c>
      <c r="D584" s="211">
        <v>0</v>
      </c>
      <c r="E584" s="211">
        <v>0</v>
      </c>
      <c r="F584" s="211">
        <v>0</v>
      </c>
      <c r="G584" s="211">
        <v>0</v>
      </c>
      <c r="H584" s="211">
        <v>0</v>
      </c>
      <c r="I584" s="386">
        <f t="shared" si="13"/>
        <v>332411946</v>
      </c>
      <c r="J584" s="203" t="s">
        <v>1175</v>
      </c>
    </row>
    <row r="585" spans="1:10" hidden="1" outlineLevel="1">
      <c r="A585" s="425" t="s">
        <v>1176</v>
      </c>
      <c r="B585" s="815">
        <v>361514643</v>
      </c>
      <c r="C585" s="211">
        <v>0</v>
      </c>
      <c r="D585" s="211">
        <v>0</v>
      </c>
      <c r="E585" s="211">
        <v>0</v>
      </c>
      <c r="F585" s="211">
        <v>0</v>
      </c>
      <c r="G585" s="211">
        <v>0</v>
      </c>
      <c r="H585" s="211">
        <v>0</v>
      </c>
      <c r="I585" s="386">
        <f t="shared" si="13"/>
        <v>361514643</v>
      </c>
      <c r="J585" s="203" t="s">
        <v>1177</v>
      </c>
    </row>
    <row r="586" spans="1:10" hidden="1" outlineLevel="1">
      <c r="A586" s="425" t="s">
        <v>1178</v>
      </c>
      <c r="B586" s="815">
        <v>17836406</v>
      </c>
      <c r="C586" s="211">
        <v>0</v>
      </c>
      <c r="D586" s="211">
        <v>0</v>
      </c>
      <c r="E586" s="211">
        <v>0</v>
      </c>
      <c r="F586" s="211">
        <v>0</v>
      </c>
      <c r="G586" s="211">
        <v>0</v>
      </c>
      <c r="H586" s="211">
        <v>0</v>
      </c>
      <c r="I586" s="386">
        <f t="shared" si="13"/>
        <v>17836406</v>
      </c>
      <c r="J586" s="203" t="s">
        <v>1179</v>
      </c>
    </row>
    <row r="587" spans="1:10" hidden="1" outlineLevel="1">
      <c r="A587" s="425" t="s">
        <v>1877</v>
      </c>
      <c r="B587" s="814">
        <v>0</v>
      </c>
      <c r="C587" s="211">
        <v>0</v>
      </c>
      <c r="D587" s="211">
        <v>0</v>
      </c>
      <c r="E587" s="211">
        <v>0</v>
      </c>
      <c r="F587" s="211">
        <v>0</v>
      </c>
      <c r="G587" s="211">
        <v>0</v>
      </c>
      <c r="H587" s="211">
        <v>0</v>
      </c>
      <c r="I587" s="386">
        <f t="shared" si="13"/>
        <v>0</v>
      </c>
      <c r="J587" s="203" t="s">
        <v>1878</v>
      </c>
    </row>
    <row r="588" spans="1:10" hidden="1" outlineLevel="1">
      <c r="A588" s="425" t="s">
        <v>1180</v>
      </c>
      <c r="B588" s="815">
        <v>16614843</v>
      </c>
      <c r="C588" s="211">
        <v>0</v>
      </c>
      <c r="D588" s="211">
        <v>0</v>
      </c>
      <c r="E588" s="211">
        <v>0</v>
      </c>
      <c r="F588" s="211">
        <v>0</v>
      </c>
      <c r="G588" s="211">
        <v>0</v>
      </c>
      <c r="H588" s="211">
        <v>0</v>
      </c>
      <c r="I588" s="386">
        <f t="shared" si="13"/>
        <v>16614843</v>
      </c>
      <c r="J588" s="203" t="s">
        <v>1181</v>
      </c>
    </row>
    <row r="589" spans="1:10" hidden="1" outlineLevel="1">
      <c r="A589" s="425" t="s">
        <v>1182</v>
      </c>
      <c r="B589" s="815">
        <v>21105358</v>
      </c>
      <c r="C589" s="211">
        <v>0</v>
      </c>
      <c r="D589" s="211">
        <v>0</v>
      </c>
      <c r="E589" s="211">
        <v>0</v>
      </c>
      <c r="F589" s="211">
        <v>0</v>
      </c>
      <c r="G589" s="211">
        <v>0</v>
      </c>
      <c r="H589" s="211">
        <v>0</v>
      </c>
      <c r="I589" s="386">
        <f t="shared" si="13"/>
        <v>21105358</v>
      </c>
      <c r="J589" s="203" t="s">
        <v>1183</v>
      </c>
    </row>
    <row r="590" spans="1:10" hidden="1" outlineLevel="1">
      <c r="A590" s="425" t="s">
        <v>1184</v>
      </c>
      <c r="B590" s="815">
        <v>144084021</v>
      </c>
      <c r="C590" s="211">
        <v>0</v>
      </c>
      <c r="D590" s="211">
        <v>0</v>
      </c>
      <c r="E590" s="211">
        <v>0</v>
      </c>
      <c r="F590" s="211">
        <v>0</v>
      </c>
      <c r="G590" s="211">
        <v>0</v>
      </c>
      <c r="H590" s="211">
        <v>0</v>
      </c>
      <c r="I590" s="386">
        <f t="shared" si="13"/>
        <v>144084021</v>
      </c>
      <c r="J590" s="203" t="s">
        <v>1185</v>
      </c>
    </row>
    <row r="591" spans="1:10" hidden="1" outlineLevel="1">
      <c r="A591" s="425" t="s">
        <v>1186</v>
      </c>
      <c r="B591" s="815">
        <v>87563053</v>
      </c>
      <c r="C591" s="211">
        <v>0</v>
      </c>
      <c r="D591" s="211">
        <v>0</v>
      </c>
      <c r="E591" s="211">
        <v>0</v>
      </c>
      <c r="F591" s="211">
        <v>0</v>
      </c>
      <c r="G591" s="211">
        <v>0</v>
      </c>
      <c r="H591" s="211">
        <v>0</v>
      </c>
      <c r="I591" s="386">
        <f t="shared" si="13"/>
        <v>87563053</v>
      </c>
      <c r="J591" s="203" t="s">
        <v>1187</v>
      </c>
    </row>
    <row r="592" spans="1:10" hidden="1" outlineLevel="1">
      <c r="A592" s="425" t="s">
        <v>1188</v>
      </c>
      <c r="B592" s="815">
        <v>24506432</v>
      </c>
      <c r="C592" s="211">
        <v>0</v>
      </c>
      <c r="D592" s="211">
        <v>0</v>
      </c>
      <c r="E592" s="211">
        <v>0</v>
      </c>
      <c r="F592" s="211">
        <v>0</v>
      </c>
      <c r="G592" s="211">
        <v>0</v>
      </c>
      <c r="H592" s="211">
        <v>0</v>
      </c>
      <c r="I592" s="386">
        <f t="shared" si="13"/>
        <v>24506432</v>
      </c>
      <c r="J592" s="203" t="s">
        <v>1189</v>
      </c>
    </row>
    <row r="593" spans="1:10" hidden="1" outlineLevel="1">
      <c r="A593" s="425" t="s">
        <v>1190</v>
      </c>
      <c r="B593" s="815">
        <v>87910758.010000005</v>
      </c>
      <c r="C593" s="211">
        <v>0</v>
      </c>
      <c r="D593" s="211">
        <v>0</v>
      </c>
      <c r="E593" s="211">
        <v>0</v>
      </c>
      <c r="F593" s="211">
        <v>0</v>
      </c>
      <c r="G593" s="211">
        <v>0</v>
      </c>
      <c r="H593" s="211">
        <v>0</v>
      </c>
      <c r="I593" s="386">
        <f t="shared" si="13"/>
        <v>87910758.010000005</v>
      </c>
      <c r="J593" s="203" t="s">
        <v>1191</v>
      </c>
    </row>
    <row r="594" spans="1:10" hidden="1" outlineLevel="1">
      <c r="A594" s="425" t="s">
        <v>1192</v>
      </c>
      <c r="B594" s="815">
        <v>118732096</v>
      </c>
      <c r="C594" s="211">
        <v>0</v>
      </c>
      <c r="D594" s="211">
        <v>0</v>
      </c>
      <c r="E594" s="211">
        <v>0</v>
      </c>
      <c r="F594" s="211">
        <v>0</v>
      </c>
      <c r="G594" s="211">
        <v>0</v>
      </c>
      <c r="H594" s="211">
        <v>0</v>
      </c>
      <c r="I594" s="386">
        <f t="shared" si="13"/>
        <v>118732096</v>
      </c>
      <c r="J594" s="203" t="s">
        <v>1193</v>
      </c>
    </row>
    <row r="595" spans="1:10" hidden="1" outlineLevel="1">
      <c r="A595" s="425" t="s">
        <v>1194</v>
      </c>
      <c r="B595" s="815">
        <v>43382932</v>
      </c>
      <c r="C595" s="211">
        <v>0</v>
      </c>
      <c r="D595" s="211">
        <v>0</v>
      </c>
      <c r="E595" s="211">
        <v>0</v>
      </c>
      <c r="F595" s="211">
        <v>0</v>
      </c>
      <c r="G595" s="211">
        <v>0</v>
      </c>
      <c r="H595" s="211">
        <v>0</v>
      </c>
      <c r="I595" s="386">
        <f t="shared" si="13"/>
        <v>43382932</v>
      </c>
      <c r="J595" s="203" t="s">
        <v>1195</v>
      </c>
    </row>
    <row r="596" spans="1:10" hidden="1" outlineLevel="1">
      <c r="A596" s="425" t="s">
        <v>1196</v>
      </c>
      <c r="B596" s="815">
        <v>96924486</v>
      </c>
      <c r="C596" s="211">
        <v>0</v>
      </c>
      <c r="D596" s="211">
        <v>0</v>
      </c>
      <c r="E596" s="211">
        <v>0</v>
      </c>
      <c r="F596" s="211">
        <v>0</v>
      </c>
      <c r="G596" s="211">
        <v>0</v>
      </c>
      <c r="H596" s="211">
        <v>0</v>
      </c>
      <c r="I596" s="386">
        <f t="shared" si="13"/>
        <v>96924486</v>
      </c>
      <c r="J596" s="203" t="s">
        <v>1197</v>
      </c>
    </row>
    <row r="597" spans="1:10" hidden="1" outlineLevel="1">
      <c r="A597" s="425" t="s">
        <v>1198</v>
      </c>
      <c r="B597" s="815">
        <v>2035607408</v>
      </c>
      <c r="C597" s="211">
        <v>0</v>
      </c>
      <c r="D597" s="211">
        <v>0</v>
      </c>
      <c r="E597" s="211">
        <v>0</v>
      </c>
      <c r="F597" s="211">
        <v>31890065</v>
      </c>
      <c r="G597" s="211">
        <v>0</v>
      </c>
      <c r="H597" s="211">
        <v>0</v>
      </c>
      <c r="I597" s="386">
        <f t="shared" si="13"/>
        <v>2067497473</v>
      </c>
      <c r="J597" s="203" t="s">
        <v>1199</v>
      </c>
    </row>
    <row r="598" spans="1:10" hidden="1" outlineLevel="1">
      <c r="A598" s="425" t="s">
        <v>1200</v>
      </c>
      <c r="B598" s="815">
        <v>239077408</v>
      </c>
      <c r="C598" s="211">
        <v>0</v>
      </c>
      <c r="D598" s="211">
        <v>0</v>
      </c>
      <c r="E598" s="211">
        <v>0</v>
      </c>
      <c r="F598" s="211">
        <v>0</v>
      </c>
      <c r="G598" s="211">
        <v>0</v>
      </c>
      <c r="H598" s="211">
        <v>0</v>
      </c>
      <c r="I598" s="386">
        <f t="shared" si="13"/>
        <v>239077408</v>
      </c>
      <c r="J598" s="203" t="s">
        <v>1201</v>
      </c>
    </row>
    <row r="599" spans="1:10" hidden="1" outlineLevel="1">
      <c r="A599" s="425" t="s">
        <v>1202</v>
      </c>
      <c r="B599" s="815">
        <v>19412416</v>
      </c>
      <c r="C599" s="211">
        <v>0</v>
      </c>
      <c r="D599" s="211">
        <v>0</v>
      </c>
      <c r="E599" s="211">
        <v>0</v>
      </c>
      <c r="F599" s="211">
        <v>0</v>
      </c>
      <c r="G599" s="211">
        <v>0</v>
      </c>
      <c r="H599" s="211">
        <v>0</v>
      </c>
      <c r="I599" s="386">
        <f t="shared" si="13"/>
        <v>19412416</v>
      </c>
      <c r="J599" s="203" t="s">
        <v>1203</v>
      </c>
    </row>
    <row r="600" spans="1:10" hidden="1" outlineLevel="1">
      <c r="A600" s="425" t="s">
        <v>1204</v>
      </c>
      <c r="B600" s="815">
        <v>6094558115</v>
      </c>
      <c r="C600" s="211">
        <v>0</v>
      </c>
      <c r="D600" s="211">
        <v>0</v>
      </c>
      <c r="E600" s="211">
        <v>0</v>
      </c>
      <c r="F600" s="211">
        <v>264832077</v>
      </c>
      <c r="G600" s="211">
        <v>0</v>
      </c>
      <c r="H600" s="211">
        <v>0</v>
      </c>
      <c r="I600" s="386">
        <f t="shared" si="13"/>
        <v>6359390192</v>
      </c>
      <c r="J600" s="203" t="s">
        <v>1205</v>
      </c>
    </row>
    <row r="601" spans="1:10" hidden="1" outlineLevel="1">
      <c r="A601" s="425" t="s">
        <v>1206</v>
      </c>
      <c r="B601" s="815">
        <v>83641407</v>
      </c>
      <c r="C601" s="211">
        <v>0</v>
      </c>
      <c r="D601" s="211">
        <v>0</v>
      </c>
      <c r="E601" s="211">
        <v>0</v>
      </c>
      <c r="F601" s="211">
        <v>0</v>
      </c>
      <c r="G601" s="211">
        <v>0</v>
      </c>
      <c r="H601" s="211">
        <v>0</v>
      </c>
      <c r="I601" s="386">
        <f t="shared" si="13"/>
        <v>83641407</v>
      </c>
      <c r="J601" s="203" t="s">
        <v>1207</v>
      </c>
    </row>
    <row r="602" spans="1:10" hidden="1" outlineLevel="1">
      <c r="A602" s="425" t="s">
        <v>1208</v>
      </c>
      <c r="B602" s="815">
        <v>53286623</v>
      </c>
      <c r="C602" s="211">
        <v>0</v>
      </c>
      <c r="D602" s="211">
        <v>0</v>
      </c>
      <c r="E602" s="211">
        <v>0</v>
      </c>
      <c r="F602" s="211">
        <v>0</v>
      </c>
      <c r="G602" s="211">
        <v>0</v>
      </c>
      <c r="H602" s="211">
        <v>0</v>
      </c>
      <c r="I602" s="386">
        <f t="shared" si="13"/>
        <v>53286623</v>
      </c>
      <c r="J602" s="203" t="s">
        <v>1209</v>
      </c>
    </row>
    <row r="603" spans="1:10" hidden="1" outlineLevel="1">
      <c r="A603" s="425" t="s">
        <v>1210</v>
      </c>
      <c r="B603" s="815">
        <v>1007599312</v>
      </c>
      <c r="C603" s="211">
        <v>0</v>
      </c>
      <c r="D603" s="211">
        <v>0</v>
      </c>
      <c r="E603" s="211">
        <v>0</v>
      </c>
      <c r="F603" s="211">
        <v>0</v>
      </c>
      <c r="G603" s="211">
        <v>0</v>
      </c>
      <c r="H603" s="211">
        <v>0</v>
      </c>
      <c r="I603" s="386">
        <f t="shared" si="13"/>
        <v>1007599312</v>
      </c>
      <c r="J603" s="203" t="s">
        <v>1211</v>
      </c>
    </row>
    <row r="604" spans="1:10" hidden="1" outlineLevel="1">
      <c r="A604" s="425" t="s">
        <v>1212</v>
      </c>
      <c r="B604" s="815">
        <v>64524761</v>
      </c>
      <c r="C604" s="211">
        <v>0</v>
      </c>
      <c r="D604" s="211">
        <v>0</v>
      </c>
      <c r="E604" s="211">
        <v>0</v>
      </c>
      <c r="F604" s="211">
        <v>0</v>
      </c>
      <c r="G604" s="211">
        <v>0</v>
      </c>
      <c r="H604" s="211">
        <v>0</v>
      </c>
      <c r="I604" s="386">
        <f t="shared" si="13"/>
        <v>64524761</v>
      </c>
      <c r="J604" s="203" t="s">
        <v>1213</v>
      </c>
    </row>
    <row r="605" spans="1:10" hidden="1" outlineLevel="1">
      <c r="A605" s="425" t="s">
        <v>1214</v>
      </c>
      <c r="B605" s="815">
        <v>26056576.550000001</v>
      </c>
      <c r="C605" s="211">
        <v>0</v>
      </c>
      <c r="D605" s="211">
        <v>0</v>
      </c>
      <c r="E605" s="211">
        <v>0</v>
      </c>
      <c r="F605" s="211">
        <v>0</v>
      </c>
      <c r="G605" s="211">
        <v>723301</v>
      </c>
      <c r="H605" s="211">
        <v>0</v>
      </c>
      <c r="I605" s="386">
        <f t="shared" si="13"/>
        <v>26779877.550000001</v>
      </c>
      <c r="J605" s="203" t="s">
        <v>1215</v>
      </c>
    </row>
    <row r="606" spans="1:10" hidden="1" outlineLevel="1">
      <c r="A606" s="425" t="s">
        <v>1216</v>
      </c>
      <c r="B606" s="815">
        <v>36641432</v>
      </c>
      <c r="C606" s="211">
        <v>0</v>
      </c>
      <c r="D606" s="211">
        <v>0</v>
      </c>
      <c r="E606" s="211">
        <v>0</v>
      </c>
      <c r="F606" s="211">
        <v>0</v>
      </c>
      <c r="G606" s="211">
        <v>0</v>
      </c>
      <c r="H606" s="211">
        <v>0</v>
      </c>
      <c r="I606" s="386">
        <f t="shared" ref="I606:I669" si="14">SUM(B606:H606)</f>
        <v>36641432</v>
      </c>
      <c r="J606" s="203" t="s">
        <v>1217</v>
      </c>
    </row>
    <row r="607" spans="1:10" hidden="1" outlineLevel="1">
      <c r="A607" s="425" t="s">
        <v>1218</v>
      </c>
      <c r="B607" s="815">
        <v>59847711</v>
      </c>
      <c r="C607" s="211">
        <v>0</v>
      </c>
      <c r="D607" s="211">
        <v>0</v>
      </c>
      <c r="E607" s="211">
        <v>0</v>
      </c>
      <c r="F607" s="211">
        <v>0</v>
      </c>
      <c r="G607" s="211">
        <v>0</v>
      </c>
      <c r="H607" s="211">
        <v>0</v>
      </c>
      <c r="I607" s="386">
        <f t="shared" si="14"/>
        <v>59847711</v>
      </c>
      <c r="J607" s="203" t="s">
        <v>1219</v>
      </c>
    </row>
    <row r="608" spans="1:10" hidden="1" outlineLevel="1">
      <c r="A608" s="425" t="s">
        <v>1220</v>
      </c>
      <c r="B608" s="815">
        <v>61824518</v>
      </c>
      <c r="C608" s="211">
        <v>0</v>
      </c>
      <c r="D608" s="211">
        <v>0</v>
      </c>
      <c r="E608" s="211">
        <v>0</v>
      </c>
      <c r="F608" s="211">
        <v>0</v>
      </c>
      <c r="G608" s="211">
        <v>0</v>
      </c>
      <c r="H608" s="211">
        <v>0</v>
      </c>
      <c r="I608" s="386">
        <f t="shared" si="14"/>
        <v>61824518</v>
      </c>
      <c r="J608" s="203" t="s">
        <v>1221</v>
      </c>
    </row>
    <row r="609" spans="1:10" hidden="1" outlineLevel="1">
      <c r="A609" s="425" t="s">
        <v>1476</v>
      </c>
      <c r="B609" s="815">
        <v>237071357</v>
      </c>
      <c r="C609" s="211">
        <v>0</v>
      </c>
      <c r="D609" s="211">
        <v>0</v>
      </c>
      <c r="E609" s="211">
        <v>0</v>
      </c>
      <c r="F609" s="211">
        <v>0</v>
      </c>
      <c r="G609" s="211">
        <v>0</v>
      </c>
      <c r="H609" s="211">
        <v>0</v>
      </c>
      <c r="I609" s="386">
        <f t="shared" si="14"/>
        <v>237071357</v>
      </c>
      <c r="J609" s="203" t="s">
        <v>1477</v>
      </c>
    </row>
    <row r="610" spans="1:10" hidden="1" outlineLevel="1">
      <c r="A610" s="425" t="s">
        <v>1222</v>
      </c>
      <c r="B610" s="815">
        <v>57349763</v>
      </c>
      <c r="C610" s="211">
        <v>0</v>
      </c>
      <c r="D610" s="211">
        <v>0</v>
      </c>
      <c r="E610" s="211">
        <v>0</v>
      </c>
      <c r="F610" s="211">
        <v>0</v>
      </c>
      <c r="G610" s="211">
        <v>0</v>
      </c>
      <c r="H610" s="211">
        <v>0</v>
      </c>
      <c r="I610" s="386">
        <f t="shared" si="14"/>
        <v>57349763</v>
      </c>
      <c r="J610" s="203" t="s">
        <v>1223</v>
      </c>
    </row>
    <row r="611" spans="1:10" hidden="1" outlineLevel="1">
      <c r="A611" s="425" t="s">
        <v>1224</v>
      </c>
      <c r="B611" s="815">
        <v>54116170</v>
      </c>
      <c r="C611" s="211">
        <v>0</v>
      </c>
      <c r="D611" s="211">
        <v>0</v>
      </c>
      <c r="E611" s="211">
        <v>0</v>
      </c>
      <c r="F611" s="211">
        <v>0</v>
      </c>
      <c r="G611" s="211">
        <v>0</v>
      </c>
      <c r="H611" s="211">
        <v>0</v>
      </c>
      <c r="I611" s="386">
        <f t="shared" si="14"/>
        <v>54116170</v>
      </c>
      <c r="J611" s="203" t="s">
        <v>1225</v>
      </c>
    </row>
    <row r="612" spans="1:10" hidden="1" outlineLevel="1">
      <c r="A612" s="425" t="s">
        <v>1226</v>
      </c>
      <c r="B612" s="815">
        <v>58787734</v>
      </c>
      <c r="C612" s="211">
        <v>0</v>
      </c>
      <c r="D612" s="211">
        <v>0</v>
      </c>
      <c r="E612" s="211">
        <v>0</v>
      </c>
      <c r="F612" s="211">
        <v>0</v>
      </c>
      <c r="G612" s="211">
        <v>0</v>
      </c>
      <c r="H612" s="211">
        <v>0</v>
      </c>
      <c r="I612" s="386">
        <f t="shared" si="14"/>
        <v>58787734</v>
      </c>
      <c r="J612" s="203" t="s">
        <v>1227</v>
      </c>
    </row>
    <row r="613" spans="1:10" hidden="1" outlineLevel="1">
      <c r="A613" s="425" t="s">
        <v>1228</v>
      </c>
      <c r="B613" s="815">
        <v>143831363</v>
      </c>
      <c r="C613" s="211">
        <v>0</v>
      </c>
      <c r="D613" s="211">
        <v>0</v>
      </c>
      <c r="E613" s="211">
        <v>0</v>
      </c>
      <c r="F613" s="211">
        <v>0</v>
      </c>
      <c r="G613" s="211">
        <v>0</v>
      </c>
      <c r="H613" s="211">
        <v>0</v>
      </c>
      <c r="I613" s="386">
        <f t="shared" si="14"/>
        <v>143831363</v>
      </c>
      <c r="J613" s="203" t="s">
        <v>1229</v>
      </c>
    </row>
    <row r="614" spans="1:10" hidden="1" outlineLevel="1">
      <c r="A614" s="425" t="s">
        <v>1230</v>
      </c>
      <c r="B614" s="815">
        <v>52173453</v>
      </c>
      <c r="C614" s="211">
        <v>0</v>
      </c>
      <c r="D614" s="211">
        <v>0</v>
      </c>
      <c r="E614" s="211">
        <v>0</v>
      </c>
      <c r="F614" s="211">
        <v>0</v>
      </c>
      <c r="G614" s="211">
        <v>0</v>
      </c>
      <c r="H614" s="211">
        <v>0</v>
      </c>
      <c r="I614" s="386">
        <f t="shared" si="14"/>
        <v>52173453</v>
      </c>
      <c r="J614" s="203" t="s">
        <v>1231</v>
      </c>
    </row>
    <row r="615" spans="1:10" hidden="1" outlineLevel="1">
      <c r="A615" s="425" t="s">
        <v>1232</v>
      </c>
      <c r="B615" s="815">
        <v>20294171</v>
      </c>
      <c r="C615" s="211">
        <v>0</v>
      </c>
      <c r="D615" s="211">
        <v>0</v>
      </c>
      <c r="E615" s="211">
        <v>0</v>
      </c>
      <c r="F615" s="211">
        <v>0</v>
      </c>
      <c r="G615" s="211">
        <v>0</v>
      </c>
      <c r="H615" s="211">
        <v>0</v>
      </c>
      <c r="I615" s="386">
        <f t="shared" si="14"/>
        <v>20294171</v>
      </c>
      <c r="J615" s="203" t="s">
        <v>1233</v>
      </c>
    </row>
    <row r="616" spans="1:10" hidden="1" outlineLevel="1">
      <c r="A616" s="425" t="s">
        <v>1234</v>
      </c>
      <c r="B616" s="815">
        <v>23696656.870000001</v>
      </c>
      <c r="C616" s="211">
        <v>0</v>
      </c>
      <c r="D616" s="211">
        <v>0</v>
      </c>
      <c r="E616" s="211">
        <v>0</v>
      </c>
      <c r="F616" s="211">
        <v>0</v>
      </c>
      <c r="G616" s="211">
        <v>0</v>
      </c>
      <c r="H616" s="211">
        <v>0</v>
      </c>
      <c r="I616" s="386">
        <f t="shared" si="14"/>
        <v>23696656.870000001</v>
      </c>
      <c r="J616" s="203" t="s">
        <v>1235</v>
      </c>
    </row>
    <row r="617" spans="1:10" hidden="1" outlineLevel="1">
      <c r="A617" s="425" t="s">
        <v>1236</v>
      </c>
      <c r="B617" s="815">
        <v>55845024</v>
      </c>
      <c r="C617" s="211">
        <v>0</v>
      </c>
      <c r="D617" s="211">
        <v>0</v>
      </c>
      <c r="E617" s="211">
        <v>0</v>
      </c>
      <c r="F617" s="211">
        <v>0</v>
      </c>
      <c r="G617" s="211">
        <v>0</v>
      </c>
      <c r="H617" s="211">
        <v>0</v>
      </c>
      <c r="I617" s="386">
        <f t="shared" si="14"/>
        <v>55845024</v>
      </c>
      <c r="J617" s="203" t="s">
        <v>1237</v>
      </c>
    </row>
    <row r="618" spans="1:10" hidden="1" outlineLevel="1">
      <c r="A618" s="425" t="s">
        <v>1238</v>
      </c>
      <c r="B618" s="815">
        <v>852933909</v>
      </c>
      <c r="C618" s="211">
        <v>0</v>
      </c>
      <c r="D618" s="211">
        <v>0</v>
      </c>
      <c r="E618" s="211">
        <v>0</v>
      </c>
      <c r="F618" s="211">
        <v>0</v>
      </c>
      <c r="G618" s="211">
        <v>7839738</v>
      </c>
      <c r="H618" s="211">
        <v>0</v>
      </c>
      <c r="I618" s="386">
        <f t="shared" si="14"/>
        <v>860773647</v>
      </c>
      <c r="J618" s="203" t="s">
        <v>1239</v>
      </c>
    </row>
    <row r="619" spans="1:10" hidden="1" outlineLevel="1">
      <c r="A619" s="425" t="s">
        <v>1879</v>
      </c>
      <c r="B619" s="815">
        <v>6078622</v>
      </c>
      <c r="C619" s="211">
        <v>0</v>
      </c>
      <c r="D619" s="211">
        <v>0</v>
      </c>
      <c r="E619" s="211">
        <v>0</v>
      </c>
      <c r="F619" s="211">
        <v>0</v>
      </c>
      <c r="G619" s="211">
        <v>0</v>
      </c>
      <c r="H619" s="211">
        <v>0</v>
      </c>
      <c r="I619" s="386">
        <f t="shared" si="14"/>
        <v>6078622</v>
      </c>
      <c r="J619" s="203" t="s">
        <v>1880</v>
      </c>
    </row>
    <row r="620" spans="1:10" hidden="1" outlineLevel="1">
      <c r="A620" s="425" t="s">
        <v>1240</v>
      </c>
      <c r="B620" s="815">
        <v>19166246</v>
      </c>
      <c r="C620" s="211">
        <v>0</v>
      </c>
      <c r="D620" s="211">
        <v>0</v>
      </c>
      <c r="E620" s="211">
        <v>0</v>
      </c>
      <c r="F620" s="211">
        <v>0</v>
      </c>
      <c r="G620" s="211">
        <v>0</v>
      </c>
      <c r="H620" s="211">
        <v>0</v>
      </c>
      <c r="I620" s="386">
        <f t="shared" si="14"/>
        <v>19166246</v>
      </c>
      <c r="J620" s="203" t="s">
        <v>1241</v>
      </c>
    </row>
    <row r="621" spans="1:10" hidden="1" outlineLevel="1">
      <c r="A621" s="425" t="s">
        <v>1242</v>
      </c>
      <c r="B621" s="815">
        <v>177702669</v>
      </c>
      <c r="C621" s="211">
        <v>0</v>
      </c>
      <c r="D621" s="211">
        <v>0</v>
      </c>
      <c r="E621" s="211">
        <v>0</v>
      </c>
      <c r="F621" s="211">
        <v>0</v>
      </c>
      <c r="G621" s="211">
        <v>0</v>
      </c>
      <c r="H621" s="211">
        <v>0</v>
      </c>
      <c r="I621" s="386">
        <f t="shared" si="14"/>
        <v>177702669</v>
      </c>
      <c r="J621" s="203" t="s">
        <v>1243</v>
      </c>
    </row>
    <row r="622" spans="1:10" hidden="1" outlineLevel="1">
      <c r="A622" s="425" t="s">
        <v>1244</v>
      </c>
      <c r="B622" s="815">
        <v>16274583</v>
      </c>
      <c r="C622" s="211">
        <v>0</v>
      </c>
      <c r="D622" s="211">
        <v>0</v>
      </c>
      <c r="E622" s="211">
        <v>0</v>
      </c>
      <c r="F622" s="211">
        <v>0</v>
      </c>
      <c r="G622" s="211">
        <v>0</v>
      </c>
      <c r="H622" s="211">
        <v>0</v>
      </c>
      <c r="I622" s="386">
        <f t="shared" si="14"/>
        <v>16274583</v>
      </c>
      <c r="J622" s="203" t="s">
        <v>1245</v>
      </c>
    </row>
    <row r="623" spans="1:10" hidden="1" outlineLevel="1">
      <c r="A623" s="425" t="s">
        <v>1246</v>
      </c>
      <c r="B623" s="815">
        <v>115782685</v>
      </c>
      <c r="C623" s="211">
        <v>0</v>
      </c>
      <c r="D623" s="211">
        <v>0</v>
      </c>
      <c r="E623" s="211">
        <v>0</v>
      </c>
      <c r="F623" s="211">
        <v>0</v>
      </c>
      <c r="G623" s="211">
        <v>0</v>
      </c>
      <c r="H623" s="211">
        <v>0</v>
      </c>
      <c r="I623" s="386">
        <f t="shared" si="14"/>
        <v>115782685</v>
      </c>
      <c r="J623" s="203" t="s">
        <v>1247</v>
      </c>
    </row>
    <row r="624" spans="1:10" hidden="1" outlineLevel="1">
      <c r="A624" s="425" t="s">
        <v>1248</v>
      </c>
      <c r="B624" s="815">
        <v>14683775</v>
      </c>
      <c r="C624" s="211">
        <v>0</v>
      </c>
      <c r="D624" s="211">
        <v>0</v>
      </c>
      <c r="E624" s="211">
        <v>0</v>
      </c>
      <c r="F624" s="211">
        <v>0</v>
      </c>
      <c r="G624" s="211">
        <v>0</v>
      </c>
      <c r="H624" s="211">
        <v>0</v>
      </c>
      <c r="I624" s="386">
        <f t="shared" si="14"/>
        <v>14683775</v>
      </c>
      <c r="J624" s="203" t="s">
        <v>1249</v>
      </c>
    </row>
    <row r="625" spans="1:10" hidden="1" outlineLevel="1">
      <c r="A625" s="425" t="s">
        <v>1250</v>
      </c>
      <c r="B625" s="815">
        <v>342918982</v>
      </c>
      <c r="C625" s="211">
        <v>0</v>
      </c>
      <c r="D625" s="211">
        <v>0</v>
      </c>
      <c r="E625" s="211">
        <v>0</v>
      </c>
      <c r="F625" s="211">
        <v>0</v>
      </c>
      <c r="G625" s="211">
        <v>0</v>
      </c>
      <c r="H625" s="211">
        <v>0</v>
      </c>
      <c r="I625" s="386">
        <f t="shared" si="14"/>
        <v>342918982</v>
      </c>
      <c r="J625" s="203" t="s">
        <v>1251</v>
      </c>
    </row>
    <row r="626" spans="1:10" hidden="1" outlineLevel="1">
      <c r="A626" s="425" t="s">
        <v>1252</v>
      </c>
      <c r="B626" s="815">
        <v>45607942</v>
      </c>
      <c r="C626" s="211">
        <v>0</v>
      </c>
      <c r="D626" s="211">
        <v>0</v>
      </c>
      <c r="E626" s="211">
        <v>0</v>
      </c>
      <c r="F626" s="211">
        <v>0</v>
      </c>
      <c r="G626" s="211">
        <v>0</v>
      </c>
      <c r="H626" s="211">
        <v>0</v>
      </c>
      <c r="I626" s="386">
        <f t="shared" si="14"/>
        <v>45607942</v>
      </c>
      <c r="J626" s="203" t="s">
        <v>1253</v>
      </c>
    </row>
    <row r="627" spans="1:10" hidden="1" outlineLevel="1">
      <c r="A627" s="425" t="s">
        <v>1254</v>
      </c>
      <c r="B627" s="815">
        <v>99293434</v>
      </c>
      <c r="C627" s="211">
        <v>0</v>
      </c>
      <c r="D627" s="211">
        <v>0</v>
      </c>
      <c r="E627" s="211">
        <v>0</v>
      </c>
      <c r="F627" s="211">
        <v>0</v>
      </c>
      <c r="G627" s="211">
        <v>0</v>
      </c>
      <c r="H627" s="211">
        <v>0</v>
      </c>
      <c r="I627" s="386">
        <f t="shared" si="14"/>
        <v>99293434</v>
      </c>
      <c r="J627" s="203" t="s">
        <v>1255</v>
      </c>
    </row>
    <row r="628" spans="1:10" hidden="1" outlineLevel="1">
      <c r="A628" s="425" t="s">
        <v>1256</v>
      </c>
      <c r="B628" s="815">
        <v>14453637</v>
      </c>
      <c r="C628" s="211">
        <v>0</v>
      </c>
      <c r="D628" s="211">
        <v>0</v>
      </c>
      <c r="E628" s="211">
        <v>0</v>
      </c>
      <c r="F628" s="211">
        <v>0</v>
      </c>
      <c r="G628" s="211">
        <v>0</v>
      </c>
      <c r="H628" s="211">
        <v>0</v>
      </c>
      <c r="I628" s="386">
        <f t="shared" si="14"/>
        <v>14453637</v>
      </c>
      <c r="J628" s="203" t="s">
        <v>1257</v>
      </c>
    </row>
    <row r="629" spans="1:10" hidden="1" outlineLevel="1">
      <c r="A629" s="425" t="s">
        <v>1258</v>
      </c>
      <c r="B629" s="815">
        <v>18372112</v>
      </c>
      <c r="C629" s="211">
        <v>0</v>
      </c>
      <c r="D629" s="211">
        <v>0</v>
      </c>
      <c r="E629" s="211">
        <v>0</v>
      </c>
      <c r="F629" s="211">
        <v>0</v>
      </c>
      <c r="G629" s="211">
        <v>0</v>
      </c>
      <c r="H629" s="211">
        <v>0</v>
      </c>
      <c r="I629" s="386">
        <f t="shared" si="14"/>
        <v>18372112</v>
      </c>
      <c r="J629" s="203" t="s">
        <v>1259</v>
      </c>
    </row>
    <row r="630" spans="1:10" hidden="1" outlineLevel="1">
      <c r="A630" s="425" t="s">
        <v>1260</v>
      </c>
      <c r="B630" s="815">
        <v>1101489550</v>
      </c>
      <c r="C630" s="211">
        <v>0</v>
      </c>
      <c r="D630" s="211">
        <v>0</v>
      </c>
      <c r="E630" s="211">
        <v>0</v>
      </c>
      <c r="F630" s="211">
        <v>15543398</v>
      </c>
      <c r="G630" s="211">
        <v>0</v>
      </c>
      <c r="H630" s="211">
        <v>0</v>
      </c>
      <c r="I630" s="386">
        <f t="shared" si="14"/>
        <v>1117032948</v>
      </c>
      <c r="J630" s="203" t="s">
        <v>1261</v>
      </c>
    </row>
    <row r="631" spans="1:10" hidden="1" outlineLevel="1">
      <c r="A631" s="425" t="s">
        <v>1262</v>
      </c>
      <c r="B631" s="815">
        <v>164340091</v>
      </c>
      <c r="C631" s="211">
        <v>0</v>
      </c>
      <c r="D631" s="211">
        <v>0</v>
      </c>
      <c r="E631" s="211">
        <v>0</v>
      </c>
      <c r="F631" s="211">
        <v>0</v>
      </c>
      <c r="G631" s="211">
        <v>0</v>
      </c>
      <c r="H631" s="211">
        <v>0</v>
      </c>
      <c r="I631" s="386">
        <f t="shared" si="14"/>
        <v>164340091</v>
      </c>
      <c r="J631" s="203" t="s">
        <v>1263</v>
      </c>
    </row>
    <row r="632" spans="1:10" hidden="1" outlineLevel="1">
      <c r="A632" s="425" t="s">
        <v>1881</v>
      </c>
      <c r="B632" s="815">
        <v>1726795</v>
      </c>
      <c r="C632" s="211">
        <v>0</v>
      </c>
      <c r="D632" s="211">
        <v>0</v>
      </c>
      <c r="E632" s="211">
        <v>0</v>
      </c>
      <c r="F632" s="211">
        <v>0</v>
      </c>
      <c r="G632" s="211">
        <v>0</v>
      </c>
      <c r="H632" s="211">
        <v>0</v>
      </c>
      <c r="I632" s="386">
        <f t="shared" si="14"/>
        <v>1726795</v>
      </c>
      <c r="J632" s="203" t="s">
        <v>1882</v>
      </c>
    </row>
    <row r="633" spans="1:10" hidden="1" outlineLevel="1">
      <c r="A633" s="425" t="s">
        <v>1883</v>
      </c>
      <c r="B633" s="815">
        <v>21827657</v>
      </c>
      <c r="C633" s="211">
        <v>0</v>
      </c>
      <c r="D633" s="211">
        <v>0</v>
      </c>
      <c r="E633" s="211">
        <v>0</v>
      </c>
      <c r="F633" s="211">
        <v>0</v>
      </c>
      <c r="G633" s="211">
        <v>0</v>
      </c>
      <c r="H633" s="211">
        <v>0</v>
      </c>
      <c r="I633" s="386">
        <f t="shared" si="14"/>
        <v>21827657</v>
      </c>
      <c r="J633" s="203" t="s">
        <v>1884</v>
      </c>
    </row>
    <row r="634" spans="1:10" hidden="1" outlineLevel="1">
      <c r="A634" s="425" t="s">
        <v>1264</v>
      </c>
      <c r="B634" s="815">
        <v>20979052</v>
      </c>
      <c r="C634" s="211">
        <v>0</v>
      </c>
      <c r="D634" s="211">
        <v>0</v>
      </c>
      <c r="E634" s="211">
        <v>0</v>
      </c>
      <c r="F634" s="211">
        <v>0</v>
      </c>
      <c r="G634" s="211">
        <v>0</v>
      </c>
      <c r="H634" s="211">
        <v>0</v>
      </c>
      <c r="I634" s="386">
        <f t="shared" si="14"/>
        <v>20979052</v>
      </c>
      <c r="J634" s="203" t="s">
        <v>1265</v>
      </c>
    </row>
    <row r="635" spans="1:10" hidden="1" outlineLevel="1">
      <c r="A635" s="425" t="s">
        <v>1482</v>
      </c>
      <c r="B635" s="815">
        <v>86774145</v>
      </c>
      <c r="C635" s="211">
        <v>0</v>
      </c>
      <c r="D635" s="211">
        <v>0</v>
      </c>
      <c r="E635" s="211">
        <v>0</v>
      </c>
      <c r="F635" s="211">
        <v>0</v>
      </c>
      <c r="G635" s="211">
        <v>0</v>
      </c>
      <c r="H635" s="211">
        <v>0</v>
      </c>
      <c r="I635" s="386">
        <f t="shared" si="14"/>
        <v>86774145</v>
      </c>
      <c r="J635" s="203" t="s">
        <v>1483</v>
      </c>
    </row>
    <row r="636" spans="1:10" hidden="1" outlineLevel="1">
      <c r="A636" s="425" t="s">
        <v>1266</v>
      </c>
      <c r="B636" s="815">
        <v>43572706</v>
      </c>
      <c r="C636" s="211">
        <v>0</v>
      </c>
      <c r="D636" s="211">
        <v>0</v>
      </c>
      <c r="E636" s="211">
        <v>0</v>
      </c>
      <c r="F636" s="211">
        <v>0</v>
      </c>
      <c r="G636" s="211">
        <v>0</v>
      </c>
      <c r="H636" s="211">
        <v>0</v>
      </c>
      <c r="I636" s="386">
        <f t="shared" si="14"/>
        <v>43572706</v>
      </c>
      <c r="J636" s="203" t="s">
        <v>1267</v>
      </c>
    </row>
    <row r="637" spans="1:10" hidden="1" outlineLevel="1">
      <c r="A637" s="425" t="s">
        <v>1268</v>
      </c>
      <c r="B637" s="815">
        <v>778392127</v>
      </c>
      <c r="C637" s="211">
        <v>0</v>
      </c>
      <c r="D637" s="211">
        <v>0</v>
      </c>
      <c r="E637" s="211">
        <v>0</v>
      </c>
      <c r="F637" s="211">
        <v>0</v>
      </c>
      <c r="G637" s="211">
        <v>0</v>
      </c>
      <c r="H637" s="211">
        <v>0</v>
      </c>
      <c r="I637" s="386">
        <f t="shared" si="14"/>
        <v>778392127</v>
      </c>
      <c r="J637" s="203" t="s">
        <v>1269</v>
      </c>
    </row>
    <row r="638" spans="1:10" hidden="1" outlineLevel="1">
      <c r="A638" s="425" t="s">
        <v>1270</v>
      </c>
      <c r="B638" s="815">
        <v>66536736.799999997</v>
      </c>
      <c r="C638" s="211">
        <v>0</v>
      </c>
      <c r="D638" s="211">
        <v>0</v>
      </c>
      <c r="E638" s="211">
        <v>0</v>
      </c>
      <c r="F638" s="211">
        <v>0</v>
      </c>
      <c r="G638" s="211">
        <v>0</v>
      </c>
      <c r="H638" s="211">
        <v>0</v>
      </c>
      <c r="I638" s="386">
        <f t="shared" si="14"/>
        <v>66536736.799999997</v>
      </c>
      <c r="J638" s="203" t="s">
        <v>1271</v>
      </c>
    </row>
    <row r="639" spans="1:10" hidden="1" outlineLevel="1">
      <c r="A639" s="425" t="s">
        <v>1272</v>
      </c>
      <c r="B639" s="815">
        <v>34702805</v>
      </c>
      <c r="C639" s="211">
        <v>0</v>
      </c>
      <c r="D639" s="211">
        <v>0</v>
      </c>
      <c r="E639" s="211">
        <v>0</v>
      </c>
      <c r="F639" s="211">
        <v>0</v>
      </c>
      <c r="G639" s="211">
        <v>0</v>
      </c>
      <c r="H639" s="211">
        <v>0</v>
      </c>
      <c r="I639" s="386">
        <f t="shared" si="14"/>
        <v>34702805</v>
      </c>
      <c r="J639" s="203" t="s">
        <v>1273</v>
      </c>
    </row>
    <row r="640" spans="1:10" hidden="1" outlineLevel="1">
      <c r="A640" s="425" t="s">
        <v>1274</v>
      </c>
      <c r="B640" s="815">
        <v>140520474</v>
      </c>
      <c r="C640" s="211">
        <v>0</v>
      </c>
      <c r="D640" s="211">
        <v>0</v>
      </c>
      <c r="E640" s="211">
        <v>0</v>
      </c>
      <c r="F640" s="211">
        <v>0</v>
      </c>
      <c r="G640" s="211">
        <v>0</v>
      </c>
      <c r="H640" s="211">
        <v>0</v>
      </c>
      <c r="I640" s="386">
        <f t="shared" si="14"/>
        <v>140520474</v>
      </c>
      <c r="J640" s="203" t="s">
        <v>1275</v>
      </c>
    </row>
    <row r="641" spans="1:10" hidden="1" outlineLevel="1">
      <c r="A641" s="425" t="s">
        <v>1276</v>
      </c>
      <c r="B641" s="815">
        <v>69079672</v>
      </c>
      <c r="C641" s="211">
        <v>0</v>
      </c>
      <c r="D641" s="211">
        <v>0</v>
      </c>
      <c r="E641" s="211">
        <v>0</v>
      </c>
      <c r="F641" s="211">
        <v>0</v>
      </c>
      <c r="G641" s="211">
        <v>0</v>
      </c>
      <c r="H641" s="211">
        <v>0</v>
      </c>
      <c r="I641" s="386">
        <f t="shared" si="14"/>
        <v>69079672</v>
      </c>
      <c r="J641" s="203" t="s">
        <v>1277</v>
      </c>
    </row>
    <row r="642" spans="1:10" hidden="1" outlineLevel="1">
      <c r="A642" s="425" t="s">
        <v>1278</v>
      </c>
      <c r="B642" s="815">
        <v>33590614</v>
      </c>
      <c r="C642" s="211">
        <v>0</v>
      </c>
      <c r="D642" s="211">
        <v>0</v>
      </c>
      <c r="E642" s="211">
        <v>0</v>
      </c>
      <c r="F642" s="211">
        <v>0</v>
      </c>
      <c r="G642" s="211">
        <v>0</v>
      </c>
      <c r="H642" s="211">
        <v>0</v>
      </c>
      <c r="I642" s="386">
        <f t="shared" si="14"/>
        <v>33590614</v>
      </c>
      <c r="J642" s="203" t="s">
        <v>1279</v>
      </c>
    </row>
    <row r="643" spans="1:10" hidden="1" outlineLevel="1">
      <c r="A643" s="425" t="s">
        <v>1885</v>
      </c>
      <c r="B643" s="815">
        <v>11333833</v>
      </c>
      <c r="C643" s="211">
        <v>0</v>
      </c>
      <c r="D643" s="211">
        <v>0</v>
      </c>
      <c r="E643" s="211">
        <v>0</v>
      </c>
      <c r="F643" s="211">
        <v>0</v>
      </c>
      <c r="G643" s="211">
        <v>0</v>
      </c>
      <c r="H643" s="211">
        <v>0</v>
      </c>
      <c r="I643" s="386">
        <f t="shared" si="14"/>
        <v>11333833</v>
      </c>
      <c r="J643" s="203" t="s">
        <v>1886</v>
      </c>
    </row>
    <row r="644" spans="1:10" hidden="1" outlineLevel="1">
      <c r="A644" s="425" t="s">
        <v>1280</v>
      </c>
      <c r="B644" s="815">
        <v>47297499</v>
      </c>
      <c r="C644" s="211">
        <v>0</v>
      </c>
      <c r="D644" s="211">
        <v>0</v>
      </c>
      <c r="E644" s="211">
        <v>0</v>
      </c>
      <c r="F644" s="211">
        <v>0</v>
      </c>
      <c r="G644" s="211">
        <v>0</v>
      </c>
      <c r="H644" s="211">
        <v>0</v>
      </c>
      <c r="I644" s="386">
        <f t="shared" si="14"/>
        <v>47297499</v>
      </c>
      <c r="J644" s="203" t="s">
        <v>1281</v>
      </c>
    </row>
    <row r="645" spans="1:10" hidden="1" outlineLevel="1">
      <c r="A645" s="425" t="s">
        <v>1282</v>
      </c>
      <c r="B645" s="815">
        <v>4347778722</v>
      </c>
      <c r="C645" s="211">
        <v>0</v>
      </c>
      <c r="D645" s="211">
        <v>0</v>
      </c>
      <c r="E645" s="211">
        <v>0</v>
      </c>
      <c r="F645" s="211">
        <v>99858868</v>
      </c>
      <c r="G645" s="211">
        <v>0</v>
      </c>
      <c r="H645" s="211">
        <v>0</v>
      </c>
      <c r="I645" s="386">
        <f t="shared" si="14"/>
        <v>4447637590</v>
      </c>
      <c r="J645" s="203" t="s">
        <v>1283</v>
      </c>
    </row>
    <row r="646" spans="1:10" hidden="1" outlineLevel="1">
      <c r="A646" s="425" t="s">
        <v>1284</v>
      </c>
      <c r="B646" s="815">
        <v>36329473</v>
      </c>
      <c r="C646" s="211">
        <v>0</v>
      </c>
      <c r="D646" s="211">
        <v>0</v>
      </c>
      <c r="E646" s="211">
        <v>0</v>
      </c>
      <c r="F646" s="211">
        <v>0</v>
      </c>
      <c r="G646" s="211">
        <v>0</v>
      </c>
      <c r="H646" s="211">
        <v>0</v>
      </c>
      <c r="I646" s="386">
        <f t="shared" si="14"/>
        <v>36329473</v>
      </c>
      <c r="J646" s="203" t="s">
        <v>1285</v>
      </c>
    </row>
    <row r="647" spans="1:10" hidden="1" outlineLevel="1">
      <c r="A647" s="425" t="s">
        <v>1286</v>
      </c>
      <c r="B647" s="815">
        <v>195967782</v>
      </c>
      <c r="C647" s="211">
        <v>0</v>
      </c>
      <c r="D647" s="211">
        <v>0</v>
      </c>
      <c r="E647" s="211">
        <v>0</v>
      </c>
      <c r="F647" s="211">
        <v>0</v>
      </c>
      <c r="G647" s="211">
        <v>0</v>
      </c>
      <c r="H647" s="211">
        <v>0</v>
      </c>
      <c r="I647" s="386">
        <f t="shared" si="14"/>
        <v>195967782</v>
      </c>
      <c r="J647" s="203" t="s">
        <v>1287</v>
      </c>
    </row>
    <row r="648" spans="1:10" hidden="1" outlineLevel="1">
      <c r="A648" s="425" t="s">
        <v>1887</v>
      </c>
      <c r="B648" s="815">
        <v>6585130</v>
      </c>
      <c r="C648" s="211">
        <v>0</v>
      </c>
      <c r="D648" s="211">
        <v>0</v>
      </c>
      <c r="E648" s="211">
        <v>0</v>
      </c>
      <c r="F648" s="211">
        <v>0</v>
      </c>
      <c r="G648" s="211">
        <v>0</v>
      </c>
      <c r="H648" s="211">
        <v>0</v>
      </c>
      <c r="I648" s="386">
        <f t="shared" si="14"/>
        <v>6585130</v>
      </c>
      <c r="J648" s="203" t="s">
        <v>1888</v>
      </c>
    </row>
    <row r="649" spans="1:10" hidden="1" outlineLevel="1">
      <c r="A649" s="425" t="s">
        <v>1288</v>
      </c>
      <c r="B649" s="815">
        <v>1079707047</v>
      </c>
      <c r="C649" s="211">
        <v>0</v>
      </c>
      <c r="D649" s="211">
        <v>8329577</v>
      </c>
      <c r="E649" s="211">
        <v>0</v>
      </c>
      <c r="F649" s="211">
        <v>0</v>
      </c>
      <c r="G649" s="211">
        <v>0</v>
      </c>
      <c r="H649" s="211">
        <v>0</v>
      </c>
      <c r="I649" s="386">
        <f t="shared" si="14"/>
        <v>1088036624</v>
      </c>
      <c r="J649" s="203" t="s">
        <v>1289</v>
      </c>
    </row>
    <row r="650" spans="1:10" hidden="1" outlineLevel="1">
      <c r="A650" s="425" t="s">
        <v>1889</v>
      </c>
      <c r="B650" s="815">
        <v>6137969</v>
      </c>
      <c r="C650" s="211">
        <v>0</v>
      </c>
      <c r="D650" s="211">
        <v>0</v>
      </c>
      <c r="E650" s="211">
        <v>0</v>
      </c>
      <c r="F650" s="211">
        <v>0</v>
      </c>
      <c r="G650" s="211">
        <v>0</v>
      </c>
      <c r="H650" s="211">
        <v>0</v>
      </c>
      <c r="I650" s="386">
        <f t="shared" si="14"/>
        <v>6137969</v>
      </c>
      <c r="J650" s="203" t="s">
        <v>1890</v>
      </c>
    </row>
    <row r="651" spans="1:10" hidden="1" outlineLevel="1">
      <c r="A651" s="425" t="s">
        <v>1290</v>
      </c>
      <c r="B651" s="815">
        <v>58516883</v>
      </c>
      <c r="C651" s="211">
        <v>0</v>
      </c>
      <c r="D651" s="211">
        <v>0</v>
      </c>
      <c r="E651" s="211">
        <v>0</v>
      </c>
      <c r="F651" s="211">
        <v>0</v>
      </c>
      <c r="G651" s="211">
        <v>0</v>
      </c>
      <c r="H651" s="211">
        <v>0</v>
      </c>
      <c r="I651" s="386">
        <f t="shared" si="14"/>
        <v>58516883</v>
      </c>
      <c r="J651" s="203" t="s">
        <v>1291</v>
      </c>
    </row>
    <row r="652" spans="1:10" hidden="1" outlineLevel="1">
      <c r="A652" s="425" t="s">
        <v>1292</v>
      </c>
      <c r="B652" s="815">
        <v>6133872</v>
      </c>
      <c r="C652" s="211">
        <v>0</v>
      </c>
      <c r="D652" s="211">
        <v>0</v>
      </c>
      <c r="E652" s="211">
        <v>0</v>
      </c>
      <c r="F652" s="211">
        <v>0</v>
      </c>
      <c r="G652" s="211">
        <v>0</v>
      </c>
      <c r="H652" s="211">
        <v>0</v>
      </c>
      <c r="I652" s="386">
        <f t="shared" si="14"/>
        <v>6133872</v>
      </c>
      <c r="J652" s="203" t="s">
        <v>1293</v>
      </c>
    </row>
    <row r="653" spans="1:10" hidden="1" outlineLevel="1">
      <c r="A653" s="425" t="s">
        <v>1294</v>
      </c>
      <c r="B653" s="815">
        <v>18197626</v>
      </c>
      <c r="C653" s="211">
        <v>0</v>
      </c>
      <c r="D653" s="211">
        <v>0</v>
      </c>
      <c r="E653" s="211">
        <v>0</v>
      </c>
      <c r="F653" s="211">
        <v>0</v>
      </c>
      <c r="G653" s="211">
        <v>0</v>
      </c>
      <c r="H653" s="211">
        <v>0</v>
      </c>
      <c r="I653" s="386">
        <f t="shared" si="14"/>
        <v>18197626</v>
      </c>
      <c r="J653" s="203" t="s">
        <v>1295</v>
      </c>
    </row>
    <row r="654" spans="1:10" hidden="1" outlineLevel="1">
      <c r="A654" s="425" t="s">
        <v>1296</v>
      </c>
      <c r="B654" s="815">
        <v>7737873</v>
      </c>
      <c r="C654" s="211">
        <v>0</v>
      </c>
      <c r="D654" s="211">
        <v>0</v>
      </c>
      <c r="E654" s="211">
        <v>0</v>
      </c>
      <c r="F654" s="211">
        <v>0</v>
      </c>
      <c r="G654" s="211">
        <v>0</v>
      </c>
      <c r="H654" s="211">
        <v>0</v>
      </c>
      <c r="I654" s="386">
        <f t="shared" si="14"/>
        <v>7737873</v>
      </c>
      <c r="J654" s="203" t="s">
        <v>1297</v>
      </c>
    </row>
    <row r="655" spans="1:10" hidden="1" outlineLevel="1">
      <c r="A655" s="425" t="s">
        <v>1298</v>
      </c>
      <c r="B655" s="815">
        <v>9961572</v>
      </c>
      <c r="C655" s="211">
        <v>0</v>
      </c>
      <c r="D655" s="211">
        <v>0</v>
      </c>
      <c r="E655" s="211">
        <v>0</v>
      </c>
      <c r="F655" s="211">
        <v>0</v>
      </c>
      <c r="G655" s="211">
        <v>0</v>
      </c>
      <c r="H655" s="211">
        <v>0</v>
      </c>
      <c r="I655" s="386">
        <f t="shared" si="14"/>
        <v>9961572</v>
      </c>
      <c r="J655" s="203" t="s">
        <v>1299</v>
      </c>
    </row>
    <row r="656" spans="1:10" hidden="1" outlineLevel="1">
      <c r="A656" s="425" t="s">
        <v>1300</v>
      </c>
      <c r="B656" s="815">
        <v>77093324</v>
      </c>
      <c r="C656" s="211">
        <v>0</v>
      </c>
      <c r="D656" s="211">
        <v>0</v>
      </c>
      <c r="E656" s="211">
        <v>0</v>
      </c>
      <c r="F656" s="211">
        <v>0</v>
      </c>
      <c r="G656" s="211">
        <v>0</v>
      </c>
      <c r="H656" s="211">
        <v>0</v>
      </c>
      <c r="I656" s="386">
        <f t="shared" si="14"/>
        <v>77093324</v>
      </c>
      <c r="J656" s="203" t="s">
        <v>1301</v>
      </c>
    </row>
    <row r="657" spans="1:10" hidden="1" outlineLevel="1">
      <c r="A657" s="425" t="s">
        <v>1891</v>
      </c>
      <c r="B657" s="815">
        <v>16281418</v>
      </c>
      <c r="C657" s="211">
        <v>0</v>
      </c>
      <c r="D657" s="211">
        <v>0</v>
      </c>
      <c r="E657" s="211">
        <v>0</v>
      </c>
      <c r="F657" s="211">
        <v>0</v>
      </c>
      <c r="G657" s="211">
        <v>0</v>
      </c>
      <c r="H657" s="211">
        <v>0</v>
      </c>
      <c r="I657" s="386">
        <f t="shared" si="14"/>
        <v>16281418</v>
      </c>
      <c r="J657" s="203" t="s">
        <v>1892</v>
      </c>
    </row>
    <row r="658" spans="1:10" hidden="1" outlineLevel="1">
      <c r="A658" s="425" t="s">
        <v>1302</v>
      </c>
      <c r="B658" s="815">
        <v>26076930</v>
      </c>
      <c r="C658" s="211">
        <v>0</v>
      </c>
      <c r="D658" s="211">
        <v>0</v>
      </c>
      <c r="E658" s="211">
        <v>0</v>
      </c>
      <c r="F658" s="211">
        <v>0</v>
      </c>
      <c r="G658" s="211">
        <v>0</v>
      </c>
      <c r="H658" s="211">
        <v>0</v>
      </c>
      <c r="I658" s="386">
        <f t="shared" si="14"/>
        <v>26076930</v>
      </c>
      <c r="J658" s="203" t="s">
        <v>1303</v>
      </c>
    </row>
    <row r="659" spans="1:10" hidden="1" outlineLevel="1">
      <c r="A659" s="425" t="s">
        <v>1484</v>
      </c>
      <c r="B659" s="815">
        <v>35804268</v>
      </c>
      <c r="C659" s="211">
        <v>0</v>
      </c>
      <c r="D659" s="211">
        <v>0</v>
      </c>
      <c r="E659" s="211">
        <v>0</v>
      </c>
      <c r="F659" s="211">
        <v>0</v>
      </c>
      <c r="G659" s="211">
        <v>0</v>
      </c>
      <c r="H659" s="211">
        <v>0</v>
      </c>
      <c r="I659" s="386">
        <f t="shared" si="14"/>
        <v>35804268</v>
      </c>
      <c r="J659" s="203" t="s">
        <v>1485</v>
      </c>
    </row>
    <row r="660" spans="1:10" hidden="1" outlineLevel="1">
      <c r="A660" s="425" t="s">
        <v>1304</v>
      </c>
      <c r="B660" s="815">
        <v>76723338</v>
      </c>
      <c r="C660" s="211">
        <v>0</v>
      </c>
      <c r="D660" s="211">
        <v>0</v>
      </c>
      <c r="E660" s="211">
        <v>0</v>
      </c>
      <c r="F660" s="211">
        <v>0</v>
      </c>
      <c r="G660" s="211">
        <v>0</v>
      </c>
      <c r="H660" s="211">
        <v>0</v>
      </c>
      <c r="I660" s="386">
        <f t="shared" si="14"/>
        <v>76723338</v>
      </c>
      <c r="J660" s="203" t="s">
        <v>1305</v>
      </c>
    </row>
    <row r="661" spans="1:10" hidden="1" outlineLevel="1">
      <c r="A661" s="425" t="s">
        <v>1306</v>
      </c>
      <c r="B661" s="815">
        <v>45085292.608999997</v>
      </c>
      <c r="C661" s="211">
        <v>0</v>
      </c>
      <c r="D661" s="211">
        <v>0</v>
      </c>
      <c r="E661" s="211">
        <v>0</v>
      </c>
      <c r="F661" s="211">
        <v>0</v>
      </c>
      <c r="G661" s="211">
        <v>0</v>
      </c>
      <c r="H661" s="211">
        <v>0</v>
      </c>
      <c r="I661" s="386">
        <f t="shared" si="14"/>
        <v>45085292.608999997</v>
      </c>
      <c r="J661" s="203" t="s">
        <v>1307</v>
      </c>
    </row>
    <row r="662" spans="1:10" hidden="1" outlineLevel="1">
      <c r="A662" s="425" t="s">
        <v>1308</v>
      </c>
      <c r="B662" s="815">
        <v>72318976</v>
      </c>
      <c r="C662" s="211">
        <v>0</v>
      </c>
      <c r="D662" s="211">
        <v>0</v>
      </c>
      <c r="E662" s="211">
        <v>0</v>
      </c>
      <c r="F662" s="211">
        <v>0</v>
      </c>
      <c r="G662" s="211">
        <v>0</v>
      </c>
      <c r="H662" s="211">
        <v>0</v>
      </c>
      <c r="I662" s="386">
        <f t="shared" si="14"/>
        <v>72318976</v>
      </c>
      <c r="J662" s="203" t="s">
        <v>1309</v>
      </c>
    </row>
    <row r="663" spans="1:10" hidden="1" outlineLevel="1">
      <c r="A663" s="425" t="s">
        <v>1893</v>
      </c>
      <c r="B663" s="815">
        <v>9022417</v>
      </c>
      <c r="C663" s="211">
        <v>0</v>
      </c>
      <c r="D663" s="211">
        <v>0</v>
      </c>
      <c r="E663" s="211">
        <v>0</v>
      </c>
      <c r="F663" s="211">
        <v>0</v>
      </c>
      <c r="G663" s="211">
        <v>0</v>
      </c>
      <c r="H663" s="211">
        <v>0</v>
      </c>
      <c r="I663" s="386">
        <f t="shared" si="14"/>
        <v>9022417</v>
      </c>
      <c r="J663" s="203" t="s">
        <v>1894</v>
      </c>
    </row>
    <row r="664" spans="1:10" hidden="1" outlineLevel="1">
      <c r="A664" s="425" t="s">
        <v>1310</v>
      </c>
      <c r="B664" s="815">
        <v>55633682</v>
      </c>
      <c r="C664" s="211">
        <v>0</v>
      </c>
      <c r="D664" s="211">
        <v>0</v>
      </c>
      <c r="E664" s="211">
        <v>0</v>
      </c>
      <c r="F664" s="211">
        <v>0</v>
      </c>
      <c r="G664" s="211">
        <v>0</v>
      </c>
      <c r="H664" s="211">
        <v>0</v>
      </c>
      <c r="I664" s="386">
        <f t="shared" si="14"/>
        <v>55633682</v>
      </c>
      <c r="J664" s="203" t="s">
        <v>1311</v>
      </c>
    </row>
    <row r="665" spans="1:10" hidden="1" outlineLevel="1">
      <c r="A665" s="425" t="s">
        <v>1312</v>
      </c>
      <c r="B665" s="815">
        <v>148660325</v>
      </c>
      <c r="C665" s="211">
        <v>0</v>
      </c>
      <c r="D665" s="211">
        <v>0</v>
      </c>
      <c r="E665" s="211">
        <v>0</v>
      </c>
      <c r="F665" s="211">
        <v>0</v>
      </c>
      <c r="G665" s="211">
        <v>0</v>
      </c>
      <c r="H665" s="211">
        <v>0</v>
      </c>
      <c r="I665" s="386">
        <f t="shared" si="14"/>
        <v>148660325</v>
      </c>
      <c r="J665" s="203" t="s">
        <v>1313</v>
      </c>
    </row>
    <row r="666" spans="1:10" hidden="1" outlineLevel="1">
      <c r="A666" s="425" t="s">
        <v>1314</v>
      </c>
      <c r="B666" s="815">
        <v>51100443</v>
      </c>
      <c r="C666" s="211">
        <v>0</v>
      </c>
      <c r="D666" s="211">
        <v>0</v>
      </c>
      <c r="E666" s="211">
        <v>0</v>
      </c>
      <c r="F666" s="211">
        <v>0</v>
      </c>
      <c r="G666" s="211">
        <v>0</v>
      </c>
      <c r="H666" s="211">
        <v>0</v>
      </c>
      <c r="I666" s="386">
        <f t="shared" si="14"/>
        <v>51100443</v>
      </c>
      <c r="J666" s="203" t="s">
        <v>1315</v>
      </c>
    </row>
    <row r="667" spans="1:10" hidden="1" outlineLevel="1">
      <c r="A667" s="425" t="s">
        <v>1316</v>
      </c>
      <c r="B667" s="815">
        <v>280885824</v>
      </c>
      <c r="C667" s="211">
        <v>0</v>
      </c>
      <c r="D667" s="211">
        <v>0</v>
      </c>
      <c r="E667" s="211">
        <v>0</v>
      </c>
      <c r="F667" s="211">
        <v>0</v>
      </c>
      <c r="G667" s="211">
        <v>0</v>
      </c>
      <c r="H667" s="211">
        <v>0</v>
      </c>
      <c r="I667" s="386">
        <f t="shared" si="14"/>
        <v>280885824</v>
      </c>
      <c r="J667" s="203" t="s">
        <v>1317</v>
      </c>
    </row>
    <row r="668" spans="1:10" hidden="1" outlineLevel="1">
      <c r="A668" s="425" t="s">
        <v>1318</v>
      </c>
      <c r="B668" s="815">
        <v>172831857</v>
      </c>
      <c r="C668" s="211">
        <v>0</v>
      </c>
      <c r="D668" s="211">
        <v>0</v>
      </c>
      <c r="E668" s="211">
        <v>0</v>
      </c>
      <c r="F668" s="211">
        <v>0</v>
      </c>
      <c r="G668" s="211">
        <v>0</v>
      </c>
      <c r="H668" s="211">
        <v>0</v>
      </c>
      <c r="I668" s="386">
        <f t="shared" si="14"/>
        <v>172831857</v>
      </c>
      <c r="J668" s="203" t="s">
        <v>1319</v>
      </c>
    </row>
    <row r="669" spans="1:10" hidden="1" outlineLevel="1">
      <c r="A669" s="425" t="s">
        <v>1320</v>
      </c>
      <c r="B669" s="815">
        <v>328347596</v>
      </c>
      <c r="C669" s="211">
        <v>0</v>
      </c>
      <c r="D669" s="211">
        <v>0</v>
      </c>
      <c r="E669" s="211">
        <v>0</v>
      </c>
      <c r="F669" s="211">
        <v>0</v>
      </c>
      <c r="G669" s="211">
        <v>0</v>
      </c>
      <c r="H669" s="211">
        <v>0</v>
      </c>
      <c r="I669" s="386">
        <f t="shared" si="14"/>
        <v>328347596</v>
      </c>
      <c r="J669" s="203" t="s">
        <v>1321</v>
      </c>
    </row>
    <row r="670" spans="1:10" hidden="1" outlineLevel="1">
      <c r="A670" s="425" t="s">
        <v>1322</v>
      </c>
      <c r="B670" s="815">
        <v>12743060</v>
      </c>
      <c r="C670" s="211">
        <v>0</v>
      </c>
      <c r="D670" s="211">
        <v>0</v>
      </c>
      <c r="E670" s="211">
        <v>0</v>
      </c>
      <c r="F670" s="211">
        <v>0</v>
      </c>
      <c r="G670" s="211">
        <v>0</v>
      </c>
      <c r="H670" s="211">
        <v>0</v>
      </c>
      <c r="I670" s="386">
        <f t="shared" ref="I670:I733" si="15">SUM(B670:H670)</f>
        <v>12743060</v>
      </c>
      <c r="J670" s="203" t="s">
        <v>1323</v>
      </c>
    </row>
    <row r="671" spans="1:10" hidden="1" outlineLevel="1">
      <c r="A671" s="425" t="s">
        <v>1324</v>
      </c>
      <c r="B671" s="815">
        <v>14154440</v>
      </c>
      <c r="C671" s="211">
        <v>0</v>
      </c>
      <c r="D671" s="211">
        <v>0</v>
      </c>
      <c r="E671" s="211">
        <v>0</v>
      </c>
      <c r="F671" s="211">
        <v>0</v>
      </c>
      <c r="G671" s="211">
        <v>0</v>
      </c>
      <c r="H671" s="211">
        <v>0</v>
      </c>
      <c r="I671" s="386">
        <f t="shared" si="15"/>
        <v>14154440</v>
      </c>
      <c r="J671" s="203" t="s">
        <v>1325</v>
      </c>
    </row>
    <row r="672" spans="1:10" hidden="1" outlineLevel="1">
      <c r="A672" s="425" t="s">
        <v>1326</v>
      </c>
      <c r="B672" s="815">
        <v>59552914</v>
      </c>
      <c r="C672" s="211">
        <v>0</v>
      </c>
      <c r="D672" s="211">
        <v>0</v>
      </c>
      <c r="E672" s="211">
        <v>0</v>
      </c>
      <c r="F672" s="211">
        <v>0</v>
      </c>
      <c r="G672" s="211">
        <v>0</v>
      </c>
      <c r="H672" s="211">
        <v>0</v>
      </c>
      <c r="I672" s="386">
        <f t="shared" si="15"/>
        <v>59552914</v>
      </c>
      <c r="J672" s="203" t="s">
        <v>1327</v>
      </c>
    </row>
    <row r="673" spans="1:10" hidden="1" outlineLevel="1">
      <c r="A673" s="425" t="s">
        <v>1328</v>
      </c>
      <c r="B673" s="815">
        <v>323697160</v>
      </c>
      <c r="C673" s="211">
        <v>0</v>
      </c>
      <c r="D673" s="211">
        <v>0</v>
      </c>
      <c r="E673" s="211">
        <v>0</v>
      </c>
      <c r="F673" s="211">
        <v>0</v>
      </c>
      <c r="G673" s="211">
        <v>210645</v>
      </c>
      <c r="H673" s="211">
        <v>0</v>
      </c>
      <c r="I673" s="386">
        <f t="shared" si="15"/>
        <v>323907805</v>
      </c>
      <c r="J673" s="203" t="s">
        <v>1329</v>
      </c>
    </row>
    <row r="674" spans="1:10" hidden="1" outlineLevel="1">
      <c r="A674" s="425" t="s">
        <v>1330</v>
      </c>
      <c r="B674" s="815">
        <v>809431757</v>
      </c>
      <c r="C674" s="211">
        <v>0</v>
      </c>
      <c r="D674" s="211">
        <v>0</v>
      </c>
      <c r="E674" s="211">
        <v>0</v>
      </c>
      <c r="F674" s="211">
        <v>0</v>
      </c>
      <c r="G674" s="211">
        <v>0</v>
      </c>
      <c r="H674" s="211">
        <v>0</v>
      </c>
      <c r="I674" s="386">
        <f t="shared" si="15"/>
        <v>809431757</v>
      </c>
      <c r="J674" s="203" t="s">
        <v>1331</v>
      </c>
    </row>
    <row r="675" spans="1:10" hidden="1" outlineLevel="1">
      <c r="A675" s="425" t="s">
        <v>1332</v>
      </c>
      <c r="B675" s="815">
        <v>579966499.50600004</v>
      </c>
      <c r="C675" s="211">
        <v>0</v>
      </c>
      <c r="D675" s="211">
        <v>0</v>
      </c>
      <c r="E675" s="211">
        <v>0</v>
      </c>
      <c r="F675" s="211">
        <v>0</v>
      </c>
      <c r="G675" s="211">
        <v>0</v>
      </c>
      <c r="H675" s="211">
        <v>0</v>
      </c>
      <c r="I675" s="386">
        <f t="shared" si="15"/>
        <v>579966499.50600004</v>
      </c>
      <c r="J675" s="203" t="s">
        <v>1333</v>
      </c>
    </row>
    <row r="676" spans="1:10" hidden="1" outlineLevel="1">
      <c r="A676" s="425" t="s">
        <v>499</v>
      </c>
      <c r="B676" s="815">
        <v>32900773</v>
      </c>
      <c r="C676" s="211">
        <v>0</v>
      </c>
      <c r="D676" s="211">
        <v>0</v>
      </c>
      <c r="E676" s="211">
        <v>0</v>
      </c>
      <c r="F676" s="211">
        <v>0</v>
      </c>
      <c r="G676" s="211">
        <v>0</v>
      </c>
      <c r="H676" s="211">
        <v>0</v>
      </c>
      <c r="I676" s="386">
        <f t="shared" si="15"/>
        <v>32900773</v>
      </c>
      <c r="J676" s="203" t="s">
        <v>500</v>
      </c>
    </row>
    <row r="677" spans="1:10" hidden="1" outlineLevel="1">
      <c r="A677" s="425" t="s">
        <v>1334</v>
      </c>
      <c r="B677" s="815">
        <v>358541203</v>
      </c>
      <c r="C677" s="211">
        <v>0</v>
      </c>
      <c r="D677" s="211">
        <v>0</v>
      </c>
      <c r="E677" s="211">
        <v>0</v>
      </c>
      <c r="F677" s="211">
        <v>0</v>
      </c>
      <c r="G677" s="211">
        <v>0</v>
      </c>
      <c r="H677" s="211">
        <v>0</v>
      </c>
      <c r="I677" s="386">
        <f t="shared" si="15"/>
        <v>358541203</v>
      </c>
      <c r="J677" s="203" t="s">
        <v>1335</v>
      </c>
    </row>
    <row r="678" spans="1:10" hidden="1" outlineLevel="1">
      <c r="A678" s="425" t="s">
        <v>1336</v>
      </c>
      <c r="B678" s="815">
        <v>65689521</v>
      </c>
      <c r="C678" s="211">
        <v>0</v>
      </c>
      <c r="D678" s="211">
        <v>0</v>
      </c>
      <c r="E678" s="211">
        <v>0</v>
      </c>
      <c r="F678" s="211">
        <v>0</v>
      </c>
      <c r="G678" s="211">
        <v>0</v>
      </c>
      <c r="H678" s="211">
        <v>0</v>
      </c>
      <c r="I678" s="386">
        <f t="shared" si="15"/>
        <v>65689521</v>
      </c>
      <c r="J678" s="203" t="s">
        <v>1337</v>
      </c>
    </row>
    <row r="679" spans="1:10" hidden="1" outlineLevel="1">
      <c r="A679" s="425" t="s">
        <v>1895</v>
      </c>
      <c r="B679" s="815">
        <v>11330413</v>
      </c>
      <c r="C679" s="211">
        <v>0</v>
      </c>
      <c r="D679" s="211">
        <v>0</v>
      </c>
      <c r="E679" s="211">
        <v>0</v>
      </c>
      <c r="F679" s="211">
        <v>0</v>
      </c>
      <c r="G679" s="211">
        <v>0</v>
      </c>
      <c r="H679" s="211">
        <v>0</v>
      </c>
      <c r="I679" s="386">
        <f t="shared" si="15"/>
        <v>11330413</v>
      </c>
      <c r="J679" s="203" t="s">
        <v>1896</v>
      </c>
    </row>
    <row r="680" spans="1:10" hidden="1" outlineLevel="1">
      <c r="A680" s="425" t="s">
        <v>748</v>
      </c>
      <c r="B680" s="815">
        <v>71795471</v>
      </c>
      <c r="C680" s="211">
        <v>0</v>
      </c>
      <c r="D680" s="211">
        <v>0</v>
      </c>
      <c r="E680" s="211">
        <v>0</v>
      </c>
      <c r="F680" s="211">
        <v>0</v>
      </c>
      <c r="G680" s="211">
        <v>0</v>
      </c>
      <c r="H680" s="211">
        <v>0</v>
      </c>
      <c r="I680" s="386">
        <f t="shared" si="15"/>
        <v>71795471</v>
      </c>
      <c r="J680" s="203" t="s">
        <v>1338</v>
      </c>
    </row>
    <row r="681" spans="1:10" hidden="1" outlineLevel="1">
      <c r="A681" s="425" t="s">
        <v>1339</v>
      </c>
      <c r="B681" s="815">
        <v>37875402</v>
      </c>
      <c r="C681" s="211">
        <v>0</v>
      </c>
      <c r="D681" s="211">
        <v>0</v>
      </c>
      <c r="E681" s="211">
        <v>0</v>
      </c>
      <c r="F681" s="211">
        <v>0</v>
      </c>
      <c r="G681" s="211">
        <v>0</v>
      </c>
      <c r="H681" s="211">
        <v>0</v>
      </c>
      <c r="I681" s="386">
        <f t="shared" si="15"/>
        <v>37875402</v>
      </c>
      <c r="J681" s="203" t="s">
        <v>1340</v>
      </c>
    </row>
    <row r="682" spans="1:10" hidden="1" outlineLevel="1">
      <c r="A682" s="425" t="s">
        <v>1341</v>
      </c>
      <c r="B682" s="815">
        <v>156187111</v>
      </c>
      <c r="C682" s="211">
        <v>0</v>
      </c>
      <c r="D682" s="211">
        <v>0</v>
      </c>
      <c r="E682" s="211">
        <v>0</v>
      </c>
      <c r="F682" s="211">
        <v>0</v>
      </c>
      <c r="G682" s="211">
        <v>0</v>
      </c>
      <c r="H682" s="211">
        <v>0</v>
      </c>
      <c r="I682" s="386">
        <f t="shared" si="15"/>
        <v>156187111</v>
      </c>
      <c r="J682" s="203" t="s">
        <v>1342</v>
      </c>
    </row>
    <row r="683" spans="1:10" hidden="1" outlineLevel="1">
      <c r="A683" s="425" t="s">
        <v>1343</v>
      </c>
      <c r="B683" s="815">
        <v>59894929</v>
      </c>
      <c r="C683" s="211">
        <v>0</v>
      </c>
      <c r="D683" s="211">
        <v>0</v>
      </c>
      <c r="E683" s="211">
        <v>0</v>
      </c>
      <c r="F683" s="211">
        <v>0</v>
      </c>
      <c r="G683" s="211">
        <v>0</v>
      </c>
      <c r="H683" s="211">
        <v>0</v>
      </c>
      <c r="I683" s="386">
        <f t="shared" si="15"/>
        <v>59894929</v>
      </c>
      <c r="J683" s="203" t="s">
        <v>1344</v>
      </c>
    </row>
    <row r="684" spans="1:10" hidden="1" outlineLevel="1">
      <c r="A684" s="425" t="s">
        <v>1345</v>
      </c>
      <c r="B684" s="815">
        <v>8907613</v>
      </c>
      <c r="C684" s="211">
        <v>0</v>
      </c>
      <c r="D684" s="211">
        <v>0</v>
      </c>
      <c r="E684" s="211">
        <v>0</v>
      </c>
      <c r="F684" s="211">
        <v>0</v>
      </c>
      <c r="G684" s="211">
        <v>0</v>
      </c>
      <c r="H684" s="211">
        <v>0</v>
      </c>
      <c r="I684" s="386">
        <f t="shared" si="15"/>
        <v>8907613</v>
      </c>
      <c r="J684" s="203" t="s">
        <v>1346</v>
      </c>
    </row>
    <row r="685" spans="1:10" hidden="1" outlineLevel="1">
      <c r="A685" s="425" t="s">
        <v>1347</v>
      </c>
      <c r="B685" s="815">
        <v>62665436</v>
      </c>
      <c r="C685" s="211">
        <v>0</v>
      </c>
      <c r="D685" s="211">
        <v>0</v>
      </c>
      <c r="E685" s="211">
        <v>0</v>
      </c>
      <c r="F685" s="211">
        <v>0</v>
      </c>
      <c r="G685" s="211">
        <v>0</v>
      </c>
      <c r="H685" s="211">
        <v>0</v>
      </c>
      <c r="I685" s="386">
        <f t="shared" si="15"/>
        <v>62665436</v>
      </c>
      <c r="J685" s="203" t="s">
        <v>1348</v>
      </c>
    </row>
    <row r="686" spans="1:10" hidden="1" outlineLevel="1">
      <c r="A686" s="425" t="s">
        <v>1897</v>
      </c>
      <c r="B686" s="815">
        <v>5615849</v>
      </c>
      <c r="C686" s="211">
        <v>0</v>
      </c>
      <c r="D686" s="211">
        <v>0</v>
      </c>
      <c r="E686" s="211">
        <v>0</v>
      </c>
      <c r="F686" s="211">
        <v>0</v>
      </c>
      <c r="G686" s="211">
        <v>0</v>
      </c>
      <c r="H686" s="211">
        <v>0</v>
      </c>
      <c r="I686" s="386">
        <f t="shared" si="15"/>
        <v>5615849</v>
      </c>
      <c r="J686" s="203" t="s">
        <v>1898</v>
      </c>
    </row>
    <row r="687" spans="1:10" hidden="1" outlineLevel="1">
      <c r="A687" s="425" t="s">
        <v>1349</v>
      </c>
      <c r="B687" s="815">
        <v>1571416</v>
      </c>
      <c r="C687" s="211">
        <v>0</v>
      </c>
      <c r="D687" s="211">
        <v>0</v>
      </c>
      <c r="E687" s="211">
        <v>0</v>
      </c>
      <c r="F687" s="211">
        <v>0</v>
      </c>
      <c r="G687" s="211">
        <v>0</v>
      </c>
      <c r="H687" s="211">
        <v>0</v>
      </c>
      <c r="I687" s="386">
        <f t="shared" si="15"/>
        <v>1571416</v>
      </c>
      <c r="J687" s="203" t="s">
        <v>1350</v>
      </c>
    </row>
    <row r="688" spans="1:10" hidden="1" outlineLevel="1">
      <c r="A688" s="425" t="s">
        <v>1899</v>
      </c>
      <c r="B688" s="815">
        <v>4589495</v>
      </c>
      <c r="C688" s="211">
        <v>0</v>
      </c>
      <c r="D688" s="211">
        <v>0</v>
      </c>
      <c r="E688" s="211">
        <v>0</v>
      </c>
      <c r="F688" s="211">
        <v>0</v>
      </c>
      <c r="G688" s="211">
        <v>0</v>
      </c>
      <c r="H688" s="211">
        <v>0</v>
      </c>
      <c r="I688" s="386">
        <f t="shared" si="15"/>
        <v>4589495</v>
      </c>
      <c r="J688" s="203" t="s">
        <v>1900</v>
      </c>
    </row>
    <row r="689" spans="1:10" hidden="1" outlineLevel="1">
      <c r="A689" s="425" t="s">
        <v>1351</v>
      </c>
      <c r="B689" s="815">
        <v>340726984</v>
      </c>
      <c r="C689" s="211">
        <v>0</v>
      </c>
      <c r="D689" s="211">
        <v>0</v>
      </c>
      <c r="E689" s="211">
        <v>0</v>
      </c>
      <c r="F689" s="211">
        <v>0</v>
      </c>
      <c r="G689" s="211">
        <v>0</v>
      </c>
      <c r="H689" s="211">
        <v>0</v>
      </c>
      <c r="I689" s="386">
        <f t="shared" si="15"/>
        <v>340726984</v>
      </c>
      <c r="J689" s="203" t="s">
        <v>1352</v>
      </c>
    </row>
    <row r="690" spans="1:10" hidden="1" outlineLevel="1">
      <c r="A690" s="425" t="s">
        <v>1901</v>
      </c>
      <c r="B690" s="814">
        <v>0</v>
      </c>
      <c r="C690" s="211">
        <v>0</v>
      </c>
      <c r="D690" s="211">
        <v>0</v>
      </c>
      <c r="E690" s="211">
        <v>0</v>
      </c>
      <c r="F690" s="211">
        <v>0</v>
      </c>
      <c r="G690" s="211">
        <v>0</v>
      </c>
      <c r="H690" s="211">
        <v>0</v>
      </c>
      <c r="I690" s="386">
        <f t="shared" si="15"/>
        <v>0</v>
      </c>
      <c r="J690" s="203" t="s">
        <v>1902</v>
      </c>
    </row>
    <row r="691" spans="1:10" hidden="1" outlineLevel="1">
      <c r="A691" s="425" t="s">
        <v>1353</v>
      </c>
      <c r="B691" s="815">
        <v>43037749</v>
      </c>
      <c r="C691" s="211">
        <v>0</v>
      </c>
      <c r="D691" s="211">
        <v>0</v>
      </c>
      <c r="E691" s="211">
        <v>0</v>
      </c>
      <c r="F691" s="211">
        <v>0</v>
      </c>
      <c r="G691" s="211">
        <v>0</v>
      </c>
      <c r="H691" s="211">
        <v>0</v>
      </c>
      <c r="I691" s="386">
        <f t="shared" si="15"/>
        <v>43037749</v>
      </c>
      <c r="J691" s="203" t="s">
        <v>1354</v>
      </c>
    </row>
    <row r="692" spans="1:10" hidden="1" outlineLevel="1">
      <c r="A692" s="425" t="s">
        <v>1355</v>
      </c>
      <c r="B692" s="815">
        <v>28421915.800000001</v>
      </c>
      <c r="C692" s="211">
        <v>0</v>
      </c>
      <c r="D692" s="211">
        <v>0</v>
      </c>
      <c r="E692" s="211">
        <v>0</v>
      </c>
      <c r="F692" s="211">
        <v>0</v>
      </c>
      <c r="G692" s="211">
        <v>0</v>
      </c>
      <c r="H692" s="211">
        <v>0</v>
      </c>
      <c r="I692" s="386">
        <f t="shared" si="15"/>
        <v>28421915.800000001</v>
      </c>
      <c r="J692" s="203" t="s">
        <v>1356</v>
      </c>
    </row>
    <row r="693" spans="1:10" hidden="1" outlineLevel="1">
      <c r="A693" s="425" t="s">
        <v>1357</v>
      </c>
      <c r="B693" s="815">
        <v>97745222</v>
      </c>
      <c r="C693" s="211">
        <v>0</v>
      </c>
      <c r="D693" s="211">
        <v>0</v>
      </c>
      <c r="E693" s="211">
        <v>0</v>
      </c>
      <c r="F693" s="211">
        <v>0</v>
      </c>
      <c r="G693" s="211">
        <v>0</v>
      </c>
      <c r="H693" s="211">
        <v>0</v>
      </c>
      <c r="I693" s="386">
        <f t="shared" si="15"/>
        <v>97745222</v>
      </c>
      <c r="J693" s="203" t="s">
        <v>1358</v>
      </c>
    </row>
    <row r="694" spans="1:10" hidden="1" outlineLevel="1">
      <c r="A694" s="425" t="s">
        <v>1359</v>
      </c>
      <c r="B694" s="815">
        <v>10549397</v>
      </c>
      <c r="C694" s="211">
        <v>0</v>
      </c>
      <c r="D694" s="211">
        <v>0</v>
      </c>
      <c r="E694" s="211">
        <v>0</v>
      </c>
      <c r="F694" s="211">
        <v>0</v>
      </c>
      <c r="G694" s="211">
        <v>0</v>
      </c>
      <c r="H694" s="211">
        <v>0</v>
      </c>
      <c r="I694" s="386">
        <f t="shared" si="15"/>
        <v>10549397</v>
      </c>
      <c r="J694" s="203" t="s">
        <v>1360</v>
      </c>
    </row>
    <row r="695" spans="1:10" hidden="1" outlineLevel="1">
      <c r="A695" s="425" t="s">
        <v>1903</v>
      </c>
      <c r="B695" s="815">
        <v>6136466</v>
      </c>
      <c r="C695" s="211">
        <v>0</v>
      </c>
      <c r="D695" s="211">
        <v>0</v>
      </c>
      <c r="E695" s="211">
        <v>0</v>
      </c>
      <c r="F695" s="211">
        <v>0</v>
      </c>
      <c r="G695" s="211">
        <v>0</v>
      </c>
      <c r="H695" s="211">
        <v>0</v>
      </c>
      <c r="I695" s="386">
        <f t="shared" si="15"/>
        <v>6136466</v>
      </c>
      <c r="J695" s="203" t="s">
        <v>1904</v>
      </c>
    </row>
    <row r="696" spans="1:10" hidden="1" outlineLevel="1">
      <c r="A696" s="425" t="s">
        <v>1361</v>
      </c>
      <c r="B696" s="815">
        <v>109296302</v>
      </c>
      <c r="C696" s="211">
        <v>0</v>
      </c>
      <c r="D696" s="211">
        <v>0</v>
      </c>
      <c r="E696" s="211">
        <v>0</v>
      </c>
      <c r="F696" s="211">
        <v>0</v>
      </c>
      <c r="G696" s="211">
        <v>0</v>
      </c>
      <c r="H696" s="211">
        <v>0</v>
      </c>
      <c r="I696" s="386">
        <f t="shared" si="15"/>
        <v>109296302</v>
      </c>
      <c r="J696" s="203" t="s">
        <v>1362</v>
      </c>
    </row>
    <row r="697" spans="1:10" hidden="1" outlineLevel="1">
      <c r="A697" s="425" t="s">
        <v>1363</v>
      </c>
      <c r="B697" s="815">
        <v>131145954</v>
      </c>
      <c r="C697" s="211">
        <v>0</v>
      </c>
      <c r="D697" s="211">
        <v>0</v>
      </c>
      <c r="E697" s="211">
        <v>0</v>
      </c>
      <c r="F697" s="211">
        <v>0</v>
      </c>
      <c r="G697" s="211">
        <v>0</v>
      </c>
      <c r="H697" s="211">
        <v>0</v>
      </c>
      <c r="I697" s="386">
        <f t="shared" si="15"/>
        <v>131145954</v>
      </c>
      <c r="J697" s="203" t="s">
        <v>1364</v>
      </c>
    </row>
    <row r="698" spans="1:10" hidden="1" outlineLevel="1">
      <c r="A698" s="425" t="s">
        <v>1365</v>
      </c>
      <c r="B698" s="815">
        <v>50122504</v>
      </c>
      <c r="C698" s="211">
        <v>0</v>
      </c>
      <c r="D698" s="211">
        <v>0</v>
      </c>
      <c r="E698" s="211">
        <v>0</v>
      </c>
      <c r="F698" s="211">
        <v>0</v>
      </c>
      <c r="G698" s="211">
        <v>0</v>
      </c>
      <c r="H698" s="211">
        <v>0</v>
      </c>
      <c r="I698" s="386">
        <f t="shared" si="15"/>
        <v>50122504</v>
      </c>
      <c r="J698" s="203" t="s">
        <v>1366</v>
      </c>
    </row>
    <row r="699" spans="1:10" hidden="1" outlineLevel="1">
      <c r="A699" s="425" t="s">
        <v>1367</v>
      </c>
      <c r="B699" s="815">
        <v>8042640</v>
      </c>
      <c r="C699" s="211">
        <v>0</v>
      </c>
      <c r="D699" s="211">
        <v>0</v>
      </c>
      <c r="E699" s="211">
        <v>0</v>
      </c>
      <c r="F699" s="211">
        <v>0</v>
      </c>
      <c r="G699" s="211">
        <v>0</v>
      </c>
      <c r="H699" s="211">
        <v>0</v>
      </c>
      <c r="I699" s="386">
        <f t="shared" si="15"/>
        <v>8042640</v>
      </c>
      <c r="J699" s="203" t="s">
        <v>1368</v>
      </c>
    </row>
    <row r="700" spans="1:10" hidden="1" outlineLevel="1">
      <c r="A700" s="425" t="s">
        <v>1369</v>
      </c>
      <c r="B700" s="815">
        <v>10004766</v>
      </c>
      <c r="C700" s="211">
        <v>0</v>
      </c>
      <c r="D700" s="211">
        <v>0</v>
      </c>
      <c r="E700" s="211">
        <v>0</v>
      </c>
      <c r="F700" s="211">
        <v>0</v>
      </c>
      <c r="G700" s="211">
        <v>0</v>
      </c>
      <c r="H700" s="211">
        <v>0</v>
      </c>
      <c r="I700" s="386">
        <f t="shared" si="15"/>
        <v>10004766</v>
      </c>
      <c r="J700" s="203" t="s">
        <v>1370</v>
      </c>
    </row>
    <row r="701" spans="1:10" hidden="1" outlineLevel="1">
      <c r="A701" s="425" t="s">
        <v>409</v>
      </c>
      <c r="B701" s="815">
        <v>53134088</v>
      </c>
      <c r="C701" s="211">
        <v>0</v>
      </c>
      <c r="D701" s="211">
        <v>0</v>
      </c>
      <c r="E701" s="211">
        <v>0</v>
      </c>
      <c r="F701" s="211">
        <v>0</v>
      </c>
      <c r="G701" s="211">
        <v>0</v>
      </c>
      <c r="H701" s="211">
        <v>0</v>
      </c>
      <c r="I701" s="386">
        <f t="shared" si="15"/>
        <v>53134088</v>
      </c>
      <c r="J701" s="203" t="s">
        <v>410</v>
      </c>
    </row>
    <row r="702" spans="1:10" hidden="1" outlineLevel="1">
      <c r="A702" s="425" t="s">
        <v>1371</v>
      </c>
      <c r="B702" s="815">
        <v>32729201</v>
      </c>
      <c r="C702" s="211">
        <v>0</v>
      </c>
      <c r="D702" s="211">
        <v>0</v>
      </c>
      <c r="E702" s="211">
        <v>0</v>
      </c>
      <c r="F702" s="211">
        <v>0</v>
      </c>
      <c r="G702" s="211">
        <v>0</v>
      </c>
      <c r="H702" s="211">
        <v>0</v>
      </c>
      <c r="I702" s="386">
        <f t="shared" si="15"/>
        <v>32729201</v>
      </c>
      <c r="J702" s="203" t="s">
        <v>1372</v>
      </c>
    </row>
    <row r="703" spans="1:10" hidden="1" outlineLevel="1">
      <c r="A703" s="425" t="s">
        <v>1478</v>
      </c>
      <c r="B703" s="815">
        <v>100931887</v>
      </c>
      <c r="C703" s="211">
        <v>0</v>
      </c>
      <c r="D703" s="211">
        <v>0</v>
      </c>
      <c r="E703" s="211">
        <v>0</v>
      </c>
      <c r="F703" s="211">
        <v>0</v>
      </c>
      <c r="G703" s="211">
        <v>0</v>
      </c>
      <c r="H703" s="211">
        <v>0</v>
      </c>
      <c r="I703" s="386">
        <f t="shared" si="15"/>
        <v>100931887</v>
      </c>
      <c r="J703" s="203" t="s">
        <v>1479</v>
      </c>
    </row>
    <row r="704" spans="1:10" hidden="1" outlineLevel="1">
      <c r="A704" s="425" t="s">
        <v>1373</v>
      </c>
      <c r="B704" s="815">
        <v>3146062</v>
      </c>
      <c r="C704" s="211">
        <v>0</v>
      </c>
      <c r="D704" s="211">
        <v>0</v>
      </c>
      <c r="E704" s="211">
        <v>0</v>
      </c>
      <c r="F704" s="211">
        <v>0</v>
      </c>
      <c r="G704" s="211">
        <v>0</v>
      </c>
      <c r="H704" s="211">
        <v>0</v>
      </c>
      <c r="I704" s="386">
        <f t="shared" si="15"/>
        <v>3146062</v>
      </c>
      <c r="J704" s="203" t="s">
        <v>1374</v>
      </c>
    </row>
    <row r="705" spans="1:10" hidden="1" outlineLevel="1">
      <c r="A705" s="425" t="s">
        <v>1905</v>
      </c>
      <c r="B705" s="815">
        <v>2897163</v>
      </c>
      <c r="C705" s="211">
        <v>0</v>
      </c>
      <c r="D705" s="211">
        <v>0</v>
      </c>
      <c r="E705" s="211">
        <v>0</v>
      </c>
      <c r="F705" s="211">
        <v>0</v>
      </c>
      <c r="G705" s="211">
        <v>0</v>
      </c>
      <c r="H705" s="211">
        <v>0</v>
      </c>
      <c r="I705" s="386">
        <f t="shared" si="15"/>
        <v>2897163</v>
      </c>
      <c r="J705" s="203" t="s">
        <v>1906</v>
      </c>
    </row>
    <row r="706" spans="1:10" hidden="1" outlineLevel="1">
      <c r="A706" s="425" t="s">
        <v>1375</v>
      </c>
      <c r="B706" s="815">
        <v>372994862</v>
      </c>
      <c r="C706" s="211">
        <v>0</v>
      </c>
      <c r="D706" s="211">
        <v>0</v>
      </c>
      <c r="E706" s="211">
        <v>0</v>
      </c>
      <c r="F706" s="211">
        <v>0</v>
      </c>
      <c r="G706" s="211">
        <v>0</v>
      </c>
      <c r="H706" s="211">
        <v>0</v>
      </c>
      <c r="I706" s="386">
        <f t="shared" si="15"/>
        <v>372994862</v>
      </c>
      <c r="J706" s="203" t="s">
        <v>1376</v>
      </c>
    </row>
    <row r="707" spans="1:10" hidden="1" outlineLevel="1">
      <c r="A707" s="425" t="s">
        <v>86</v>
      </c>
      <c r="B707" s="815">
        <v>189240292.34</v>
      </c>
      <c r="C707" s="211">
        <v>0</v>
      </c>
      <c r="D707" s="211">
        <v>0</v>
      </c>
      <c r="E707" s="211">
        <v>0</v>
      </c>
      <c r="F707" s="211">
        <v>0</v>
      </c>
      <c r="G707" s="211">
        <v>0</v>
      </c>
      <c r="H707" s="211">
        <v>0</v>
      </c>
      <c r="I707" s="386">
        <f t="shared" si="15"/>
        <v>189240292.34</v>
      </c>
      <c r="J707" s="203" t="s">
        <v>87</v>
      </c>
    </row>
    <row r="708" spans="1:10" hidden="1" outlineLevel="1">
      <c r="A708" s="425" t="s">
        <v>1377</v>
      </c>
      <c r="B708" s="815">
        <v>6755606</v>
      </c>
      <c r="C708" s="211">
        <v>0</v>
      </c>
      <c r="D708" s="211">
        <v>0</v>
      </c>
      <c r="E708" s="211">
        <v>0</v>
      </c>
      <c r="F708" s="211">
        <v>0</v>
      </c>
      <c r="G708" s="211">
        <v>0</v>
      </c>
      <c r="H708" s="211">
        <v>0</v>
      </c>
      <c r="I708" s="386">
        <f t="shared" si="15"/>
        <v>6755606</v>
      </c>
      <c r="J708" s="203" t="s">
        <v>1378</v>
      </c>
    </row>
    <row r="709" spans="1:10" hidden="1" outlineLevel="1">
      <c r="A709" s="425" t="s">
        <v>1907</v>
      </c>
      <c r="B709" s="815">
        <v>4904235</v>
      </c>
      <c r="C709" s="211">
        <v>0</v>
      </c>
      <c r="D709" s="211">
        <v>0</v>
      </c>
      <c r="E709" s="211">
        <v>0</v>
      </c>
      <c r="F709" s="211">
        <v>0</v>
      </c>
      <c r="G709" s="211">
        <v>0</v>
      </c>
      <c r="H709" s="211">
        <v>0</v>
      </c>
      <c r="I709" s="386">
        <f t="shared" si="15"/>
        <v>4904235</v>
      </c>
      <c r="J709" s="203" t="s">
        <v>1908</v>
      </c>
    </row>
    <row r="710" spans="1:10" hidden="1" outlineLevel="1">
      <c r="A710" s="425" t="s">
        <v>1379</v>
      </c>
      <c r="B710" s="815">
        <v>9685461</v>
      </c>
      <c r="C710" s="211">
        <v>0</v>
      </c>
      <c r="D710" s="211">
        <v>0</v>
      </c>
      <c r="E710" s="211">
        <v>0</v>
      </c>
      <c r="F710" s="211">
        <v>0</v>
      </c>
      <c r="G710" s="211">
        <v>0</v>
      </c>
      <c r="H710" s="211">
        <v>0</v>
      </c>
      <c r="I710" s="386">
        <f t="shared" si="15"/>
        <v>9685461</v>
      </c>
      <c r="J710" s="203" t="s">
        <v>1380</v>
      </c>
    </row>
    <row r="711" spans="1:10" hidden="1" outlineLevel="1">
      <c r="A711" s="425" t="s">
        <v>1381</v>
      </c>
      <c r="B711" s="815">
        <v>8908500.5600000005</v>
      </c>
      <c r="C711" s="211">
        <v>0</v>
      </c>
      <c r="D711" s="211">
        <v>0</v>
      </c>
      <c r="E711" s="211">
        <v>0</v>
      </c>
      <c r="F711" s="211">
        <v>0</v>
      </c>
      <c r="G711" s="211">
        <v>0</v>
      </c>
      <c r="H711" s="211">
        <v>0</v>
      </c>
      <c r="I711" s="386">
        <f t="shared" si="15"/>
        <v>8908500.5600000005</v>
      </c>
      <c r="J711" s="203" t="s">
        <v>1382</v>
      </c>
    </row>
    <row r="712" spans="1:10" hidden="1" outlineLevel="1">
      <c r="A712" s="425" t="s">
        <v>1383</v>
      </c>
      <c r="B712" s="815">
        <v>28397616</v>
      </c>
      <c r="C712" s="211">
        <v>0</v>
      </c>
      <c r="D712" s="211">
        <v>0</v>
      </c>
      <c r="E712" s="211">
        <v>0</v>
      </c>
      <c r="F712" s="211">
        <v>0</v>
      </c>
      <c r="G712" s="211">
        <v>0</v>
      </c>
      <c r="H712" s="211">
        <v>0</v>
      </c>
      <c r="I712" s="386">
        <f t="shared" si="15"/>
        <v>28397616</v>
      </c>
      <c r="J712" s="203" t="s">
        <v>1384</v>
      </c>
    </row>
    <row r="713" spans="1:10" hidden="1" outlineLevel="1">
      <c r="A713" s="425" t="s">
        <v>1909</v>
      </c>
      <c r="B713" s="815">
        <v>14066802.689999999</v>
      </c>
      <c r="C713" s="211">
        <v>0</v>
      </c>
      <c r="D713" s="211">
        <v>0</v>
      </c>
      <c r="E713" s="211">
        <v>0</v>
      </c>
      <c r="F713" s="211">
        <v>0</v>
      </c>
      <c r="G713" s="211">
        <v>0</v>
      </c>
      <c r="H713" s="211">
        <v>0</v>
      </c>
      <c r="I713" s="386">
        <f t="shared" si="15"/>
        <v>14066802.689999999</v>
      </c>
      <c r="J713" s="203" t="s">
        <v>1910</v>
      </c>
    </row>
    <row r="714" spans="1:10" hidden="1" outlineLevel="1">
      <c r="A714" s="425" t="s">
        <v>1385</v>
      </c>
      <c r="B714" s="815">
        <v>47843494</v>
      </c>
      <c r="C714" s="211">
        <v>0</v>
      </c>
      <c r="D714" s="211">
        <v>0</v>
      </c>
      <c r="E714" s="211">
        <v>0</v>
      </c>
      <c r="F714" s="211">
        <v>0</v>
      </c>
      <c r="G714" s="211">
        <v>0</v>
      </c>
      <c r="H714" s="211">
        <v>0</v>
      </c>
      <c r="I714" s="386">
        <f t="shared" si="15"/>
        <v>47843494</v>
      </c>
      <c r="J714" s="203" t="s">
        <v>1386</v>
      </c>
    </row>
    <row r="715" spans="1:10" hidden="1" outlineLevel="1">
      <c r="A715" s="425" t="s">
        <v>1387</v>
      </c>
      <c r="B715" s="815">
        <v>126920113</v>
      </c>
      <c r="C715" s="211">
        <v>0</v>
      </c>
      <c r="D715" s="211">
        <v>0</v>
      </c>
      <c r="E715" s="211">
        <v>0</v>
      </c>
      <c r="F715" s="211">
        <v>0</v>
      </c>
      <c r="G715" s="211">
        <v>0</v>
      </c>
      <c r="H715" s="211">
        <v>0</v>
      </c>
      <c r="I715" s="386">
        <f t="shared" si="15"/>
        <v>126920113</v>
      </c>
      <c r="J715" s="203" t="s">
        <v>1388</v>
      </c>
    </row>
    <row r="716" spans="1:10" hidden="1" outlineLevel="1">
      <c r="A716" s="425" t="s">
        <v>1911</v>
      </c>
      <c r="B716" s="815">
        <v>3566833</v>
      </c>
      <c r="C716" s="211">
        <v>0</v>
      </c>
      <c r="D716" s="211">
        <v>0</v>
      </c>
      <c r="E716" s="211">
        <v>0</v>
      </c>
      <c r="F716" s="211">
        <v>0</v>
      </c>
      <c r="G716" s="211">
        <v>0</v>
      </c>
      <c r="H716" s="211">
        <v>0</v>
      </c>
      <c r="I716" s="386">
        <f t="shared" si="15"/>
        <v>3566833</v>
      </c>
      <c r="J716" s="203" t="s">
        <v>1912</v>
      </c>
    </row>
    <row r="717" spans="1:10" hidden="1" outlineLevel="1">
      <c r="A717" s="425" t="s">
        <v>1913</v>
      </c>
      <c r="B717" s="815">
        <v>7537740</v>
      </c>
      <c r="C717" s="211">
        <v>0</v>
      </c>
      <c r="D717" s="211">
        <v>0</v>
      </c>
      <c r="E717" s="211">
        <v>0</v>
      </c>
      <c r="F717" s="211">
        <v>0</v>
      </c>
      <c r="G717" s="211">
        <v>0</v>
      </c>
      <c r="H717" s="211">
        <v>0</v>
      </c>
      <c r="I717" s="386">
        <f t="shared" si="15"/>
        <v>7537740</v>
      </c>
      <c r="J717" s="203" t="s">
        <v>1914</v>
      </c>
    </row>
    <row r="718" spans="1:10" hidden="1" outlineLevel="1">
      <c r="A718" s="425" t="s">
        <v>1389</v>
      </c>
      <c r="B718" s="815">
        <v>96964762.349999994</v>
      </c>
      <c r="C718" s="211">
        <v>0</v>
      </c>
      <c r="D718" s="211">
        <v>0</v>
      </c>
      <c r="E718" s="211">
        <v>0</v>
      </c>
      <c r="F718" s="211">
        <v>0</v>
      </c>
      <c r="G718" s="211">
        <v>0</v>
      </c>
      <c r="H718" s="211">
        <v>0</v>
      </c>
      <c r="I718" s="386">
        <f t="shared" si="15"/>
        <v>96964762.349999994</v>
      </c>
      <c r="J718" s="203" t="s">
        <v>1390</v>
      </c>
    </row>
    <row r="719" spans="1:10" hidden="1" outlineLevel="1">
      <c r="A719" s="425" t="s">
        <v>1915</v>
      </c>
      <c r="B719" s="815">
        <v>2759715</v>
      </c>
      <c r="C719" s="211">
        <v>0</v>
      </c>
      <c r="D719" s="211">
        <v>0</v>
      </c>
      <c r="E719" s="211">
        <v>0</v>
      </c>
      <c r="F719" s="211">
        <v>0</v>
      </c>
      <c r="G719" s="211">
        <v>0</v>
      </c>
      <c r="H719" s="211">
        <v>0</v>
      </c>
      <c r="I719" s="386">
        <f t="shared" si="15"/>
        <v>2759715</v>
      </c>
      <c r="J719" s="203" t="s">
        <v>1916</v>
      </c>
    </row>
    <row r="720" spans="1:10" hidden="1" outlineLevel="1">
      <c r="A720" s="425" t="s">
        <v>1391</v>
      </c>
      <c r="B720" s="815">
        <v>256654635</v>
      </c>
      <c r="C720" s="211">
        <v>0</v>
      </c>
      <c r="D720" s="211">
        <v>0</v>
      </c>
      <c r="E720" s="211">
        <v>0</v>
      </c>
      <c r="F720" s="211">
        <v>0</v>
      </c>
      <c r="G720" s="211">
        <v>0</v>
      </c>
      <c r="H720" s="211">
        <v>0</v>
      </c>
      <c r="I720" s="386">
        <f t="shared" si="15"/>
        <v>256654635</v>
      </c>
      <c r="J720" s="203" t="s">
        <v>1392</v>
      </c>
    </row>
    <row r="721" spans="1:10" hidden="1" outlineLevel="1">
      <c r="A721" s="425" t="s">
        <v>194</v>
      </c>
      <c r="B721" s="815">
        <v>897031446</v>
      </c>
      <c r="C721" s="211">
        <v>0</v>
      </c>
      <c r="D721" s="211">
        <v>0</v>
      </c>
      <c r="E721" s="211">
        <v>0</v>
      </c>
      <c r="F721" s="211">
        <v>0</v>
      </c>
      <c r="G721" s="211">
        <v>0</v>
      </c>
      <c r="H721" s="211">
        <v>0</v>
      </c>
      <c r="I721" s="386">
        <f t="shared" si="15"/>
        <v>897031446</v>
      </c>
      <c r="J721" s="203" t="s">
        <v>195</v>
      </c>
    </row>
    <row r="722" spans="1:10" hidden="1" outlineLevel="1">
      <c r="A722" s="425" t="s">
        <v>1917</v>
      </c>
      <c r="B722" s="815">
        <v>3678811</v>
      </c>
      <c r="C722" s="211">
        <v>0</v>
      </c>
      <c r="D722" s="211">
        <v>0</v>
      </c>
      <c r="E722" s="211">
        <v>0</v>
      </c>
      <c r="F722" s="211">
        <v>0</v>
      </c>
      <c r="G722" s="211">
        <v>0</v>
      </c>
      <c r="H722" s="211">
        <v>0</v>
      </c>
      <c r="I722" s="386">
        <f t="shared" si="15"/>
        <v>3678811</v>
      </c>
      <c r="J722" s="203" t="s">
        <v>1918</v>
      </c>
    </row>
    <row r="723" spans="1:10" hidden="1" outlineLevel="1">
      <c r="A723" s="425" t="s">
        <v>1393</v>
      </c>
      <c r="B723" s="815">
        <v>28742898</v>
      </c>
      <c r="C723" s="211">
        <v>0</v>
      </c>
      <c r="D723" s="211">
        <v>0</v>
      </c>
      <c r="E723" s="211">
        <v>0</v>
      </c>
      <c r="F723" s="211">
        <v>0</v>
      </c>
      <c r="G723" s="211">
        <v>0</v>
      </c>
      <c r="H723" s="211">
        <v>0</v>
      </c>
      <c r="I723" s="386">
        <f t="shared" si="15"/>
        <v>28742898</v>
      </c>
      <c r="J723" s="203" t="s">
        <v>1394</v>
      </c>
    </row>
    <row r="724" spans="1:10" hidden="1" outlineLevel="1">
      <c r="A724" s="425" t="s">
        <v>1395</v>
      </c>
      <c r="B724" s="815">
        <v>750020851</v>
      </c>
      <c r="C724" s="211">
        <v>0</v>
      </c>
      <c r="D724" s="211">
        <v>0</v>
      </c>
      <c r="E724" s="211">
        <v>0</v>
      </c>
      <c r="F724" s="211">
        <v>3720827</v>
      </c>
      <c r="G724" s="211">
        <v>0</v>
      </c>
      <c r="H724" s="211">
        <v>0</v>
      </c>
      <c r="I724" s="386">
        <f t="shared" si="15"/>
        <v>753741678</v>
      </c>
      <c r="J724" s="203" t="s">
        <v>1396</v>
      </c>
    </row>
    <row r="725" spans="1:10" hidden="1" outlineLevel="1">
      <c r="A725" s="425" t="s">
        <v>1919</v>
      </c>
      <c r="B725" s="815">
        <v>2898827</v>
      </c>
      <c r="C725" s="211">
        <v>0</v>
      </c>
      <c r="D725" s="211">
        <v>0</v>
      </c>
      <c r="E725" s="211">
        <v>0</v>
      </c>
      <c r="F725" s="211">
        <v>0</v>
      </c>
      <c r="G725" s="211">
        <v>0</v>
      </c>
      <c r="H725" s="211">
        <v>0</v>
      </c>
      <c r="I725" s="386">
        <f t="shared" si="15"/>
        <v>2898827</v>
      </c>
      <c r="J725" s="203" t="s">
        <v>1920</v>
      </c>
    </row>
    <row r="726" spans="1:10" hidden="1" outlineLevel="1">
      <c r="A726" s="425" t="s">
        <v>1397</v>
      </c>
      <c r="B726" s="815">
        <v>172955007</v>
      </c>
      <c r="C726" s="211">
        <v>0</v>
      </c>
      <c r="D726" s="211">
        <v>0</v>
      </c>
      <c r="E726" s="211">
        <v>0</v>
      </c>
      <c r="F726" s="211">
        <v>0</v>
      </c>
      <c r="G726" s="211">
        <v>0</v>
      </c>
      <c r="H726" s="211">
        <v>0</v>
      </c>
      <c r="I726" s="386">
        <f t="shared" si="15"/>
        <v>172955007</v>
      </c>
      <c r="J726" s="203" t="s">
        <v>1398</v>
      </c>
    </row>
    <row r="727" spans="1:10" hidden="1" outlineLevel="1">
      <c r="A727" s="425" t="s">
        <v>1921</v>
      </c>
      <c r="B727" s="815">
        <v>70483115</v>
      </c>
      <c r="C727" s="211">
        <v>0</v>
      </c>
      <c r="D727" s="211">
        <v>0</v>
      </c>
      <c r="E727" s="211">
        <v>0</v>
      </c>
      <c r="F727" s="211">
        <v>0</v>
      </c>
      <c r="G727" s="211">
        <v>0</v>
      </c>
      <c r="H727" s="211">
        <v>0</v>
      </c>
      <c r="I727" s="386">
        <f t="shared" si="15"/>
        <v>70483115</v>
      </c>
      <c r="J727" s="203" t="s">
        <v>1922</v>
      </c>
    </row>
    <row r="728" spans="1:10" hidden="1" outlineLevel="1">
      <c r="A728" s="425" t="s">
        <v>1923</v>
      </c>
      <c r="B728" s="815">
        <v>2261882</v>
      </c>
      <c r="C728" s="211">
        <v>0</v>
      </c>
      <c r="D728" s="211">
        <v>0</v>
      </c>
      <c r="E728" s="211">
        <v>0</v>
      </c>
      <c r="F728" s="211">
        <v>0</v>
      </c>
      <c r="G728" s="211">
        <v>0</v>
      </c>
      <c r="H728" s="211">
        <v>0</v>
      </c>
      <c r="I728" s="386">
        <f t="shared" si="15"/>
        <v>2261882</v>
      </c>
      <c r="J728" s="203" t="s">
        <v>1924</v>
      </c>
    </row>
    <row r="729" spans="1:10" hidden="1" outlineLevel="1">
      <c r="A729" s="425" t="s">
        <v>1399</v>
      </c>
      <c r="B729" s="815">
        <v>1248122432</v>
      </c>
      <c r="C729" s="211">
        <v>0</v>
      </c>
      <c r="D729" s="211">
        <v>0</v>
      </c>
      <c r="E729" s="211">
        <v>0</v>
      </c>
      <c r="F729" s="211">
        <v>0</v>
      </c>
      <c r="G729" s="211">
        <v>0</v>
      </c>
      <c r="H729" s="211">
        <v>0</v>
      </c>
      <c r="I729" s="386">
        <f t="shared" si="15"/>
        <v>1248122432</v>
      </c>
      <c r="J729" s="203" t="s">
        <v>1400</v>
      </c>
    </row>
    <row r="730" spans="1:10" hidden="1" outlineLevel="1">
      <c r="A730" s="425" t="s">
        <v>1401</v>
      </c>
      <c r="B730" s="815">
        <v>7598354682</v>
      </c>
      <c r="C730" s="211">
        <v>0</v>
      </c>
      <c r="D730" s="211">
        <v>0</v>
      </c>
      <c r="E730" s="211">
        <v>0</v>
      </c>
      <c r="F730" s="211">
        <v>0</v>
      </c>
      <c r="G730" s="211">
        <v>0</v>
      </c>
      <c r="H730" s="211">
        <v>0</v>
      </c>
      <c r="I730" s="386">
        <f t="shared" si="15"/>
        <v>7598354682</v>
      </c>
      <c r="J730" s="203" t="s">
        <v>1402</v>
      </c>
    </row>
    <row r="731" spans="1:10" hidden="1" outlineLevel="1">
      <c r="A731" s="425" t="s">
        <v>1403</v>
      </c>
      <c r="B731" s="815">
        <v>24166538</v>
      </c>
      <c r="C731" s="211">
        <v>0</v>
      </c>
      <c r="D731" s="211">
        <v>0</v>
      </c>
      <c r="E731" s="211">
        <v>0</v>
      </c>
      <c r="F731" s="211">
        <v>0</v>
      </c>
      <c r="G731" s="211">
        <v>0</v>
      </c>
      <c r="H731" s="211">
        <v>0</v>
      </c>
      <c r="I731" s="386">
        <f t="shared" si="15"/>
        <v>24166538</v>
      </c>
      <c r="J731" s="203" t="s">
        <v>1404</v>
      </c>
    </row>
    <row r="732" spans="1:10" hidden="1" outlineLevel="1">
      <c r="A732" s="425" t="s">
        <v>1405</v>
      </c>
      <c r="B732" s="815">
        <v>16482824922</v>
      </c>
      <c r="C732" s="211">
        <v>0</v>
      </c>
      <c r="D732" s="211">
        <v>0</v>
      </c>
      <c r="E732" s="211">
        <v>0</v>
      </c>
      <c r="F732" s="211">
        <v>0</v>
      </c>
      <c r="G732" s="211">
        <v>0</v>
      </c>
      <c r="H732" s="211">
        <v>0</v>
      </c>
      <c r="I732" s="386">
        <f t="shared" si="15"/>
        <v>16482824922</v>
      </c>
      <c r="J732" s="203" t="s">
        <v>1406</v>
      </c>
    </row>
    <row r="733" spans="1:10" hidden="1" outlineLevel="1">
      <c r="A733" s="425" t="s">
        <v>1407</v>
      </c>
      <c r="B733" s="815">
        <v>3642888520</v>
      </c>
      <c r="C733" s="211">
        <v>0</v>
      </c>
      <c r="D733" s="211">
        <v>0</v>
      </c>
      <c r="E733" s="211">
        <v>0</v>
      </c>
      <c r="F733" s="211">
        <v>0</v>
      </c>
      <c r="G733" s="211">
        <v>0</v>
      </c>
      <c r="H733" s="211">
        <v>0</v>
      </c>
      <c r="I733" s="386">
        <f t="shared" si="15"/>
        <v>3642888520</v>
      </c>
      <c r="J733" s="203" t="s">
        <v>1408</v>
      </c>
    </row>
    <row r="734" spans="1:10" hidden="1" outlineLevel="1">
      <c r="A734" s="425" t="s">
        <v>1409</v>
      </c>
      <c r="B734" s="815">
        <v>616675090</v>
      </c>
      <c r="C734" s="211">
        <v>0</v>
      </c>
      <c r="D734" s="211">
        <v>0</v>
      </c>
      <c r="E734" s="211">
        <v>0</v>
      </c>
      <c r="F734" s="211">
        <v>0</v>
      </c>
      <c r="G734" s="211">
        <v>0</v>
      </c>
      <c r="H734" s="211">
        <v>0</v>
      </c>
      <c r="I734" s="386">
        <f t="shared" ref="I734:I797" si="16">SUM(B734:H734)</f>
        <v>616675090</v>
      </c>
      <c r="J734" s="203" t="s">
        <v>1410</v>
      </c>
    </row>
    <row r="735" spans="1:10" hidden="1" outlineLevel="1">
      <c r="A735" s="425" t="s">
        <v>1925</v>
      </c>
      <c r="B735" s="815">
        <v>204905293</v>
      </c>
      <c r="C735" s="211">
        <v>0</v>
      </c>
      <c r="D735" s="211">
        <v>0</v>
      </c>
      <c r="E735" s="211">
        <v>0</v>
      </c>
      <c r="F735" s="211">
        <v>0</v>
      </c>
      <c r="G735" s="211">
        <v>0</v>
      </c>
      <c r="H735" s="211">
        <v>0</v>
      </c>
      <c r="I735" s="386">
        <f t="shared" si="16"/>
        <v>204905293</v>
      </c>
      <c r="J735" s="203" t="s">
        <v>1926</v>
      </c>
    </row>
    <row r="736" spans="1:10" hidden="1" outlineLevel="1">
      <c r="A736" s="425" t="s">
        <v>509</v>
      </c>
      <c r="B736" s="815">
        <v>3771816165.5500002</v>
      </c>
      <c r="C736" s="211">
        <v>0</v>
      </c>
      <c r="D736" s="211">
        <v>0</v>
      </c>
      <c r="E736" s="211">
        <v>0</v>
      </c>
      <c r="F736" s="211">
        <v>0</v>
      </c>
      <c r="G736" s="211">
        <v>0</v>
      </c>
      <c r="H736" s="211">
        <v>0</v>
      </c>
      <c r="I736" s="386">
        <f t="shared" si="16"/>
        <v>3771816165.5500002</v>
      </c>
      <c r="J736" s="203" t="s">
        <v>510</v>
      </c>
    </row>
    <row r="737" spans="1:10" hidden="1" outlineLevel="1">
      <c r="A737" s="425" t="s">
        <v>1411</v>
      </c>
      <c r="B737" s="815">
        <v>70055682</v>
      </c>
      <c r="C737" s="211">
        <v>0</v>
      </c>
      <c r="D737" s="211">
        <v>0</v>
      </c>
      <c r="E737" s="211">
        <v>0</v>
      </c>
      <c r="F737" s="211">
        <v>0</v>
      </c>
      <c r="G737" s="211">
        <v>0</v>
      </c>
      <c r="H737" s="211">
        <v>0</v>
      </c>
      <c r="I737" s="386">
        <f t="shared" si="16"/>
        <v>70055682</v>
      </c>
      <c r="J737" s="203" t="s">
        <v>1412</v>
      </c>
    </row>
    <row r="738" spans="1:10" hidden="1" outlineLevel="1">
      <c r="A738" s="425" t="s">
        <v>1413</v>
      </c>
      <c r="B738" s="815">
        <v>4111285693</v>
      </c>
      <c r="C738" s="211">
        <v>0</v>
      </c>
      <c r="D738" s="211">
        <v>0</v>
      </c>
      <c r="E738" s="211">
        <v>0</v>
      </c>
      <c r="F738" s="211">
        <v>58925286</v>
      </c>
      <c r="G738" s="211">
        <v>0</v>
      </c>
      <c r="H738" s="211">
        <v>0</v>
      </c>
      <c r="I738" s="386">
        <f t="shared" si="16"/>
        <v>4170210979</v>
      </c>
      <c r="J738" s="203" t="s">
        <v>1414</v>
      </c>
    </row>
    <row r="739" spans="1:10" hidden="1" outlineLevel="1">
      <c r="A739" s="425" t="s">
        <v>388</v>
      </c>
      <c r="B739" s="815">
        <v>4784898401.6529999</v>
      </c>
      <c r="C739" s="211">
        <v>0</v>
      </c>
      <c r="D739" s="211">
        <v>0</v>
      </c>
      <c r="E739" s="211">
        <v>0</v>
      </c>
      <c r="F739" s="211">
        <v>0</v>
      </c>
      <c r="G739" s="211">
        <v>0</v>
      </c>
      <c r="H739" s="211">
        <v>0</v>
      </c>
      <c r="I739" s="386">
        <f t="shared" si="16"/>
        <v>4784898401.6529999</v>
      </c>
      <c r="J739" s="203" t="s">
        <v>389</v>
      </c>
    </row>
    <row r="740" spans="1:10" hidden="1" outlineLevel="1">
      <c r="A740" s="425" t="s">
        <v>724</v>
      </c>
      <c r="B740" s="815">
        <v>3746722480</v>
      </c>
      <c r="C740" s="211">
        <v>0</v>
      </c>
      <c r="D740" s="211">
        <v>0</v>
      </c>
      <c r="E740" s="211">
        <v>0</v>
      </c>
      <c r="F740" s="211">
        <v>0</v>
      </c>
      <c r="G740" s="211">
        <v>0</v>
      </c>
      <c r="H740" s="211">
        <v>0</v>
      </c>
      <c r="I740" s="386">
        <f t="shared" si="16"/>
        <v>3746722480</v>
      </c>
      <c r="J740" s="203" t="s">
        <v>725</v>
      </c>
    </row>
    <row r="741" spans="1:10" hidden="1" outlineLevel="1">
      <c r="A741" s="425" t="s">
        <v>1927</v>
      </c>
      <c r="B741" s="815">
        <v>11447776</v>
      </c>
      <c r="C741" s="211">
        <v>0</v>
      </c>
      <c r="D741" s="211">
        <v>0</v>
      </c>
      <c r="E741" s="211">
        <v>0</v>
      </c>
      <c r="F741" s="211">
        <v>0</v>
      </c>
      <c r="G741" s="211">
        <v>0</v>
      </c>
      <c r="H741" s="211">
        <v>0</v>
      </c>
      <c r="I741" s="386">
        <f t="shared" si="16"/>
        <v>11447776</v>
      </c>
      <c r="J741" s="203" t="s">
        <v>1928</v>
      </c>
    </row>
    <row r="742" spans="1:10" hidden="1" outlineLevel="1">
      <c r="A742" s="425" t="s">
        <v>1415</v>
      </c>
      <c r="B742" s="815">
        <v>3708408</v>
      </c>
      <c r="C742" s="211">
        <v>0</v>
      </c>
      <c r="D742" s="211">
        <v>0</v>
      </c>
      <c r="E742" s="211">
        <v>0</v>
      </c>
      <c r="F742" s="211">
        <v>0</v>
      </c>
      <c r="G742" s="211">
        <v>0</v>
      </c>
      <c r="H742" s="211">
        <v>0</v>
      </c>
      <c r="I742" s="386">
        <f t="shared" si="16"/>
        <v>3708408</v>
      </c>
      <c r="J742" s="203" t="s">
        <v>1416</v>
      </c>
    </row>
    <row r="743" spans="1:10" hidden="1" outlineLevel="1">
      <c r="A743" s="425" t="s">
        <v>1929</v>
      </c>
      <c r="B743" s="815">
        <v>6665779</v>
      </c>
      <c r="C743" s="211">
        <v>0</v>
      </c>
      <c r="D743" s="211">
        <v>0</v>
      </c>
      <c r="E743" s="211">
        <v>0</v>
      </c>
      <c r="F743" s="211">
        <v>0</v>
      </c>
      <c r="G743" s="211">
        <v>0</v>
      </c>
      <c r="H743" s="211">
        <v>0</v>
      </c>
      <c r="I743" s="386">
        <f t="shared" si="16"/>
        <v>6665779</v>
      </c>
      <c r="J743" s="203" t="s">
        <v>1930</v>
      </c>
    </row>
    <row r="744" spans="1:10" hidden="1" outlineLevel="1">
      <c r="A744" s="425" t="s">
        <v>1931</v>
      </c>
      <c r="B744" s="815">
        <v>398738</v>
      </c>
      <c r="C744" s="211">
        <v>0</v>
      </c>
      <c r="D744" s="211">
        <v>0</v>
      </c>
      <c r="E744" s="211">
        <v>0</v>
      </c>
      <c r="F744" s="211">
        <v>0</v>
      </c>
      <c r="G744" s="211">
        <v>0</v>
      </c>
      <c r="H744" s="211">
        <v>0</v>
      </c>
      <c r="I744" s="386">
        <f t="shared" si="16"/>
        <v>398738</v>
      </c>
      <c r="J744" s="203" t="s">
        <v>1932</v>
      </c>
    </row>
    <row r="745" spans="1:10" hidden="1" outlineLevel="1">
      <c r="A745" s="425" t="s">
        <v>1417</v>
      </c>
      <c r="B745" s="815">
        <v>118240727</v>
      </c>
      <c r="C745" s="211">
        <v>0</v>
      </c>
      <c r="D745" s="211">
        <v>0</v>
      </c>
      <c r="E745" s="211">
        <v>0</v>
      </c>
      <c r="F745" s="211">
        <v>0</v>
      </c>
      <c r="G745" s="211">
        <v>0</v>
      </c>
      <c r="H745" s="211">
        <v>0</v>
      </c>
      <c r="I745" s="386">
        <f t="shared" si="16"/>
        <v>118240727</v>
      </c>
      <c r="J745" s="203" t="s">
        <v>1418</v>
      </c>
    </row>
    <row r="746" spans="1:10" hidden="1" outlineLevel="1">
      <c r="A746" s="425" t="s">
        <v>1419</v>
      </c>
      <c r="B746" s="815">
        <v>89417686</v>
      </c>
      <c r="C746" s="211">
        <v>0</v>
      </c>
      <c r="D746" s="211">
        <v>0</v>
      </c>
      <c r="E746" s="211">
        <v>0</v>
      </c>
      <c r="F746" s="211">
        <v>0</v>
      </c>
      <c r="G746" s="211">
        <v>0</v>
      </c>
      <c r="H746" s="211">
        <v>0</v>
      </c>
      <c r="I746" s="386">
        <f t="shared" si="16"/>
        <v>89417686</v>
      </c>
      <c r="J746" s="203" t="s">
        <v>1420</v>
      </c>
    </row>
    <row r="747" spans="1:10" hidden="1" outlineLevel="1">
      <c r="A747" s="425" t="s">
        <v>1421</v>
      </c>
      <c r="B747" s="815">
        <v>72727367</v>
      </c>
      <c r="C747" s="211">
        <v>0</v>
      </c>
      <c r="D747" s="211">
        <v>0</v>
      </c>
      <c r="E747" s="211">
        <v>0</v>
      </c>
      <c r="F747" s="211">
        <v>0</v>
      </c>
      <c r="G747" s="211">
        <v>0</v>
      </c>
      <c r="H747" s="211">
        <v>0</v>
      </c>
      <c r="I747" s="386">
        <f t="shared" si="16"/>
        <v>72727367</v>
      </c>
      <c r="J747" s="203" t="s">
        <v>1422</v>
      </c>
    </row>
    <row r="748" spans="1:10" hidden="1" outlineLevel="1">
      <c r="A748" s="425" t="s">
        <v>1933</v>
      </c>
      <c r="B748" s="815">
        <v>60000</v>
      </c>
      <c r="C748" s="211">
        <v>0</v>
      </c>
      <c r="D748" s="211">
        <v>0</v>
      </c>
      <c r="E748" s="211">
        <v>0</v>
      </c>
      <c r="F748" s="211">
        <v>0</v>
      </c>
      <c r="G748" s="211">
        <v>0</v>
      </c>
      <c r="H748" s="211">
        <v>0</v>
      </c>
      <c r="I748" s="386">
        <f t="shared" si="16"/>
        <v>60000</v>
      </c>
      <c r="J748" s="203" t="s">
        <v>1934</v>
      </c>
    </row>
    <row r="749" spans="1:10" hidden="1" outlineLevel="1">
      <c r="A749" s="425" t="s">
        <v>1423</v>
      </c>
      <c r="B749" s="815">
        <v>91584037</v>
      </c>
      <c r="C749" s="211">
        <v>0</v>
      </c>
      <c r="D749" s="211">
        <v>0</v>
      </c>
      <c r="E749" s="211">
        <v>0</v>
      </c>
      <c r="F749" s="211">
        <v>0</v>
      </c>
      <c r="G749" s="211">
        <v>0</v>
      </c>
      <c r="H749" s="211">
        <v>0</v>
      </c>
      <c r="I749" s="386">
        <f t="shared" si="16"/>
        <v>91584037</v>
      </c>
      <c r="J749" s="203" t="s">
        <v>1424</v>
      </c>
    </row>
    <row r="750" spans="1:10" hidden="1" outlineLevel="1">
      <c r="A750" s="425" t="s">
        <v>1425</v>
      </c>
      <c r="B750" s="815">
        <v>316409794</v>
      </c>
      <c r="C750" s="211">
        <v>0</v>
      </c>
      <c r="D750" s="211">
        <v>0</v>
      </c>
      <c r="E750" s="211">
        <v>0</v>
      </c>
      <c r="F750" s="211">
        <v>0</v>
      </c>
      <c r="G750" s="211">
        <v>0</v>
      </c>
      <c r="H750" s="211">
        <v>0</v>
      </c>
      <c r="I750" s="386">
        <f t="shared" si="16"/>
        <v>316409794</v>
      </c>
      <c r="J750" s="203" t="s">
        <v>1426</v>
      </c>
    </row>
    <row r="751" spans="1:10" hidden="1" outlineLevel="1">
      <c r="A751" s="425" t="s">
        <v>429</v>
      </c>
      <c r="B751" s="815">
        <v>20831998</v>
      </c>
      <c r="C751" s="211">
        <v>0</v>
      </c>
      <c r="D751" s="211">
        <v>0</v>
      </c>
      <c r="E751" s="211">
        <v>0</v>
      </c>
      <c r="F751" s="211">
        <v>0</v>
      </c>
      <c r="G751" s="211">
        <v>0</v>
      </c>
      <c r="H751" s="211">
        <v>0</v>
      </c>
      <c r="I751" s="386">
        <f t="shared" si="16"/>
        <v>20831998</v>
      </c>
      <c r="J751" s="203" t="s">
        <v>430</v>
      </c>
    </row>
    <row r="752" spans="1:10" hidden="1" outlineLevel="1">
      <c r="A752" s="425" t="s">
        <v>360</v>
      </c>
      <c r="B752" s="815">
        <v>12815881</v>
      </c>
      <c r="C752" s="211">
        <v>0</v>
      </c>
      <c r="D752" s="211">
        <v>0</v>
      </c>
      <c r="E752" s="211">
        <v>0</v>
      </c>
      <c r="F752" s="211">
        <v>0</v>
      </c>
      <c r="G752" s="211">
        <v>0</v>
      </c>
      <c r="H752" s="211">
        <v>0</v>
      </c>
      <c r="I752" s="386">
        <f t="shared" si="16"/>
        <v>12815881</v>
      </c>
      <c r="J752" s="203" t="s">
        <v>361</v>
      </c>
    </row>
    <row r="753" spans="1:10" hidden="1" outlineLevel="1">
      <c r="A753" s="425" t="s">
        <v>1427</v>
      </c>
      <c r="B753" s="815">
        <v>279768824</v>
      </c>
      <c r="C753" s="211">
        <v>0</v>
      </c>
      <c r="D753" s="211">
        <v>0</v>
      </c>
      <c r="E753" s="211">
        <v>0</v>
      </c>
      <c r="F753" s="211">
        <v>0</v>
      </c>
      <c r="G753" s="211">
        <v>0</v>
      </c>
      <c r="H753" s="211">
        <v>0</v>
      </c>
      <c r="I753" s="386">
        <f t="shared" si="16"/>
        <v>279768824</v>
      </c>
      <c r="J753" s="203" t="s">
        <v>1428</v>
      </c>
    </row>
    <row r="754" spans="1:10" hidden="1" outlineLevel="1">
      <c r="A754" s="425" t="s">
        <v>1429</v>
      </c>
      <c r="B754" s="815">
        <v>29425483</v>
      </c>
      <c r="C754" s="211">
        <v>0</v>
      </c>
      <c r="D754" s="211">
        <v>0</v>
      </c>
      <c r="E754" s="211">
        <v>0</v>
      </c>
      <c r="F754" s="211">
        <v>0</v>
      </c>
      <c r="G754" s="211">
        <v>0</v>
      </c>
      <c r="H754" s="211">
        <v>0</v>
      </c>
      <c r="I754" s="386">
        <f t="shared" si="16"/>
        <v>29425483</v>
      </c>
      <c r="J754" s="203" t="s">
        <v>1430</v>
      </c>
    </row>
    <row r="755" spans="1:10" hidden="1" outlineLevel="1">
      <c r="A755" s="425" t="s">
        <v>1935</v>
      </c>
      <c r="B755" s="815">
        <v>5627561.2319999998</v>
      </c>
      <c r="C755" s="211">
        <v>0</v>
      </c>
      <c r="D755" s="211">
        <v>0</v>
      </c>
      <c r="E755" s="211">
        <v>0</v>
      </c>
      <c r="F755" s="211">
        <v>0</v>
      </c>
      <c r="G755" s="211">
        <v>0</v>
      </c>
      <c r="H755" s="211">
        <v>0</v>
      </c>
      <c r="I755" s="386">
        <f t="shared" si="16"/>
        <v>5627561.2319999998</v>
      </c>
      <c r="J755" s="203" t="s">
        <v>1936</v>
      </c>
    </row>
    <row r="756" spans="1:10" hidden="1" outlineLevel="1">
      <c r="A756" s="425" t="s">
        <v>1431</v>
      </c>
      <c r="B756" s="815">
        <v>90163927</v>
      </c>
      <c r="C756" s="211">
        <v>0</v>
      </c>
      <c r="D756" s="211">
        <v>0</v>
      </c>
      <c r="E756" s="211">
        <v>0</v>
      </c>
      <c r="F756" s="211">
        <v>0</v>
      </c>
      <c r="G756" s="211">
        <v>0</v>
      </c>
      <c r="H756" s="211">
        <v>93316</v>
      </c>
      <c r="I756" s="386">
        <f t="shared" si="16"/>
        <v>90257243</v>
      </c>
      <c r="J756" s="203" t="s">
        <v>1432</v>
      </c>
    </row>
    <row r="757" spans="1:10" hidden="1" outlineLevel="1">
      <c r="A757" s="425" t="s">
        <v>1433</v>
      </c>
      <c r="B757" s="815">
        <v>91205960</v>
      </c>
      <c r="C757" s="211">
        <v>0</v>
      </c>
      <c r="D757" s="211">
        <v>0</v>
      </c>
      <c r="E757" s="211">
        <v>0</v>
      </c>
      <c r="F757" s="211">
        <v>0</v>
      </c>
      <c r="G757" s="211">
        <v>0</v>
      </c>
      <c r="H757" s="211">
        <v>0</v>
      </c>
      <c r="I757" s="386">
        <f t="shared" si="16"/>
        <v>91205960</v>
      </c>
      <c r="J757" s="203" t="s">
        <v>1434</v>
      </c>
    </row>
    <row r="758" spans="1:10" hidden="1" outlineLevel="1">
      <c r="A758" s="425" t="s">
        <v>577</v>
      </c>
      <c r="B758" s="815">
        <v>416805116</v>
      </c>
      <c r="C758" s="211">
        <v>0</v>
      </c>
      <c r="D758" s="211">
        <v>0</v>
      </c>
      <c r="E758" s="211">
        <v>0</v>
      </c>
      <c r="F758" s="211">
        <v>4705039950</v>
      </c>
      <c r="G758" s="211">
        <v>0</v>
      </c>
      <c r="H758" s="211">
        <v>0</v>
      </c>
      <c r="I758" s="386">
        <f t="shared" si="16"/>
        <v>5121845066</v>
      </c>
      <c r="J758" s="203" t="s">
        <v>578</v>
      </c>
    </row>
    <row r="759" spans="1:10" hidden="1" outlineLevel="1">
      <c r="A759" s="425" t="s">
        <v>680</v>
      </c>
      <c r="B759" s="815">
        <v>280646125</v>
      </c>
      <c r="C759" s="211">
        <v>0</v>
      </c>
      <c r="D759" s="211">
        <v>0</v>
      </c>
      <c r="E759" s="211">
        <v>0</v>
      </c>
      <c r="F759" s="211">
        <v>0</v>
      </c>
      <c r="G759" s="211">
        <v>0</v>
      </c>
      <c r="H759" s="211">
        <v>0</v>
      </c>
      <c r="I759" s="386">
        <f t="shared" si="16"/>
        <v>280646125</v>
      </c>
      <c r="J759" s="203" t="s">
        <v>681</v>
      </c>
    </row>
    <row r="760" spans="1:10" hidden="1" outlineLevel="1">
      <c r="A760" s="425" t="s">
        <v>1435</v>
      </c>
      <c r="B760" s="815">
        <v>64618358</v>
      </c>
      <c r="C760" s="211">
        <v>0</v>
      </c>
      <c r="D760" s="211">
        <v>0</v>
      </c>
      <c r="E760" s="211">
        <v>0</v>
      </c>
      <c r="F760" s="211">
        <v>0</v>
      </c>
      <c r="G760" s="211">
        <v>0</v>
      </c>
      <c r="H760" s="211">
        <v>0</v>
      </c>
      <c r="I760" s="386">
        <f t="shared" si="16"/>
        <v>64618358</v>
      </c>
      <c r="J760" s="203" t="s">
        <v>1436</v>
      </c>
    </row>
    <row r="761" spans="1:10" hidden="1" outlineLevel="1">
      <c r="A761" s="425" t="s">
        <v>1937</v>
      </c>
      <c r="B761" s="815">
        <v>7393984</v>
      </c>
      <c r="C761" s="211">
        <v>0</v>
      </c>
      <c r="D761" s="211">
        <v>0</v>
      </c>
      <c r="E761" s="211">
        <v>0</v>
      </c>
      <c r="F761" s="211">
        <v>0</v>
      </c>
      <c r="G761" s="211">
        <v>0</v>
      </c>
      <c r="H761" s="211">
        <v>0</v>
      </c>
      <c r="I761" s="386">
        <f t="shared" si="16"/>
        <v>7393984</v>
      </c>
      <c r="J761" s="203" t="s">
        <v>1938</v>
      </c>
    </row>
    <row r="762" spans="1:10" hidden="1" outlineLevel="1">
      <c r="A762" s="425" t="s">
        <v>664</v>
      </c>
      <c r="B762" s="815">
        <v>67564345</v>
      </c>
      <c r="C762" s="211">
        <v>0</v>
      </c>
      <c r="D762" s="211">
        <v>0</v>
      </c>
      <c r="E762" s="211">
        <v>0</v>
      </c>
      <c r="F762" s="211">
        <v>0</v>
      </c>
      <c r="G762" s="211">
        <v>0</v>
      </c>
      <c r="H762" s="211">
        <v>0</v>
      </c>
      <c r="I762" s="386">
        <f t="shared" si="16"/>
        <v>67564345</v>
      </c>
      <c r="J762" s="203" t="s">
        <v>665</v>
      </c>
    </row>
    <row r="763" spans="1:10" hidden="1" outlineLevel="1">
      <c r="A763" s="425" t="s">
        <v>1939</v>
      </c>
      <c r="B763" s="815">
        <v>5216791</v>
      </c>
      <c r="C763" s="211">
        <v>0</v>
      </c>
      <c r="D763" s="211">
        <v>0</v>
      </c>
      <c r="E763" s="211">
        <v>0</v>
      </c>
      <c r="F763" s="211">
        <v>0</v>
      </c>
      <c r="G763" s="211">
        <v>0</v>
      </c>
      <c r="H763" s="211">
        <v>0</v>
      </c>
      <c r="I763" s="386">
        <f t="shared" si="16"/>
        <v>5216791</v>
      </c>
      <c r="J763" s="203" t="s">
        <v>1940</v>
      </c>
    </row>
    <row r="764" spans="1:10" hidden="1" outlineLevel="1">
      <c r="A764" s="425" t="s">
        <v>469</v>
      </c>
      <c r="B764" s="815">
        <v>205996219</v>
      </c>
      <c r="C764" s="211">
        <v>0</v>
      </c>
      <c r="D764" s="211">
        <v>0</v>
      </c>
      <c r="E764" s="211">
        <v>0</v>
      </c>
      <c r="F764" s="211">
        <v>0</v>
      </c>
      <c r="G764" s="211">
        <v>0</v>
      </c>
      <c r="H764" s="211">
        <v>0</v>
      </c>
      <c r="I764" s="386">
        <f t="shared" si="16"/>
        <v>205996219</v>
      </c>
      <c r="J764" s="203" t="s">
        <v>1437</v>
      </c>
    </row>
    <row r="765" spans="1:10" hidden="1" outlineLevel="1">
      <c r="A765" s="425" t="s">
        <v>1438</v>
      </c>
      <c r="B765" s="815">
        <v>139689389</v>
      </c>
      <c r="C765" s="211">
        <v>0</v>
      </c>
      <c r="D765" s="211">
        <v>0</v>
      </c>
      <c r="E765" s="211">
        <v>0</v>
      </c>
      <c r="F765" s="211">
        <v>0</v>
      </c>
      <c r="G765" s="211">
        <v>0</v>
      </c>
      <c r="H765" s="211">
        <v>0</v>
      </c>
      <c r="I765" s="386">
        <f t="shared" si="16"/>
        <v>139689389</v>
      </c>
      <c r="J765" s="203" t="s">
        <v>1439</v>
      </c>
    </row>
    <row r="766" spans="1:10" hidden="1" outlineLevel="1">
      <c r="A766" s="425" t="s">
        <v>1440</v>
      </c>
      <c r="B766" s="815">
        <v>11806198</v>
      </c>
      <c r="C766" s="211">
        <v>0</v>
      </c>
      <c r="D766" s="211">
        <v>0</v>
      </c>
      <c r="E766" s="211">
        <v>0</v>
      </c>
      <c r="F766" s="211">
        <v>0</v>
      </c>
      <c r="G766" s="211">
        <v>0</v>
      </c>
      <c r="H766" s="211">
        <v>0</v>
      </c>
      <c r="I766" s="386">
        <f t="shared" si="16"/>
        <v>11806198</v>
      </c>
      <c r="J766" s="203" t="s">
        <v>1441</v>
      </c>
    </row>
    <row r="767" spans="1:10" hidden="1" outlineLevel="1">
      <c r="A767" s="425" t="s">
        <v>1442</v>
      </c>
      <c r="B767" s="815">
        <v>110182640</v>
      </c>
      <c r="C767" s="211">
        <v>0</v>
      </c>
      <c r="D767" s="211">
        <v>0</v>
      </c>
      <c r="E767" s="211">
        <v>0</v>
      </c>
      <c r="F767" s="211">
        <v>0</v>
      </c>
      <c r="G767" s="211">
        <v>0</v>
      </c>
      <c r="H767" s="211">
        <v>0</v>
      </c>
      <c r="I767" s="386">
        <f t="shared" si="16"/>
        <v>110182640</v>
      </c>
      <c r="J767" s="203" t="s">
        <v>1443</v>
      </c>
    </row>
    <row r="768" spans="1:10" hidden="1" outlineLevel="1">
      <c r="A768" s="425" t="s">
        <v>1444</v>
      </c>
      <c r="B768" s="815">
        <v>143891268</v>
      </c>
      <c r="C768" s="211">
        <v>0</v>
      </c>
      <c r="D768" s="211">
        <v>0</v>
      </c>
      <c r="E768" s="211">
        <v>0</v>
      </c>
      <c r="F768" s="211">
        <v>0</v>
      </c>
      <c r="G768" s="211">
        <v>0</v>
      </c>
      <c r="H768" s="211">
        <v>0</v>
      </c>
      <c r="I768" s="386">
        <f t="shared" si="16"/>
        <v>143891268</v>
      </c>
      <c r="J768" s="203" t="s">
        <v>1445</v>
      </c>
    </row>
    <row r="769" spans="1:10" hidden="1" outlineLevel="1">
      <c r="A769" s="425" t="s">
        <v>1446</v>
      </c>
      <c r="B769" s="815">
        <v>168988780</v>
      </c>
      <c r="C769" s="211">
        <v>0</v>
      </c>
      <c r="D769" s="211">
        <v>0</v>
      </c>
      <c r="E769" s="211">
        <v>0</v>
      </c>
      <c r="F769" s="211">
        <v>0</v>
      </c>
      <c r="G769" s="211">
        <v>0</v>
      </c>
      <c r="H769" s="211">
        <v>0</v>
      </c>
      <c r="I769" s="386">
        <f t="shared" si="16"/>
        <v>168988780</v>
      </c>
      <c r="J769" s="203" t="s">
        <v>1447</v>
      </c>
    </row>
    <row r="770" spans="1:10" hidden="1" outlineLevel="1">
      <c r="A770" s="425" t="s">
        <v>1448</v>
      </c>
      <c r="B770" s="815">
        <v>17536514</v>
      </c>
      <c r="C770" s="211">
        <v>0</v>
      </c>
      <c r="D770" s="211">
        <v>0</v>
      </c>
      <c r="E770" s="211">
        <v>0</v>
      </c>
      <c r="F770" s="211">
        <v>0</v>
      </c>
      <c r="G770" s="211">
        <v>0</v>
      </c>
      <c r="H770" s="211">
        <v>0</v>
      </c>
      <c r="I770" s="386">
        <f t="shared" si="16"/>
        <v>17536514</v>
      </c>
      <c r="J770" s="203" t="s">
        <v>1449</v>
      </c>
    </row>
    <row r="771" spans="1:10" hidden="1" outlineLevel="1">
      <c r="A771" s="425" t="s">
        <v>1450</v>
      </c>
      <c r="B771" s="815">
        <v>40766977</v>
      </c>
      <c r="C771" s="211">
        <v>0</v>
      </c>
      <c r="D771" s="211">
        <v>0</v>
      </c>
      <c r="E771" s="211">
        <v>0</v>
      </c>
      <c r="F771" s="211">
        <v>0</v>
      </c>
      <c r="G771" s="211">
        <v>0</v>
      </c>
      <c r="H771" s="211">
        <v>0</v>
      </c>
      <c r="I771" s="386">
        <f t="shared" si="16"/>
        <v>40766977</v>
      </c>
      <c r="J771" s="203" t="s">
        <v>1451</v>
      </c>
    </row>
    <row r="772" spans="1:10" hidden="1" outlineLevel="1">
      <c r="A772" s="425" t="s">
        <v>1941</v>
      </c>
      <c r="B772" s="815">
        <v>16520431</v>
      </c>
      <c r="C772" s="211">
        <v>0</v>
      </c>
      <c r="D772" s="211">
        <v>0</v>
      </c>
      <c r="E772" s="211">
        <v>0</v>
      </c>
      <c r="F772" s="211">
        <v>0</v>
      </c>
      <c r="G772" s="211">
        <v>0</v>
      </c>
      <c r="H772" s="211">
        <v>0</v>
      </c>
      <c r="I772" s="386">
        <f t="shared" si="16"/>
        <v>16520431</v>
      </c>
      <c r="J772" s="203" t="s">
        <v>1942</v>
      </c>
    </row>
    <row r="773" spans="1:10" hidden="1" outlineLevel="1">
      <c r="A773" s="425" t="s">
        <v>1452</v>
      </c>
      <c r="B773" s="815">
        <v>111425093</v>
      </c>
      <c r="C773" s="211">
        <v>0</v>
      </c>
      <c r="D773" s="211">
        <v>0</v>
      </c>
      <c r="E773" s="211">
        <v>0</v>
      </c>
      <c r="F773" s="211">
        <v>0</v>
      </c>
      <c r="G773" s="211">
        <v>0</v>
      </c>
      <c r="H773" s="211">
        <v>0</v>
      </c>
      <c r="I773" s="386">
        <f t="shared" si="16"/>
        <v>111425093</v>
      </c>
      <c r="J773" s="203" t="s">
        <v>1453</v>
      </c>
    </row>
    <row r="774" spans="1:10" hidden="1" outlineLevel="1">
      <c r="A774" s="425" t="s">
        <v>1943</v>
      </c>
      <c r="B774" s="815">
        <v>88641171</v>
      </c>
      <c r="C774" s="211">
        <v>0</v>
      </c>
      <c r="D774" s="211">
        <v>0</v>
      </c>
      <c r="E774" s="211">
        <v>0</v>
      </c>
      <c r="F774" s="211">
        <v>0</v>
      </c>
      <c r="G774" s="211">
        <v>0</v>
      </c>
      <c r="H774" s="211">
        <v>0</v>
      </c>
      <c r="I774" s="386">
        <f t="shared" si="16"/>
        <v>88641171</v>
      </c>
      <c r="J774" s="203" t="s">
        <v>1944</v>
      </c>
    </row>
    <row r="775" spans="1:10" hidden="1" outlineLevel="1">
      <c r="A775" s="425" t="s">
        <v>1454</v>
      </c>
      <c r="B775" s="815">
        <v>5661320</v>
      </c>
      <c r="C775" s="211">
        <v>0</v>
      </c>
      <c r="D775" s="211">
        <v>0</v>
      </c>
      <c r="E775" s="211">
        <v>0</v>
      </c>
      <c r="F775" s="211">
        <v>0</v>
      </c>
      <c r="G775" s="211">
        <v>0</v>
      </c>
      <c r="H775" s="211">
        <v>0</v>
      </c>
      <c r="I775" s="386">
        <f t="shared" si="16"/>
        <v>5661320</v>
      </c>
      <c r="J775" s="203" t="s">
        <v>1455</v>
      </c>
    </row>
    <row r="776" spans="1:10" hidden="1" outlineLevel="1">
      <c r="A776" s="425" t="s">
        <v>1480</v>
      </c>
      <c r="B776" s="815">
        <v>149381074</v>
      </c>
      <c r="C776" s="211">
        <v>0</v>
      </c>
      <c r="D776" s="211">
        <v>0</v>
      </c>
      <c r="E776" s="211">
        <v>0</v>
      </c>
      <c r="F776" s="211">
        <v>0</v>
      </c>
      <c r="G776" s="211">
        <v>0</v>
      </c>
      <c r="H776" s="211">
        <v>0</v>
      </c>
      <c r="I776" s="386">
        <f t="shared" si="16"/>
        <v>149381074</v>
      </c>
      <c r="J776" s="203" t="s">
        <v>1481</v>
      </c>
    </row>
    <row r="777" spans="1:10" hidden="1" outlineLevel="1">
      <c r="A777" s="425" t="s">
        <v>1456</v>
      </c>
      <c r="B777" s="815">
        <v>291432030</v>
      </c>
      <c r="C777" s="211">
        <v>0</v>
      </c>
      <c r="D777" s="211">
        <v>0</v>
      </c>
      <c r="E777" s="211">
        <v>0</v>
      </c>
      <c r="F777" s="211">
        <v>0</v>
      </c>
      <c r="G777" s="211">
        <v>0</v>
      </c>
      <c r="H777" s="211">
        <v>0</v>
      </c>
      <c r="I777" s="386">
        <f t="shared" si="16"/>
        <v>291432030</v>
      </c>
      <c r="J777" s="203" t="s">
        <v>1457</v>
      </c>
    </row>
    <row r="778" spans="1:10" hidden="1" outlineLevel="1">
      <c r="A778" s="425" t="s">
        <v>1458</v>
      </c>
      <c r="B778" s="815">
        <v>69194748</v>
      </c>
      <c r="C778" s="211">
        <v>0</v>
      </c>
      <c r="D778" s="211">
        <v>0</v>
      </c>
      <c r="E778" s="211">
        <v>0</v>
      </c>
      <c r="F778" s="211">
        <v>0</v>
      </c>
      <c r="G778" s="211">
        <v>0</v>
      </c>
      <c r="H778" s="211">
        <v>0</v>
      </c>
      <c r="I778" s="386">
        <f t="shared" si="16"/>
        <v>69194748</v>
      </c>
      <c r="J778" s="203" t="s">
        <v>1459</v>
      </c>
    </row>
    <row r="779" spans="1:10" hidden="1" outlineLevel="1">
      <c r="A779" s="425" t="s">
        <v>172</v>
      </c>
      <c r="B779" s="814">
        <v>0</v>
      </c>
      <c r="C779" s="211">
        <v>0</v>
      </c>
      <c r="D779" s="211">
        <v>0</v>
      </c>
      <c r="E779" s="211">
        <v>0</v>
      </c>
      <c r="F779" s="211">
        <v>0</v>
      </c>
      <c r="G779" s="211">
        <v>0</v>
      </c>
      <c r="H779" s="211">
        <v>0</v>
      </c>
      <c r="I779" s="386">
        <f t="shared" si="16"/>
        <v>0</v>
      </c>
      <c r="J779" s="203" t="s">
        <v>173</v>
      </c>
    </row>
    <row r="780" spans="1:10" hidden="1" outlineLevel="1">
      <c r="A780" s="425" t="s">
        <v>1945</v>
      </c>
      <c r="B780" s="815">
        <v>55744249</v>
      </c>
      <c r="C780" s="211">
        <v>0</v>
      </c>
      <c r="D780" s="211">
        <v>0</v>
      </c>
      <c r="E780" s="211">
        <v>0</v>
      </c>
      <c r="F780" s="211">
        <v>0</v>
      </c>
      <c r="G780" s="211">
        <v>0</v>
      </c>
      <c r="H780" s="211">
        <v>0</v>
      </c>
      <c r="I780" s="386">
        <f t="shared" si="16"/>
        <v>55744249</v>
      </c>
      <c r="J780" s="203" t="s">
        <v>1946</v>
      </c>
    </row>
    <row r="781" spans="1:10" hidden="1" outlineLevel="1">
      <c r="A781" s="425" t="s">
        <v>356</v>
      </c>
      <c r="B781" s="815">
        <v>34668252</v>
      </c>
      <c r="C781" s="211">
        <v>0</v>
      </c>
      <c r="D781" s="211">
        <v>0</v>
      </c>
      <c r="E781" s="211">
        <v>0</v>
      </c>
      <c r="F781" s="211">
        <v>0</v>
      </c>
      <c r="G781" s="211">
        <v>0</v>
      </c>
      <c r="H781" s="211">
        <v>0</v>
      </c>
      <c r="I781" s="386">
        <f t="shared" si="16"/>
        <v>34668252</v>
      </c>
      <c r="J781" s="203" t="s">
        <v>357</v>
      </c>
    </row>
    <row r="782" spans="1:10" hidden="1" outlineLevel="1">
      <c r="A782" s="425" t="s">
        <v>1460</v>
      </c>
      <c r="B782" s="815">
        <v>22871439</v>
      </c>
      <c r="C782" s="211">
        <v>0</v>
      </c>
      <c r="D782" s="211">
        <v>0</v>
      </c>
      <c r="E782" s="211">
        <v>0</v>
      </c>
      <c r="F782" s="211">
        <v>0</v>
      </c>
      <c r="G782" s="211">
        <v>0</v>
      </c>
      <c r="H782" s="211">
        <v>0</v>
      </c>
      <c r="I782" s="386">
        <f t="shared" si="16"/>
        <v>22871439</v>
      </c>
      <c r="J782" s="203" t="s">
        <v>1461</v>
      </c>
    </row>
    <row r="783" spans="1:10" hidden="1" outlineLevel="1">
      <c r="A783" s="425" t="s">
        <v>1462</v>
      </c>
      <c r="B783" s="815">
        <v>291037911</v>
      </c>
      <c r="C783" s="211">
        <v>0</v>
      </c>
      <c r="D783" s="211">
        <v>0</v>
      </c>
      <c r="E783" s="211">
        <v>0</v>
      </c>
      <c r="F783" s="211">
        <v>0</v>
      </c>
      <c r="G783" s="211">
        <v>0</v>
      </c>
      <c r="H783" s="211">
        <v>0</v>
      </c>
      <c r="I783" s="386">
        <f t="shared" si="16"/>
        <v>291037911</v>
      </c>
      <c r="J783" s="203" t="s">
        <v>1463</v>
      </c>
    </row>
    <row r="784" spans="1:10" hidden="1" outlineLevel="1">
      <c r="A784" s="425" t="s">
        <v>1464</v>
      </c>
      <c r="B784" s="815">
        <v>68077084.167999998</v>
      </c>
      <c r="C784" s="211">
        <v>0</v>
      </c>
      <c r="D784" s="211">
        <v>0</v>
      </c>
      <c r="E784" s="211">
        <v>0</v>
      </c>
      <c r="F784" s="211">
        <v>0</v>
      </c>
      <c r="G784" s="211">
        <v>0</v>
      </c>
      <c r="H784" s="211">
        <v>0</v>
      </c>
      <c r="I784" s="386">
        <f t="shared" si="16"/>
        <v>68077084.167999998</v>
      </c>
      <c r="J784" s="203" t="s">
        <v>1465</v>
      </c>
    </row>
    <row r="785" spans="1:10" hidden="1" outlineLevel="1">
      <c r="A785" s="425" t="s">
        <v>1466</v>
      </c>
      <c r="B785" s="815">
        <v>68057647</v>
      </c>
      <c r="C785" s="211">
        <v>0</v>
      </c>
      <c r="D785" s="211">
        <v>0</v>
      </c>
      <c r="E785" s="211">
        <v>0</v>
      </c>
      <c r="F785" s="211">
        <v>0</v>
      </c>
      <c r="G785" s="211">
        <v>0</v>
      </c>
      <c r="H785" s="211">
        <v>0</v>
      </c>
      <c r="I785" s="386">
        <f t="shared" si="16"/>
        <v>68057647</v>
      </c>
      <c r="J785" s="203" t="s">
        <v>1467</v>
      </c>
    </row>
    <row r="786" spans="1:10" hidden="1" outlineLevel="1">
      <c r="A786" s="425" t="s">
        <v>1468</v>
      </c>
      <c r="B786" s="815">
        <v>72907543.189999998</v>
      </c>
      <c r="C786" s="211">
        <v>0</v>
      </c>
      <c r="D786" s="211">
        <v>0</v>
      </c>
      <c r="E786" s="211">
        <v>0</v>
      </c>
      <c r="F786" s="211">
        <v>0</v>
      </c>
      <c r="G786" s="211">
        <v>0</v>
      </c>
      <c r="H786" s="211">
        <v>0</v>
      </c>
      <c r="I786" s="386">
        <f t="shared" si="16"/>
        <v>72907543.189999998</v>
      </c>
      <c r="J786" s="203" t="s">
        <v>1469</v>
      </c>
    </row>
    <row r="787" spans="1:10" hidden="1" outlineLevel="1">
      <c r="A787" s="425" t="s">
        <v>1470</v>
      </c>
      <c r="B787" s="815">
        <v>24775584</v>
      </c>
      <c r="C787" s="211">
        <v>0</v>
      </c>
      <c r="D787" s="211">
        <v>0</v>
      </c>
      <c r="E787" s="211">
        <v>0</v>
      </c>
      <c r="F787" s="211">
        <v>0</v>
      </c>
      <c r="G787" s="211">
        <v>0</v>
      </c>
      <c r="H787" s="211">
        <v>0</v>
      </c>
      <c r="I787" s="386">
        <f t="shared" si="16"/>
        <v>24775584</v>
      </c>
      <c r="J787" s="203" t="s">
        <v>1471</v>
      </c>
    </row>
    <row r="788" spans="1:10" hidden="1" outlineLevel="1">
      <c r="A788" s="425" t="s">
        <v>1472</v>
      </c>
      <c r="B788" s="815">
        <v>56276850</v>
      </c>
      <c r="C788" s="211">
        <v>0</v>
      </c>
      <c r="D788" s="211">
        <v>0</v>
      </c>
      <c r="E788" s="211">
        <v>0</v>
      </c>
      <c r="F788" s="211">
        <v>0</v>
      </c>
      <c r="G788" s="211">
        <v>0</v>
      </c>
      <c r="H788" s="211">
        <v>0</v>
      </c>
      <c r="I788" s="386">
        <f t="shared" si="16"/>
        <v>56276850</v>
      </c>
      <c r="J788" s="203" t="s">
        <v>1473</v>
      </c>
    </row>
    <row r="789" spans="1:10" hidden="1" outlineLevel="1">
      <c r="A789" s="425" t="s">
        <v>398</v>
      </c>
      <c r="B789" s="815">
        <v>20025169.5</v>
      </c>
      <c r="C789" s="211">
        <v>0</v>
      </c>
      <c r="D789" s="211">
        <v>0</v>
      </c>
      <c r="E789" s="211">
        <v>0</v>
      </c>
      <c r="F789" s="211">
        <v>0</v>
      </c>
      <c r="G789" s="211">
        <v>0</v>
      </c>
      <c r="H789" s="211">
        <v>0</v>
      </c>
      <c r="I789" s="386">
        <f t="shared" si="16"/>
        <v>20025169.5</v>
      </c>
      <c r="J789" s="203" t="s">
        <v>399</v>
      </c>
    </row>
    <row r="790" spans="1:10" hidden="1" outlineLevel="1">
      <c r="A790" s="425" t="s">
        <v>1947</v>
      </c>
      <c r="B790" s="815">
        <v>8752730.8499999996</v>
      </c>
      <c r="C790" s="211">
        <v>0</v>
      </c>
      <c r="D790" s="211">
        <v>0</v>
      </c>
      <c r="E790" s="211">
        <v>0</v>
      </c>
      <c r="F790" s="211">
        <v>0</v>
      </c>
      <c r="G790" s="211">
        <v>0</v>
      </c>
      <c r="H790" s="211">
        <v>0</v>
      </c>
      <c r="I790" s="386">
        <f t="shared" si="16"/>
        <v>8752730.8499999996</v>
      </c>
      <c r="J790" s="203" t="s">
        <v>1948</v>
      </c>
    </row>
    <row r="791" spans="1:10" hidden="1" outlineLevel="1">
      <c r="A791" s="425" t="s">
        <v>1949</v>
      </c>
      <c r="B791" s="815">
        <v>30452984</v>
      </c>
      <c r="C791" s="211">
        <v>0</v>
      </c>
      <c r="D791" s="211">
        <v>0</v>
      </c>
      <c r="E791" s="211">
        <v>0</v>
      </c>
      <c r="F791" s="211">
        <v>0</v>
      </c>
      <c r="G791" s="211">
        <v>0</v>
      </c>
      <c r="H791" s="211">
        <v>0</v>
      </c>
      <c r="I791" s="386">
        <f t="shared" si="16"/>
        <v>30452984</v>
      </c>
      <c r="J791" s="203" t="s">
        <v>1950</v>
      </c>
    </row>
    <row r="792" spans="1:10" hidden="1" outlineLevel="1">
      <c r="A792" s="425" t="s">
        <v>1951</v>
      </c>
      <c r="B792" s="815">
        <v>3512322.2</v>
      </c>
      <c r="C792" s="211">
        <v>0</v>
      </c>
      <c r="D792" s="211">
        <v>0</v>
      </c>
      <c r="E792" s="211">
        <v>0</v>
      </c>
      <c r="F792" s="211">
        <v>0</v>
      </c>
      <c r="G792" s="211">
        <v>0</v>
      </c>
      <c r="H792" s="211">
        <v>0</v>
      </c>
      <c r="I792" s="386">
        <f t="shared" si="16"/>
        <v>3512322.2</v>
      </c>
      <c r="J792" s="203" t="s">
        <v>1952</v>
      </c>
    </row>
    <row r="793" spans="1:10" hidden="1" outlineLevel="1">
      <c r="A793" s="425"/>
      <c r="B793" s="210"/>
      <c r="C793" s="211"/>
      <c r="D793" s="211"/>
      <c r="E793" s="211"/>
      <c r="F793" s="211"/>
      <c r="G793" s="211"/>
      <c r="H793" s="211"/>
      <c r="I793" s="386">
        <f t="shared" si="16"/>
        <v>0</v>
      </c>
      <c r="J793" s="203" t="e">
        <v>#N/A</v>
      </c>
    </row>
    <row r="794" spans="1:10" ht="13.5" collapsed="1" thickBot="1">
      <c r="A794" s="426" t="s">
        <v>1486</v>
      </c>
      <c r="B794" s="212">
        <f>SUM(B795:B932)</f>
        <v>45721629123</v>
      </c>
      <c r="C794" s="213">
        <v>0</v>
      </c>
      <c r="D794" s="213">
        <f>SUM(D795:D932)</f>
        <v>0</v>
      </c>
      <c r="E794" s="213">
        <f t="shared" ref="E794:H794" si="17">SUM(E795:E932)</f>
        <v>0</v>
      </c>
      <c r="F794" s="213">
        <f t="shared" si="17"/>
        <v>1955607441</v>
      </c>
      <c r="G794" s="213">
        <f t="shared" si="17"/>
        <v>0</v>
      </c>
      <c r="H794" s="213">
        <f t="shared" si="17"/>
        <v>0</v>
      </c>
      <c r="I794" s="660">
        <f>SUM(B794:H794)</f>
        <v>47677236564</v>
      </c>
    </row>
    <row r="795" spans="1:10" hidden="1" outlineLevel="1">
      <c r="A795" s="425" t="s">
        <v>1487</v>
      </c>
      <c r="B795" s="210">
        <v>222707661</v>
      </c>
      <c r="C795" s="211">
        <v>0</v>
      </c>
      <c r="D795" s="211">
        <v>0</v>
      </c>
      <c r="E795" s="211">
        <v>0</v>
      </c>
      <c r="F795" s="211">
        <v>0</v>
      </c>
      <c r="G795" s="211">
        <v>0</v>
      </c>
      <c r="H795" s="211">
        <v>0</v>
      </c>
      <c r="I795" s="386">
        <f>SUM(B795:H795)</f>
        <v>222707661</v>
      </c>
      <c r="J795" s="203" t="s">
        <v>1488</v>
      </c>
    </row>
    <row r="796" spans="1:10" hidden="1" outlineLevel="1">
      <c r="A796" s="425" t="s">
        <v>1489</v>
      </c>
      <c r="B796" s="210">
        <v>452208137</v>
      </c>
      <c r="C796" s="211">
        <v>0</v>
      </c>
      <c r="D796" s="211">
        <v>0</v>
      </c>
      <c r="E796" s="211">
        <v>0</v>
      </c>
      <c r="F796" s="211">
        <v>0</v>
      </c>
      <c r="G796" s="211">
        <v>0</v>
      </c>
      <c r="H796" s="211">
        <v>0</v>
      </c>
      <c r="I796" s="386">
        <f t="shared" si="16"/>
        <v>452208137</v>
      </c>
      <c r="J796" s="203" t="s">
        <v>1490</v>
      </c>
    </row>
    <row r="797" spans="1:10" hidden="1" outlineLevel="1">
      <c r="A797" s="425" t="s">
        <v>1491</v>
      </c>
      <c r="B797" s="210">
        <v>1229891058</v>
      </c>
      <c r="C797" s="211">
        <v>0</v>
      </c>
      <c r="D797" s="211">
        <v>0</v>
      </c>
      <c r="E797" s="211">
        <v>0</v>
      </c>
      <c r="F797" s="211">
        <v>15550056</v>
      </c>
      <c r="G797" s="211">
        <v>0</v>
      </c>
      <c r="H797" s="211">
        <v>0</v>
      </c>
      <c r="I797" s="386">
        <f t="shared" si="16"/>
        <v>1245441114</v>
      </c>
      <c r="J797" s="203" t="s">
        <v>1492</v>
      </c>
    </row>
    <row r="798" spans="1:10" hidden="1" outlineLevel="1">
      <c r="A798" s="425" t="s">
        <v>1953</v>
      </c>
      <c r="B798" s="210">
        <v>11201472</v>
      </c>
      <c r="C798" s="211">
        <v>0</v>
      </c>
      <c r="D798" s="211">
        <v>0</v>
      </c>
      <c r="E798" s="211">
        <v>0</v>
      </c>
      <c r="F798" s="211">
        <v>0</v>
      </c>
      <c r="G798" s="211">
        <v>0</v>
      </c>
      <c r="H798" s="211">
        <v>0</v>
      </c>
      <c r="I798" s="386">
        <f t="shared" ref="I798:I861" si="18">SUM(B798:H798)</f>
        <v>11201472</v>
      </c>
      <c r="J798" s="203" t="s">
        <v>1954</v>
      </c>
    </row>
    <row r="799" spans="1:10" hidden="1" outlineLevel="1">
      <c r="A799" s="425" t="s">
        <v>655</v>
      </c>
      <c r="B799" s="210">
        <v>101328648</v>
      </c>
      <c r="C799" s="211">
        <v>0</v>
      </c>
      <c r="D799" s="211">
        <v>0</v>
      </c>
      <c r="E799" s="211">
        <v>0</v>
      </c>
      <c r="F799" s="211">
        <v>1805188434</v>
      </c>
      <c r="G799" s="211">
        <v>0</v>
      </c>
      <c r="H799" s="211">
        <v>0</v>
      </c>
      <c r="I799" s="386">
        <f t="shared" si="18"/>
        <v>1906517082</v>
      </c>
      <c r="J799" s="203" t="s">
        <v>578</v>
      </c>
    </row>
    <row r="800" spans="1:10" hidden="1" outlineLevel="1">
      <c r="A800" s="425" t="s">
        <v>1493</v>
      </c>
      <c r="B800" s="210">
        <v>130265756</v>
      </c>
      <c r="C800" s="211">
        <v>0</v>
      </c>
      <c r="D800" s="211">
        <v>0</v>
      </c>
      <c r="E800" s="211">
        <v>0</v>
      </c>
      <c r="F800" s="211">
        <v>0</v>
      </c>
      <c r="G800" s="211">
        <v>0</v>
      </c>
      <c r="H800" s="211">
        <v>0</v>
      </c>
      <c r="I800" s="386">
        <f t="shared" si="18"/>
        <v>130265756</v>
      </c>
      <c r="J800" s="203" t="s">
        <v>1494</v>
      </c>
    </row>
    <row r="801" spans="1:10" hidden="1" outlineLevel="1">
      <c r="A801" s="425" t="s">
        <v>429</v>
      </c>
      <c r="B801" s="210">
        <v>5435745</v>
      </c>
      <c r="C801" s="211">
        <v>0</v>
      </c>
      <c r="D801" s="211">
        <v>0</v>
      </c>
      <c r="E801" s="211">
        <v>0</v>
      </c>
      <c r="F801" s="211">
        <v>0</v>
      </c>
      <c r="G801" s="211">
        <v>0</v>
      </c>
      <c r="H801" s="211">
        <v>0</v>
      </c>
      <c r="I801" s="386">
        <f t="shared" si="18"/>
        <v>5435745</v>
      </c>
      <c r="J801" s="203" t="s">
        <v>430</v>
      </c>
    </row>
    <row r="802" spans="1:10" hidden="1" outlineLevel="1">
      <c r="A802" s="425" t="s">
        <v>172</v>
      </c>
      <c r="B802" s="210">
        <v>1928511</v>
      </c>
      <c r="C802" s="211">
        <v>0</v>
      </c>
      <c r="D802" s="211">
        <v>0</v>
      </c>
      <c r="E802" s="211">
        <v>0</v>
      </c>
      <c r="F802" s="211">
        <v>0</v>
      </c>
      <c r="G802" s="211">
        <v>0</v>
      </c>
      <c r="H802" s="211">
        <v>0</v>
      </c>
      <c r="I802" s="386">
        <f t="shared" si="18"/>
        <v>1928511</v>
      </c>
      <c r="J802" s="203" t="s">
        <v>173</v>
      </c>
    </row>
    <row r="803" spans="1:10" hidden="1" outlineLevel="1">
      <c r="A803" s="425" t="s">
        <v>1495</v>
      </c>
      <c r="B803" s="210">
        <v>153980138</v>
      </c>
      <c r="C803" s="211">
        <v>0</v>
      </c>
      <c r="D803" s="211">
        <v>0</v>
      </c>
      <c r="E803" s="211">
        <v>0</v>
      </c>
      <c r="F803" s="211">
        <v>0</v>
      </c>
      <c r="G803" s="211">
        <v>0</v>
      </c>
      <c r="H803" s="211">
        <v>0</v>
      </c>
      <c r="I803" s="386">
        <f t="shared" si="18"/>
        <v>153980138</v>
      </c>
      <c r="J803" s="203" t="s">
        <v>1496</v>
      </c>
    </row>
    <row r="804" spans="1:10" hidden="1" outlineLevel="1">
      <c r="A804" s="425" t="s">
        <v>1497</v>
      </c>
      <c r="B804" s="210">
        <v>80700224</v>
      </c>
      <c r="C804" s="211">
        <v>0</v>
      </c>
      <c r="D804" s="211">
        <v>0</v>
      </c>
      <c r="E804" s="211">
        <v>0</v>
      </c>
      <c r="F804" s="211">
        <v>0</v>
      </c>
      <c r="G804" s="211">
        <v>0</v>
      </c>
      <c r="H804" s="211">
        <v>0</v>
      </c>
      <c r="I804" s="386">
        <f t="shared" si="18"/>
        <v>80700224</v>
      </c>
      <c r="J804" s="203" t="s">
        <v>1498</v>
      </c>
    </row>
    <row r="805" spans="1:10" hidden="1" outlineLevel="1">
      <c r="A805" s="425" t="s">
        <v>1499</v>
      </c>
      <c r="B805" s="210">
        <v>17210356</v>
      </c>
      <c r="C805" s="211">
        <v>0</v>
      </c>
      <c r="D805" s="211">
        <v>0</v>
      </c>
      <c r="E805" s="211">
        <v>0</v>
      </c>
      <c r="F805" s="211">
        <v>0</v>
      </c>
      <c r="G805" s="211">
        <v>0</v>
      </c>
      <c r="H805" s="211">
        <v>0</v>
      </c>
      <c r="I805" s="386">
        <f t="shared" si="18"/>
        <v>17210356</v>
      </c>
      <c r="J805" s="203" t="s">
        <v>1500</v>
      </c>
    </row>
    <row r="806" spans="1:10" hidden="1" outlineLevel="1">
      <c r="A806" s="425" t="s">
        <v>1501</v>
      </c>
      <c r="B806" s="210">
        <v>36195357</v>
      </c>
      <c r="C806" s="211">
        <v>0</v>
      </c>
      <c r="D806" s="211">
        <v>0</v>
      </c>
      <c r="E806" s="211">
        <v>0</v>
      </c>
      <c r="F806" s="211">
        <v>0</v>
      </c>
      <c r="G806" s="211">
        <v>0</v>
      </c>
      <c r="H806" s="211">
        <v>0</v>
      </c>
      <c r="I806" s="386">
        <f t="shared" si="18"/>
        <v>36195357</v>
      </c>
      <c r="J806" s="203" t="s">
        <v>1502</v>
      </c>
    </row>
    <row r="807" spans="1:10" hidden="1" outlineLevel="1">
      <c r="A807" s="425" t="s">
        <v>1503</v>
      </c>
      <c r="B807" s="210">
        <v>152330803</v>
      </c>
      <c r="C807" s="211">
        <v>0</v>
      </c>
      <c r="D807" s="211">
        <v>0</v>
      </c>
      <c r="E807" s="211">
        <v>0</v>
      </c>
      <c r="F807" s="211">
        <v>0</v>
      </c>
      <c r="G807" s="211">
        <v>0</v>
      </c>
      <c r="H807" s="211">
        <v>0</v>
      </c>
      <c r="I807" s="386">
        <f t="shared" si="18"/>
        <v>152330803</v>
      </c>
      <c r="J807" s="203" t="s">
        <v>1504</v>
      </c>
    </row>
    <row r="808" spans="1:10" hidden="1" outlineLevel="1">
      <c r="A808" s="425" t="s">
        <v>1505</v>
      </c>
      <c r="B808" s="210">
        <v>40457161</v>
      </c>
      <c r="C808" s="211">
        <v>0</v>
      </c>
      <c r="D808" s="211">
        <v>0</v>
      </c>
      <c r="E808" s="211">
        <v>0</v>
      </c>
      <c r="F808" s="211">
        <v>0</v>
      </c>
      <c r="G808" s="211">
        <v>0</v>
      </c>
      <c r="H808" s="211">
        <v>0</v>
      </c>
      <c r="I808" s="386">
        <f t="shared" si="18"/>
        <v>40457161</v>
      </c>
      <c r="J808" s="203" t="s">
        <v>1506</v>
      </c>
    </row>
    <row r="809" spans="1:10" hidden="1" outlineLevel="1">
      <c r="A809" s="425" t="s">
        <v>1955</v>
      </c>
      <c r="B809" s="210">
        <v>9552022</v>
      </c>
      <c r="C809" s="211">
        <v>0</v>
      </c>
      <c r="D809" s="211">
        <v>0</v>
      </c>
      <c r="E809" s="211">
        <v>0</v>
      </c>
      <c r="F809" s="211">
        <v>0</v>
      </c>
      <c r="G809" s="211">
        <v>0</v>
      </c>
      <c r="H809" s="211">
        <v>0</v>
      </c>
      <c r="I809" s="386">
        <f t="shared" si="18"/>
        <v>9552022</v>
      </c>
      <c r="J809" s="203" t="s">
        <v>1956</v>
      </c>
    </row>
    <row r="810" spans="1:10" hidden="1" outlineLevel="1">
      <c r="A810" s="425" t="s">
        <v>1507</v>
      </c>
      <c r="B810" s="210">
        <v>40990892</v>
      </c>
      <c r="C810" s="211">
        <v>0</v>
      </c>
      <c r="D810" s="211">
        <v>0</v>
      </c>
      <c r="E810" s="211">
        <v>0</v>
      </c>
      <c r="F810" s="211">
        <v>0</v>
      </c>
      <c r="G810" s="211">
        <v>0</v>
      </c>
      <c r="H810" s="211">
        <v>0</v>
      </c>
      <c r="I810" s="386">
        <f t="shared" si="18"/>
        <v>40990892</v>
      </c>
      <c r="J810" s="203" t="s">
        <v>1508</v>
      </c>
    </row>
    <row r="811" spans="1:10" hidden="1" outlineLevel="1">
      <c r="A811" s="425" t="s">
        <v>1509</v>
      </c>
      <c r="B811" s="210">
        <v>35377818</v>
      </c>
      <c r="C811" s="211">
        <v>0</v>
      </c>
      <c r="D811" s="211">
        <v>0</v>
      </c>
      <c r="E811" s="211">
        <v>0</v>
      </c>
      <c r="F811" s="211">
        <v>0</v>
      </c>
      <c r="G811" s="211">
        <v>0</v>
      </c>
      <c r="H811" s="211">
        <v>0</v>
      </c>
      <c r="I811" s="386">
        <f t="shared" si="18"/>
        <v>35377818</v>
      </c>
      <c r="J811" s="203" t="s">
        <v>1510</v>
      </c>
    </row>
    <row r="812" spans="1:10" hidden="1" outlineLevel="1">
      <c r="A812" s="425" t="s">
        <v>1511</v>
      </c>
      <c r="B812" s="210">
        <v>80966732</v>
      </c>
      <c r="C812" s="211">
        <v>0</v>
      </c>
      <c r="D812" s="211">
        <v>0</v>
      </c>
      <c r="E812" s="211">
        <v>0</v>
      </c>
      <c r="F812" s="211">
        <v>0</v>
      </c>
      <c r="G812" s="211">
        <v>0</v>
      </c>
      <c r="H812" s="211">
        <v>0</v>
      </c>
      <c r="I812" s="386">
        <f t="shared" si="18"/>
        <v>80966732</v>
      </c>
      <c r="J812" s="203" t="s">
        <v>1512</v>
      </c>
    </row>
    <row r="813" spans="1:10" hidden="1" outlineLevel="1">
      <c r="A813" s="425" t="s">
        <v>1513</v>
      </c>
      <c r="B813" s="210">
        <v>249129348</v>
      </c>
      <c r="C813" s="211">
        <v>0</v>
      </c>
      <c r="D813" s="211">
        <v>0</v>
      </c>
      <c r="E813" s="211">
        <v>0</v>
      </c>
      <c r="F813" s="211">
        <v>0</v>
      </c>
      <c r="G813" s="211">
        <v>0</v>
      </c>
      <c r="H813" s="211">
        <v>0</v>
      </c>
      <c r="I813" s="386">
        <f t="shared" si="18"/>
        <v>249129348</v>
      </c>
      <c r="J813" s="203" t="s">
        <v>1514</v>
      </c>
    </row>
    <row r="814" spans="1:10" hidden="1" outlineLevel="1">
      <c r="A814" s="425" t="s">
        <v>1515</v>
      </c>
      <c r="B814" s="210">
        <v>24628851</v>
      </c>
      <c r="C814" s="211">
        <v>0</v>
      </c>
      <c r="D814" s="211">
        <v>0</v>
      </c>
      <c r="E814" s="211">
        <v>0</v>
      </c>
      <c r="F814" s="211">
        <v>0</v>
      </c>
      <c r="G814" s="211">
        <v>0</v>
      </c>
      <c r="H814" s="211">
        <v>0</v>
      </c>
      <c r="I814" s="386">
        <f t="shared" si="18"/>
        <v>24628851</v>
      </c>
      <c r="J814" s="203" t="s">
        <v>1516</v>
      </c>
    </row>
    <row r="815" spans="1:10" hidden="1" outlineLevel="1">
      <c r="A815" s="425" t="s">
        <v>1517</v>
      </c>
      <c r="B815" s="210">
        <v>222367642</v>
      </c>
      <c r="C815" s="211">
        <v>0</v>
      </c>
      <c r="D815" s="211">
        <v>0</v>
      </c>
      <c r="E815" s="211">
        <v>0</v>
      </c>
      <c r="F815" s="211">
        <v>0</v>
      </c>
      <c r="G815" s="211">
        <v>0</v>
      </c>
      <c r="H815" s="211">
        <v>0</v>
      </c>
      <c r="I815" s="386">
        <f t="shared" si="18"/>
        <v>222367642</v>
      </c>
      <c r="J815" s="203" t="s">
        <v>1518</v>
      </c>
    </row>
    <row r="816" spans="1:10" hidden="1" outlineLevel="1">
      <c r="A816" s="425" t="s">
        <v>1519</v>
      </c>
      <c r="B816" s="210">
        <v>62406842</v>
      </c>
      <c r="C816" s="211">
        <v>0</v>
      </c>
      <c r="D816" s="211">
        <v>0</v>
      </c>
      <c r="E816" s="211">
        <v>0</v>
      </c>
      <c r="F816" s="211">
        <v>0</v>
      </c>
      <c r="G816" s="211">
        <v>0</v>
      </c>
      <c r="H816" s="211">
        <v>0</v>
      </c>
      <c r="I816" s="386">
        <f t="shared" si="18"/>
        <v>62406842</v>
      </c>
      <c r="J816" s="203" t="s">
        <v>1520</v>
      </c>
    </row>
    <row r="817" spans="1:10" hidden="1" outlineLevel="1">
      <c r="A817" s="425" t="s">
        <v>1521</v>
      </c>
      <c r="B817" s="210">
        <v>120358455</v>
      </c>
      <c r="C817" s="211">
        <v>0</v>
      </c>
      <c r="D817" s="211">
        <v>0</v>
      </c>
      <c r="E817" s="211">
        <v>0</v>
      </c>
      <c r="F817" s="211">
        <v>0</v>
      </c>
      <c r="G817" s="211">
        <v>0</v>
      </c>
      <c r="H817" s="211">
        <v>0</v>
      </c>
      <c r="I817" s="386">
        <f t="shared" si="18"/>
        <v>120358455</v>
      </c>
      <c r="J817" s="203" t="s">
        <v>1522</v>
      </c>
    </row>
    <row r="818" spans="1:10" hidden="1" outlineLevel="1">
      <c r="A818" s="425" t="s">
        <v>1523</v>
      </c>
      <c r="B818" s="210">
        <v>126694150</v>
      </c>
      <c r="C818" s="211">
        <v>0</v>
      </c>
      <c r="D818" s="211">
        <v>0</v>
      </c>
      <c r="E818" s="211">
        <v>0</v>
      </c>
      <c r="F818" s="211">
        <v>0</v>
      </c>
      <c r="G818" s="211">
        <v>0</v>
      </c>
      <c r="H818" s="211">
        <v>0</v>
      </c>
      <c r="I818" s="386">
        <f t="shared" si="18"/>
        <v>126694150</v>
      </c>
      <c r="J818" s="203" t="s">
        <v>1524</v>
      </c>
    </row>
    <row r="819" spans="1:10" hidden="1" outlineLevel="1">
      <c r="A819" s="425" t="s">
        <v>1525</v>
      </c>
      <c r="B819" s="210">
        <v>40582774</v>
      </c>
      <c r="C819" s="211">
        <v>0</v>
      </c>
      <c r="D819" s="211">
        <v>0</v>
      </c>
      <c r="E819" s="211">
        <v>0</v>
      </c>
      <c r="F819" s="211">
        <v>0</v>
      </c>
      <c r="G819" s="211">
        <v>0</v>
      </c>
      <c r="H819" s="211">
        <v>0</v>
      </c>
      <c r="I819" s="386">
        <f t="shared" si="18"/>
        <v>40582774</v>
      </c>
      <c r="J819" s="203" t="s">
        <v>1526</v>
      </c>
    </row>
    <row r="820" spans="1:10" hidden="1" outlineLevel="1">
      <c r="A820" s="425" t="s">
        <v>1527</v>
      </c>
      <c r="B820" s="210">
        <v>53669452</v>
      </c>
      <c r="C820" s="211">
        <v>0</v>
      </c>
      <c r="D820" s="211">
        <v>0</v>
      </c>
      <c r="E820" s="211">
        <v>0</v>
      </c>
      <c r="F820" s="211">
        <v>0</v>
      </c>
      <c r="G820" s="211">
        <v>0</v>
      </c>
      <c r="H820" s="211">
        <v>0</v>
      </c>
      <c r="I820" s="386">
        <f t="shared" si="18"/>
        <v>53669452</v>
      </c>
      <c r="J820" s="203" t="s">
        <v>1528</v>
      </c>
    </row>
    <row r="821" spans="1:10" hidden="1" outlineLevel="1">
      <c r="A821" s="425" t="s">
        <v>1529</v>
      </c>
      <c r="B821" s="210">
        <v>196458423</v>
      </c>
      <c r="C821" s="211">
        <v>0</v>
      </c>
      <c r="D821" s="211">
        <v>0</v>
      </c>
      <c r="E821" s="211">
        <v>0</v>
      </c>
      <c r="F821" s="211">
        <v>0</v>
      </c>
      <c r="G821" s="211">
        <v>0</v>
      </c>
      <c r="H821" s="211">
        <v>0</v>
      </c>
      <c r="I821" s="386">
        <f t="shared" si="18"/>
        <v>196458423</v>
      </c>
      <c r="J821" s="203" t="s">
        <v>1530</v>
      </c>
    </row>
    <row r="822" spans="1:10" hidden="1" outlineLevel="1">
      <c r="A822" s="425" t="s">
        <v>1531</v>
      </c>
      <c r="B822" s="210">
        <v>17507009</v>
      </c>
      <c r="C822" s="211">
        <v>0</v>
      </c>
      <c r="D822" s="211">
        <v>0</v>
      </c>
      <c r="E822" s="211">
        <v>0</v>
      </c>
      <c r="F822" s="211">
        <v>0</v>
      </c>
      <c r="G822" s="211">
        <v>0</v>
      </c>
      <c r="H822" s="211">
        <v>0</v>
      </c>
      <c r="I822" s="386">
        <f t="shared" si="18"/>
        <v>17507009</v>
      </c>
      <c r="J822" s="203" t="s">
        <v>1532</v>
      </c>
    </row>
    <row r="823" spans="1:10" hidden="1" outlineLevel="1">
      <c r="A823" s="425" t="s">
        <v>1533</v>
      </c>
      <c r="B823" s="210">
        <v>924268549</v>
      </c>
      <c r="C823" s="211">
        <v>0</v>
      </c>
      <c r="D823" s="211">
        <v>0</v>
      </c>
      <c r="E823" s="211">
        <v>0</v>
      </c>
      <c r="F823" s="211">
        <v>0</v>
      </c>
      <c r="G823" s="211">
        <v>0</v>
      </c>
      <c r="H823" s="211">
        <v>0</v>
      </c>
      <c r="I823" s="386">
        <f t="shared" si="18"/>
        <v>924268549</v>
      </c>
      <c r="J823" s="203" t="s">
        <v>1534</v>
      </c>
    </row>
    <row r="824" spans="1:10" hidden="1" outlineLevel="1">
      <c r="A824" s="425" t="s">
        <v>1957</v>
      </c>
      <c r="B824" s="210">
        <v>51655896</v>
      </c>
      <c r="C824" s="211">
        <v>0</v>
      </c>
      <c r="D824" s="211">
        <v>0</v>
      </c>
      <c r="E824" s="211">
        <v>0</v>
      </c>
      <c r="F824" s="211">
        <v>0</v>
      </c>
      <c r="G824" s="211">
        <v>0</v>
      </c>
      <c r="H824" s="211">
        <v>0</v>
      </c>
      <c r="I824" s="386">
        <f t="shared" si="18"/>
        <v>51655896</v>
      </c>
      <c r="J824" s="203" t="s">
        <v>1958</v>
      </c>
    </row>
    <row r="825" spans="1:10" hidden="1" outlineLevel="1">
      <c r="A825" s="425" t="s">
        <v>1959</v>
      </c>
      <c r="B825" s="210">
        <v>48938230</v>
      </c>
      <c r="C825" s="211">
        <v>0</v>
      </c>
      <c r="D825" s="211">
        <v>0</v>
      </c>
      <c r="E825" s="211">
        <v>0</v>
      </c>
      <c r="F825" s="211">
        <v>0</v>
      </c>
      <c r="G825" s="211">
        <v>0</v>
      </c>
      <c r="H825" s="211">
        <v>0</v>
      </c>
      <c r="I825" s="386">
        <f t="shared" si="18"/>
        <v>48938230</v>
      </c>
      <c r="J825" s="203" t="s">
        <v>1960</v>
      </c>
    </row>
    <row r="826" spans="1:10" hidden="1" outlineLevel="1">
      <c r="A826" s="425" t="s">
        <v>1961</v>
      </c>
      <c r="B826" s="210">
        <v>23486416</v>
      </c>
      <c r="C826" s="211">
        <v>0</v>
      </c>
      <c r="D826" s="211">
        <v>0</v>
      </c>
      <c r="E826" s="211">
        <v>0</v>
      </c>
      <c r="F826" s="211">
        <v>0</v>
      </c>
      <c r="G826" s="211">
        <v>0</v>
      </c>
      <c r="H826" s="211">
        <v>0</v>
      </c>
      <c r="I826" s="386">
        <f t="shared" si="18"/>
        <v>23486416</v>
      </c>
      <c r="J826" s="203" t="s">
        <v>1962</v>
      </c>
    </row>
    <row r="827" spans="1:10" hidden="1" outlineLevel="1">
      <c r="A827" s="425" t="s">
        <v>1535</v>
      </c>
      <c r="B827" s="210">
        <v>10819072</v>
      </c>
      <c r="C827" s="211">
        <v>0</v>
      </c>
      <c r="D827" s="211">
        <v>0</v>
      </c>
      <c r="E827" s="211">
        <v>0</v>
      </c>
      <c r="F827" s="211">
        <v>0</v>
      </c>
      <c r="G827" s="211">
        <v>0</v>
      </c>
      <c r="H827" s="211">
        <v>0</v>
      </c>
      <c r="I827" s="386">
        <f t="shared" si="18"/>
        <v>10819072</v>
      </c>
      <c r="J827" s="203" t="s">
        <v>1536</v>
      </c>
    </row>
    <row r="828" spans="1:10" hidden="1" outlineLevel="1">
      <c r="A828" s="425" t="s">
        <v>1537</v>
      </c>
      <c r="B828" s="210">
        <v>43828330</v>
      </c>
      <c r="C828" s="211">
        <v>0</v>
      </c>
      <c r="D828" s="211">
        <v>0</v>
      </c>
      <c r="E828" s="211">
        <v>0</v>
      </c>
      <c r="F828" s="211">
        <v>0</v>
      </c>
      <c r="G828" s="211">
        <v>0</v>
      </c>
      <c r="H828" s="211">
        <v>0</v>
      </c>
      <c r="I828" s="386">
        <f t="shared" si="18"/>
        <v>43828330</v>
      </c>
      <c r="J828" s="203" t="s">
        <v>1538</v>
      </c>
    </row>
    <row r="829" spans="1:10" hidden="1" outlineLevel="1">
      <c r="A829" s="425" t="s">
        <v>1539</v>
      </c>
      <c r="B829" s="210">
        <v>26599665</v>
      </c>
      <c r="C829" s="211">
        <v>0</v>
      </c>
      <c r="D829" s="211">
        <v>0</v>
      </c>
      <c r="E829" s="211">
        <v>0</v>
      </c>
      <c r="F829" s="211">
        <v>0</v>
      </c>
      <c r="G829" s="211">
        <v>0</v>
      </c>
      <c r="H829" s="211">
        <v>0</v>
      </c>
      <c r="I829" s="386">
        <f t="shared" si="18"/>
        <v>26599665</v>
      </c>
      <c r="J829" s="203" t="s">
        <v>1540</v>
      </c>
    </row>
    <row r="830" spans="1:10" hidden="1" outlineLevel="1">
      <c r="A830" s="425" t="s">
        <v>1541</v>
      </c>
      <c r="B830" s="210">
        <v>50916391</v>
      </c>
      <c r="C830" s="211">
        <v>0</v>
      </c>
      <c r="D830" s="211">
        <v>0</v>
      </c>
      <c r="E830" s="211">
        <v>0</v>
      </c>
      <c r="F830" s="211">
        <v>0</v>
      </c>
      <c r="G830" s="211">
        <v>0</v>
      </c>
      <c r="H830" s="211">
        <v>0</v>
      </c>
      <c r="I830" s="386">
        <f t="shared" si="18"/>
        <v>50916391</v>
      </c>
      <c r="J830" s="203" t="s">
        <v>1542</v>
      </c>
    </row>
    <row r="831" spans="1:10" hidden="1" outlineLevel="1">
      <c r="A831" s="425" t="s">
        <v>1543</v>
      </c>
      <c r="B831" s="210">
        <v>22633807</v>
      </c>
      <c r="C831" s="211">
        <v>0</v>
      </c>
      <c r="D831" s="211">
        <v>0</v>
      </c>
      <c r="E831" s="211">
        <v>0</v>
      </c>
      <c r="F831" s="211">
        <v>0</v>
      </c>
      <c r="G831" s="211">
        <v>0</v>
      </c>
      <c r="H831" s="211">
        <v>0</v>
      </c>
      <c r="I831" s="386">
        <f t="shared" si="18"/>
        <v>22633807</v>
      </c>
      <c r="J831" s="203" t="s">
        <v>1544</v>
      </c>
    </row>
    <row r="832" spans="1:10" hidden="1" outlineLevel="1">
      <c r="A832" s="425" t="s">
        <v>1545</v>
      </c>
      <c r="B832" s="210">
        <v>19060914</v>
      </c>
      <c r="C832" s="211">
        <v>0</v>
      </c>
      <c r="D832" s="211">
        <v>0</v>
      </c>
      <c r="E832" s="211">
        <v>0</v>
      </c>
      <c r="F832" s="211">
        <v>0</v>
      </c>
      <c r="G832" s="211">
        <v>0</v>
      </c>
      <c r="H832" s="211">
        <v>0</v>
      </c>
      <c r="I832" s="386">
        <f t="shared" si="18"/>
        <v>19060914</v>
      </c>
      <c r="J832" s="203" t="s">
        <v>1546</v>
      </c>
    </row>
    <row r="833" spans="1:10" hidden="1" outlineLevel="1">
      <c r="A833" s="425" t="s">
        <v>86</v>
      </c>
      <c r="B833" s="210">
        <v>41351682</v>
      </c>
      <c r="C833" s="211">
        <v>0</v>
      </c>
      <c r="D833" s="211">
        <v>0</v>
      </c>
      <c r="E833" s="211">
        <v>0</v>
      </c>
      <c r="F833" s="211">
        <v>0</v>
      </c>
      <c r="G833" s="211">
        <v>0</v>
      </c>
      <c r="H833" s="211">
        <v>0</v>
      </c>
      <c r="I833" s="386">
        <f t="shared" si="18"/>
        <v>41351682</v>
      </c>
      <c r="J833" s="203" t="s">
        <v>87</v>
      </c>
    </row>
    <row r="834" spans="1:10" hidden="1" outlineLevel="1">
      <c r="A834" s="425" t="s">
        <v>398</v>
      </c>
      <c r="B834" s="210">
        <v>7234078</v>
      </c>
      <c r="C834" s="211">
        <v>0</v>
      </c>
      <c r="D834" s="211">
        <v>0</v>
      </c>
      <c r="E834" s="211">
        <v>0</v>
      </c>
      <c r="F834" s="211">
        <v>0</v>
      </c>
      <c r="G834" s="211">
        <v>0</v>
      </c>
      <c r="H834" s="211">
        <v>0</v>
      </c>
      <c r="I834" s="386">
        <f t="shared" si="18"/>
        <v>7234078</v>
      </c>
      <c r="J834" s="203" t="s">
        <v>399</v>
      </c>
    </row>
    <row r="835" spans="1:10" hidden="1" outlineLevel="1">
      <c r="A835" s="425" t="s">
        <v>1547</v>
      </c>
      <c r="B835" s="210">
        <v>4826400</v>
      </c>
      <c r="C835" s="211">
        <v>0</v>
      </c>
      <c r="D835" s="211">
        <v>0</v>
      </c>
      <c r="E835" s="211">
        <v>0</v>
      </c>
      <c r="F835" s="211">
        <v>0</v>
      </c>
      <c r="G835" s="211">
        <v>0</v>
      </c>
      <c r="H835" s="211">
        <v>0</v>
      </c>
      <c r="I835" s="386">
        <f t="shared" si="18"/>
        <v>4826400</v>
      </c>
      <c r="J835" s="203" t="s">
        <v>1548</v>
      </c>
    </row>
    <row r="836" spans="1:10" hidden="1" outlineLevel="1">
      <c r="A836" s="425" t="s">
        <v>1549</v>
      </c>
      <c r="B836" s="210">
        <v>25230810</v>
      </c>
      <c r="C836" s="211">
        <v>0</v>
      </c>
      <c r="D836" s="211">
        <v>0</v>
      </c>
      <c r="E836" s="211">
        <v>0</v>
      </c>
      <c r="F836" s="211">
        <v>0</v>
      </c>
      <c r="G836" s="211">
        <v>0</v>
      </c>
      <c r="H836" s="211">
        <v>0</v>
      </c>
      <c r="I836" s="386">
        <f t="shared" si="18"/>
        <v>25230810</v>
      </c>
      <c r="J836" s="203" t="s">
        <v>1550</v>
      </c>
    </row>
    <row r="837" spans="1:10" hidden="1" outlineLevel="1">
      <c r="A837" s="425" t="s">
        <v>1963</v>
      </c>
      <c r="B837" s="210">
        <v>1701090</v>
      </c>
      <c r="C837" s="211">
        <v>0</v>
      </c>
      <c r="D837" s="211">
        <v>0</v>
      </c>
      <c r="E837" s="211">
        <v>0</v>
      </c>
      <c r="F837" s="211">
        <v>0</v>
      </c>
      <c r="G837" s="211">
        <v>0</v>
      </c>
      <c r="H837" s="211">
        <v>0</v>
      </c>
      <c r="I837" s="386">
        <f t="shared" si="18"/>
        <v>1701090</v>
      </c>
      <c r="J837" s="203" t="s">
        <v>1964</v>
      </c>
    </row>
    <row r="838" spans="1:10" hidden="1" outlineLevel="1">
      <c r="A838" s="425" t="s">
        <v>1551</v>
      </c>
      <c r="B838" s="210">
        <v>173852706</v>
      </c>
      <c r="C838" s="211">
        <v>0</v>
      </c>
      <c r="D838" s="211">
        <v>0</v>
      </c>
      <c r="E838" s="211">
        <v>0</v>
      </c>
      <c r="F838" s="211">
        <v>0</v>
      </c>
      <c r="G838" s="211">
        <v>0</v>
      </c>
      <c r="H838" s="211">
        <v>0</v>
      </c>
      <c r="I838" s="386">
        <f t="shared" si="18"/>
        <v>173852706</v>
      </c>
      <c r="J838" s="203" t="s">
        <v>1552</v>
      </c>
    </row>
    <row r="839" spans="1:10" hidden="1" outlineLevel="1">
      <c r="A839" s="425" t="s">
        <v>1965</v>
      </c>
      <c r="B839" s="210">
        <v>1376030</v>
      </c>
      <c r="C839" s="211">
        <v>0</v>
      </c>
      <c r="D839" s="211">
        <v>0</v>
      </c>
      <c r="E839" s="211">
        <v>0</v>
      </c>
      <c r="F839" s="211">
        <v>0</v>
      </c>
      <c r="G839" s="211">
        <v>0</v>
      </c>
      <c r="H839" s="211">
        <v>0</v>
      </c>
      <c r="I839" s="386">
        <f t="shared" si="18"/>
        <v>1376030</v>
      </c>
      <c r="J839" s="203" t="s">
        <v>1966</v>
      </c>
    </row>
    <row r="840" spans="1:10" hidden="1" outlineLevel="1">
      <c r="A840" s="425" t="s">
        <v>1967</v>
      </c>
      <c r="B840" s="210">
        <v>2132576</v>
      </c>
      <c r="C840" s="211">
        <v>0</v>
      </c>
      <c r="D840" s="211">
        <v>0</v>
      </c>
      <c r="E840" s="211">
        <v>0</v>
      </c>
      <c r="F840" s="211">
        <v>0</v>
      </c>
      <c r="G840" s="211">
        <v>0</v>
      </c>
      <c r="H840" s="211">
        <v>0</v>
      </c>
      <c r="I840" s="386">
        <f t="shared" si="18"/>
        <v>2132576</v>
      </c>
      <c r="J840" s="203" t="s">
        <v>1968</v>
      </c>
    </row>
    <row r="841" spans="1:10" hidden="1" outlineLevel="1">
      <c r="A841" s="425" t="s">
        <v>1553</v>
      </c>
      <c r="B841" s="210">
        <v>108707777</v>
      </c>
      <c r="C841" s="211">
        <v>0</v>
      </c>
      <c r="D841" s="211">
        <v>0</v>
      </c>
      <c r="E841" s="211">
        <v>0</v>
      </c>
      <c r="F841" s="211">
        <v>0</v>
      </c>
      <c r="G841" s="211">
        <v>0</v>
      </c>
      <c r="H841" s="211">
        <v>0</v>
      </c>
      <c r="I841" s="386">
        <f t="shared" si="18"/>
        <v>108707777</v>
      </c>
      <c r="J841" s="203" t="s">
        <v>1554</v>
      </c>
    </row>
    <row r="842" spans="1:10" hidden="1" outlineLevel="1">
      <c r="A842" s="425" t="s">
        <v>1555</v>
      </c>
      <c r="B842" s="210">
        <v>5520226</v>
      </c>
      <c r="C842" s="211">
        <v>0</v>
      </c>
      <c r="D842" s="211">
        <v>0</v>
      </c>
      <c r="E842" s="211">
        <v>0</v>
      </c>
      <c r="F842" s="211">
        <v>0</v>
      </c>
      <c r="G842" s="211">
        <v>0</v>
      </c>
      <c r="H842" s="211">
        <v>0</v>
      </c>
      <c r="I842" s="386">
        <f t="shared" si="18"/>
        <v>5520226</v>
      </c>
      <c r="J842" s="203" t="s">
        <v>1556</v>
      </c>
    </row>
    <row r="843" spans="1:10" hidden="1" outlineLevel="1">
      <c r="A843" s="425" t="s">
        <v>1557</v>
      </c>
      <c r="B843" s="210">
        <v>1273844</v>
      </c>
      <c r="C843" s="211">
        <v>0</v>
      </c>
      <c r="D843" s="211">
        <v>0</v>
      </c>
      <c r="E843" s="211">
        <v>0</v>
      </c>
      <c r="F843" s="211">
        <v>0</v>
      </c>
      <c r="G843" s="211">
        <v>0</v>
      </c>
      <c r="H843" s="211">
        <v>0</v>
      </c>
      <c r="I843" s="386">
        <f t="shared" si="18"/>
        <v>1273844</v>
      </c>
      <c r="J843" s="203" t="s">
        <v>1558</v>
      </c>
    </row>
    <row r="844" spans="1:10" hidden="1" outlineLevel="1">
      <c r="A844" s="425" t="s">
        <v>585</v>
      </c>
      <c r="B844" s="210">
        <v>410439</v>
      </c>
      <c r="C844" s="211">
        <v>0</v>
      </c>
      <c r="D844" s="211">
        <v>0</v>
      </c>
      <c r="E844" s="211">
        <v>0</v>
      </c>
      <c r="F844" s="211">
        <v>0</v>
      </c>
      <c r="G844" s="211">
        <v>0</v>
      </c>
      <c r="H844" s="211">
        <v>0</v>
      </c>
      <c r="I844" s="386">
        <f t="shared" si="18"/>
        <v>410439</v>
      </c>
      <c r="J844" s="203" t="s">
        <v>1969</v>
      </c>
    </row>
    <row r="845" spans="1:10" hidden="1" outlineLevel="1">
      <c r="A845" s="425" t="s">
        <v>1559</v>
      </c>
      <c r="B845" s="210">
        <v>1549112213</v>
      </c>
      <c r="C845" s="211">
        <v>0</v>
      </c>
      <c r="D845" s="211">
        <v>0</v>
      </c>
      <c r="E845" s="211">
        <v>0</v>
      </c>
      <c r="F845" s="211">
        <v>0</v>
      </c>
      <c r="G845" s="211">
        <v>0</v>
      </c>
      <c r="H845" s="211">
        <v>0</v>
      </c>
      <c r="I845" s="386">
        <f t="shared" si="18"/>
        <v>1549112213</v>
      </c>
      <c r="J845" s="203" t="s">
        <v>1560</v>
      </c>
    </row>
    <row r="846" spans="1:10" hidden="1" outlineLevel="1">
      <c r="A846" s="425" t="s">
        <v>1561</v>
      </c>
      <c r="B846" s="210">
        <v>1678464281</v>
      </c>
      <c r="C846" s="211">
        <v>0</v>
      </c>
      <c r="D846" s="211">
        <v>0</v>
      </c>
      <c r="E846" s="211">
        <v>0</v>
      </c>
      <c r="F846" s="211">
        <v>0</v>
      </c>
      <c r="G846" s="211">
        <v>0</v>
      </c>
      <c r="H846" s="211">
        <v>0</v>
      </c>
      <c r="I846" s="386">
        <f t="shared" si="18"/>
        <v>1678464281</v>
      </c>
      <c r="J846" s="203" t="s">
        <v>1562</v>
      </c>
    </row>
    <row r="847" spans="1:10" hidden="1" outlineLevel="1">
      <c r="A847" s="425" t="s">
        <v>1413</v>
      </c>
      <c r="B847" s="210">
        <v>176056817</v>
      </c>
      <c r="C847" s="211">
        <v>0</v>
      </c>
      <c r="D847" s="211">
        <v>0</v>
      </c>
      <c r="E847" s="211">
        <v>0</v>
      </c>
      <c r="F847" s="211">
        <v>0</v>
      </c>
      <c r="G847" s="211">
        <v>0</v>
      </c>
      <c r="H847" s="211">
        <v>0</v>
      </c>
      <c r="I847" s="386">
        <f t="shared" si="18"/>
        <v>176056817</v>
      </c>
      <c r="J847" s="203" t="s">
        <v>1414</v>
      </c>
    </row>
    <row r="848" spans="1:10" hidden="1" outlineLevel="1">
      <c r="A848" s="425" t="s">
        <v>1563</v>
      </c>
      <c r="B848" s="210">
        <v>30128801</v>
      </c>
      <c r="C848" s="211">
        <v>0</v>
      </c>
      <c r="D848" s="211">
        <v>0</v>
      </c>
      <c r="E848" s="211">
        <v>0</v>
      </c>
      <c r="F848" s="211">
        <v>0</v>
      </c>
      <c r="G848" s="211">
        <v>0</v>
      </c>
      <c r="H848" s="211">
        <v>0</v>
      </c>
      <c r="I848" s="386">
        <f t="shared" si="18"/>
        <v>30128801</v>
      </c>
      <c r="J848" s="203" t="s">
        <v>1564</v>
      </c>
    </row>
    <row r="849" spans="1:10" hidden="1" outlineLevel="1">
      <c r="A849" s="425" t="s">
        <v>613</v>
      </c>
      <c r="B849" s="210">
        <v>16009907803</v>
      </c>
      <c r="C849" s="211">
        <v>0</v>
      </c>
      <c r="D849" s="211">
        <v>0</v>
      </c>
      <c r="E849" s="211">
        <v>0</v>
      </c>
      <c r="F849" s="211">
        <v>10340906</v>
      </c>
      <c r="G849" s="211">
        <v>0</v>
      </c>
      <c r="H849" s="211">
        <v>0</v>
      </c>
      <c r="I849" s="386">
        <f t="shared" si="18"/>
        <v>16020248709</v>
      </c>
      <c r="J849" s="203" t="s">
        <v>614</v>
      </c>
    </row>
    <row r="850" spans="1:10" hidden="1" outlineLevel="1">
      <c r="A850" s="425" t="s">
        <v>1565</v>
      </c>
      <c r="B850" s="210">
        <v>85516437</v>
      </c>
      <c r="C850" s="211">
        <v>0</v>
      </c>
      <c r="D850" s="211">
        <v>0</v>
      </c>
      <c r="E850" s="211">
        <v>0</v>
      </c>
      <c r="F850" s="211">
        <v>0</v>
      </c>
      <c r="G850" s="211">
        <v>0</v>
      </c>
      <c r="H850" s="211">
        <v>0</v>
      </c>
      <c r="I850" s="386">
        <f t="shared" si="18"/>
        <v>85516437</v>
      </c>
      <c r="J850" s="203" t="s">
        <v>1566</v>
      </c>
    </row>
    <row r="851" spans="1:10" hidden="1" outlineLevel="1">
      <c r="A851" s="425" t="s">
        <v>1567</v>
      </c>
      <c r="B851" s="210">
        <v>111135905</v>
      </c>
      <c r="C851" s="211">
        <v>0</v>
      </c>
      <c r="D851" s="211">
        <v>0</v>
      </c>
      <c r="E851" s="211">
        <v>0</v>
      </c>
      <c r="F851" s="211">
        <v>0</v>
      </c>
      <c r="G851" s="211">
        <v>0</v>
      </c>
      <c r="H851" s="211">
        <v>0</v>
      </c>
      <c r="I851" s="386">
        <f t="shared" si="18"/>
        <v>111135905</v>
      </c>
      <c r="J851" s="203" t="s">
        <v>1568</v>
      </c>
    </row>
    <row r="852" spans="1:10" hidden="1" outlineLevel="1">
      <c r="A852" s="425" t="s">
        <v>1569</v>
      </c>
      <c r="B852" s="210">
        <v>1871982854</v>
      </c>
      <c r="C852" s="211">
        <v>0</v>
      </c>
      <c r="D852" s="211">
        <v>0</v>
      </c>
      <c r="E852" s="211">
        <v>0</v>
      </c>
      <c r="F852" s="211">
        <v>0</v>
      </c>
      <c r="G852" s="211">
        <v>0</v>
      </c>
      <c r="H852" s="211">
        <v>0</v>
      </c>
      <c r="I852" s="386">
        <f t="shared" si="18"/>
        <v>1871982854</v>
      </c>
      <c r="J852" s="203" t="s">
        <v>1570</v>
      </c>
    </row>
    <row r="853" spans="1:10" hidden="1" outlineLevel="1">
      <c r="A853" s="425" t="s">
        <v>1571</v>
      </c>
      <c r="B853" s="210">
        <v>616460549</v>
      </c>
      <c r="C853" s="211">
        <v>0</v>
      </c>
      <c r="D853" s="211">
        <v>0</v>
      </c>
      <c r="E853" s="211">
        <v>0</v>
      </c>
      <c r="F853" s="211">
        <v>0</v>
      </c>
      <c r="G853" s="211">
        <v>0</v>
      </c>
      <c r="H853" s="211">
        <v>0</v>
      </c>
      <c r="I853" s="386">
        <f t="shared" si="18"/>
        <v>616460549</v>
      </c>
      <c r="J853" s="203" t="s">
        <v>1572</v>
      </c>
    </row>
    <row r="854" spans="1:10" hidden="1" outlineLevel="1">
      <c r="A854" s="425" t="s">
        <v>1573</v>
      </c>
      <c r="B854" s="210">
        <v>14724486</v>
      </c>
      <c r="C854" s="211">
        <v>0</v>
      </c>
      <c r="D854" s="211">
        <v>0</v>
      </c>
      <c r="E854" s="211">
        <v>0</v>
      </c>
      <c r="F854" s="211">
        <v>0</v>
      </c>
      <c r="G854" s="211">
        <v>0</v>
      </c>
      <c r="H854" s="211">
        <v>0</v>
      </c>
      <c r="I854" s="386">
        <f t="shared" si="18"/>
        <v>14724486</v>
      </c>
      <c r="J854" s="203" t="s">
        <v>1574</v>
      </c>
    </row>
    <row r="855" spans="1:10" hidden="1" outlineLevel="1">
      <c r="A855" s="425" t="s">
        <v>1970</v>
      </c>
      <c r="B855" s="210">
        <v>103029314</v>
      </c>
      <c r="C855" s="211">
        <v>0</v>
      </c>
      <c r="D855" s="211">
        <v>0</v>
      </c>
      <c r="E855" s="211">
        <v>0</v>
      </c>
      <c r="F855" s="211">
        <v>0</v>
      </c>
      <c r="G855" s="211">
        <v>0</v>
      </c>
      <c r="H855" s="211">
        <v>0</v>
      </c>
      <c r="I855" s="386">
        <f t="shared" si="18"/>
        <v>103029314</v>
      </c>
      <c r="J855" s="203" t="s">
        <v>1971</v>
      </c>
    </row>
    <row r="856" spans="1:10" hidden="1" outlineLevel="1">
      <c r="A856" s="425" t="s">
        <v>1575</v>
      </c>
      <c r="B856" s="210">
        <v>73221496</v>
      </c>
      <c r="C856" s="211">
        <v>0</v>
      </c>
      <c r="D856" s="211">
        <v>0</v>
      </c>
      <c r="E856" s="211">
        <v>0</v>
      </c>
      <c r="F856" s="211">
        <v>0</v>
      </c>
      <c r="G856" s="211">
        <v>0</v>
      </c>
      <c r="H856" s="211">
        <v>0</v>
      </c>
      <c r="I856" s="386">
        <f t="shared" si="18"/>
        <v>73221496</v>
      </c>
      <c r="J856" s="203" t="s">
        <v>1576</v>
      </c>
    </row>
    <row r="857" spans="1:10" hidden="1" outlineLevel="1">
      <c r="A857" s="425" t="s">
        <v>1577</v>
      </c>
      <c r="B857" s="210">
        <v>213773757</v>
      </c>
      <c r="C857" s="211">
        <v>0</v>
      </c>
      <c r="D857" s="211">
        <v>0</v>
      </c>
      <c r="E857" s="211">
        <v>0</v>
      </c>
      <c r="F857" s="211">
        <v>0</v>
      </c>
      <c r="G857" s="211">
        <v>0</v>
      </c>
      <c r="H857" s="211">
        <v>0</v>
      </c>
      <c r="I857" s="386">
        <f t="shared" si="18"/>
        <v>213773757</v>
      </c>
      <c r="J857" s="203" t="s">
        <v>1578</v>
      </c>
    </row>
    <row r="858" spans="1:10" hidden="1" outlineLevel="1">
      <c r="A858" s="425" t="s">
        <v>1579</v>
      </c>
      <c r="B858" s="210">
        <v>146490234</v>
      </c>
      <c r="C858" s="211">
        <v>0</v>
      </c>
      <c r="D858" s="211">
        <v>0</v>
      </c>
      <c r="E858" s="211">
        <v>0</v>
      </c>
      <c r="F858" s="211">
        <v>0</v>
      </c>
      <c r="G858" s="211">
        <v>0</v>
      </c>
      <c r="H858" s="211">
        <v>0</v>
      </c>
      <c r="I858" s="386">
        <f t="shared" si="18"/>
        <v>146490234</v>
      </c>
      <c r="J858" s="203" t="s">
        <v>1580</v>
      </c>
    </row>
    <row r="859" spans="1:10" hidden="1" outlineLevel="1">
      <c r="A859" s="425" t="s">
        <v>1581</v>
      </c>
      <c r="B859" s="210">
        <v>421073914</v>
      </c>
      <c r="C859" s="211">
        <v>0</v>
      </c>
      <c r="D859" s="211">
        <v>0</v>
      </c>
      <c r="E859" s="211">
        <v>0</v>
      </c>
      <c r="F859" s="211">
        <v>0</v>
      </c>
      <c r="G859" s="211">
        <v>0</v>
      </c>
      <c r="H859" s="211">
        <v>0</v>
      </c>
      <c r="I859" s="386">
        <f t="shared" si="18"/>
        <v>421073914</v>
      </c>
      <c r="J859" s="203" t="s">
        <v>1582</v>
      </c>
    </row>
    <row r="860" spans="1:10" hidden="1" outlineLevel="1">
      <c r="A860" s="425" t="s">
        <v>1583</v>
      </c>
      <c r="B860" s="210">
        <v>91603876</v>
      </c>
      <c r="C860" s="211">
        <v>0</v>
      </c>
      <c r="D860" s="211">
        <v>0</v>
      </c>
      <c r="E860" s="211">
        <v>0</v>
      </c>
      <c r="F860" s="211">
        <v>0</v>
      </c>
      <c r="G860" s="211">
        <v>0</v>
      </c>
      <c r="H860" s="211">
        <v>0</v>
      </c>
      <c r="I860" s="386">
        <f t="shared" si="18"/>
        <v>91603876</v>
      </c>
      <c r="J860" s="203" t="s">
        <v>1584</v>
      </c>
    </row>
    <row r="861" spans="1:10" hidden="1" outlineLevel="1">
      <c r="A861" s="425" t="s">
        <v>1585</v>
      </c>
      <c r="B861" s="210">
        <v>181124793</v>
      </c>
      <c r="C861" s="211">
        <v>0</v>
      </c>
      <c r="D861" s="211">
        <v>0</v>
      </c>
      <c r="E861" s="211">
        <v>0</v>
      </c>
      <c r="F861" s="211">
        <v>0</v>
      </c>
      <c r="G861" s="211">
        <v>0</v>
      </c>
      <c r="H861" s="211">
        <v>0</v>
      </c>
      <c r="I861" s="386">
        <f t="shared" si="18"/>
        <v>181124793</v>
      </c>
      <c r="J861" s="203" t="s">
        <v>1586</v>
      </c>
    </row>
    <row r="862" spans="1:10" hidden="1" outlineLevel="1">
      <c r="A862" s="425" t="s">
        <v>1587</v>
      </c>
      <c r="B862" s="210">
        <v>41405250</v>
      </c>
      <c r="C862" s="211">
        <v>0</v>
      </c>
      <c r="D862" s="211">
        <v>0</v>
      </c>
      <c r="E862" s="211">
        <v>0</v>
      </c>
      <c r="F862" s="211">
        <v>0</v>
      </c>
      <c r="G862" s="211">
        <v>0</v>
      </c>
      <c r="H862" s="211">
        <v>0</v>
      </c>
      <c r="I862" s="386">
        <f t="shared" ref="I862:I925" si="19">SUM(B862:H862)</f>
        <v>41405250</v>
      </c>
      <c r="J862" s="203" t="s">
        <v>1588</v>
      </c>
    </row>
    <row r="863" spans="1:10" hidden="1" outlineLevel="1">
      <c r="A863" s="425" t="s">
        <v>1589</v>
      </c>
      <c r="B863" s="210">
        <v>19751721</v>
      </c>
      <c r="C863" s="211">
        <v>0</v>
      </c>
      <c r="D863" s="211">
        <v>0</v>
      </c>
      <c r="E863" s="211">
        <v>0</v>
      </c>
      <c r="F863" s="211">
        <v>0</v>
      </c>
      <c r="G863" s="211">
        <v>0</v>
      </c>
      <c r="H863" s="211">
        <v>0</v>
      </c>
      <c r="I863" s="386">
        <f t="shared" si="19"/>
        <v>19751721</v>
      </c>
      <c r="J863" s="203" t="s">
        <v>1590</v>
      </c>
    </row>
    <row r="864" spans="1:10" hidden="1" outlineLevel="1">
      <c r="A864" s="425" t="s">
        <v>1591</v>
      </c>
      <c r="B864" s="210">
        <v>73936635</v>
      </c>
      <c r="C864" s="211">
        <v>0</v>
      </c>
      <c r="D864" s="211">
        <v>0</v>
      </c>
      <c r="E864" s="211">
        <v>0</v>
      </c>
      <c r="F864" s="211">
        <v>0</v>
      </c>
      <c r="G864" s="211">
        <v>0</v>
      </c>
      <c r="H864" s="211">
        <v>0</v>
      </c>
      <c r="I864" s="386">
        <f t="shared" si="19"/>
        <v>73936635</v>
      </c>
      <c r="J864" s="203" t="s">
        <v>1592</v>
      </c>
    </row>
    <row r="865" spans="1:10" hidden="1" outlineLevel="1">
      <c r="A865" s="425" t="s">
        <v>1593</v>
      </c>
      <c r="B865" s="210">
        <v>58414654</v>
      </c>
      <c r="C865" s="211">
        <v>0</v>
      </c>
      <c r="D865" s="211">
        <v>0</v>
      </c>
      <c r="E865" s="211">
        <v>0</v>
      </c>
      <c r="F865" s="211">
        <v>0</v>
      </c>
      <c r="G865" s="211">
        <v>0</v>
      </c>
      <c r="H865" s="211">
        <v>0</v>
      </c>
      <c r="I865" s="386">
        <f t="shared" si="19"/>
        <v>58414654</v>
      </c>
      <c r="J865" s="203" t="s">
        <v>1594</v>
      </c>
    </row>
    <row r="866" spans="1:10" hidden="1" outlineLevel="1">
      <c r="A866" s="425" t="s">
        <v>1595</v>
      </c>
      <c r="B866" s="210">
        <v>37049231</v>
      </c>
      <c r="C866" s="211">
        <v>0</v>
      </c>
      <c r="D866" s="211">
        <v>0</v>
      </c>
      <c r="E866" s="211">
        <v>0</v>
      </c>
      <c r="F866" s="211">
        <v>0</v>
      </c>
      <c r="G866" s="211">
        <v>0</v>
      </c>
      <c r="H866" s="211">
        <v>0</v>
      </c>
      <c r="I866" s="386">
        <f t="shared" si="19"/>
        <v>37049231</v>
      </c>
      <c r="J866" s="203" t="s">
        <v>1596</v>
      </c>
    </row>
    <row r="867" spans="1:10" hidden="1" outlineLevel="1">
      <c r="A867" s="425" t="s">
        <v>1597</v>
      </c>
      <c r="B867" s="210">
        <v>218454060</v>
      </c>
      <c r="C867" s="211">
        <v>0</v>
      </c>
      <c r="D867" s="211">
        <v>0</v>
      </c>
      <c r="E867" s="211">
        <v>0</v>
      </c>
      <c r="F867" s="211">
        <v>0</v>
      </c>
      <c r="G867" s="211">
        <v>0</v>
      </c>
      <c r="H867" s="211">
        <v>0</v>
      </c>
      <c r="I867" s="386">
        <f t="shared" si="19"/>
        <v>218454060</v>
      </c>
      <c r="J867" s="203" t="s">
        <v>1598</v>
      </c>
    </row>
    <row r="868" spans="1:10" hidden="1" outlineLevel="1">
      <c r="A868" s="425" t="s">
        <v>1599</v>
      </c>
      <c r="B868" s="210">
        <v>130304078</v>
      </c>
      <c r="C868" s="211">
        <v>0</v>
      </c>
      <c r="D868" s="211">
        <v>0</v>
      </c>
      <c r="E868" s="211">
        <v>0</v>
      </c>
      <c r="F868" s="211">
        <v>0</v>
      </c>
      <c r="G868" s="211">
        <v>0</v>
      </c>
      <c r="H868" s="211">
        <v>0</v>
      </c>
      <c r="I868" s="386">
        <f t="shared" si="19"/>
        <v>130304078</v>
      </c>
      <c r="J868" s="203" t="s">
        <v>1600</v>
      </c>
    </row>
    <row r="869" spans="1:10" hidden="1" outlineLevel="1">
      <c r="A869" s="425" t="s">
        <v>1601</v>
      </c>
      <c r="B869" s="210">
        <v>196075373</v>
      </c>
      <c r="C869" s="211">
        <v>0</v>
      </c>
      <c r="D869" s="211">
        <v>0</v>
      </c>
      <c r="E869" s="211">
        <v>0</v>
      </c>
      <c r="F869" s="211">
        <v>0</v>
      </c>
      <c r="G869" s="211">
        <v>0</v>
      </c>
      <c r="H869" s="211">
        <v>0</v>
      </c>
      <c r="I869" s="386">
        <f t="shared" si="19"/>
        <v>196075373</v>
      </c>
      <c r="J869" s="203" t="s">
        <v>1602</v>
      </c>
    </row>
    <row r="870" spans="1:10" hidden="1" outlineLevel="1">
      <c r="A870" s="425" t="s">
        <v>1603</v>
      </c>
      <c r="B870" s="210">
        <v>135979488</v>
      </c>
      <c r="C870" s="211">
        <v>0</v>
      </c>
      <c r="D870" s="211">
        <v>0</v>
      </c>
      <c r="E870" s="211">
        <v>0</v>
      </c>
      <c r="F870" s="211">
        <v>0</v>
      </c>
      <c r="G870" s="211">
        <v>0</v>
      </c>
      <c r="H870" s="211">
        <v>0</v>
      </c>
      <c r="I870" s="386">
        <f t="shared" si="19"/>
        <v>135979488</v>
      </c>
      <c r="J870" s="203" t="s">
        <v>1604</v>
      </c>
    </row>
    <row r="871" spans="1:10" hidden="1" outlineLevel="1">
      <c r="A871" s="425" t="s">
        <v>1605</v>
      </c>
      <c r="B871" s="210">
        <v>53652564</v>
      </c>
      <c r="C871" s="211">
        <v>0</v>
      </c>
      <c r="D871" s="211">
        <v>0</v>
      </c>
      <c r="E871" s="211">
        <v>0</v>
      </c>
      <c r="F871" s="211">
        <v>0</v>
      </c>
      <c r="G871" s="211">
        <v>0</v>
      </c>
      <c r="H871" s="211">
        <v>0</v>
      </c>
      <c r="I871" s="386">
        <f t="shared" si="19"/>
        <v>53652564</v>
      </c>
      <c r="J871" s="203" t="s">
        <v>1606</v>
      </c>
    </row>
    <row r="872" spans="1:10" hidden="1" outlineLevel="1">
      <c r="A872" s="425" t="s">
        <v>1607</v>
      </c>
      <c r="B872" s="210">
        <v>203093381</v>
      </c>
      <c r="C872" s="211">
        <v>0</v>
      </c>
      <c r="D872" s="211">
        <v>0</v>
      </c>
      <c r="E872" s="211">
        <v>0</v>
      </c>
      <c r="F872" s="211">
        <v>0</v>
      </c>
      <c r="G872" s="211">
        <v>0</v>
      </c>
      <c r="H872" s="211">
        <v>0</v>
      </c>
      <c r="I872" s="386">
        <f t="shared" si="19"/>
        <v>203093381</v>
      </c>
      <c r="J872" s="203" t="s">
        <v>1608</v>
      </c>
    </row>
    <row r="873" spans="1:10" hidden="1" outlineLevel="1">
      <c r="A873" s="425" t="s">
        <v>1609</v>
      </c>
      <c r="B873" s="210">
        <v>216313439</v>
      </c>
      <c r="C873" s="211">
        <v>0</v>
      </c>
      <c r="D873" s="211">
        <v>0</v>
      </c>
      <c r="E873" s="211">
        <v>0</v>
      </c>
      <c r="F873" s="211">
        <v>0</v>
      </c>
      <c r="G873" s="211">
        <v>0</v>
      </c>
      <c r="H873" s="211">
        <v>0</v>
      </c>
      <c r="I873" s="386">
        <f t="shared" si="19"/>
        <v>216313439</v>
      </c>
      <c r="J873" s="203" t="s">
        <v>1610</v>
      </c>
    </row>
    <row r="874" spans="1:10" hidden="1" outlineLevel="1">
      <c r="A874" s="425" t="s">
        <v>1611</v>
      </c>
      <c r="B874" s="210">
        <v>140031298</v>
      </c>
      <c r="C874" s="211">
        <v>0</v>
      </c>
      <c r="D874" s="211">
        <v>0</v>
      </c>
      <c r="E874" s="211">
        <v>0</v>
      </c>
      <c r="F874" s="211">
        <v>0</v>
      </c>
      <c r="G874" s="211">
        <v>0</v>
      </c>
      <c r="H874" s="211">
        <v>0</v>
      </c>
      <c r="I874" s="386">
        <f t="shared" si="19"/>
        <v>140031298</v>
      </c>
      <c r="J874" s="203" t="s">
        <v>1612</v>
      </c>
    </row>
    <row r="875" spans="1:10" hidden="1" outlineLevel="1">
      <c r="A875" s="425" t="s">
        <v>1613</v>
      </c>
      <c r="B875" s="210">
        <v>55768869</v>
      </c>
      <c r="C875" s="211">
        <v>0</v>
      </c>
      <c r="D875" s="211">
        <v>0</v>
      </c>
      <c r="E875" s="211">
        <v>0</v>
      </c>
      <c r="F875" s="211">
        <v>0</v>
      </c>
      <c r="G875" s="211">
        <v>0</v>
      </c>
      <c r="H875" s="211">
        <v>0</v>
      </c>
      <c r="I875" s="386">
        <f t="shared" si="19"/>
        <v>55768869</v>
      </c>
      <c r="J875" s="203" t="s">
        <v>1614</v>
      </c>
    </row>
    <row r="876" spans="1:10" hidden="1" outlineLevel="1">
      <c r="A876" s="425" t="s">
        <v>1615</v>
      </c>
      <c r="B876" s="210">
        <v>110620941</v>
      </c>
      <c r="C876" s="211">
        <v>0</v>
      </c>
      <c r="D876" s="211">
        <v>0</v>
      </c>
      <c r="E876" s="211">
        <v>0</v>
      </c>
      <c r="F876" s="211">
        <v>0</v>
      </c>
      <c r="G876" s="211">
        <v>0</v>
      </c>
      <c r="H876" s="211">
        <v>0</v>
      </c>
      <c r="I876" s="386">
        <f t="shared" si="19"/>
        <v>110620941</v>
      </c>
      <c r="J876" s="203" t="s">
        <v>1616</v>
      </c>
    </row>
    <row r="877" spans="1:10" hidden="1" outlineLevel="1">
      <c r="A877" s="425" t="s">
        <v>1617</v>
      </c>
      <c r="B877" s="210">
        <v>33647770</v>
      </c>
      <c r="C877" s="211">
        <v>0</v>
      </c>
      <c r="D877" s="211">
        <v>0</v>
      </c>
      <c r="E877" s="211">
        <v>0</v>
      </c>
      <c r="F877" s="211">
        <v>0</v>
      </c>
      <c r="G877" s="211">
        <v>0</v>
      </c>
      <c r="H877" s="211">
        <v>0</v>
      </c>
      <c r="I877" s="386">
        <f t="shared" si="19"/>
        <v>33647770</v>
      </c>
      <c r="J877" s="203" t="s">
        <v>1618</v>
      </c>
    </row>
    <row r="878" spans="1:10" hidden="1" outlineLevel="1">
      <c r="A878" s="425" t="s">
        <v>1619</v>
      </c>
      <c r="B878" s="210">
        <v>162257542</v>
      </c>
      <c r="C878" s="211">
        <v>0</v>
      </c>
      <c r="D878" s="211">
        <v>0</v>
      </c>
      <c r="E878" s="211">
        <v>0</v>
      </c>
      <c r="F878" s="211">
        <v>533103</v>
      </c>
      <c r="G878" s="211">
        <v>0</v>
      </c>
      <c r="H878" s="211">
        <v>0</v>
      </c>
      <c r="I878" s="386">
        <f t="shared" si="19"/>
        <v>162790645</v>
      </c>
      <c r="J878" s="203" t="s">
        <v>1620</v>
      </c>
    </row>
    <row r="879" spans="1:10" hidden="1" outlineLevel="1">
      <c r="A879" s="425" t="s">
        <v>1621</v>
      </c>
      <c r="B879" s="210">
        <v>126830342</v>
      </c>
      <c r="C879" s="211">
        <v>0</v>
      </c>
      <c r="D879" s="211">
        <v>0</v>
      </c>
      <c r="E879" s="211">
        <v>0</v>
      </c>
      <c r="F879" s="211">
        <v>0</v>
      </c>
      <c r="G879" s="211">
        <v>0</v>
      </c>
      <c r="H879" s="211">
        <v>0</v>
      </c>
      <c r="I879" s="386">
        <f t="shared" si="19"/>
        <v>126830342</v>
      </c>
      <c r="J879" s="203" t="s">
        <v>1622</v>
      </c>
    </row>
    <row r="880" spans="1:10" hidden="1" outlineLevel="1">
      <c r="A880" s="425" t="s">
        <v>1623</v>
      </c>
      <c r="B880" s="210">
        <v>95924550</v>
      </c>
      <c r="C880" s="211">
        <v>0</v>
      </c>
      <c r="D880" s="211">
        <v>0</v>
      </c>
      <c r="E880" s="211">
        <v>0</v>
      </c>
      <c r="F880" s="211">
        <v>0</v>
      </c>
      <c r="G880" s="211">
        <v>0</v>
      </c>
      <c r="H880" s="211">
        <v>0</v>
      </c>
      <c r="I880" s="386">
        <f t="shared" si="19"/>
        <v>95924550</v>
      </c>
      <c r="J880" s="203" t="s">
        <v>1624</v>
      </c>
    </row>
    <row r="881" spans="1:10" hidden="1" outlineLevel="1">
      <c r="A881" s="425" t="s">
        <v>1625</v>
      </c>
      <c r="B881" s="210">
        <v>23671232</v>
      </c>
      <c r="C881" s="211">
        <v>0</v>
      </c>
      <c r="D881" s="211">
        <v>0</v>
      </c>
      <c r="E881" s="211">
        <v>0</v>
      </c>
      <c r="F881" s="211">
        <v>0</v>
      </c>
      <c r="G881" s="211">
        <v>0</v>
      </c>
      <c r="H881" s="211">
        <v>0</v>
      </c>
      <c r="I881" s="386">
        <f t="shared" si="19"/>
        <v>23671232</v>
      </c>
      <c r="J881" s="203" t="s">
        <v>1626</v>
      </c>
    </row>
    <row r="882" spans="1:10" hidden="1" outlineLevel="1">
      <c r="A882" s="425" t="s">
        <v>1627</v>
      </c>
      <c r="B882" s="210">
        <v>36797686</v>
      </c>
      <c r="C882" s="211">
        <v>0</v>
      </c>
      <c r="D882" s="211">
        <v>0</v>
      </c>
      <c r="E882" s="211">
        <v>0</v>
      </c>
      <c r="F882" s="211">
        <v>0</v>
      </c>
      <c r="G882" s="211">
        <v>0</v>
      </c>
      <c r="H882" s="211">
        <v>0</v>
      </c>
      <c r="I882" s="386">
        <f t="shared" si="19"/>
        <v>36797686</v>
      </c>
      <c r="J882" s="203" t="s">
        <v>1628</v>
      </c>
    </row>
    <row r="883" spans="1:10" hidden="1" outlineLevel="1">
      <c r="A883" s="425" t="s">
        <v>1629</v>
      </c>
      <c r="B883" s="210">
        <v>771351211</v>
      </c>
      <c r="C883" s="211">
        <v>0</v>
      </c>
      <c r="D883" s="211">
        <v>0</v>
      </c>
      <c r="E883" s="211">
        <v>0</v>
      </c>
      <c r="F883" s="211">
        <v>0</v>
      </c>
      <c r="G883" s="211">
        <v>0</v>
      </c>
      <c r="H883" s="211">
        <v>0</v>
      </c>
      <c r="I883" s="386">
        <f t="shared" si="19"/>
        <v>771351211</v>
      </c>
      <c r="J883" s="203" t="s">
        <v>1630</v>
      </c>
    </row>
    <row r="884" spans="1:10" hidden="1" outlineLevel="1">
      <c r="A884" s="425" t="s">
        <v>1631</v>
      </c>
      <c r="B884" s="210">
        <v>79591213</v>
      </c>
      <c r="C884" s="211">
        <v>0</v>
      </c>
      <c r="D884" s="211">
        <v>0</v>
      </c>
      <c r="E884" s="211">
        <v>0</v>
      </c>
      <c r="F884" s="211">
        <v>0</v>
      </c>
      <c r="G884" s="211">
        <v>0</v>
      </c>
      <c r="H884" s="211">
        <v>0</v>
      </c>
      <c r="I884" s="386">
        <f t="shared" si="19"/>
        <v>79591213</v>
      </c>
      <c r="J884" s="203" t="s">
        <v>1632</v>
      </c>
    </row>
    <row r="885" spans="1:10" hidden="1" outlineLevel="1">
      <c r="A885" s="425" t="s">
        <v>1633</v>
      </c>
      <c r="B885" s="210">
        <v>1266114799</v>
      </c>
      <c r="C885" s="211">
        <v>0</v>
      </c>
      <c r="D885" s="211">
        <v>0</v>
      </c>
      <c r="E885" s="211">
        <v>0</v>
      </c>
      <c r="F885" s="211">
        <v>29282538</v>
      </c>
      <c r="G885" s="211">
        <v>0</v>
      </c>
      <c r="H885" s="211">
        <v>0</v>
      </c>
      <c r="I885" s="386">
        <f t="shared" si="19"/>
        <v>1295397337</v>
      </c>
      <c r="J885" s="203" t="s">
        <v>1634</v>
      </c>
    </row>
    <row r="886" spans="1:10" hidden="1" outlineLevel="1">
      <c r="A886" s="425" t="s">
        <v>1635</v>
      </c>
      <c r="B886" s="210">
        <v>255337905</v>
      </c>
      <c r="C886" s="211">
        <v>0</v>
      </c>
      <c r="D886" s="211">
        <v>0</v>
      </c>
      <c r="E886" s="211">
        <v>0</v>
      </c>
      <c r="F886" s="211">
        <v>0</v>
      </c>
      <c r="G886" s="211">
        <v>0</v>
      </c>
      <c r="H886" s="211">
        <v>0</v>
      </c>
      <c r="I886" s="386">
        <f t="shared" si="19"/>
        <v>255337905</v>
      </c>
      <c r="J886" s="203" t="s">
        <v>1636</v>
      </c>
    </row>
    <row r="887" spans="1:10" hidden="1" outlineLevel="1">
      <c r="A887" s="425" t="s">
        <v>1637</v>
      </c>
      <c r="B887" s="210">
        <v>139467912</v>
      </c>
      <c r="C887" s="211">
        <v>0</v>
      </c>
      <c r="D887" s="211">
        <v>0</v>
      </c>
      <c r="E887" s="211">
        <v>0</v>
      </c>
      <c r="F887" s="211">
        <v>0</v>
      </c>
      <c r="G887" s="211">
        <v>0</v>
      </c>
      <c r="H887" s="211">
        <v>0</v>
      </c>
      <c r="I887" s="386">
        <f t="shared" si="19"/>
        <v>139467912</v>
      </c>
      <c r="J887" s="203" t="s">
        <v>1638</v>
      </c>
    </row>
    <row r="888" spans="1:10" hidden="1" outlineLevel="1">
      <c r="A888" s="425" t="s">
        <v>767</v>
      </c>
      <c r="B888" s="210">
        <v>382669090</v>
      </c>
      <c r="C888" s="211">
        <v>0</v>
      </c>
      <c r="D888" s="211">
        <v>0</v>
      </c>
      <c r="E888" s="211">
        <v>0</v>
      </c>
      <c r="F888" s="211">
        <v>0</v>
      </c>
      <c r="G888" s="211">
        <v>0</v>
      </c>
      <c r="H888" s="211">
        <v>0</v>
      </c>
      <c r="I888" s="386">
        <f t="shared" si="19"/>
        <v>382669090</v>
      </c>
      <c r="J888" s="203" t="s">
        <v>768</v>
      </c>
    </row>
    <row r="889" spans="1:10" hidden="1" outlineLevel="1">
      <c r="A889" s="425" t="s">
        <v>1639</v>
      </c>
      <c r="B889" s="210">
        <v>38457146</v>
      </c>
      <c r="C889" s="211">
        <v>0</v>
      </c>
      <c r="D889" s="211">
        <v>0</v>
      </c>
      <c r="E889" s="211">
        <v>0</v>
      </c>
      <c r="F889" s="211">
        <v>0</v>
      </c>
      <c r="G889" s="211">
        <v>0</v>
      </c>
      <c r="H889" s="211">
        <v>0</v>
      </c>
      <c r="I889" s="386">
        <f t="shared" si="19"/>
        <v>38457146</v>
      </c>
      <c r="J889" s="203" t="s">
        <v>1640</v>
      </c>
    </row>
    <row r="890" spans="1:10" hidden="1" outlineLevel="1">
      <c r="A890" s="425" t="s">
        <v>1641</v>
      </c>
      <c r="B890" s="210">
        <v>84757662</v>
      </c>
      <c r="C890" s="211">
        <v>0</v>
      </c>
      <c r="D890" s="211">
        <v>0</v>
      </c>
      <c r="E890" s="211">
        <v>0</v>
      </c>
      <c r="F890" s="211">
        <v>0</v>
      </c>
      <c r="G890" s="211">
        <v>0</v>
      </c>
      <c r="H890" s="211">
        <v>0</v>
      </c>
      <c r="I890" s="386">
        <f t="shared" si="19"/>
        <v>84757662</v>
      </c>
      <c r="J890" s="203" t="s">
        <v>1642</v>
      </c>
    </row>
    <row r="891" spans="1:10" hidden="1" outlineLevel="1">
      <c r="A891" s="425" t="s">
        <v>1643</v>
      </c>
      <c r="B891" s="210">
        <v>114674006</v>
      </c>
      <c r="C891" s="211">
        <v>0</v>
      </c>
      <c r="D891" s="211">
        <v>0</v>
      </c>
      <c r="E891" s="211">
        <v>0</v>
      </c>
      <c r="F891" s="211">
        <v>0</v>
      </c>
      <c r="G891" s="211">
        <v>0</v>
      </c>
      <c r="H891" s="211">
        <v>0</v>
      </c>
      <c r="I891" s="386">
        <f t="shared" si="19"/>
        <v>114674006</v>
      </c>
      <c r="J891" s="203" t="s">
        <v>1644</v>
      </c>
    </row>
    <row r="892" spans="1:10" hidden="1" outlineLevel="1">
      <c r="A892" s="425" t="s">
        <v>1645</v>
      </c>
      <c r="B892" s="210">
        <v>52926833</v>
      </c>
      <c r="C892" s="211">
        <v>0</v>
      </c>
      <c r="D892" s="211">
        <v>0</v>
      </c>
      <c r="E892" s="211">
        <v>0</v>
      </c>
      <c r="F892" s="211">
        <v>0</v>
      </c>
      <c r="G892" s="211">
        <v>0</v>
      </c>
      <c r="H892" s="211">
        <v>0</v>
      </c>
      <c r="I892" s="386">
        <f t="shared" si="19"/>
        <v>52926833</v>
      </c>
      <c r="J892" s="203" t="s">
        <v>1646</v>
      </c>
    </row>
    <row r="893" spans="1:10" hidden="1" outlineLevel="1">
      <c r="A893" s="425" t="s">
        <v>1647</v>
      </c>
      <c r="B893" s="210">
        <v>81667115</v>
      </c>
      <c r="C893" s="211">
        <v>0</v>
      </c>
      <c r="D893" s="211">
        <v>0</v>
      </c>
      <c r="E893" s="211">
        <v>0</v>
      </c>
      <c r="F893" s="211">
        <v>0</v>
      </c>
      <c r="G893" s="211">
        <v>0</v>
      </c>
      <c r="H893" s="211">
        <v>0</v>
      </c>
      <c r="I893" s="386">
        <f t="shared" si="19"/>
        <v>81667115</v>
      </c>
      <c r="J893" s="203" t="s">
        <v>1648</v>
      </c>
    </row>
    <row r="894" spans="1:10" hidden="1" outlineLevel="1">
      <c r="A894" s="425" t="s">
        <v>1649</v>
      </c>
      <c r="B894" s="210">
        <v>25930437</v>
      </c>
      <c r="C894" s="211">
        <v>0</v>
      </c>
      <c r="D894" s="211">
        <v>0</v>
      </c>
      <c r="E894" s="211">
        <v>0</v>
      </c>
      <c r="F894" s="211">
        <v>0</v>
      </c>
      <c r="G894" s="211">
        <v>0</v>
      </c>
      <c r="H894" s="211">
        <v>0</v>
      </c>
      <c r="I894" s="386">
        <f t="shared" si="19"/>
        <v>25930437</v>
      </c>
      <c r="J894" s="203" t="s">
        <v>1650</v>
      </c>
    </row>
    <row r="895" spans="1:10" hidden="1" outlineLevel="1">
      <c r="A895" s="425" t="s">
        <v>1651</v>
      </c>
      <c r="B895" s="210">
        <v>128590648</v>
      </c>
      <c r="C895" s="211">
        <v>0</v>
      </c>
      <c r="D895" s="211">
        <v>0</v>
      </c>
      <c r="E895" s="211">
        <v>0</v>
      </c>
      <c r="F895" s="211">
        <v>0</v>
      </c>
      <c r="G895" s="211">
        <v>0</v>
      </c>
      <c r="H895" s="211">
        <v>0</v>
      </c>
      <c r="I895" s="386">
        <f t="shared" si="19"/>
        <v>128590648</v>
      </c>
      <c r="J895" s="203" t="s">
        <v>1652</v>
      </c>
    </row>
    <row r="896" spans="1:10" hidden="1" outlineLevel="1">
      <c r="A896" s="425" t="s">
        <v>1653</v>
      </c>
      <c r="B896" s="210">
        <v>54350261</v>
      </c>
      <c r="C896" s="211">
        <v>0</v>
      </c>
      <c r="D896" s="211">
        <v>0</v>
      </c>
      <c r="E896" s="211">
        <v>0</v>
      </c>
      <c r="F896" s="211">
        <v>0</v>
      </c>
      <c r="G896" s="211">
        <v>0</v>
      </c>
      <c r="H896" s="211">
        <v>0</v>
      </c>
      <c r="I896" s="386">
        <f t="shared" si="19"/>
        <v>54350261</v>
      </c>
      <c r="J896" s="203" t="s">
        <v>1654</v>
      </c>
    </row>
    <row r="897" spans="1:10" hidden="1" outlineLevel="1">
      <c r="A897" s="425" t="s">
        <v>1655</v>
      </c>
      <c r="B897" s="210">
        <v>106991905</v>
      </c>
      <c r="C897" s="211">
        <v>0</v>
      </c>
      <c r="D897" s="211">
        <v>0</v>
      </c>
      <c r="E897" s="211">
        <v>0</v>
      </c>
      <c r="F897" s="211">
        <v>0</v>
      </c>
      <c r="G897" s="211">
        <v>0</v>
      </c>
      <c r="H897" s="211">
        <v>0</v>
      </c>
      <c r="I897" s="386">
        <f t="shared" si="19"/>
        <v>106991905</v>
      </c>
      <c r="J897" s="203" t="s">
        <v>1656</v>
      </c>
    </row>
    <row r="898" spans="1:10" hidden="1" outlineLevel="1">
      <c r="A898" s="425" t="s">
        <v>1657</v>
      </c>
      <c r="B898" s="210">
        <v>154278523</v>
      </c>
      <c r="C898" s="211">
        <v>0</v>
      </c>
      <c r="D898" s="211">
        <v>0</v>
      </c>
      <c r="E898" s="211">
        <v>0</v>
      </c>
      <c r="F898" s="211">
        <v>0</v>
      </c>
      <c r="G898" s="211">
        <v>0</v>
      </c>
      <c r="H898" s="211">
        <v>0</v>
      </c>
      <c r="I898" s="386">
        <f t="shared" si="19"/>
        <v>154278523</v>
      </c>
      <c r="J898" s="203" t="s">
        <v>1658</v>
      </c>
    </row>
    <row r="899" spans="1:10" hidden="1" outlineLevel="1">
      <c r="A899" s="425" t="s">
        <v>1659</v>
      </c>
      <c r="B899" s="210">
        <v>92696274</v>
      </c>
      <c r="C899" s="211">
        <v>0</v>
      </c>
      <c r="D899" s="211">
        <v>0</v>
      </c>
      <c r="E899" s="211">
        <v>0</v>
      </c>
      <c r="F899" s="211">
        <v>0</v>
      </c>
      <c r="G899" s="211">
        <v>0</v>
      </c>
      <c r="H899" s="211">
        <v>0</v>
      </c>
      <c r="I899" s="386">
        <f t="shared" si="19"/>
        <v>92696274</v>
      </c>
      <c r="J899" s="203" t="s">
        <v>1660</v>
      </c>
    </row>
    <row r="900" spans="1:10" hidden="1" outlineLevel="1">
      <c r="A900" s="425" t="s">
        <v>1661</v>
      </c>
      <c r="B900" s="210">
        <v>146766357</v>
      </c>
      <c r="C900" s="211">
        <v>0</v>
      </c>
      <c r="D900" s="211">
        <v>0</v>
      </c>
      <c r="E900" s="211">
        <v>0</v>
      </c>
      <c r="F900" s="211">
        <v>0</v>
      </c>
      <c r="G900" s="211">
        <v>0</v>
      </c>
      <c r="H900" s="211">
        <v>0</v>
      </c>
      <c r="I900" s="386">
        <f t="shared" si="19"/>
        <v>146766357</v>
      </c>
      <c r="J900" s="203" t="s">
        <v>1662</v>
      </c>
    </row>
    <row r="901" spans="1:10" hidden="1" outlineLevel="1">
      <c r="A901" s="425" t="s">
        <v>1663</v>
      </c>
      <c r="B901" s="210">
        <v>307952593</v>
      </c>
      <c r="C901" s="211">
        <v>0</v>
      </c>
      <c r="D901" s="211">
        <v>0</v>
      </c>
      <c r="E901" s="211">
        <v>0</v>
      </c>
      <c r="F901" s="211">
        <v>0</v>
      </c>
      <c r="G901" s="211">
        <v>0</v>
      </c>
      <c r="H901" s="211">
        <v>0</v>
      </c>
      <c r="I901" s="386">
        <f t="shared" si="19"/>
        <v>307952593</v>
      </c>
      <c r="J901" s="203" t="s">
        <v>1664</v>
      </c>
    </row>
    <row r="902" spans="1:10" hidden="1" outlineLevel="1">
      <c r="A902" s="425" t="s">
        <v>789</v>
      </c>
      <c r="B902" s="210">
        <v>243598516</v>
      </c>
      <c r="C902" s="211">
        <v>0</v>
      </c>
      <c r="D902" s="211">
        <v>0</v>
      </c>
      <c r="E902" s="211">
        <v>0</v>
      </c>
      <c r="F902" s="211">
        <v>0</v>
      </c>
      <c r="G902" s="211">
        <v>0</v>
      </c>
      <c r="H902" s="211">
        <v>0</v>
      </c>
      <c r="I902" s="386">
        <f t="shared" si="19"/>
        <v>243598516</v>
      </c>
      <c r="J902" s="203" t="s">
        <v>790</v>
      </c>
    </row>
    <row r="903" spans="1:10" hidden="1" outlineLevel="1">
      <c r="A903" s="425" t="s">
        <v>1665</v>
      </c>
      <c r="B903" s="210">
        <v>72504526</v>
      </c>
      <c r="C903" s="211">
        <v>0</v>
      </c>
      <c r="D903" s="211">
        <v>0</v>
      </c>
      <c r="E903" s="211">
        <v>0</v>
      </c>
      <c r="F903" s="211">
        <v>0</v>
      </c>
      <c r="G903" s="211">
        <v>0</v>
      </c>
      <c r="H903" s="211">
        <v>0</v>
      </c>
      <c r="I903" s="386">
        <f t="shared" si="19"/>
        <v>72504526</v>
      </c>
      <c r="J903" s="203" t="s">
        <v>1666</v>
      </c>
    </row>
    <row r="904" spans="1:10" hidden="1" outlineLevel="1">
      <c r="A904" s="425" t="s">
        <v>1667</v>
      </c>
      <c r="B904" s="210">
        <v>211727823</v>
      </c>
      <c r="C904" s="211">
        <v>0</v>
      </c>
      <c r="D904" s="211">
        <v>0</v>
      </c>
      <c r="E904" s="211">
        <v>0</v>
      </c>
      <c r="F904" s="211">
        <v>0</v>
      </c>
      <c r="G904" s="211">
        <v>0</v>
      </c>
      <c r="H904" s="211">
        <v>0</v>
      </c>
      <c r="I904" s="386">
        <f t="shared" si="19"/>
        <v>211727823</v>
      </c>
      <c r="J904" s="203" t="s">
        <v>1668</v>
      </c>
    </row>
    <row r="905" spans="1:10" hidden="1" outlineLevel="1">
      <c r="A905" s="425" t="s">
        <v>1669</v>
      </c>
      <c r="B905" s="210">
        <v>65033473</v>
      </c>
      <c r="C905" s="211">
        <v>0</v>
      </c>
      <c r="D905" s="211">
        <v>0</v>
      </c>
      <c r="E905" s="211">
        <v>0</v>
      </c>
      <c r="F905" s="211">
        <v>0</v>
      </c>
      <c r="G905" s="211">
        <v>0</v>
      </c>
      <c r="H905" s="211">
        <v>0</v>
      </c>
      <c r="I905" s="386">
        <f t="shared" si="19"/>
        <v>65033473</v>
      </c>
      <c r="J905" s="203" t="s">
        <v>1670</v>
      </c>
    </row>
    <row r="906" spans="1:10" hidden="1" outlineLevel="1">
      <c r="A906" s="425" t="s">
        <v>1671</v>
      </c>
      <c r="B906" s="210">
        <v>433848103</v>
      </c>
      <c r="C906" s="211">
        <v>0</v>
      </c>
      <c r="D906" s="211">
        <v>0</v>
      </c>
      <c r="E906" s="211">
        <v>0</v>
      </c>
      <c r="F906" s="211">
        <v>0</v>
      </c>
      <c r="G906" s="211">
        <v>0</v>
      </c>
      <c r="H906" s="211">
        <v>0</v>
      </c>
      <c r="I906" s="386">
        <f t="shared" si="19"/>
        <v>433848103</v>
      </c>
      <c r="J906" s="203" t="s">
        <v>1672</v>
      </c>
    </row>
    <row r="907" spans="1:10" hidden="1" outlineLevel="1">
      <c r="A907" s="425" t="s">
        <v>1673</v>
      </c>
      <c r="B907" s="210">
        <v>210276775</v>
      </c>
      <c r="C907" s="211">
        <v>0</v>
      </c>
      <c r="D907" s="211">
        <v>0</v>
      </c>
      <c r="E907" s="211">
        <v>0</v>
      </c>
      <c r="F907" s="211">
        <v>0</v>
      </c>
      <c r="G907" s="211">
        <v>0</v>
      </c>
      <c r="H907" s="211">
        <v>0</v>
      </c>
      <c r="I907" s="386">
        <f t="shared" si="19"/>
        <v>210276775</v>
      </c>
      <c r="J907" s="203" t="s">
        <v>1674</v>
      </c>
    </row>
    <row r="908" spans="1:10" hidden="1" outlineLevel="1">
      <c r="A908" s="425" t="s">
        <v>543</v>
      </c>
      <c r="B908" s="210">
        <v>832829354</v>
      </c>
      <c r="C908" s="211">
        <v>0</v>
      </c>
      <c r="D908" s="211">
        <v>0</v>
      </c>
      <c r="E908" s="211">
        <v>0</v>
      </c>
      <c r="F908" s="211">
        <v>4552325</v>
      </c>
      <c r="G908" s="211">
        <v>0</v>
      </c>
      <c r="H908" s="211">
        <v>0</v>
      </c>
      <c r="I908" s="386">
        <f t="shared" si="19"/>
        <v>837381679</v>
      </c>
      <c r="J908" s="203" t="s">
        <v>544</v>
      </c>
    </row>
    <row r="909" spans="1:10" hidden="1" outlineLevel="1">
      <c r="A909" s="425" t="s">
        <v>1675</v>
      </c>
      <c r="B909" s="210">
        <v>95636214</v>
      </c>
      <c r="C909" s="211">
        <v>0</v>
      </c>
      <c r="D909" s="211">
        <v>0</v>
      </c>
      <c r="E909" s="211">
        <v>0</v>
      </c>
      <c r="F909" s="211">
        <v>0</v>
      </c>
      <c r="G909" s="211">
        <v>0</v>
      </c>
      <c r="H909" s="211">
        <v>0</v>
      </c>
      <c r="I909" s="386">
        <f t="shared" si="19"/>
        <v>95636214</v>
      </c>
      <c r="J909" s="203" t="s">
        <v>1676</v>
      </c>
    </row>
    <row r="910" spans="1:10" hidden="1" outlineLevel="1">
      <c r="A910" s="425" t="s">
        <v>1677</v>
      </c>
      <c r="B910" s="210">
        <v>360311408</v>
      </c>
      <c r="C910" s="211">
        <v>0</v>
      </c>
      <c r="D910" s="211">
        <v>0</v>
      </c>
      <c r="E910" s="211">
        <v>0</v>
      </c>
      <c r="F910" s="211">
        <v>0</v>
      </c>
      <c r="G910" s="211">
        <v>0</v>
      </c>
      <c r="H910" s="211">
        <v>0</v>
      </c>
      <c r="I910" s="386">
        <f t="shared" si="19"/>
        <v>360311408</v>
      </c>
      <c r="J910" s="203" t="s">
        <v>1678</v>
      </c>
    </row>
    <row r="911" spans="1:10" hidden="1" outlineLevel="1">
      <c r="A911" s="425" t="s">
        <v>1679</v>
      </c>
      <c r="B911" s="210">
        <v>85884666</v>
      </c>
      <c r="C911" s="211">
        <v>0</v>
      </c>
      <c r="D911" s="211">
        <v>0</v>
      </c>
      <c r="E911" s="211">
        <v>0</v>
      </c>
      <c r="F911" s="211">
        <v>0</v>
      </c>
      <c r="G911" s="211">
        <v>0</v>
      </c>
      <c r="H911" s="211">
        <v>0</v>
      </c>
      <c r="I911" s="386">
        <f t="shared" si="19"/>
        <v>85884666</v>
      </c>
      <c r="J911" s="203" t="s">
        <v>1680</v>
      </c>
    </row>
    <row r="912" spans="1:10" hidden="1" outlineLevel="1">
      <c r="A912" s="425" t="s">
        <v>1681</v>
      </c>
      <c r="B912" s="210">
        <v>84393763</v>
      </c>
      <c r="C912" s="211">
        <v>0</v>
      </c>
      <c r="D912" s="211">
        <v>0</v>
      </c>
      <c r="E912" s="211">
        <v>0</v>
      </c>
      <c r="F912" s="211">
        <v>0</v>
      </c>
      <c r="G912" s="211">
        <v>0</v>
      </c>
      <c r="H912" s="211">
        <v>0</v>
      </c>
      <c r="I912" s="386">
        <f t="shared" si="19"/>
        <v>84393763</v>
      </c>
      <c r="J912" s="203" t="s">
        <v>1682</v>
      </c>
    </row>
    <row r="913" spans="1:10" hidden="1" outlineLevel="1">
      <c r="A913" s="425" t="s">
        <v>1683</v>
      </c>
      <c r="B913" s="210">
        <v>59380888</v>
      </c>
      <c r="C913" s="211">
        <v>0</v>
      </c>
      <c r="D913" s="211">
        <v>0</v>
      </c>
      <c r="E913" s="211">
        <v>0</v>
      </c>
      <c r="F913" s="211">
        <v>0</v>
      </c>
      <c r="G913" s="211">
        <v>0</v>
      </c>
      <c r="H913" s="211">
        <v>0</v>
      </c>
      <c r="I913" s="386">
        <f t="shared" si="19"/>
        <v>59380888</v>
      </c>
      <c r="J913" s="203" t="s">
        <v>1684</v>
      </c>
    </row>
    <row r="914" spans="1:10" hidden="1" outlineLevel="1">
      <c r="A914" s="425" t="s">
        <v>1685</v>
      </c>
      <c r="B914" s="210">
        <v>58103663</v>
      </c>
      <c r="C914" s="211">
        <v>0</v>
      </c>
      <c r="D914" s="211">
        <v>0</v>
      </c>
      <c r="E914" s="211">
        <v>0</v>
      </c>
      <c r="F914" s="211">
        <v>0</v>
      </c>
      <c r="G914" s="211">
        <v>0</v>
      </c>
      <c r="H914" s="211">
        <v>0</v>
      </c>
      <c r="I914" s="386">
        <f t="shared" si="19"/>
        <v>58103663</v>
      </c>
      <c r="J914" s="203" t="s">
        <v>1686</v>
      </c>
    </row>
    <row r="915" spans="1:10" hidden="1" outlineLevel="1">
      <c r="A915" s="425" t="s">
        <v>1687</v>
      </c>
      <c r="B915" s="210">
        <v>180812263</v>
      </c>
      <c r="C915" s="211">
        <v>0</v>
      </c>
      <c r="D915" s="211">
        <v>0</v>
      </c>
      <c r="E915" s="211">
        <v>0</v>
      </c>
      <c r="F915" s="211">
        <v>0</v>
      </c>
      <c r="G915" s="211">
        <v>0</v>
      </c>
      <c r="H915" s="211">
        <v>0</v>
      </c>
      <c r="I915" s="386">
        <f t="shared" si="19"/>
        <v>180812263</v>
      </c>
      <c r="J915" s="203" t="s">
        <v>1688</v>
      </c>
    </row>
    <row r="916" spans="1:10" hidden="1" outlineLevel="1">
      <c r="A916" s="425" t="s">
        <v>1132</v>
      </c>
      <c r="B916" s="210">
        <v>135537157</v>
      </c>
      <c r="C916" s="211">
        <v>0</v>
      </c>
      <c r="D916" s="211">
        <v>0</v>
      </c>
      <c r="E916" s="211">
        <v>0</v>
      </c>
      <c r="F916" s="211">
        <v>0</v>
      </c>
      <c r="G916" s="211">
        <v>0</v>
      </c>
      <c r="H916" s="211">
        <v>0</v>
      </c>
      <c r="I916" s="386">
        <f t="shared" si="19"/>
        <v>135537157</v>
      </c>
      <c r="J916" s="203" t="s">
        <v>1133</v>
      </c>
    </row>
    <row r="917" spans="1:10" hidden="1" outlineLevel="1">
      <c r="A917" s="425" t="s">
        <v>1689</v>
      </c>
      <c r="B917" s="210">
        <v>95963618</v>
      </c>
      <c r="C917" s="211">
        <v>0</v>
      </c>
      <c r="D917" s="211">
        <v>0</v>
      </c>
      <c r="E917" s="211">
        <v>0</v>
      </c>
      <c r="F917" s="211">
        <v>0</v>
      </c>
      <c r="G917" s="211">
        <v>0</v>
      </c>
      <c r="H917" s="211">
        <v>0</v>
      </c>
      <c r="I917" s="386">
        <f t="shared" si="19"/>
        <v>95963618</v>
      </c>
      <c r="J917" s="203" t="s">
        <v>1690</v>
      </c>
    </row>
    <row r="918" spans="1:10" hidden="1" outlineLevel="1">
      <c r="A918" s="425" t="s">
        <v>1691</v>
      </c>
      <c r="B918" s="210">
        <v>100337208</v>
      </c>
      <c r="C918" s="211">
        <v>0</v>
      </c>
      <c r="D918" s="211">
        <v>0</v>
      </c>
      <c r="E918" s="211">
        <v>0</v>
      </c>
      <c r="F918" s="211">
        <v>0</v>
      </c>
      <c r="G918" s="211">
        <v>0</v>
      </c>
      <c r="H918" s="211">
        <v>0</v>
      </c>
      <c r="I918" s="386">
        <f t="shared" si="19"/>
        <v>100337208</v>
      </c>
      <c r="J918" s="203" t="s">
        <v>1692</v>
      </c>
    </row>
    <row r="919" spans="1:10" hidden="1" outlineLevel="1">
      <c r="A919" s="425" t="s">
        <v>1693</v>
      </c>
      <c r="B919" s="210">
        <v>36612535</v>
      </c>
      <c r="C919" s="211">
        <v>0</v>
      </c>
      <c r="D919" s="211">
        <v>0</v>
      </c>
      <c r="E919" s="211">
        <v>0</v>
      </c>
      <c r="F919" s="211">
        <v>0</v>
      </c>
      <c r="G919" s="211">
        <v>0</v>
      </c>
      <c r="H919" s="211">
        <v>0</v>
      </c>
      <c r="I919" s="386">
        <f t="shared" si="19"/>
        <v>36612535</v>
      </c>
      <c r="J919" s="203" t="s">
        <v>1694</v>
      </c>
    </row>
    <row r="920" spans="1:10" hidden="1" outlineLevel="1">
      <c r="A920" s="425" t="s">
        <v>1695</v>
      </c>
      <c r="B920" s="210">
        <v>2815518020</v>
      </c>
      <c r="C920" s="211">
        <v>0</v>
      </c>
      <c r="D920" s="211">
        <v>0</v>
      </c>
      <c r="E920" s="211">
        <v>0</v>
      </c>
      <c r="F920" s="211">
        <v>89221001</v>
      </c>
      <c r="G920" s="211">
        <v>0</v>
      </c>
      <c r="H920" s="211">
        <v>0</v>
      </c>
      <c r="I920" s="386">
        <f t="shared" si="19"/>
        <v>2904739021</v>
      </c>
      <c r="J920" s="203" t="s">
        <v>1696</v>
      </c>
    </row>
    <row r="921" spans="1:10" hidden="1" outlineLevel="1">
      <c r="A921" s="425" t="s">
        <v>1697</v>
      </c>
      <c r="B921" s="210">
        <v>142754247</v>
      </c>
      <c r="C921" s="211">
        <v>0</v>
      </c>
      <c r="D921" s="211">
        <v>0</v>
      </c>
      <c r="E921" s="211">
        <v>0</v>
      </c>
      <c r="F921" s="211">
        <v>939078</v>
      </c>
      <c r="G921" s="211">
        <v>0</v>
      </c>
      <c r="H921" s="211">
        <v>0</v>
      </c>
      <c r="I921" s="386">
        <f t="shared" si="19"/>
        <v>143693325</v>
      </c>
      <c r="J921" s="203" t="s">
        <v>1698</v>
      </c>
    </row>
    <row r="922" spans="1:10" hidden="1" outlineLevel="1">
      <c r="A922" s="425" t="s">
        <v>1699</v>
      </c>
      <c r="B922" s="210">
        <v>573273312</v>
      </c>
      <c r="C922" s="211">
        <v>0</v>
      </c>
      <c r="D922" s="211">
        <v>0</v>
      </c>
      <c r="E922" s="211">
        <v>0</v>
      </c>
      <c r="F922" s="211">
        <v>0</v>
      </c>
      <c r="G922" s="211">
        <v>0</v>
      </c>
      <c r="H922" s="211">
        <v>0</v>
      </c>
      <c r="I922" s="386">
        <f t="shared" si="19"/>
        <v>573273312</v>
      </c>
      <c r="J922" s="203" t="s">
        <v>1700</v>
      </c>
    </row>
    <row r="923" spans="1:10" hidden="1" outlineLevel="1">
      <c r="A923" s="425" t="s">
        <v>449</v>
      </c>
      <c r="B923" s="210">
        <v>282888008</v>
      </c>
      <c r="C923" s="211">
        <v>0</v>
      </c>
      <c r="D923" s="211">
        <v>0</v>
      </c>
      <c r="E923" s="211">
        <v>0</v>
      </c>
      <c r="F923" s="211">
        <v>0</v>
      </c>
      <c r="G923" s="211">
        <v>0</v>
      </c>
      <c r="H923" s="211">
        <v>0</v>
      </c>
      <c r="I923" s="386">
        <f t="shared" si="19"/>
        <v>282888008</v>
      </c>
      <c r="J923" s="203" t="s">
        <v>450</v>
      </c>
    </row>
    <row r="924" spans="1:10" hidden="1" outlineLevel="1">
      <c r="A924" s="425" t="s">
        <v>1701</v>
      </c>
      <c r="B924" s="210">
        <v>4293533</v>
      </c>
      <c r="C924" s="211">
        <v>0</v>
      </c>
      <c r="D924" s="211">
        <v>0</v>
      </c>
      <c r="E924" s="211">
        <v>0</v>
      </c>
      <c r="F924" s="211">
        <v>0</v>
      </c>
      <c r="G924" s="211">
        <v>0</v>
      </c>
      <c r="H924" s="211">
        <v>0</v>
      </c>
      <c r="I924" s="386">
        <f t="shared" si="19"/>
        <v>4293533</v>
      </c>
      <c r="J924" s="203" t="s">
        <v>1702</v>
      </c>
    </row>
    <row r="925" spans="1:10" hidden="1" outlineLevel="1">
      <c r="A925" s="425" t="s">
        <v>837</v>
      </c>
      <c r="B925" s="210">
        <v>241118471</v>
      </c>
      <c r="C925" s="211">
        <v>0</v>
      </c>
      <c r="D925" s="211">
        <v>0</v>
      </c>
      <c r="E925" s="211">
        <v>0</v>
      </c>
      <c r="F925" s="211">
        <v>0</v>
      </c>
      <c r="G925" s="211">
        <v>0</v>
      </c>
      <c r="H925" s="211">
        <v>0</v>
      </c>
      <c r="I925" s="386">
        <f t="shared" si="19"/>
        <v>241118471</v>
      </c>
      <c r="J925" s="203" t="s">
        <v>838</v>
      </c>
    </row>
    <row r="926" spans="1:10" hidden="1" outlineLevel="1">
      <c r="A926" s="425" t="s">
        <v>1703</v>
      </c>
      <c r="B926" s="210">
        <v>893316426</v>
      </c>
      <c r="C926" s="211">
        <v>0</v>
      </c>
      <c r="D926" s="211">
        <v>0</v>
      </c>
      <c r="E926" s="211">
        <v>0</v>
      </c>
      <c r="F926" s="211">
        <v>0</v>
      </c>
      <c r="G926" s="211">
        <v>0</v>
      </c>
      <c r="H926" s="211">
        <v>0</v>
      </c>
      <c r="I926" s="386">
        <f t="shared" ref="I926:I933" si="20">SUM(B926:H926)</f>
        <v>893316426</v>
      </c>
      <c r="J926" s="203" t="s">
        <v>1704</v>
      </c>
    </row>
    <row r="927" spans="1:10" hidden="1" outlineLevel="1">
      <c r="A927" s="425" t="s">
        <v>1705</v>
      </c>
      <c r="B927" s="210">
        <v>320695522</v>
      </c>
      <c r="C927" s="211">
        <v>0</v>
      </c>
      <c r="D927" s="211">
        <v>0</v>
      </c>
      <c r="E927" s="211">
        <v>0</v>
      </c>
      <c r="F927" s="211">
        <v>0</v>
      </c>
      <c r="G927" s="211">
        <v>0</v>
      </c>
      <c r="H927" s="211">
        <v>0</v>
      </c>
      <c r="I927" s="386">
        <f t="shared" si="20"/>
        <v>320695522</v>
      </c>
      <c r="J927" s="203" t="s">
        <v>1706</v>
      </c>
    </row>
    <row r="928" spans="1:10" hidden="1" outlineLevel="1">
      <c r="A928" s="425" t="s">
        <v>1707</v>
      </c>
      <c r="B928" s="210">
        <v>38232926</v>
      </c>
      <c r="C928" s="211">
        <v>0</v>
      </c>
      <c r="D928" s="211">
        <v>0</v>
      </c>
      <c r="E928" s="211">
        <v>0</v>
      </c>
      <c r="F928" s="211">
        <v>0</v>
      </c>
      <c r="G928" s="211">
        <v>0</v>
      </c>
      <c r="H928" s="211">
        <v>0</v>
      </c>
      <c r="I928" s="386">
        <f t="shared" si="20"/>
        <v>38232926</v>
      </c>
      <c r="J928" s="203" t="s">
        <v>1708</v>
      </c>
    </row>
    <row r="929" spans="1:10" hidden="1" outlineLevel="1">
      <c r="A929" s="425" t="s">
        <v>1709</v>
      </c>
      <c r="B929" s="210">
        <v>1654647451</v>
      </c>
      <c r="C929" s="211">
        <v>0</v>
      </c>
      <c r="D929" s="211">
        <v>0</v>
      </c>
      <c r="E929" s="211">
        <v>0</v>
      </c>
      <c r="F929" s="211">
        <v>0</v>
      </c>
      <c r="G929" s="211">
        <v>0</v>
      </c>
      <c r="H929" s="211">
        <v>0</v>
      </c>
      <c r="I929" s="386">
        <f t="shared" si="20"/>
        <v>1654647451</v>
      </c>
      <c r="J929" s="203" t="s">
        <v>1710</v>
      </c>
    </row>
    <row r="930" spans="1:10" hidden="1" outlineLevel="1">
      <c r="A930" s="425" t="s">
        <v>1972</v>
      </c>
      <c r="B930" s="210">
        <v>4400277</v>
      </c>
      <c r="C930" s="211">
        <v>0</v>
      </c>
      <c r="D930" s="211">
        <v>0</v>
      </c>
      <c r="E930" s="211">
        <v>0</v>
      </c>
      <c r="F930" s="211">
        <v>0</v>
      </c>
      <c r="G930" s="211">
        <v>0</v>
      </c>
      <c r="H930" s="211">
        <v>0</v>
      </c>
      <c r="I930" s="386">
        <f t="shared" si="20"/>
        <v>4400277</v>
      </c>
      <c r="J930" s="203" t="s">
        <v>1973</v>
      </c>
    </row>
    <row r="931" spans="1:10" hidden="1" outlineLevel="1">
      <c r="A931" s="425" t="s">
        <v>1711</v>
      </c>
      <c r="B931" s="210">
        <v>42732828</v>
      </c>
      <c r="C931" s="211">
        <v>0</v>
      </c>
      <c r="D931" s="211">
        <v>0</v>
      </c>
      <c r="E931" s="211">
        <v>0</v>
      </c>
      <c r="F931" s="211">
        <v>0</v>
      </c>
      <c r="G931" s="211">
        <v>0</v>
      </c>
      <c r="H931" s="211">
        <v>0</v>
      </c>
      <c r="I931" s="386">
        <f t="shared" si="20"/>
        <v>42732828</v>
      </c>
      <c r="J931" s="203" t="s">
        <v>1712</v>
      </c>
    </row>
    <row r="932" spans="1:10" hidden="1" outlineLevel="1">
      <c r="A932" s="425" t="s">
        <v>1713</v>
      </c>
      <c r="B932" s="210">
        <v>4250260</v>
      </c>
      <c r="C932" s="211">
        <v>0</v>
      </c>
      <c r="D932" s="211">
        <v>0</v>
      </c>
      <c r="E932" s="211">
        <v>0</v>
      </c>
      <c r="F932" s="211">
        <v>0</v>
      </c>
      <c r="G932" s="211">
        <v>0</v>
      </c>
      <c r="H932" s="211">
        <v>0</v>
      </c>
      <c r="I932" s="386">
        <f>SUM(B932:H932)</f>
        <v>4250260</v>
      </c>
      <c r="J932" s="203" t="s">
        <v>1714</v>
      </c>
    </row>
    <row r="933" spans="1:10" ht="13.5" collapsed="1" thickBot="1">
      <c r="A933" s="427" t="s">
        <v>1715</v>
      </c>
      <c r="B933" s="214">
        <f t="shared" ref="B933:H933" si="21">B7+B177+B412+B794</f>
        <v>317921756671.5</v>
      </c>
      <c r="C933" s="215">
        <f t="shared" si="21"/>
        <v>0</v>
      </c>
      <c r="D933" s="215">
        <f t="shared" si="21"/>
        <v>838576156</v>
      </c>
      <c r="E933" s="232">
        <f t="shared" si="21"/>
        <v>0</v>
      </c>
      <c r="F933" s="232">
        <f t="shared" si="21"/>
        <v>14335623543</v>
      </c>
      <c r="G933" s="232">
        <f t="shared" si="21"/>
        <v>38514092</v>
      </c>
      <c r="H933" s="232">
        <f t="shared" si="21"/>
        <v>7015226</v>
      </c>
      <c r="I933" s="216">
        <f t="shared" si="20"/>
        <v>333141485688.5</v>
      </c>
    </row>
    <row r="934" spans="1:10">
      <c r="A934" s="6"/>
      <c r="B934" s="187"/>
      <c r="C934" s="187"/>
      <c r="D934" s="187"/>
      <c r="E934" s="187"/>
      <c r="F934" s="187"/>
      <c r="G934" s="187"/>
      <c r="H934" s="187"/>
    </row>
    <row r="935" spans="1:10">
      <c r="A935" s="6"/>
      <c r="B935" s="187"/>
      <c r="C935" s="187"/>
      <c r="D935" s="187"/>
      <c r="E935" s="187"/>
      <c r="F935" s="187"/>
      <c r="G935" s="187"/>
      <c r="H935" s="187"/>
    </row>
    <row r="936" spans="1:10">
      <c r="A936" s="6"/>
      <c r="B936" s="187"/>
      <c r="C936" s="187"/>
      <c r="D936" s="187"/>
      <c r="E936" s="187"/>
      <c r="F936" s="187"/>
      <c r="G936" s="187"/>
      <c r="H936" s="187"/>
    </row>
    <row r="937" spans="1:10">
      <c r="A937" s="35" t="s">
        <v>1974</v>
      </c>
      <c r="B937" s="187"/>
      <c r="C937" s="187"/>
      <c r="D937" s="187"/>
      <c r="E937" s="187"/>
      <c r="F937" s="187"/>
      <c r="G937" s="187"/>
      <c r="H937" s="187"/>
    </row>
    <row r="938" spans="1:10" ht="13.5" thickBot="1">
      <c r="D938" s="25"/>
      <c r="G938" s="387"/>
    </row>
    <row r="939" spans="1:10" ht="69" customHeight="1" thickBot="1">
      <c r="A939" s="542"/>
      <c r="B939" s="204" t="s">
        <v>1975</v>
      </c>
      <c r="C939" s="205" t="s">
        <v>1976</v>
      </c>
      <c r="D939" s="205" t="s">
        <v>1977</v>
      </c>
      <c r="E939" s="205" t="s">
        <v>1978</v>
      </c>
      <c r="F939" s="205" t="s">
        <v>1979</v>
      </c>
      <c r="G939" s="205" t="s">
        <v>1980</v>
      </c>
      <c r="H939" s="205" t="s">
        <v>1981</v>
      </c>
      <c r="I939" s="588" t="s">
        <v>1982</v>
      </c>
    </row>
    <row r="940" spans="1:10" s="597" customFormat="1" ht="22.5" customHeight="1" thickBot="1">
      <c r="A940" s="606"/>
      <c r="B940" s="607" t="s">
        <v>1722</v>
      </c>
      <c r="C940" s="607" t="s">
        <v>1722</v>
      </c>
      <c r="D940" s="607" t="s">
        <v>1722</v>
      </c>
      <c r="E940" s="607" t="s">
        <v>1722</v>
      </c>
      <c r="F940" s="592" t="s">
        <v>1722</v>
      </c>
      <c r="G940" s="592" t="s">
        <v>1722</v>
      </c>
      <c r="H940" s="592" t="s">
        <v>1722</v>
      </c>
      <c r="I940" s="594" t="s">
        <v>1722</v>
      </c>
      <c r="J940" s="596"/>
    </row>
    <row r="941" spans="1:10" ht="13.9" customHeight="1">
      <c r="A941" s="429" t="str">
        <f>A7</f>
        <v>Regelzone 50Hertz (gesamt)</v>
      </c>
      <c r="B941" s="217">
        <f>+SUM(B942:B1110)</f>
        <v>177189834.94000003</v>
      </c>
      <c r="C941" s="217">
        <f t="shared" ref="C941:H941" si="22">+SUM(C942:C1110)</f>
        <v>0</v>
      </c>
      <c r="D941" s="217">
        <f t="shared" si="22"/>
        <v>0</v>
      </c>
      <c r="E941" s="217">
        <f t="shared" si="22"/>
        <v>0</v>
      </c>
      <c r="F941" s="217">
        <f t="shared" si="22"/>
        <v>983367.39</v>
      </c>
      <c r="G941" s="217">
        <f t="shared" si="22"/>
        <v>4512.7299999999996</v>
      </c>
      <c r="H941" s="217">
        <f t="shared" si="22"/>
        <v>3721.11</v>
      </c>
      <c r="I941" s="386">
        <f>SUM(B941:H941)</f>
        <v>178181436.17000002</v>
      </c>
    </row>
    <row r="942" spans="1:10" ht="13.9" hidden="1" customHeight="1" outlineLevel="1">
      <c r="A942" s="424" t="s">
        <v>86</v>
      </c>
      <c r="B942" s="208">
        <v>201136.73</v>
      </c>
      <c r="C942" s="208">
        <v>0</v>
      </c>
      <c r="D942" s="208">
        <v>0</v>
      </c>
      <c r="E942" s="208">
        <v>0</v>
      </c>
      <c r="F942" s="208">
        <v>0</v>
      </c>
      <c r="G942" s="208">
        <v>0</v>
      </c>
      <c r="H942" s="208">
        <v>0</v>
      </c>
      <c r="I942" s="386">
        <f>+SUM(B942:H942)</f>
        <v>201136.73</v>
      </c>
    </row>
    <row r="943" spans="1:10" ht="13.9" hidden="1" customHeight="1" outlineLevel="1">
      <c r="A943" s="424" t="s">
        <v>88</v>
      </c>
      <c r="B943" s="208">
        <v>212251.03</v>
      </c>
      <c r="C943" s="208">
        <v>0</v>
      </c>
      <c r="D943" s="208">
        <v>0</v>
      </c>
      <c r="E943" s="208">
        <v>0</v>
      </c>
      <c r="F943" s="208">
        <v>0</v>
      </c>
      <c r="G943" s="208">
        <v>0</v>
      </c>
      <c r="H943" s="208">
        <v>0</v>
      </c>
      <c r="I943" s="386">
        <f t="shared" ref="I943:I1006" si="23">+SUM(B943:H943)</f>
        <v>212251.03</v>
      </c>
    </row>
    <row r="944" spans="1:10" ht="13.9" hidden="1" customHeight="1" outlineLevel="1">
      <c r="A944" s="424" t="s">
        <v>90</v>
      </c>
      <c r="B944" s="208">
        <v>546473.81000000006</v>
      </c>
      <c r="C944" s="208">
        <v>0</v>
      </c>
      <c r="D944" s="208">
        <v>0</v>
      </c>
      <c r="E944" s="208">
        <v>0</v>
      </c>
      <c r="F944" s="208">
        <v>0</v>
      </c>
      <c r="G944" s="208">
        <v>0</v>
      </c>
      <c r="H944" s="208">
        <v>0</v>
      </c>
      <c r="I944" s="386">
        <f t="shared" si="23"/>
        <v>546473.81000000006</v>
      </c>
    </row>
    <row r="945" spans="1:9" ht="13.9" hidden="1" customHeight="1" outlineLevel="1">
      <c r="A945" s="424" t="s">
        <v>92</v>
      </c>
      <c r="B945" s="208">
        <v>158766.56</v>
      </c>
      <c r="C945" s="208">
        <v>0</v>
      </c>
      <c r="D945" s="208">
        <v>0</v>
      </c>
      <c r="E945" s="208">
        <v>0</v>
      </c>
      <c r="F945" s="208">
        <v>0</v>
      </c>
      <c r="G945" s="208">
        <v>0</v>
      </c>
      <c r="H945" s="208">
        <v>0</v>
      </c>
      <c r="I945" s="386">
        <f t="shared" si="23"/>
        <v>158766.56</v>
      </c>
    </row>
    <row r="946" spans="1:9" ht="13.9" hidden="1" customHeight="1" outlineLevel="1">
      <c r="A946" s="424" t="s">
        <v>94</v>
      </c>
      <c r="B946" s="208">
        <v>221853.69</v>
      </c>
      <c r="C946" s="208">
        <v>0</v>
      </c>
      <c r="D946" s="208">
        <v>0</v>
      </c>
      <c r="E946" s="208">
        <v>0</v>
      </c>
      <c r="F946" s="208">
        <v>0</v>
      </c>
      <c r="G946" s="208">
        <v>0</v>
      </c>
      <c r="H946" s="208">
        <v>0</v>
      </c>
      <c r="I946" s="386">
        <f t="shared" si="23"/>
        <v>221853.69</v>
      </c>
    </row>
    <row r="947" spans="1:9" ht="13.9" hidden="1" customHeight="1" outlineLevel="1">
      <c r="A947" s="424" t="s">
        <v>96</v>
      </c>
      <c r="B947" s="208">
        <v>824521.03</v>
      </c>
      <c r="C947" s="208">
        <v>0</v>
      </c>
      <c r="D947" s="208">
        <v>0</v>
      </c>
      <c r="E947" s="208">
        <v>0</v>
      </c>
      <c r="F947" s="208">
        <v>0</v>
      </c>
      <c r="G947" s="208">
        <v>0</v>
      </c>
      <c r="H947" s="208">
        <v>0</v>
      </c>
      <c r="I947" s="386">
        <f t="shared" si="23"/>
        <v>824521.03</v>
      </c>
    </row>
    <row r="948" spans="1:9" ht="13.9" hidden="1" customHeight="1" outlineLevel="1">
      <c r="A948" s="424" t="s">
        <v>98</v>
      </c>
      <c r="B948" s="208">
        <v>221803.98</v>
      </c>
      <c r="C948" s="208">
        <v>0</v>
      </c>
      <c r="D948" s="208">
        <v>0</v>
      </c>
      <c r="E948" s="208">
        <v>0</v>
      </c>
      <c r="F948" s="208">
        <v>0</v>
      </c>
      <c r="G948" s="208">
        <v>0</v>
      </c>
      <c r="H948" s="208">
        <v>0</v>
      </c>
      <c r="I948" s="386">
        <f t="shared" si="23"/>
        <v>221803.98</v>
      </c>
    </row>
    <row r="949" spans="1:9" ht="13.9" hidden="1" customHeight="1" outlineLevel="1">
      <c r="A949" s="424" t="s">
        <v>100</v>
      </c>
      <c r="B949" s="208">
        <v>258674.17</v>
      </c>
      <c r="C949" s="208">
        <v>0</v>
      </c>
      <c r="D949" s="208">
        <v>0</v>
      </c>
      <c r="E949" s="208">
        <v>0</v>
      </c>
      <c r="F949" s="208">
        <v>0</v>
      </c>
      <c r="G949" s="208">
        <v>0</v>
      </c>
      <c r="H949" s="208">
        <v>0</v>
      </c>
      <c r="I949" s="386">
        <f t="shared" si="23"/>
        <v>258674.17</v>
      </c>
    </row>
    <row r="950" spans="1:9" ht="13.9" hidden="1" customHeight="1" outlineLevel="1">
      <c r="A950" s="424" t="s">
        <v>429</v>
      </c>
      <c r="B950" s="208">
        <v>18663.349999999999</v>
      </c>
      <c r="C950" s="208">
        <v>0</v>
      </c>
      <c r="D950" s="208">
        <v>0</v>
      </c>
      <c r="E950" s="208">
        <v>0</v>
      </c>
      <c r="F950" s="208">
        <v>0</v>
      </c>
      <c r="G950" s="208">
        <v>0</v>
      </c>
      <c r="H950" s="208">
        <v>0</v>
      </c>
      <c r="I950" s="386">
        <f t="shared" si="23"/>
        <v>18663.349999999999</v>
      </c>
    </row>
    <row r="951" spans="1:9" ht="13.9" hidden="1" customHeight="1" outlineLevel="1">
      <c r="A951" s="424" t="s">
        <v>102</v>
      </c>
      <c r="B951" s="208">
        <v>226736.16</v>
      </c>
      <c r="C951" s="208">
        <v>0</v>
      </c>
      <c r="D951" s="208">
        <v>0</v>
      </c>
      <c r="E951" s="208">
        <v>0</v>
      </c>
      <c r="F951" s="208">
        <v>0</v>
      </c>
      <c r="G951" s="208">
        <v>0</v>
      </c>
      <c r="H951" s="208">
        <v>0</v>
      </c>
      <c r="I951" s="386">
        <f t="shared" si="23"/>
        <v>226736.16</v>
      </c>
    </row>
    <row r="952" spans="1:9" ht="13.9" hidden="1" customHeight="1" outlineLevel="1">
      <c r="A952" s="424" t="s">
        <v>104</v>
      </c>
      <c r="B952" s="208">
        <v>148617.26999999999</v>
      </c>
      <c r="C952" s="208">
        <v>0</v>
      </c>
      <c r="D952" s="208">
        <v>0</v>
      </c>
      <c r="E952" s="208">
        <v>0</v>
      </c>
      <c r="F952" s="208">
        <v>0</v>
      </c>
      <c r="G952" s="208">
        <v>0</v>
      </c>
      <c r="H952" s="208">
        <v>0</v>
      </c>
      <c r="I952" s="386">
        <f t="shared" si="23"/>
        <v>148617.26999999999</v>
      </c>
    </row>
    <row r="953" spans="1:9" ht="13.9" hidden="1" customHeight="1" outlineLevel="1">
      <c r="A953" s="424" t="s">
        <v>106</v>
      </c>
      <c r="B953" s="208">
        <v>399734.1</v>
      </c>
      <c r="C953" s="208">
        <v>0</v>
      </c>
      <c r="D953" s="208">
        <v>0</v>
      </c>
      <c r="E953" s="208">
        <v>0</v>
      </c>
      <c r="F953" s="208">
        <v>0</v>
      </c>
      <c r="G953" s="208">
        <v>0</v>
      </c>
      <c r="H953" s="208">
        <v>0</v>
      </c>
      <c r="I953" s="386">
        <f t="shared" si="23"/>
        <v>399734.1</v>
      </c>
    </row>
    <row r="954" spans="1:9" ht="13.9" hidden="1" customHeight="1" outlineLevel="1">
      <c r="A954" s="424" t="s">
        <v>108</v>
      </c>
      <c r="B954" s="208">
        <v>110955.48</v>
      </c>
      <c r="C954" s="208">
        <v>0</v>
      </c>
      <c r="D954" s="208">
        <v>0</v>
      </c>
      <c r="E954" s="208">
        <v>0</v>
      </c>
      <c r="F954" s="208">
        <v>0</v>
      </c>
      <c r="G954" s="208">
        <v>0</v>
      </c>
      <c r="H954" s="208">
        <v>0</v>
      </c>
      <c r="I954" s="386">
        <f t="shared" si="23"/>
        <v>110955.48</v>
      </c>
    </row>
    <row r="955" spans="1:9" ht="13.9" hidden="1" customHeight="1" outlineLevel="1">
      <c r="A955" s="424" t="s">
        <v>110</v>
      </c>
      <c r="B955" s="208">
        <v>67165.64</v>
      </c>
      <c r="C955" s="208">
        <v>0</v>
      </c>
      <c r="D955" s="208">
        <v>0</v>
      </c>
      <c r="E955" s="208">
        <v>0</v>
      </c>
      <c r="F955" s="208">
        <v>0</v>
      </c>
      <c r="G955" s="208">
        <v>0</v>
      </c>
      <c r="H955" s="208">
        <v>0</v>
      </c>
      <c r="I955" s="386">
        <f t="shared" si="23"/>
        <v>67165.64</v>
      </c>
    </row>
    <row r="956" spans="1:9" ht="13.9" hidden="1" customHeight="1" outlineLevel="1">
      <c r="A956" s="424" t="s">
        <v>112</v>
      </c>
      <c r="B956" s="208">
        <v>487756.48000000004</v>
      </c>
      <c r="C956" s="208">
        <v>0</v>
      </c>
      <c r="D956" s="208">
        <v>0</v>
      </c>
      <c r="E956" s="208">
        <v>0</v>
      </c>
      <c r="F956" s="208">
        <v>0</v>
      </c>
      <c r="G956" s="208">
        <v>0</v>
      </c>
      <c r="H956" s="208">
        <v>0</v>
      </c>
      <c r="I956" s="386">
        <f t="shared" si="23"/>
        <v>487756.48000000004</v>
      </c>
    </row>
    <row r="957" spans="1:9" ht="13.9" hidden="1" customHeight="1" outlineLevel="1">
      <c r="A957" s="424" t="s">
        <v>114</v>
      </c>
      <c r="B957" s="208">
        <v>21327063.43</v>
      </c>
      <c r="C957" s="208">
        <v>0</v>
      </c>
      <c r="D957" s="208">
        <v>0</v>
      </c>
      <c r="E957" s="208">
        <v>0</v>
      </c>
      <c r="F957" s="208">
        <v>0</v>
      </c>
      <c r="G957" s="208">
        <v>0</v>
      </c>
      <c r="H957" s="208">
        <v>0</v>
      </c>
      <c r="I957" s="386">
        <f t="shared" si="23"/>
        <v>21327063.43</v>
      </c>
    </row>
    <row r="958" spans="1:9" ht="13.9" hidden="1" customHeight="1" outlineLevel="1">
      <c r="A958" s="424" t="s">
        <v>116</v>
      </c>
      <c r="B958" s="208">
        <v>1817950.18</v>
      </c>
      <c r="C958" s="208">
        <v>0</v>
      </c>
      <c r="D958" s="208">
        <v>0</v>
      </c>
      <c r="E958" s="208">
        <v>0</v>
      </c>
      <c r="F958" s="208">
        <v>2829.91</v>
      </c>
      <c r="G958" s="208">
        <v>0</v>
      </c>
      <c r="H958" s="208">
        <v>0</v>
      </c>
      <c r="I958" s="386">
        <f t="shared" si="23"/>
        <v>1820780.0899999999</v>
      </c>
    </row>
    <row r="959" spans="1:9" ht="13.9" hidden="1" customHeight="1" outlineLevel="1">
      <c r="A959" s="424" t="s">
        <v>118</v>
      </c>
      <c r="B959" s="208">
        <v>280941.90000000002</v>
      </c>
      <c r="C959" s="208">
        <v>0</v>
      </c>
      <c r="D959" s="208">
        <v>0</v>
      </c>
      <c r="E959" s="208">
        <v>0</v>
      </c>
      <c r="F959" s="208">
        <v>0</v>
      </c>
      <c r="G959" s="208">
        <v>0</v>
      </c>
      <c r="H959" s="208">
        <v>0</v>
      </c>
      <c r="I959" s="386">
        <f t="shared" si="23"/>
        <v>280941.90000000002</v>
      </c>
    </row>
    <row r="960" spans="1:9" ht="13.9" hidden="1" customHeight="1" outlineLevel="1">
      <c r="A960" s="424" t="s">
        <v>120</v>
      </c>
      <c r="B960" s="208">
        <v>93003.54</v>
      </c>
      <c r="C960" s="208">
        <v>0</v>
      </c>
      <c r="D960" s="208">
        <v>0</v>
      </c>
      <c r="E960" s="208">
        <v>0</v>
      </c>
      <c r="F960" s="208">
        <v>0</v>
      </c>
      <c r="G960" s="208">
        <v>0</v>
      </c>
      <c r="H960" s="208">
        <v>0</v>
      </c>
      <c r="I960" s="386">
        <f t="shared" si="23"/>
        <v>93003.54</v>
      </c>
    </row>
    <row r="961" spans="1:9" ht="13.9" hidden="1" customHeight="1" outlineLevel="1">
      <c r="A961" s="424" t="s">
        <v>122</v>
      </c>
      <c r="B961" s="208">
        <v>175239</v>
      </c>
      <c r="C961" s="208">
        <v>0</v>
      </c>
      <c r="D961" s="208">
        <v>0</v>
      </c>
      <c r="E961" s="208">
        <v>0</v>
      </c>
      <c r="F961" s="208">
        <v>0</v>
      </c>
      <c r="G961" s="208">
        <v>0</v>
      </c>
      <c r="H961" s="208">
        <v>0</v>
      </c>
      <c r="I961" s="386">
        <f t="shared" si="23"/>
        <v>175239</v>
      </c>
    </row>
    <row r="962" spans="1:9" ht="13.9" hidden="1" customHeight="1" outlineLevel="1">
      <c r="A962" s="424" t="s">
        <v>124</v>
      </c>
      <c r="B962" s="208">
        <v>93795.55</v>
      </c>
      <c r="C962" s="208">
        <v>0</v>
      </c>
      <c r="D962" s="208">
        <v>0</v>
      </c>
      <c r="E962" s="208">
        <v>0</v>
      </c>
      <c r="F962" s="208">
        <v>0</v>
      </c>
      <c r="G962" s="208">
        <v>0</v>
      </c>
      <c r="H962" s="208">
        <v>0</v>
      </c>
      <c r="I962" s="386">
        <f t="shared" si="23"/>
        <v>93795.55</v>
      </c>
    </row>
    <row r="963" spans="1:9" ht="13.9" hidden="1" customHeight="1" outlineLevel="1">
      <c r="A963" s="424" t="s">
        <v>1854</v>
      </c>
      <c r="B963" s="208">
        <v>48785.27</v>
      </c>
      <c r="C963" s="208">
        <v>0</v>
      </c>
      <c r="D963" s="208">
        <v>0</v>
      </c>
      <c r="E963" s="208">
        <v>0</v>
      </c>
      <c r="F963" s="208">
        <v>0</v>
      </c>
      <c r="G963" s="208">
        <v>0</v>
      </c>
      <c r="H963" s="208">
        <v>0</v>
      </c>
      <c r="I963" s="386">
        <f t="shared" si="23"/>
        <v>48785.27</v>
      </c>
    </row>
    <row r="964" spans="1:9" ht="13.9" hidden="1" customHeight="1" outlineLevel="1">
      <c r="A964" s="424" t="s">
        <v>126</v>
      </c>
      <c r="B964" s="208">
        <v>146049.32999999999</v>
      </c>
      <c r="C964" s="208">
        <v>0</v>
      </c>
      <c r="D964" s="208">
        <v>0</v>
      </c>
      <c r="E964" s="208">
        <v>0</v>
      </c>
      <c r="F964" s="208">
        <v>0</v>
      </c>
      <c r="G964" s="208">
        <v>0</v>
      </c>
      <c r="H964" s="208">
        <v>0</v>
      </c>
      <c r="I964" s="386">
        <f t="shared" si="23"/>
        <v>146049.32999999999</v>
      </c>
    </row>
    <row r="965" spans="1:9" ht="13.9" hidden="1" customHeight="1" outlineLevel="1">
      <c r="A965" s="424" t="s">
        <v>128</v>
      </c>
      <c r="B965" s="208">
        <v>167505.70000000001</v>
      </c>
      <c r="C965" s="208">
        <v>0</v>
      </c>
      <c r="D965" s="208">
        <v>0</v>
      </c>
      <c r="E965" s="208">
        <v>0</v>
      </c>
      <c r="F965" s="208">
        <v>0</v>
      </c>
      <c r="G965" s="208">
        <v>0</v>
      </c>
      <c r="H965" s="208">
        <v>0</v>
      </c>
      <c r="I965" s="386">
        <f t="shared" si="23"/>
        <v>167505.70000000001</v>
      </c>
    </row>
    <row r="966" spans="1:9" ht="13.9" hidden="1" customHeight="1" outlineLevel="1">
      <c r="A966" s="424" t="s">
        <v>130</v>
      </c>
      <c r="B966" s="208">
        <v>88080.83</v>
      </c>
      <c r="C966" s="208">
        <v>0</v>
      </c>
      <c r="D966" s="208">
        <v>0</v>
      </c>
      <c r="E966" s="208">
        <v>0</v>
      </c>
      <c r="F966" s="208">
        <v>0</v>
      </c>
      <c r="G966" s="208">
        <v>0</v>
      </c>
      <c r="H966" s="208">
        <v>0</v>
      </c>
      <c r="I966" s="386">
        <f t="shared" si="23"/>
        <v>88080.83</v>
      </c>
    </row>
    <row r="967" spans="1:9" ht="13.9" hidden="1" customHeight="1" outlineLevel="1">
      <c r="A967" s="424" t="s">
        <v>132</v>
      </c>
      <c r="B967" s="208">
        <v>240372.37</v>
      </c>
      <c r="C967" s="208">
        <v>0</v>
      </c>
      <c r="D967" s="208">
        <v>0</v>
      </c>
      <c r="E967" s="208">
        <v>0</v>
      </c>
      <c r="F967" s="208">
        <v>0</v>
      </c>
      <c r="G967" s="208">
        <v>0</v>
      </c>
      <c r="H967" s="208">
        <v>0</v>
      </c>
      <c r="I967" s="386">
        <f t="shared" si="23"/>
        <v>240372.37</v>
      </c>
    </row>
    <row r="968" spans="1:9" ht="13.9" hidden="1" customHeight="1" outlineLevel="1">
      <c r="A968" s="424" t="s">
        <v>1855</v>
      </c>
      <c r="B968" s="208">
        <v>52889.26</v>
      </c>
      <c r="C968" s="208">
        <v>0</v>
      </c>
      <c r="D968" s="208">
        <v>0</v>
      </c>
      <c r="E968" s="208">
        <v>0</v>
      </c>
      <c r="F968" s="208">
        <v>0</v>
      </c>
      <c r="G968" s="208">
        <v>0</v>
      </c>
      <c r="H968" s="208">
        <v>0</v>
      </c>
      <c r="I968" s="386">
        <f t="shared" si="23"/>
        <v>52889.26</v>
      </c>
    </row>
    <row r="969" spans="1:9" ht="13.9" hidden="1" customHeight="1" outlineLevel="1">
      <c r="A969" s="424" t="s">
        <v>134</v>
      </c>
      <c r="B969" s="208">
        <v>248541.32</v>
      </c>
      <c r="C969" s="208">
        <v>0</v>
      </c>
      <c r="D969" s="208">
        <v>0</v>
      </c>
      <c r="E969" s="208">
        <v>0</v>
      </c>
      <c r="F969" s="208">
        <v>0</v>
      </c>
      <c r="G969" s="208">
        <v>0</v>
      </c>
      <c r="H969" s="208">
        <v>0</v>
      </c>
      <c r="I969" s="386">
        <f t="shared" si="23"/>
        <v>248541.32</v>
      </c>
    </row>
    <row r="970" spans="1:9" ht="13.9" hidden="1" customHeight="1" outlineLevel="1">
      <c r="A970" s="424" t="s">
        <v>136</v>
      </c>
      <c r="B970" s="208">
        <v>462862.28</v>
      </c>
      <c r="C970" s="208">
        <v>0</v>
      </c>
      <c r="D970" s="208">
        <v>0</v>
      </c>
      <c r="E970" s="208">
        <v>0</v>
      </c>
      <c r="F970" s="208">
        <v>0</v>
      </c>
      <c r="G970" s="208">
        <v>0</v>
      </c>
      <c r="H970" s="208">
        <v>0</v>
      </c>
      <c r="I970" s="386">
        <f t="shared" si="23"/>
        <v>462862.28</v>
      </c>
    </row>
    <row r="971" spans="1:9" ht="13.9" hidden="1" customHeight="1" outlineLevel="1">
      <c r="A971" s="424" t="s">
        <v>138</v>
      </c>
      <c r="B971" s="208">
        <v>16541.75</v>
      </c>
      <c r="C971" s="208">
        <v>0</v>
      </c>
      <c r="D971" s="208">
        <v>0</v>
      </c>
      <c r="E971" s="208">
        <v>0</v>
      </c>
      <c r="F971" s="208">
        <v>0</v>
      </c>
      <c r="G971" s="208">
        <v>0</v>
      </c>
      <c r="H971" s="208">
        <v>0</v>
      </c>
      <c r="I971" s="386">
        <f t="shared" si="23"/>
        <v>16541.75</v>
      </c>
    </row>
    <row r="972" spans="1:9" ht="13.9" hidden="1" customHeight="1" outlineLevel="1">
      <c r="A972" s="424" t="s">
        <v>140</v>
      </c>
      <c r="B972" s="208">
        <v>114983.66</v>
      </c>
      <c r="C972" s="208">
        <v>0</v>
      </c>
      <c r="D972" s="208">
        <v>0</v>
      </c>
      <c r="E972" s="208">
        <v>0</v>
      </c>
      <c r="F972" s="208">
        <v>0</v>
      </c>
      <c r="G972" s="208">
        <v>0</v>
      </c>
      <c r="H972" s="208">
        <v>0</v>
      </c>
      <c r="I972" s="386">
        <f t="shared" si="23"/>
        <v>114983.66</v>
      </c>
    </row>
    <row r="973" spans="1:9" ht="13.9" hidden="1" customHeight="1" outlineLevel="1">
      <c r="A973" s="424" t="s">
        <v>142</v>
      </c>
      <c r="B973" s="208">
        <v>75805.66</v>
      </c>
      <c r="C973" s="208">
        <v>0</v>
      </c>
      <c r="D973" s="208">
        <v>0</v>
      </c>
      <c r="E973" s="208">
        <v>0</v>
      </c>
      <c r="F973" s="208">
        <v>0</v>
      </c>
      <c r="G973" s="208">
        <v>0</v>
      </c>
      <c r="H973" s="208">
        <v>0</v>
      </c>
      <c r="I973" s="386">
        <f t="shared" si="23"/>
        <v>75805.66</v>
      </c>
    </row>
    <row r="974" spans="1:9" ht="13.9" hidden="1" customHeight="1" outlineLevel="1">
      <c r="A974" s="424" t="s">
        <v>144</v>
      </c>
      <c r="B974" s="208">
        <v>273142.21999999997</v>
      </c>
      <c r="C974" s="208">
        <v>0</v>
      </c>
      <c r="D974" s="208">
        <v>0</v>
      </c>
      <c r="E974" s="208">
        <v>0</v>
      </c>
      <c r="F974" s="208">
        <v>0</v>
      </c>
      <c r="G974" s="208">
        <v>0</v>
      </c>
      <c r="H974" s="208">
        <v>0</v>
      </c>
      <c r="I974" s="386">
        <f t="shared" si="23"/>
        <v>273142.21999999997</v>
      </c>
    </row>
    <row r="975" spans="1:9" ht="13.9" hidden="1" customHeight="1" outlineLevel="1">
      <c r="A975" s="424" t="s">
        <v>146</v>
      </c>
      <c r="B975" s="208">
        <v>214430.98</v>
      </c>
      <c r="C975" s="208">
        <v>0</v>
      </c>
      <c r="D975" s="208">
        <v>0</v>
      </c>
      <c r="E975" s="208">
        <v>0</v>
      </c>
      <c r="F975" s="208">
        <v>0</v>
      </c>
      <c r="G975" s="208">
        <v>0</v>
      </c>
      <c r="H975" s="208">
        <v>0</v>
      </c>
      <c r="I975" s="386">
        <f t="shared" si="23"/>
        <v>214430.98</v>
      </c>
    </row>
    <row r="976" spans="1:9" ht="13.9" hidden="1" customHeight="1" outlineLevel="1">
      <c r="A976" s="424" t="s">
        <v>148</v>
      </c>
      <c r="B976" s="208">
        <v>696946.18</v>
      </c>
      <c r="C976" s="208">
        <v>0</v>
      </c>
      <c r="D976" s="208">
        <v>0</v>
      </c>
      <c r="E976" s="208">
        <v>0</v>
      </c>
      <c r="F976" s="208">
        <v>782.24</v>
      </c>
      <c r="G976" s="208">
        <v>0</v>
      </c>
      <c r="H976" s="208">
        <v>0</v>
      </c>
      <c r="I976" s="386">
        <f t="shared" si="23"/>
        <v>697728.42</v>
      </c>
    </row>
    <row r="977" spans="1:9" ht="13.9" hidden="1" customHeight="1" outlineLevel="1">
      <c r="A977" s="424" t="s">
        <v>150</v>
      </c>
      <c r="B977" s="208">
        <v>216223.29</v>
      </c>
      <c r="C977" s="208">
        <v>0</v>
      </c>
      <c r="D977" s="208">
        <v>0</v>
      </c>
      <c r="E977" s="208">
        <v>0</v>
      </c>
      <c r="F977" s="208">
        <v>0</v>
      </c>
      <c r="G977" s="208">
        <v>0</v>
      </c>
      <c r="H977" s="208">
        <v>0</v>
      </c>
      <c r="I977" s="386">
        <f t="shared" si="23"/>
        <v>216223.29</v>
      </c>
    </row>
    <row r="978" spans="1:9" ht="13.9" hidden="1" customHeight="1" outlineLevel="1">
      <c r="A978" s="424" t="s">
        <v>152</v>
      </c>
      <c r="B978" s="208">
        <v>161335.18</v>
      </c>
      <c r="C978" s="208">
        <v>0</v>
      </c>
      <c r="D978" s="208">
        <v>0</v>
      </c>
      <c r="E978" s="208">
        <v>0</v>
      </c>
      <c r="F978" s="208">
        <v>0</v>
      </c>
      <c r="G978" s="208">
        <v>0</v>
      </c>
      <c r="H978" s="208">
        <v>0</v>
      </c>
      <c r="I978" s="386">
        <f t="shared" si="23"/>
        <v>161335.18</v>
      </c>
    </row>
    <row r="979" spans="1:9" ht="13.9" hidden="1" customHeight="1" outlineLevel="1">
      <c r="A979" s="424" t="s">
        <v>154</v>
      </c>
      <c r="B979" s="208">
        <v>519933.95</v>
      </c>
      <c r="C979" s="208">
        <v>0</v>
      </c>
      <c r="D979" s="208">
        <v>0</v>
      </c>
      <c r="E979" s="208">
        <v>0</v>
      </c>
      <c r="F979" s="208">
        <v>0</v>
      </c>
      <c r="G979" s="208">
        <v>0</v>
      </c>
      <c r="H979" s="208">
        <v>0</v>
      </c>
      <c r="I979" s="386">
        <f t="shared" si="23"/>
        <v>519933.95</v>
      </c>
    </row>
    <row r="980" spans="1:9" ht="13.9" hidden="1" customHeight="1" outlineLevel="1">
      <c r="A980" s="424" t="s">
        <v>156</v>
      </c>
      <c r="B980" s="208">
        <v>111183.95</v>
      </c>
      <c r="C980" s="208">
        <v>0</v>
      </c>
      <c r="D980" s="208">
        <v>0</v>
      </c>
      <c r="E980" s="208">
        <v>0</v>
      </c>
      <c r="F980" s="208">
        <v>0</v>
      </c>
      <c r="G980" s="208">
        <v>0</v>
      </c>
      <c r="H980" s="208">
        <v>0</v>
      </c>
      <c r="I980" s="386">
        <f t="shared" si="23"/>
        <v>111183.95</v>
      </c>
    </row>
    <row r="981" spans="1:9" ht="13.9" hidden="1" customHeight="1" outlineLevel="1">
      <c r="A981" s="424" t="s">
        <v>158</v>
      </c>
      <c r="B981" s="208">
        <v>227146.14</v>
      </c>
      <c r="C981" s="208">
        <v>0</v>
      </c>
      <c r="D981" s="208">
        <v>0</v>
      </c>
      <c r="E981" s="208">
        <v>0</v>
      </c>
      <c r="F981" s="208">
        <v>0</v>
      </c>
      <c r="G981" s="208">
        <v>0</v>
      </c>
      <c r="H981" s="208">
        <v>0</v>
      </c>
      <c r="I981" s="386">
        <f t="shared" si="23"/>
        <v>227146.14</v>
      </c>
    </row>
    <row r="982" spans="1:9" ht="13.9" hidden="1" customHeight="1" outlineLevel="1">
      <c r="A982" s="424" t="s">
        <v>160</v>
      </c>
      <c r="B982" s="208">
        <v>313373.71000000002</v>
      </c>
      <c r="C982" s="208">
        <v>0</v>
      </c>
      <c r="D982" s="208">
        <v>0</v>
      </c>
      <c r="E982" s="208">
        <v>0</v>
      </c>
      <c r="F982" s="208">
        <v>0</v>
      </c>
      <c r="G982" s="208">
        <v>0</v>
      </c>
      <c r="H982" s="208">
        <v>0</v>
      </c>
      <c r="I982" s="386">
        <f t="shared" si="23"/>
        <v>313373.71000000002</v>
      </c>
    </row>
    <row r="983" spans="1:9" ht="13.9" hidden="1" customHeight="1" outlineLevel="1">
      <c r="A983" s="424" t="s">
        <v>162</v>
      </c>
      <c r="B983" s="208">
        <v>100902.98</v>
      </c>
      <c r="C983" s="208">
        <v>0</v>
      </c>
      <c r="D983" s="208">
        <v>0</v>
      </c>
      <c r="E983" s="208">
        <v>0</v>
      </c>
      <c r="F983" s="208">
        <v>0</v>
      </c>
      <c r="G983" s="208">
        <v>0</v>
      </c>
      <c r="H983" s="208">
        <v>0</v>
      </c>
      <c r="I983" s="386">
        <f t="shared" si="23"/>
        <v>100902.98</v>
      </c>
    </row>
    <row r="984" spans="1:9" ht="13.9" hidden="1" customHeight="1" outlineLevel="1">
      <c r="A984" s="424" t="s">
        <v>164</v>
      </c>
      <c r="B984" s="208">
        <v>93147.39</v>
      </c>
      <c r="C984" s="208">
        <v>0</v>
      </c>
      <c r="D984" s="208">
        <v>0</v>
      </c>
      <c r="E984" s="208">
        <v>0</v>
      </c>
      <c r="F984" s="208">
        <v>0</v>
      </c>
      <c r="G984" s="208">
        <v>0</v>
      </c>
      <c r="H984" s="208">
        <v>0</v>
      </c>
      <c r="I984" s="386">
        <f t="shared" si="23"/>
        <v>93147.39</v>
      </c>
    </row>
    <row r="985" spans="1:9" ht="13.9" hidden="1" customHeight="1" outlineLevel="1">
      <c r="A985" s="424" t="s">
        <v>166</v>
      </c>
      <c r="B985" s="208">
        <v>2503278.54</v>
      </c>
      <c r="C985" s="208">
        <v>0</v>
      </c>
      <c r="D985" s="208">
        <v>0</v>
      </c>
      <c r="E985" s="208">
        <v>0</v>
      </c>
      <c r="F985" s="208">
        <v>0</v>
      </c>
      <c r="G985" s="208">
        <v>0</v>
      </c>
      <c r="H985" s="208">
        <v>0</v>
      </c>
      <c r="I985" s="386">
        <f t="shared" si="23"/>
        <v>2503278.54</v>
      </c>
    </row>
    <row r="986" spans="1:9" ht="13.9" hidden="1" customHeight="1" outlineLevel="1">
      <c r="A986" s="424" t="s">
        <v>168</v>
      </c>
      <c r="B986" s="208">
        <v>1405648.23</v>
      </c>
      <c r="C986" s="208">
        <v>0</v>
      </c>
      <c r="D986" s="208">
        <v>0</v>
      </c>
      <c r="E986" s="208">
        <v>0</v>
      </c>
      <c r="F986" s="208">
        <v>2697.23</v>
      </c>
      <c r="G986" s="208">
        <v>0</v>
      </c>
      <c r="H986" s="208">
        <v>0</v>
      </c>
      <c r="I986" s="386">
        <f t="shared" si="23"/>
        <v>1408345.46</v>
      </c>
    </row>
    <row r="987" spans="1:9" ht="13.9" hidden="1" customHeight="1" outlineLevel="1">
      <c r="A987" s="424" t="s">
        <v>170</v>
      </c>
      <c r="B987" s="208">
        <v>142844.79</v>
      </c>
      <c r="C987" s="208">
        <v>0</v>
      </c>
      <c r="D987" s="208">
        <v>0</v>
      </c>
      <c r="E987" s="208">
        <v>0</v>
      </c>
      <c r="F987" s="208">
        <v>0</v>
      </c>
      <c r="G987" s="208">
        <v>0</v>
      </c>
      <c r="H987" s="208">
        <v>0</v>
      </c>
      <c r="I987" s="386">
        <f t="shared" si="23"/>
        <v>142844.79</v>
      </c>
    </row>
    <row r="988" spans="1:9" ht="13.9" hidden="1" customHeight="1" outlineLevel="1">
      <c r="A988" s="424" t="s">
        <v>172</v>
      </c>
      <c r="B988" s="208">
        <v>5060.78</v>
      </c>
      <c r="C988" s="208">
        <v>0</v>
      </c>
      <c r="D988" s="208">
        <v>0</v>
      </c>
      <c r="E988" s="208">
        <v>0</v>
      </c>
      <c r="F988" s="208">
        <v>0</v>
      </c>
      <c r="G988" s="208">
        <v>0</v>
      </c>
      <c r="H988" s="208">
        <v>0</v>
      </c>
      <c r="I988" s="386">
        <f t="shared" si="23"/>
        <v>5060.78</v>
      </c>
    </row>
    <row r="989" spans="1:9" ht="13.9" hidden="1" customHeight="1" outlineLevel="1">
      <c r="A989" s="424" t="s">
        <v>174</v>
      </c>
      <c r="B989" s="208">
        <v>85402.12</v>
      </c>
      <c r="C989" s="208">
        <v>0</v>
      </c>
      <c r="D989" s="208">
        <v>0</v>
      </c>
      <c r="E989" s="208">
        <v>0</v>
      </c>
      <c r="F989" s="208">
        <v>0</v>
      </c>
      <c r="G989" s="208">
        <v>0</v>
      </c>
      <c r="H989" s="208">
        <v>0</v>
      </c>
      <c r="I989" s="386">
        <f t="shared" si="23"/>
        <v>85402.12</v>
      </c>
    </row>
    <row r="990" spans="1:9" ht="13.9" hidden="1" customHeight="1" outlineLevel="1">
      <c r="A990" s="424" t="s">
        <v>176</v>
      </c>
      <c r="B990" s="208">
        <v>629491.76</v>
      </c>
      <c r="C990" s="208">
        <v>0</v>
      </c>
      <c r="D990" s="208">
        <v>0</v>
      </c>
      <c r="E990" s="208">
        <v>0</v>
      </c>
      <c r="F990" s="208">
        <v>826.3</v>
      </c>
      <c r="G990" s="208">
        <v>0</v>
      </c>
      <c r="H990" s="208">
        <v>0</v>
      </c>
      <c r="I990" s="386">
        <f t="shared" si="23"/>
        <v>630318.06000000006</v>
      </c>
    </row>
    <row r="991" spans="1:9" ht="13.9" hidden="1" customHeight="1" outlineLevel="1">
      <c r="A991" s="424" t="s">
        <v>178</v>
      </c>
      <c r="B991" s="208">
        <v>269555.76</v>
      </c>
      <c r="C991" s="208">
        <v>0</v>
      </c>
      <c r="D991" s="208">
        <v>0</v>
      </c>
      <c r="E991" s="208">
        <v>0</v>
      </c>
      <c r="F991" s="208">
        <v>0</v>
      </c>
      <c r="G991" s="208">
        <v>0</v>
      </c>
      <c r="H991" s="208">
        <v>0</v>
      </c>
      <c r="I991" s="386">
        <f t="shared" si="23"/>
        <v>269555.76</v>
      </c>
    </row>
    <row r="992" spans="1:9" ht="13.9" hidden="1" customHeight="1" outlineLevel="1">
      <c r="A992" s="424" t="s">
        <v>180</v>
      </c>
      <c r="B992" s="208">
        <v>118572.99</v>
      </c>
      <c r="C992" s="208">
        <v>0</v>
      </c>
      <c r="D992" s="208">
        <v>0</v>
      </c>
      <c r="E992" s="208">
        <v>0</v>
      </c>
      <c r="F992" s="208">
        <v>0</v>
      </c>
      <c r="G992" s="208">
        <v>0</v>
      </c>
      <c r="H992" s="208">
        <v>0</v>
      </c>
      <c r="I992" s="386">
        <f t="shared" si="23"/>
        <v>118572.99</v>
      </c>
    </row>
    <row r="993" spans="1:9" ht="13.9" hidden="1" customHeight="1" outlineLevel="1">
      <c r="A993" s="424" t="s">
        <v>182</v>
      </c>
      <c r="B993" s="208">
        <v>608482.05000000005</v>
      </c>
      <c r="C993" s="208">
        <v>0</v>
      </c>
      <c r="D993" s="208">
        <v>0</v>
      </c>
      <c r="E993" s="208">
        <v>0</v>
      </c>
      <c r="F993" s="208">
        <v>0</v>
      </c>
      <c r="G993" s="208">
        <v>0</v>
      </c>
      <c r="H993" s="208">
        <v>0</v>
      </c>
      <c r="I993" s="386">
        <f t="shared" si="23"/>
        <v>608482.05000000005</v>
      </c>
    </row>
    <row r="994" spans="1:9" ht="13.9" hidden="1" customHeight="1" outlineLevel="1">
      <c r="A994" s="424" t="s">
        <v>184</v>
      </c>
      <c r="B994" s="208">
        <v>95758.14</v>
      </c>
      <c r="C994" s="208">
        <v>0</v>
      </c>
      <c r="D994" s="208">
        <v>0</v>
      </c>
      <c r="E994" s="208">
        <v>0</v>
      </c>
      <c r="F994" s="208">
        <v>0</v>
      </c>
      <c r="G994" s="208">
        <v>0</v>
      </c>
      <c r="H994" s="208">
        <v>0</v>
      </c>
      <c r="I994" s="386">
        <f t="shared" si="23"/>
        <v>95758.14</v>
      </c>
    </row>
    <row r="995" spans="1:9" ht="13.9" hidden="1" customHeight="1" outlineLevel="1">
      <c r="A995" s="424" t="s">
        <v>186</v>
      </c>
      <c r="B995" s="208">
        <v>171166.5</v>
      </c>
      <c r="C995" s="208">
        <v>0</v>
      </c>
      <c r="D995" s="208">
        <v>0</v>
      </c>
      <c r="E995" s="208">
        <v>0</v>
      </c>
      <c r="F995" s="208">
        <v>0</v>
      </c>
      <c r="G995" s="208">
        <v>0</v>
      </c>
      <c r="H995" s="208">
        <v>0</v>
      </c>
      <c r="I995" s="386">
        <f t="shared" si="23"/>
        <v>171166.5</v>
      </c>
    </row>
    <row r="996" spans="1:9" ht="13.9" hidden="1" customHeight="1" outlineLevel="1">
      <c r="A996" s="424" t="s">
        <v>188</v>
      </c>
      <c r="B996" s="208">
        <v>249669.26</v>
      </c>
      <c r="C996" s="208">
        <v>0</v>
      </c>
      <c r="D996" s="208">
        <v>0</v>
      </c>
      <c r="E996" s="208">
        <v>0</v>
      </c>
      <c r="F996" s="208">
        <v>0</v>
      </c>
      <c r="G996" s="208">
        <v>0</v>
      </c>
      <c r="H996" s="208">
        <v>0</v>
      </c>
      <c r="I996" s="386">
        <f t="shared" si="23"/>
        <v>249669.26</v>
      </c>
    </row>
    <row r="997" spans="1:9" ht="13.9" hidden="1" customHeight="1" outlineLevel="1">
      <c r="A997" s="424" t="s">
        <v>190</v>
      </c>
      <c r="B997" s="208">
        <v>2023512.72</v>
      </c>
      <c r="C997" s="208">
        <v>0</v>
      </c>
      <c r="D997" s="208">
        <v>0</v>
      </c>
      <c r="E997" s="208">
        <v>0</v>
      </c>
      <c r="F997" s="208">
        <v>5680.02</v>
      </c>
      <c r="G997" s="208">
        <v>0</v>
      </c>
      <c r="H997" s="208">
        <v>0</v>
      </c>
      <c r="I997" s="386">
        <f t="shared" si="23"/>
        <v>2029192.74</v>
      </c>
    </row>
    <row r="998" spans="1:9" ht="13.9" hidden="1" customHeight="1" outlineLevel="1">
      <c r="A998" s="424" t="s">
        <v>192</v>
      </c>
      <c r="B998" s="208">
        <v>142433.13</v>
      </c>
      <c r="C998" s="208">
        <v>0</v>
      </c>
      <c r="D998" s="208">
        <v>0</v>
      </c>
      <c r="E998" s="208">
        <v>0</v>
      </c>
      <c r="F998" s="208">
        <v>0</v>
      </c>
      <c r="G998" s="208">
        <v>0</v>
      </c>
      <c r="H998" s="208">
        <v>0</v>
      </c>
      <c r="I998" s="386">
        <f t="shared" si="23"/>
        <v>142433.13</v>
      </c>
    </row>
    <row r="999" spans="1:9" ht="13.9" hidden="1" customHeight="1" outlineLevel="1">
      <c r="A999" s="424" t="s">
        <v>194</v>
      </c>
      <c r="B999" s="208">
        <v>45634.31</v>
      </c>
      <c r="C999" s="208">
        <v>0</v>
      </c>
      <c r="D999" s="208">
        <v>0</v>
      </c>
      <c r="E999" s="208">
        <v>0</v>
      </c>
      <c r="F999" s="208">
        <v>0</v>
      </c>
      <c r="G999" s="208">
        <v>0</v>
      </c>
      <c r="H999" s="208">
        <v>0</v>
      </c>
      <c r="I999" s="386">
        <f t="shared" si="23"/>
        <v>45634.31</v>
      </c>
    </row>
    <row r="1000" spans="1:9" ht="13.9" hidden="1" customHeight="1" outlineLevel="1">
      <c r="A1000" s="424" t="s">
        <v>196</v>
      </c>
      <c r="B1000" s="208">
        <v>71181.17</v>
      </c>
      <c r="C1000" s="208">
        <v>0</v>
      </c>
      <c r="D1000" s="208">
        <v>0</v>
      </c>
      <c r="E1000" s="208">
        <v>0</v>
      </c>
      <c r="F1000" s="208">
        <v>0</v>
      </c>
      <c r="G1000" s="208">
        <v>0</v>
      </c>
      <c r="H1000" s="208">
        <v>0</v>
      </c>
      <c r="I1000" s="386">
        <f t="shared" si="23"/>
        <v>71181.17</v>
      </c>
    </row>
    <row r="1001" spans="1:9" ht="13.9" hidden="1" customHeight="1" outlineLevel="1">
      <c r="A1001" s="424" t="s">
        <v>198</v>
      </c>
      <c r="B1001" s="208">
        <v>231399.59</v>
      </c>
      <c r="C1001" s="208">
        <v>0</v>
      </c>
      <c r="D1001" s="208">
        <v>0</v>
      </c>
      <c r="E1001" s="208">
        <v>0</v>
      </c>
      <c r="F1001" s="208">
        <v>0</v>
      </c>
      <c r="G1001" s="208">
        <v>0</v>
      </c>
      <c r="H1001" s="208">
        <v>0</v>
      </c>
      <c r="I1001" s="386">
        <f t="shared" si="23"/>
        <v>231399.59</v>
      </c>
    </row>
    <row r="1002" spans="1:9" ht="13.9" hidden="1" customHeight="1" outlineLevel="1">
      <c r="A1002" s="424" t="s">
        <v>200</v>
      </c>
      <c r="B1002" s="208">
        <v>109167.08</v>
      </c>
      <c r="C1002" s="208">
        <v>0</v>
      </c>
      <c r="D1002" s="208">
        <v>0</v>
      </c>
      <c r="E1002" s="208">
        <v>0</v>
      </c>
      <c r="F1002" s="208">
        <v>0</v>
      </c>
      <c r="G1002" s="208">
        <v>0</v>
      </c>
      <c r="H1002" s="208">
        <v>0</v>
      </c>
      <c r="I1002" s="386">
        <f t="shared" si="23"/>
        <v>109167.08</v>
      </c>
    </row>
    <row r="1003" spans="1:9" ht="13.9" hidden="1" customHeight="1" outlineLevel="1">
      <c r="A1003" s="424" t="s">
        <v>202</v>
      </c>
      <c r="B1003" s="208">
        <v>451566.69</v>
      </c>
      <c r="C1003" s="208">
        <v>0</v>
      </c>
      <c r="D1003" s="208">
        <v>0</v>
      </c>
      <c r="E1003" s="208">
        <v>0</v>
      </c>
      <c r="F1003" s="208">
        <v>0</v>
      </c>
      <c r="G1003" s="208">
        <v>0</v>
      </c>
      <c r="H1003" s="208">
        <v>0</v>
      </c>
      <c r="I1003" s="386">
        <f t="shared" si="23"/>
        <v>451566.69</v>
      </c>
    </row>
    <row r="1004" spans="1:9" ht="13.9" hidden="1" customHeight="1" outlineLevel="1">
      <c r="A1004" s="424" t="s">
        <v>204</v>
      </c>
      <c r="B1004" s="208">
        <v>333777.96999999997</v>
      </c>
      <c r="C1004" s="208">
        <v>0</v>
      </c>
      <c r="D1004" s="208">
        <v>0</v>
      </c>
      <c r="E1004" s="208">
        <v>0</v>
      </c>
      <c r="F1004" s="208">
        <v>0</v>
      </c>
      <c r="G1004" s="208">
        <v>0</v>
      </c>
      <c r="H1004" s="208">
        <v>0</v>
      </c>
      <c r="I1004" s="386">
        <f t="shared" si="23"/>
        <v>333777.96999999997</v>
      </c>
    </row>
    <row r="1005" spans="1:9" ht="13.9" hidden="1" customHeight="1" outlineLevel="1">
      <c r="A1005" s="424" t="s">
        <v>206</v>
      </c>
      <c r="B1005" s="208">
        <v>2132.5</v>
      </c>
      <c r="C1005" s="208">
        <v>0</v>
      </c>
      <c r="D1005" s="208">
        <v>0</v>
      </c>
      <c r="E1005" s="208">
        <v>0</v>
      </c>
      <c r="F1005" s="208">
        <v>0</v>
      </c>
      <c r="G1005" s="208">
        <v>0</v>
      </c>
      <c r="H1005" s="208">
        <v>0</v>
      </c>
      <c r="I1005" s="386">
        <f t="shared" si="23"/>
        <v>2132.5</v>
      </c>
    </row>
    <row r="1006" spans="1:9" ht="13.9" hidden="1" customHeight="1" outlineLevel="1">
      <c r="A1006" s="424" t="s">
        <v>208</v>
      </c>
      <c r="B1006" s="208">
        <v>255461.68</v>
      </c>
      <c r="C1006" s="208">
        <v>0</v>
      </c>
      <c r="D1006" s="208">
        <v>0</v>
      </c>
      <c r="E1006" s="208">
        <v>0</v>
      </c>
      <c r="F1006" s="208">
        <v>0</v>
      </c>
      <c r="G1006" s="208">
        <v>0</v>
      </c>
      <c r="H1006" s="208">
        <v>0</v>
      </c>
      <c r="I1006" s="386">
        <f t="shared" si="23"/>
        <v>255461.68</v>
      </c>
    </row>
    <row r="1007" spans="1:9" ht="13.9" hidden="1" customHeight="1" outlineLevel="1">
      <c r="A1007" s="424" t="s">
        <v>210</v>
      </c>
      <c r="B1007" s="208">
        <v>159648.04999999999</v>
      </c>
      <c r="C1007" s="208">
        <v>0</v>
      </c>
      <c r="D1007" s="208">
        <v>0</v>
      </c>
      <c r="E1007" s="208">
        <v>0</v>
      </c>
      <c r="F1007" s="208">
        <v>0</v>
      </c>
      <c r="G1007" s="208">
        <v>0</v>
      </c>
      <c r="H1007" s="208">
        <v>0</v>
      </c>
      <c r="I1007" s="386">
        <f t="shared" ref="I1007:I1070" si="24">+SUM(B1007:H1007)</f>
        <v>159648.04999999999</v>
      </c>
    </row>
    <row r="1008" spans="1:9" ht="13.9" hidden="1" customHeight="1" outlineLevel="1">
      <c r="A1008" s="424" t="s">
        <v>212</v>
      </c>
      <c r="B1008" s="208">
        <v>174471.54</v>
      </c>
      <c r="C1008" s="208">
        <v>0</v>
      </c>
      <c r="D1008" s="208">
        <v>0</v>
      </c>
      <c r="E1008" s="208">
        <v>0</v>
      </c>
      <c r="F1008" s="208">
        <v>0</v>
      </c>
      <c r="G1008" s="208">
        <v>0</v>
      </c>
      <c r="H1008" s="208">
        <v>0</v>
      </c>
      <c r="I1008" s="386">
        <f t="shared" si="24"/>
        <v>174471.54</v>
      </c>
    </row>
    <row r="1009" spans="1:9" ht="13.9" hidden="1" customHeight="1" outlineLevel="1">
      <c r="A1009" s="424" t="s">
        <v>214</v>
      </c>
      <c r="B1009" s="208">
        <v>319604.77</v>
      </c>
      <c r="C1009" s="208">
        <v>0</v>
      </c>
      <c r="D1009" s="208">
        <v>0</v>
      </c>
      <c r="E1009" s="208">
        <v>0</v>
      </c>
      <c r="F1009" s="208">
        <v>0</v>
      </c>
      <c r="G1009" s="208">
        <v>0</v>
      </c>
      <c r="H1009" s="208">
        <v>0</v>
      </c>
      <c r="I1009" s="386">
        <f t="shared" si="24"/>
        <v>319604.77</v>
      </c>
    </row>
    <row r="1010" spans="1:9" ht="13.9" hidden="1" customHeight="1" outlineLevel="1">
      <c r="A1010" s="424" t="s">
        <v>216</v>
      </c>
      <c r="B1010" s="208">
        <v>142059.96</v>
      </c>
      <c r="C1010" s="208">
        <v>0</v>
      </c>
      <c r="D1010" s="208">
        <v>0</v>
      </c>
      <c r="E1010" s="208">
        <v>0</v>
      </c>
      <c r="F1010" s="208">
        <v>0</v>
      </c>
      <c r="G1010" s="208">
        <v>0</v>
      </c>
      <c r="H1010" s="208">
        <v>0</v>
      </c>
      <c r="I1010" s="386">
        <f t="shared" si="24"/>
        <v>142059.96</v>
      </c>
    </row>
    <row r="1011" spans="1:9" ht="13.9" hidden="1" customHeight="1" outlineLevel="1">
      <c r="A1011" s="424" t="s">
        <v>1856</v>
      </c>
      <c r="B1011" s="208">
        <v>285164.18</v>
      </c>
      <c r="C1011" s="208">
        <v>0</v>
      </c>
      <c r="D1011" s="208">
        <v>0</v>
      </c>
      <c r="E1011" s="208">
        <v>0</v>
      </c>
      <c r="F1011" s="208">
        <v>0</v>
      </c>
      <c r="G1011" s="208">
        <v>0</v>
      </c>
      <c r="H1011" s="208">
        <v>0</v>
      </c>
      <c r="I1011" s="386">
        <f t="shared" si="24"/>
        <v>285164.18</v>
      </c>
    </row>
    <row r="1012" spans="1:9" ht="13.9" hidden="1" customHeight="1" outlineLevel="1">
      <c r="A1012" s="424" t="s">
        <v>218</v>
      </c>
      <c r="B1012" s="208">
        <v>512360.39</v>
      </c>
      <c r="C1012" s="208">
        <v>0</v>
      </c>
      <c r="D1012" s="208">
        <v>0</v>
      </c>
      <c r="E1012" s="208">
        <v>0</v>
      </c>
      <c r="F1012" s="208">
        <v>0</v>
      </c>
      <c r="G1012" s="208">
        <v>0</v>
      </c>
      <c r="H1012" s="208">
        <v>0</v>
      </c>
      <c r="I1012" s="386">
        <f t="shared" si="24"/>
        <v>512360.39</v>
      </c>
    </row>
    <row r="1013" spans="1:9" ht="13.9" hidden="1" customHeight="1" outlineLevel="1">
      <c r="A1013" s="424" t="s">
        <v>220</v>
      </c>
      <c r="B1013" s="208">
        <v>1781358.28</v>
      </c>
      <c r="C1013" s="208">
        <v>0</v>
      </c>
      <c r="D1013" s="208">
        <v>0</v>
      </c>
      <c r="E1013" s="208">
        <v>0</v>
      </c>
      <c r="F1013" s="208">
        <v>0</v>
      </c>
      <c r="G1013" s="208">
        <v>0</v>
      </c>
      <c r="H1013" s="208">
        <v>0</v>
      </c>
      <c r="I1013" s="386">
        <f t="shared" si="24"/>
        <v>1781358.28</v>
      </c>
    </row>
    <row r="1014" spans="1:9" ht="13.9" hidden="1" customHeight="1" outlineLevel="1">
      <c r="A1014" s="424" t="s">
        <v>222</v>
      </c>
      <c r="B1014" s="208">
        <v>141816.63</v>
      </c>
      <c r="C1014" s="208">
        <v>0</v>
      </c>
      <c r="D1014" s="208">
        <v>0</v>
      </c>
      <c r="E1014" s="208">
        <v>0</v>
      </c>
      <c r="F1014" s="208">
        <v>0</v>
      </c>
      <c r="G1014" s="208">
        <v>0</v>
      </c>
      <c r="H1014" s="208">
        <v>0</v>
      </c>
      <c r="I1014" s="386">
        <f t="shared" si="24"/>
        <v>141816.63</v>
      </c>
    </row>
    <row r="1015" spans="1:9" ht="13.9" hidden="1" customHeight="1" outlineLevel="1">
      <c r="A1015" s="424" t="s">
        <v>224</v>
      </c>
      <c r="B1015" s="208">
        <v>156482.54999999999</v>
      </c>
      <c r="C1015" s="208">
        <v>0</v>
      </c>
      <c r="D1015" s="208">
        <v>0</v>
      </c>
      <c r="E1015" s="208">
        <v>0</v>
      </c>
      <c r="F1015" s="208">
        <v>0</v>
      </c>
      <c r="G1015" s="208">
        <v>0</v>
      </c>
      <c r="H1015" s="208">
        <v>0</v>
      </c>
      <c r="I1015" s="386">
        <f t="shared" si="24"/>
        <v>156482.54999999999</v>
      </c>
    </row>
    <row r="1016" spans="1:9" ht="13.9" hidden="1" customHeight="1" outlineLevel="1">
      <c r="A1016" s="424" t="s">
        <v>226</v>
      </c>
      <c r="B1016" s="208">
        <v>91516.05</v>
      </c>
      <c r="C1016" s="208">
        <v>0</v>
      </c>
      <c r="D1016" s="208">
        <v>0</v>
      </c>
      <c r="E1016" s="208">
        <v>0</v>
      </c>
      <c r="F1016" s="208">
        <v>0</v>
      </c>
      <c r="G1016" s="208">
        <v>0</v>
      </c>
      <c r="H1016" s="208">
        <v>0</v>
      </c>
      <c r="I1016" s="386">
        <f t="shared" si="24"/>
        <v>91516.05</v>
      </c>
    </row>
    <row r="1017" spans="1:9" ht="13.9" hidden="1" customHeight="1" outlineLevel="1">
      <c r="A1017" s="424" t="s">
        <v>228</v>
      </c>
      <c r="B1017" s="208">
        <v>18880276.949999999</v>
      </c>
      <c r="C1017" s="208">
        <v>0</v>
      </c>
      <c r="D1017" s="208">
        <v>0</v>
      </c>
      <c r="E1017" s="208">
        <v>0</v>
      </c>
      <c r="F1017" s="208">
        <v>0</v>
      </c>
      <c r="G1017" s="208">
        <v>1073.03</v>
      </c>
      <c r="H1017" s="208">
        <v>0</v>
      </c>
      <c r="I1017" s="386">
        <f t="shared" si="24"/>
        <v>18881349.98</v>
      </c>
    </row>
    <row r="1018" spans="1:9" ht="13.9" hidden="1" customHeight="1" outlineLevel="1">
      <c r="A1018" s="424" t="s">
        <v>230</v>
      </c>
      <c r="B1018" s="208">
        <v>243390.28</v>
      </c>
      <c r="C1018" s="208">
        <v>0</v>
      </c>
      <c r="D1018" s="208">
        <v>0</v>
      </c>
      <c r="E1018" s="208">
        <v>0</v>
      </c>
      <c r="F1018" s="208">
        <v>0</v>
      </c>
      <c r="G1018" s="208">
        <v>0</v>
      </c>
      <c r="H1018" s="208">
        <v>0</v>
      </c>
      <c r="I1018" s="386">
        <f t="shared" si="24"/>
        <v>243390.28</v>
      </c>
    </row>
    <row r="1019" spans="1:9" ht="13.9" hidden="1" customHeight="1" outlineLevel="1">
      <c r="A1019" s="424" t="s">
        <v>577</v>
      </c>
      <c r="B1019" s="208">
        <v>714501.79</v>
      </c>
      <c r="C1019" s="208">
        <v>0</v>
      </c>
      <c r="D1019" s="208">
        <v>0</v>
      </c>
      <c r="E1019" s="208">
        <v>0</v>
      </c>
      <c r="F1019" s="208">
        <v>681058</v>
      </c>
      <c r="G1019" s="208">
        <v>0</v>
      </c>
      <c r="H1019" s="208">
        <v>0</v>
      </c>
      <c r="I1019" s="386">
        <f t="shared" si="24"/>
        <v>1395559.79</v>
      </c>
    </row>
    <row r="1020" spans="1:9" ht="13.9" hidden="1" customHeight="1" outlineLevel="1">
      <c r="A1020" s="424" t="s">
        <v>232</v>
      </c>
      <c r="B1020" s="208">
        <v>168987.87</v>
      </c>
      <c r="C1020" s="208">
        <v>0</v>
      </c>
      <c r="D1020" s="208">
        <v>0</v>
      </c>
      <c r="E1020" s="208">
        <v>0</v>
      </c>
      <c r="F1020" s="208">
        <v>0</v>
      </c>
      <c r="G1020" s="208">
        <v>0</v>
      </c>
      <c r="H1020" s="208">
        <v>0</v>
      </c>
      <c r="I1020" s="386">
        <f t="shared" si="24"/>
        <v>168987.87</v>
      </c>
    </row>
    <row r="1021" spans="1:9" ht="13.9" hidden="1" customHeight="1" outlineLevel="1">
      <c r="A1021" s="424" t="s">
        <v>234</v>
      </c>
      <c r="B1021" s="208">
        <v>335083.76</v>
      </c>
      <c r="C1021" s="208">
        <v>0</v>
      </c>
      <c r="D1021" s="208">
        <v>0</v>
      </c>
      <c r="E1021" s="208">
        <v>0</v>
      </c>
      <c r="F1021" s="208">
        <v>0</v>
      </c>
      <c r="G1021" s="208">
        <v>0</v>
      </c>
      <c r="H1021" s="208">
        <v>0</v>
      </c>
      <c r="I1021" s="386">
        <f t="shared" si="24"/>
        <v>335083.76</v>
      </c>
    </row>
    <row r="1022" spans="1:9" ht="13.9" hidden="1" customHeight="1" outlineLevel="1">
      <c r="A1022" s="424" t="s">
        <v>236</v>
      </c>
      <c r="B1022" s="208">
        <v>75820.42</v>
      </c>
      <c r="C1022" s="208">
        <v>0</v>
      </c>
      <c r="D1022" s="208">
        <v>0</v>
      </c>
      <c r="E1022" s="208">
        <v>0</v>
      </c>
      <c r="F1022" s="208">
        <v>0</v>
      </c>
      <c r="G1022" s="208">
        <v>0</v>
      </c>
      <c r="H1022" s="208">
        <v>0</v>
      </c>
      <c r="I1022" s="386">
        <f t="shared" si="24"/>
        <v>75820.42</v>
      </c>
    </row>
    <row r="1023" spans="1:9" ht="13.9" hidden="1" customHeight="1" outlineLevel="1">
      <c r="A1023" s="424" t="s">
        <v>238</v>
      </c>
      <c r="B1023" s="208">
        <v>1667736.22</v>
      </c>
      <c r="C1023" s="208">
        <v>0</v>
      </c>
      <c r="D1023" s="208">
        <v>0</v>
      </c>
      <c r="E1023" s="208">
        <v>0</v>
      </c>
      <c r="F1023" s="208">
        <v>2141.41</v>
      </c>
      <c r="G1023" s="208">
        <v>0</v>
      </c>
      <c r="H1023" s="208">
        <v>0</v>
      </c>
      <c r="I1023" s="386">
        <f t="shared" si="24"/>
        <v>1669877.63</v>
      </c>
    </row>
    <row r="1024" spans="1:9" ht="13.9" hidden="1" customHeight="1" outlineLevel="1">
      <c r="A1024" s="424" t="s">
        <v>240</v>
      </c>
      <c r="B1024" s="208">
        <v>109178.42</v>
      </c>
      <c r="C1024" s="208">
        <v>0</v>
      </c>
      <c r="D1024" s="208">
        <v>0</v>
      </c>
      <c r="E1024" s="208">
        <v>0</v>
      </c>
      <c r="F1024" s="208">
        <v>0</v>
      </c>
      <c r="G1024" s="208">
        <v>0</v>
      </c>
      <c r="H1024" s="208">
        <v>0</v>
      </c>
      <c r="I1024" s="386">
        <f t="shared" si="24"/>
        <v>109178.42</v>
      </c>
    </row>
    <row r="1025" spans="1:9" ht="13.9" hidden="1" customHeight="1" outlineLevel="1">
      <c r="A1025" s="424" t="s">
        <v>242</v>
      </c>
      <c r="B1025" s="208">
        <v>324382.96999999997</v>
      </c>
      <c r="C1025" s="208">
        <v>0</v>
      </c>
      <c r="D1025" s="208">
        <v>0</v>
      </c>
      <c r="E1025" s="208">
        <v>0</v>
      </c>
      <c r="F1025" s="208">
        <v>0</v>
      </c>
      <c r="G1025" s="208">
        <v>0</v>
      </c>
      <c r="H1025" s="208">
        <v>0</v>
      </c>
      <c r="I1025" s="386">
        <f t="shared" si="24"/>
        <v>324382.96999999997</v>
      </c>
    </row>
    <row r="1026" spans="1:9" ht="13.9" hidden="1" customHeight="1" outlineLevel="1">
      <c r="A1026" s="424" t="s">
        <v>244</v>
      </c>
      <c r="B1026" s="208">
        <v>222425.46</v>
      </c>
      <c r="C1026" s="208">
        <v>0</v>
      </c>
      <c r="D1026" s="208">
        <v>0</v>
      </c>
      <c r="E1026" s="208">
        <v>0</v>
      </c>
      <c r="F1026" s="208">
        <v>0</v>
      </c>
      <c r="G1026" s="208">
        <v>0</v>
      </c>
      <c r="H1026" s="208">
        <v>0</v>
      </c>
      <c r="I1026" s="386">
        <f t="shared" si="24"/>
        <v>222425.46</v>
      </c>
    </row>
    <row r="1027" spans="1:9" ht="13.9" hidden="1" customHeight="1" outlineLevel="1">
      <c r="A1027" s="424" t="s">
        <v>246</v>
      </c>
      <c r="B1027" s="208">
        <v>53600.09</v>
      </c>
      <c r="C1027" s="208">
        <v>0</v>
      </c>
      <c r="D1027" s="208">
        <v>0</v>
      </c>
      <c r="E1027" s="208">
        <v>0</v>
      </c>
      <c r="F1027" s="208">
        <v>0</v>
      </c>
      <c r="G1027" s="208">
        <v>0</v>
      </c>
      <c r="H1027" s="208">
        <v>0</v>
      </c>
      <c r="I1027" s="386">
        <f t="shared" si="24"/>
        <v>53600.09</v>
      </c>
    </row>
    <row r="1028" spans="1:9" ht="13.9" hidden="1" customHeight="1" outlineLevel="1">
      <c r="A1028" s="424" t="s">
        <v>248</v>
      </c>
      <c r="B1028" s="208">
        <v>731904.68</v>
      </c>
      <c r="C1028" s="208">
        <v>0</v>
      </c>
      <c r="D1028" s="208">
        <v>0</v>
      </c>
      <c r="E1028" s="208">
        <v>0</v>
      </c>
      <c r="F1028" s="208">
        <v>1252.8900000000001</v>
      </c>
      <c r="G1028" s="208">
        <v>64.61</v>
      </c>
      <c r="H1028" s="208">
        <v>0</v>
      </c>
      <c r="I1028" s="386">
        <f t="shared" si="24"/>
        <v>733222.18</v>
      </c>
    </row>
    <row r="1029" spans="1:9" ht="13.9" hidden="1" customHeight="1" outlineLevel="1">
      <c r="A1029" s="424" t="s">
        <v>250</v>
      </c>
      <c r="B1029" s="208">
        <v>4445492.2</v>
      </c>
      <c r="C1029" s="208">
        <v>0</v>
      </c>
      <c r="D1029" s="208">
        <v>0</v>
      </c>
      <c r="E1029" s="208">
        <v>0</v>
      </c>
      <c r="F1029" s="208">
        <v>15324.27</v>
      </c>
      <c r="G1029" s="208">
        <v>0</v>
      </c>
      <c r="H1029" s="208">
        <v>0</v>
      </c>
      <c r="I1029" s="386">
        <f t="shared" si="24"/>
        <v>4460816.47</v>
      </c>
    </row>
    <row r="1030" spans="1:9" ht="13.9" hidden="1" customHeight="1" outlineLevel="1">
      <c r="A1030" s="424" t="s">
        <v>252</v>
      </c>
      <c r="B1030" s="208">
        <v>1717863.81</v>
      </c>
      <c r="C1030" s="208">
        <v>0</v>
      </c>
      <c r="D1030" s="208">
        <v>0</v>
      </c>
      <c r="E1030" s="208">
        <v>0</v>
      </c>
      <c r="F1030" s="208">
        <v>4334.49</v>
      </c>
      <c r="G1030" s="208">
        <v>0</v>
      </c>
      <c r="H1030" s="208">
        <v>0</v>
      </c>
      <c r="I1030" s="386">
        <f t="shared" si="24"/>
        <v>1722198.3</v>
      </c>
    </row>
    <row r="1031" spans="1:9" ht="13.9" hidden="1" customHeight="1" outlineLevel="1">
      <c r="A1031" s="424" t="s">
        <v>254</v>
      </c>
      <c r="B1031" s="208">
        <v>532974.85</v>
      </c>
      <c r="C1031" s="208">
        <v>0</v>
      </c>
      <c r="D1031" s="208">
        <v>0</v>
      </c>
      <c r="E1031" s="208">
        <v>0</v>
      </c>
      <c r="F1031" s="208">
        <v>0</v>
      </c>
      <c r="G1031" s="208">
        <v>0</v>
      </c>
      <c r="H1031" s="208">
        <v>0</v>
      </c>
      <c r="I1031" s="386">
        <f t="shared" si="24"/>
        <v>532974.85</v>
      </c>
    </row>
    <row r="1032" spans="1:9" ht="13.9" hidden="1" customHeight="1" outlineLevel="1">
      <c r="A1032" s="424" t="s">
        <v>256</v>
      </c>
      <c r="B1032" s="208">
        <v>226883.86</v>
      </c>
      <c r="C1032" s="208">
        <v>0</v>
      </c>
      <c r="D1032" s="208">
        <v>0</v>
      </c>
      <c r="E1032" s="208">
        <v>0</v>
      </c>
      <c r="F1032" s="208">
        <v>0</v>
      </c>
      <c r="G1032" s="208">
        <v>0</v>
      </c>
      <c r="H1032" s="208">
        <v>0</v>
      </c>
      <c r="I1032" s="386">
        <f t="shared" si="24"/>
        <v>226883.86</v>
      </c>
    </row>
    <row r="1033" spans="1:9" ht="13.9" hidden="1" customHeight="1" outlineLevel="1">
      <c r="A1033" s="424" t="s">
        <v>258</v>
      </c>
      <c r="B1033" s="208">
        <v>250686.06</v>
      </c>
      <c r="C1033" s="208">
        <v>0</v>
      </c>
      <c r="D1033" s="208">
        <v>0</v>
      </c>
      <c r="E1033" s="208">
        <v>0</v>
      </c>
      <c r="F1033" s="208">
        <v>0</v>
      </c>
      <c r="G1033" s="208">
        <v>0</v>
      </c>
      <c r="H1033" s="208">
        <v>0</v>
      </c>
      <c r="I1033" s="386">
        <f t="shared" si="24"/>
        <v>250686.06</v>
      </c>
    </row>
    <row r="1034" spans="1:9" ht="13.9" hidden="1" customHeight="1" outlineLevel="1">
      <c r="A1034" s="424" t="s">
        <v>260</v>
      </c>
      <c r="B1034" s="208">
        <v>208104.89</v>
      </c>
      <c r="C1034" s="208">
        <v>0</v>
      </c>
      <c r="D1034" s="208">
        <v>0</v>
      </c>
      <c r="E1034" s="208">
        <v>0</v>
      </c>
      <c r="F1034" s="208">
        <v>0</v>
      </c>
      <c r="G1034" s="208">
        <v>0</v>
      </c>
      <c r="H1034" s="208">
        <v>0</v>
      </c>
      <c r="I1034" s="386">
        <f t="shared" si="24"/>
        <v>208104.89</v>
      </c>
    </row>
    <row r="1035" spans="1:9" ht="13.9" hidden="1" customHeight="1" outlineLevel="1">
      <c r="A1035" s="424" t="s">
        <v>262</v>
      </c>
      <c r="B1035" s="208">
        <v>320226.12</v>
      </c>
      <c r="C1035" s="208">
        <v>0</v>
      </c>
      <c r="D1035" s="208">
        <v>0</v>
      </c>
      <c r="E1035" s="208">
        <v>0</v>
      </c>
      <c r="F1035" s="208">
        <v>0</v>
      </c>
      <c r="G1035" s="208">
        <v>0</v>
      </c>
      <c r="H1035" s="208">
        <v>0</v>
      </c>
      <c r="I1035" s="386">
        <f t="shared" si="24"/>
        <v>320226.12</v>
      </c>
    </row>
    <row r="1036" spans="1:9" ht="13.9" hidden="1" customHeight="1" outlineLevel="1">
      <c r="A1036" s="424" t="s">
        <v>264</v>
      </c>
      <c r="B1036" s="208">
        <v>696839.88</v>
      </c>
      <c r="C1036" s="208">
        <v>0</v>
      </c>
      <c r="D1036" s="208">
        <v>0</v>
      </c>
      <c r="E1036" s="208">
        <v>0</v>
      </c>
      <c r="F1036" s="208">
        <v>0</v>
      </c>
      <c r="G1036" s="208">
        <v>0</v>
      </c>
      <c r="H1036" s="208">
        <v>0</v>
      </c>
      <c r="I1036" s="386">
        <f t="shared" si="24"/>
        <v>696839.88</v>
      </c>
    </row>
    <row r="1037" spans="1:9" ht="13.9" hidden="1" customHeight="1" outlineLevel="1">
      <c r="A1037" s="424" t="s">
        <v>266</v>
      </c>
      <c r="B1037" s="208">
        <v>545412.34</v>
      </c>
      <c r="C1037" s="208">
        <v>0</v>
      </c>
      <c r="D1037" s="208">
        <v>0</v>
      </c>
      <c r="E1037" s="208">
        <v>0</v>
      </c>
      <c r="F1037" s="208">
        <v>926.11</v>
      </c>
      <c r="G1037" s="208">
        <v>0</v>
      </c>
      <c r="H1037" s="208">
        <v>0</v>
      </c>
      <c r="I1037" s="386">
        <f t="shared" si="24"/>
        <v>546338.44999999995</v>
      </c>
    </row>
    <row r="1038" spans="1:9" ht="13.9" hidden="1" customHeight="1" outlineLevel="1">
      <c r="A1038" s="424" t="s">
        <v>268</v>
      </c>
      <c r="B1038" s="208">
        <v>237948.7</v>
      </c>
      <c r="C1038" s="208">
        <v>0</v>
      </c>
      <c r="D1038" s="208">
        <v>0</v>
      </c>
      <c r="E1038" s="208">
        <v>0</v>
      </c>
      <c r="F1038" s="208">
        <v>0</v>
      </c>
      <c r="G1038" s="208">
        <v>0</v>
      </c>
      <c r="H1038" s="208">
        <v>0</v>
      </c>
      <c r="I1038" s="386">
        <f t="shared" si="24"/>
        <v>237948.7</v>
      </c>
    </row>
    <row r="1039" spans="1:9" ht="13.9" hidden="1" customHeight="1" outlineLevel="1">
      <c r="A1039" s="424" t="s">
        <v>270</v>
      </c>
      <c r="B1039" s="208">
        <v>126426.06</v>
      </c>
      <c r="C1039" s="208">
        <v>0</v>
      </c>
      <c r="D1039" s="208">
        <v>0</v>
      </c>
      <c r="E1039" s="208">
        <v>0</v>
      </c>
      <c r="F1039" s="208">
        <v>0</v>
      </c>
      <c r="G1039" s="208">
        <v>0</v>
      </c>
      <c r="H1039" s="208">
        <v>0</v>
      </c>
      <c r="I1039" s="386">
        <f t="shared" si="24"/>
        <v>126426.06</v>
      </c>
    </row>
    <row r="1040" spans="1:9" ht="13.9" hidden="1" customHeight="1" outlineLevel="1">
      <c r="A1040" s="424" t="s">
        <v>272</v>
      </c>
      <c r="B1040" s="208">
        <v>108182.59</v>
      </c>
      <c r="C1040" s="208">
        <v>0</v>
      </c>
      <c r="D1040" s="208">
        <v>0</v>
      </c>
      <c r="E1040" s="208">
        <v>0</v>
      </c>
      <c r="F1040" s="208">
        <v>0</v>
      </c>
      <c r="G1040" s="208">
        <v>0</v>
      </c>
      <c r="H1040" s="208">
        <v>0</v>
      </c>
      <c r="I1040" s="386">
        <f t="shared" si="24"/>
        <v>108182.59</v>
      </c>
    </row>
    <row r="1041" spans="1:9" ht="13.9" hidden="1" customHeight="1" outlineLevel="1">
      <c r="A1041" s="424" t="s">
        <v>274</v>
      </c>
      <c r="B1041" s="208">
        <v>144722.68</v>
      </c>
      <c r="C1041" s="208">
        <v>0</v>
      </c>
      <c r="D1041" s="208">
        <v>0</v>
      </c>
      <c r="E1041" s="208">
        <v>0</v>
      </c>
      <c r="F1041" s="208">
        <v>0</v>
      </c>
      <c r="G1041" s="208">
        <v>0</v>
      </c>
      <c r="H1041" s="208">
        <v>0</v>
      </c>
      <c r="I1041" s="386">
        <f t="shared" si="24"/>
        <v>144722.68</v>
      </c>
    </row>
    <row r="1042" spans="1:9" ht="13.9" hidden="1" customHeight="1" outlineLevel="1">
      <c r="A1042" s="424" t="s">
        <v>276</v>
      </c>
      <c r="B1042" s="208">
        <v>204617.58</v>
      </c>
      <c r="C1042" s="208">
        <v>0</v>
      </c>
      <c r="D1042" s="208">
        <v>0</v>
      </c>
      <c r="E1042" s="208">
        <v>0</v>
      </c>
      <c r="F1042" s="208">
        <v>0</v>
      </c>
      <c r="G1042" s="208">
        <v>0</v>
      </c>
      <c r="H1042" s="208">
        <v>0</v>
      </c>
      <c r="I1042" s="386">
        <f t="shared" si="24"/>
        <v>204617.58</v>
      </c>
    </row>
    <row r="1043" spans="1:9" ht="13.9" hidden="1" customHeight="1" outlineLevel="1">
      <c r="A1043" s="424" t="s">
        <v>278</v>
      </c>
      <c r="B1043" s="208">
        <v>298231.78999999998</v>
      </c>
      <c r="C1043" s="208">
        <v>0</v>
      </c>
      <c r="D1043" s="208">
        <v>0</v>
      </c>
      <c r="E1043" s="208">
        <v>0</v>
      </c>
      <c r="F1043" s="208">
        <v>0</v>
      </c>
      <c r="G1043" s="208">
        <v>0</v>
      </c>
      <c r="H1043" s="208">
        <v>0</v>
      </c>
      <c r="I1043" s="386">
        <f t="shared" si="24"/>
        <v>298231.78999999998</v>
      </c>
    </row>
    <row r="1044" spans="1:9" ht="13.9" hidden="1" customHeight="1" outlineLevel="1">
      <c r="A1044" s="424" t="s">
        <v>280</v>
      </c>
      <c r="B1044" s="208">
        <v>566989.18000000005</v>
      </c>
      <c r="C1044" s="208">
        <v>0</v>
      </c>
      <c r="D1044" s="208">
        <v>0</v>
      </c>
      <c r="E1044" s="208">
        <v>0</v>
      </c>
      <c r="F1044" s="208">
        <v>0</v>
      </c>
      <c r="G1044" s="208">
        <v>0</v>
      </c>
      <c r="H1044" s="208">
        <v>0</v>
      </c>
      <c r="I1044" s="386">
        <f t="shared" si="24"/>
        <v>566989.18000000005</v>
      </c>
    </row>
    <row r="1045" spans="1:9" ht="13.9" hidden="1" customHeight="1" outlineLevel="1">
      <c r="A1045" s="424" t="s">
        <v>1857</v>
      </c>
      <c r="B1045" s="208">
        <v>91084.2</v>
      </c>
      <c r="C1045" s="208">
        <v>0</v>
      </c>
      <c r="D1045" s="208">
        <v>0</v>
      </c>
      <c r="E1045" s="208">
        <v>0</v>
      </c>
      <c r="F1045" s="208">
        <v>0</v>
      </c>
      <c r="G1045" s="208">
        <v>0</v>
      </c>
      <c r="H1045" s="208">
        <v>0</v>
      </c>
      <c r="I1045" s="386">
        <f t="shared" si="24"/>
        <v>91084.2</v>
      </c>
    </row>
    <row r="1046" spans="1:9" ht="13.9" hidden="1" customHeight="1" outlineLevel="1">
      <c r="A1046" s="424" t="s">
        <v>282</v>
      </c>
      <c r="B1046" s="208">
        <v>143446.18</v>
      </c>
      <c r="C1046" s="208">
        <v>0</v>
      </c>
      <c r="D1046" s="208">
        <v>0</v>
      </c>
      <c r="E1046" s="208">
        <v>0</v>
      </c>
      <c r="F1046" s="208">
        <v>0</v>
      </c>
      <c r="G1046" s="208">
        <v>0</v>
      </c>
      <c r="H1046" s="208">
        <v>0</v>
      </c>
      <c r="I1046" s="386">
        <f t="shared" si="24"/>
        <v>143446.18</v>
      </c>
    </row>
    <row r="1047" spans="1:9" ht="13.9" hidden="1" customHeight="1" outlineLevel="1">
      <c r="A1047" s="424" t="s">
        <v>284</v>
      </c>
      <c r="B1047" s="208">
        <v>179430.34</v>
      </c>
      <c r="C1047" s="208">
        <v>0</v>
      </c>
      <c r="D1047" s="208">
        <v>0</v>
      </c>
      <c r="E1047" s="208">
        <v>0</v>
      </c>
      <c r="F1047" s="208">
        <v>0</v>
      </c>
      <c r="G1047" s="208">
        <v>0</v>
      </c>
      <c r="H1047" s="208">
        <v>0</v>
      </c>
      <c r="I1047" s="386">
        <f t="shared" si="24"/>
        <v>179430.34</v>
      </c>
    </row>
    <row r="1048" spans="1:9" ht="13.9" hidden="1" customHeight="1" outlineLevel="1">
      <c r="A1048" s="424" t="s">
        <v>286</v>
      </c>
      <c r="B1048" s="208">
        <v>39160.28</v>
      </c>
      <c r="C1048" s="208">
        <v>0</v>
      </c>
      <c r="D1048" s="208">
        <v>0</v>
      </c>
      <c r="E1048" s="208">
        <v>0</v>
      </c>
      <c r="F1048" s="208">
        <v>0</v>
      </c>
      <c r="G1048" s="208">
        <v>0</v>
      </c>
      <c r="H1048" s="208">
        <v>0</v>
      </c>
      <c r="I1048" s="386">
        <f t="shared" si="24"/>
        <v>39160.28</v>
      </c>
    </row>
    <row r="1049" spans="1:9" ht="13.9" hidden="1" customHeight="1" outlineLevel="1">
      <c r="A1049" s="424" t="s">
        <v>288</v>
      </c>
      <c r="B1049" s="208">
        <v>397950.68</v>
      </c>
      <c r="C1049" s="208">
        <v>0</v>
      </c>
      <c r="D1049" s="208">
        <v>0</v>
      </c>
      <c r="E1049" s="208">
        <v>0</v>
      </c>
      <c r="F1049" s="208">
        <v>0</v>
      </c>
      <c r="G1049" s="208">
        <v>0</v>
      </c>
      <c r="H1049" s="208">
        <v>0</v>
      </c>
      <c r="I1049" s="386">
        <f t="shared" si="24"/>
        <v>397950.68</v>
      </c>
    </row>
    <row r="1050" spans="1:9" ht="13.9" hidden="1" customHeight="1" outlineLevel="1">
      <c r="A1050" s="424" t="s">
        <v>290</v>
      </c>
      <c r="B1050" s="208">
        <v>91329.17</v>
      </c>
      <c r="C1050" s="208">
        <v>0</v>
      </c>
      <c r="D1050" s="208">
        <v>0</v>
      </c>
      <c r="E1050" s="208">
        <v>0</v>
      </c>
      <c r="F1050" s="208">
        <v>0</v>
      </c>
      <c r="G1050" s="208">
        <v>0</v>
      </c>
      <c r="H1050" s="208">
        <v>0</v>
      </c>
      <c r="I1050" s="386">
        <f t="shared" si="24"/>
        <v>91329.17</v>
      </c>
    </row>
    <row r="1051" spans="1:9" ht="13.9" hidden="1" customHeight="1" outlineLevel="1">
      <c r="A1051" s="424" t="s">
        <v>292</v>
      </c>
      <c r="B1051" s="208">
        <v>74351.600000000006</v>
      </c>
      <c r="C1051" s="208">
        <v>0</v>
      </c>
      <c r="D1051" s="208">
        <v>0</v>
      </c>
      <c r="E1051" s="208">
        <v>0</v>
      </c>
      <c r="F1051" s="208">
        <v>0</v>
      </c>
      <c r="G1051" s="208">
        <v>0</v>
      </c>
      <c r="H1051" s="208">
        <v>0</v>
      </c>
      <c r="I1051" s="386">
        <f t="shared" si="24"/>
        <v>74351.600000000006</v>
      </c>
    </row>
    <row r="1052" spans="1:9" ht="13.9" hidden="1" customHeight="1" outlineLevel="1">
      <c r="A1052" s="424" t="s">
        <v>294</v>
      </c>
      <c r="B1052" s="208">
        <v>134490.9</v>
      </c>
      <c r="C1052" s="208">
        <v>0</v>
      </c>
      <c r="D1052" s="208">
        <v>0</v>
      </c>
      <c r="E1052" s="208">
        <v>0</v>
      </c>
      <c r="F1052" s="208">
        <v>0</v>
      </c>
      <c r="G1052" s="208">
        <v>0</v>
      </c>
      <c r="H1052" s="208">
        <v>0</v>
      </c>
      <c r="I1052" s="386">
        <f t="shared" si="24"/>
        <v>134490.9</v>
      </c>
    </row>
    <row r="1053" spans="1:9" ht="13.9" hidden="1" customHeight="1" outlineLevel="1">
      <c r="A1053" s="424" t="s">
        <v>296</v>
      </c>
      <c r="B1053" s="208">
        <v>254285.57</v>
      </c>
      <c r="C1053" s="208">
        <v>0</v>
      </c>
      <c r="D1053" s="208">
        <v>0</v>
      </c>
      <c r="E1053" s="208">
        <v>0</v>
      </c>
      <c r="F1053" s="208">
        <v>0</v>
      </c>
      <c r="G1053" s="208">
        <v>0</v>
      </c>
      <c r="H1053" s="208">
        <v>0</v>
      </c>
      <c r="I1053" s="386">
        <f t="shared" si="24"/>
        <v>254285.57</v>
      </c>
    </row>
    <row r="1054" spans="1:9" ht="13.9" hidden="1" customHeight="1" outlineLevel="1">
      <c r="A1054" s="424" t="s">
        <v>298</v>
      </c>
      <c r="B1054" s="208">
        <v>172553.56</v>
      </c>
      <c r="C1054" s="208">
        <v>0</v>
      </c>
      <c r="D1054" s="208">
        <v>0</v>
      </c>
      <c r="E1054" s="208">
        <v>0</v>
      </c>
      <c r="F1054" s="208">
        <v>0</v>
      </c>
      <c r="G1054" s="208">
        <v>0</v>
      </c>
      <c r="H1054" s="208">
        <v>0</v>
      </c>
      <c r="I1054" s="386">
        <f t="shared" si="24"/>
        <v>172553.56</v>
      </c>
    </row>
    <row r="1055" spans="1:9" ht="13.9" hidden="1" customHeight="1" outlineLevel="1">
      <c r="A1055" s="424" t="s">
        <v>300</v>
      </c>
      <c r="B1055" s="208">
        <v>479822.24</v>
      </c>
      <c r="C1055" s="208">
        <v>0</v>
      </c>
      <c r="D1055" s="208">
        <v>0</v>
      </c>
      <c r="E1055" s="208">
        <v>0</v>
      </c>
      <c r="F1055" s="208">
        <v>0</v>
      </c>
      <c r="G1055" s="208">
        <v>0</v>
      </c>
      <c r="H1055" s="208">
        <v>0</v>
      </c>
      <c r="I1055" s="386">
        <f t="shared" si="24"/>
        <v>479822.24</v>
      </c>
    </row>
    <row r="1056" spans="1:9" ht="13.9" hidden="1" customHeight="1" outlineLevel="1">
      <c r="A1056" s="424" t="s">
        <v>302</v>
      </c>
      <c r="B1056" s="208">
        <v>159102.45000000001</v>
      </c>
      <c r="C1056" s="208">
        <v>0</v>
      </c>
      <c r="D1056" s="208">
        <v>0</v>
      </c>
      <c r="E1056" s="208">
        <v>0</v>
      </c>
      <c r="F1056" s="208">
        <v>0</v>
      </c>
      <c r="G1056" s="208">
        <v>0</v>
      </c>
      <c r="H1056" s="208">
        <v>0</v>
      </c>
      <c r="I1056" s="386">
        <f t="shared" si="24"/>
        <v>159102.45000000001</v>
      </c>
    </row>
    <row r="1057" spans="1:9" ht="13.9" hidden="1" customHeight="1" outlineLevel="1">
      <c r="A1057" s="424" t="s">
        <v>304</v>
      </c>
      <c r="B1057" s="208">
        <v>371922.33</v>
      </c>
      <c r="C1057" s="208">
        <v>0</v>
      </c>
      <c r="D1057" s="208">
        <v>0</v>
      </c>
      <c r="E1057" s="208">
        <v>0</v>
      </c>
      <c r="F1057" s="208">
        <v>0</v>
      </c>
      <c r="G1057" s="208">
        <v>0</v>
      </c>
      <c r="H1057" s="208">
        <v>0</v>
      </c>
      <c r="I1057" s="386">
        <f t="shared" si="24"/>
        <v>371922.33</v>
      </c>
    </row>
    <row r="1058" spans="1:9" ht="13.9" hidden="1" customHeight="1" outlineLevel="1">
      <c r="A1058" s="424" t="s">
        <v>306</v>
      </c>
      <c r="B1058" s="208">
        <v>113827.61</v>
      </c>
      <c r="C1058" s="208">
        <v>0</v>
      </c>
      <c r="D1058" s="208">
        <v>0</v>
      </c>
      <c r="E1058" s="208">
        <v>0</v>
      </c>
      <c r="F1058" s="208">
        <v>0</v>
      </c>
      <c r="G1058" s="208">
        <v>0</v>
      </c>
      <c r="H1058" s="208">
        <v>0</v>
      </c>
      <c r="I1058" s="386">
        <f t="shared" si="24"/>
        <v>113827.61</v>
      </c>
    </row>
    <row r="1059" spans="1:9" ht="13.9" hidden="1" customHeight="1" outlineLevel="1">
      <c r="A1059" s="424" t="s">
        <v>308</v>
      </c>
      <c r="B1059" s="208">
        <v>235900.51</v>
      </c>
      <c r="C1059" s="208">
        <v>0</v>
      </c>
      <c r="D1059" s="208">
        <v>0</v>
      </c>
      <c r="E1059" s="208">
        <v>0</v>
      </c>
      <c r="F1059" s="208">
        <v>0</v>
      </c>
      <c r="G1059" s="208">
        <v>0</v>
      </c>
      <c r="H1059" s="208">
        <v>0</v>
      </c>
      <c r="I1059" s="386">
        <f t="shared" si="24"/>
        <v>235900.51</v>
      </c>
    </row>
    <row r="1060" spans="1:9" ht="13.9" hidden="1" customHeight="1" outlineLevel="1">
      <c r="A1060" s="424" t="s">
        <v>310</v>
      </c>
      <c r="B1060" s="208">
        <v>18590384.68</v>
      </c>
      <c r="C1060" s="208">
        <v>0</v>
      </c>
      <c r="D1060" s="208">
        <v>0</v>
      </c>
      <c r="E1060" s="208">
        <v>0</v>
      </c>
      <c r="F1060" s="208">
        <v>39314.35</v>
      </c>
      <c r="G1060" s="208">
        <v>0</v>
      </c>
      <c r="H1060" s="208">
        <v>3721.11</v>
      </c>
      <c r="I1060" s="386">
        <f t="shared" si="24"/>
        <v>18633420.140000001</v>
      </c>
    </row>
    <row r="1061" spans="1:9" ht="13.9" hidden="1" customHeight="1" outlineLevel="1">
      <c r="A1061" s="424" t="s">
        <v>312</v>
      </c>
      <c r="B1061" s="208">
        <v>5644969.0199999996</v>
      </c>
      <c r="C1061" s="208">
        <v>0</v>
      </c>
      <c r="D1061" s="208">
        <v>0</v>
      </c>
      <c r="E1061" s="208">
        <v>0</v>
      </c>
      <c r="F1061" s="208">
        <v>0</v>
      </c>
      <c r="G1061" s="208">
        <v>0</v>
      </c>
      <c r="H1061" s="208">
        <v>0</v>
      </c>
      <c r="I1061" s="386">
        <f t="shared" si="24"/>
        <v>5644969.0199999996</v>
      </c>
    </row>
    <row r="1062" spans="1:9" ht="13.9" hidden="1" customHeight="1" outlineLevel="1">
      <c r="A1062" s="424" t="s">
        <v>314</v>
      </c>
      <c r="B1062" s="208">
        <v>218008.55</v>
      </c>
      <c r="C1062" s="208">
        <v>0</v>
      </c>
      <c r="D1062" s="208">
        <v>0</v>
      </c>
      <c r="E1062" s="208">
        <v>0</v>
      </c>
      <c r="F1062" s="208">
        <v>0</v>
      </c>
      <c r="G1062" s="208">
        <v>0</v>
      </c>
      <c r="H1062" s="208">
        <v>0</v>
      </c>
      <c r="I1062" s="386">
        <f t="shared" si="24"/>
        <v>218008.55</v>
      </c>
    </row>
    <row r="1063" spans="1:9" ht="13.9" hidden="1" customHeight="1" outlineLevel="1">
      <c r="A1063" s="424" t="s">
        <v>316</v>
      </c>
      <c r="B1063" s="208">
        <v>8182777.96</v>
      </c>
      <c r="C1063" s="208">
        <v>0</v>
      </c>
      <c r="D1063" s="208">
        <v>0</v>
      </c>
      <c r="E1063" s="208">
        <v>0</v>
      </c>
      <c r="F1063" s="208">
        <v>0</v>
      </c>
      <c r="G1063" s="208">
        <v>0</v>
      </c>
      <c r="H1063" s="208">
        <v>0</v>
      </c>
      <c r="I1063" s="386">
        <f t="shared" si="24"/>
        <v>8182777.96</v>
      </c>
    </row>
    <row r="1064" spans="1:9" ht="13.9" hidden="1" customHeight="1" outlineLevel="1">
      <c r="A1064" s="424" t="s">
        <v>318</v>
      </c>
      <c r="B1064" s="208">
        <v>592921.92000000004</v>
      </c>
      <c r="C1064" s="208">
        <v>0</v>
      </c>
      <c r="D1064" s="208">
        <v>0</v>
      </c>
      <c r="E1064" s="208">
        <v>0</v>
      </c>
      <c r="F1064" s="208">
        <v>496.28</v>
      </c>
      <c r="G1064" s="208">
        <v>0</v>
      </c>
      <c r="H1064" s="208">
        <v>0</v>
      </c>
      <c r="I1064" s="386">
        <f t="shared" si="24"/>
        <v>593418.20000000007</v>
      </c>
    </row>
    <row r="1065" spans="1:9" ht="13.9" hidden="1" customHeight="1" outlineLevel="1">
      <c r="A1065" s="424" t="s">
        <v>320</v>
      </c>
      <c r="B1065" s="208">
        <v>101466.26</v>
      </c>
      <c r="C1065" s="208">
        <v>0</v>
      </c>
      <c r="D1065" s="208">
        <v>0</v>
      </c>
      <c r="E1065" s="208">
        <v>0</v>
      </c>
      <c r="F1065" s="208">
        <v>0</v>
      </c>
      <c r="G1065" s="208">
        <v>0</v>
      </c>
      <c r="H1065" s="208">
        <v>0</v>
      </c>
      <c r="I1065" s="386">
        <f t="shared" si="24"/>
        <v>101466.26</v>
      </c>
    </row>
    <row r="1066" spans="1:9" ht="13.9" hidden="1" customHeight="1" outlineLevel="1">
      <c r="A1066" s="424" t="s">
        <v>322</v>
      </c>
      <c r="B1066" s="208">
        <v>71805.52</v>
      </c>
      <c r="C1066" s="208">
        <v>0</v>
      </c>
      <c r="D1066" s="208">
        <v>0</v>
      </c>
      <c r="E1066" s="208">
        <v>0</v>
      </c>
      <c r="F1066" s="208">
        <v>0</v>
      </c>
      <c r="G1066" s="208">
        <v>0</v>
      </c>
      <c r="H1066" s="208">
        <v>0</v>
      </c>
      <c r="I1066" s="386">
        <f t="shared" si="24"/>
        <v>71805.52</v>
      </c>
    </row>
    <row r="1067" spans="1:9" ht="13.9" hidden="1" customHeight="1" outlineLevel="1">
      <c r="A1067" s="424" t="s">
        <v>324</v>
      </c>
      <c r="B1067" s="208">
        <v>14823.47</v>
      </c>
      <c r="C1067" s="208">
        <v>0</v>
      </c>
      <c r="D1067" s="208">
        <v>0</v>
      </c>
      <c r="E1067" s="208">
        <v>0</v>
      </c>
      <c r="F1067" s="208">
        <v>0</v>
      </c>
      <c r="G1067" s="208">
        <v>0</v>
      </c>
      <c r="H1067" s="208">
        <v>0</v>
      </c>
      <c r="I1067" s="386">
        <f t="shared" si="24"/>
        <v>14823.47</v>
      </c>
    </row>
    <row r="1068" spans="1:9" ht="13.9" hidden="1" customHeight="1" outlineLevel="1">
      <c r="A1068" s="424" t="s">
        <v>326</v>
      </c>
      <c r="B1068" s="208">
        <v>265265.93</v>
      </c>
      <c r="C1068" s="208">
        <v>0</v>
      </c>
      <c r="D1068" s="208">
        <v>0</v>
      </c>
      <c r="E1068" s="208">
        <v>0</v>
      </c>
      <c r="F1068" s="208">
        <v>0</v>
      </c>
      <c r="G1068" s="208">
        <v>0</v>
      </c>
      <c r="H1068" s="208">
        <v>0</v>
      </c>
      <c r="I1068" s="386">
        <f t="shared" si="24"/>
        <v>265265.93</v>
      </c>
    </row>
    <row r="1069" spans="1:9" ht="13.9" hidden="1" customHeight="1" outlineLevel="1">
      <c r="A1069" s="424" t="s">
        <v>328</v>
      </c>
      <c r="B1069" s="208">
        <v>194609.81</v>
      </c>
      <c r="C1069" s="208">
        <v>0</v>
      </c>
      <c r="D1069" s="208">
        <v>0</v>
      </c>
      <c r="E1069" s="208">
        <v>0</v>
      </c>
      <c r="F1069" s="208">
        <v>0</v>
      </c>
      <c r="G1069" s="208">
        <v>0</v>
      </c>
      <c r="H1069" s="208">
        <v>0</v>
      </c>
      <c r="I1069" s="386">
        <f t="shared" si="24"/>
        <v>194609.81</v>
      </c>
    </row>
    <row r="1070" spans="1:9" ht="13.9" hidden="1" customHeight="1" outlineLevel="1">
      <c r="A1070" s="424" t="s">
        <v>330</v>
      </c>
      <c r="B1070" s="208">
        <v>119714.63</v>
      </c>
      <c r="C1070" s="208">
        <v>0</v>
      </c>
      <c r="D1070" s="208">
        <v>0</v>
      </c>
      <c r="E1070" s="208">
        <v>0</v>
      </c>
      <c r="F1070" s="208">
        <v>0</v>
      </c>
      <c r="G1070" s="208">
        <v>0</v>
      </c>
      <c r="H1070" s="208">
        <v>0</v>
      </c>
      <c r="I1070" s="386">
        <f t="shared" si="24"/>
        <v>119714.63</v>
      </c>
    </row>
    <row r="1071" spans="1:9" ht="13.9" hidden="1" customHeight="1" outlineLevel="1">
      <c r="A1071" s="424" t="s">
        <v>1858</v>
      </c>
      <c r="B1071" s="208">
        <v>528352.84</v>
      </c>
      <c r="C1071" s="208">
        <v>0</v>
      </c>
      <c r="D1071" s="208">
        <v>0</v>
      </c>
      <c r="E1071" s="208">
        <v>0</v>
      </c>
      <c r="F1071" s="208">
        <v>0</v>
      </c>
      <c r="G1071" s="208">
        <v>0</v>
      </c>
      <c r="H1071" s="208">
        <v>0</v>
      </c>
      <c r="I1071" s="386">
        <f t="shared" ref="I1071:I1110" si="25">+SUM(B1071:H1071)</f>
        <v>528352.84</v>
      </c>
    </row>
    <row r="1072" spans="1:9" ht="13.9" hidden="1" customHeight="1" outlineLevel="1">
      <c r="A1072" s="424" t="s">
        <v>332</v>
      </c>
      <c r="B1072" s="208">
        <v>93705.49</v>
      </c>
      <c r="C1072" s="208">
        <v>0</v>
      </c>
      <c r="D1072" s="208">
        <v>0</v>
      </c>
      <c r="E1072" s="208">
        <v>0</v>
      </c>
      <c r="F1072" s="208">
        <v>0</v>
      </c>
      <c r="G1072" s="208">
        <v>0</v>
      </c>
      <c r="H1072" s="208">
        <v>0</v>
      </c>
      <c r="I1072" s="386">
        <f t="shared" si="25"/>
        <v>93705.49</v>
      </c>
    </row>
    <row r="1073" spans="1:9" ht="13.9" hidden="1" customHeight="1" outlineLevel="1">
      <c r="A1073" s="424" t="s">
        <v>334</v>
      </c>
      <c r="B1073" s="208">
        <v>3630.74</v>
      </c>
      <c r="C1073" s="208">
        <v>0</v>
      </c>
      <c r="D1073" s="208">
        <v>0</v>
      </c>
      <c r="E1073" s="208">
        <v>0</v>
      </c>
      <c r="F1073" s="208">
        <v>0</v>
      </c>
      <c r="G1073" s="208">
        <v>0</v>
      </c>
      <c r="H1073" s="208">
        <v>0</v>
      </c>
      <c r="I1073" s="386">
        <f t="shared" si="25"/>
        <v>3630.74</v>
      </c>
    </row>
    <row r="1074" spans="1:9" ht="13.9" hidden="1" customHeight="1" outlineLevel="1">
      <c r="A1074" s="424" t="s">
        <v>336</v>
      </c>
      <c r="B1074" s="208">
        <v>188256.98</v>
      </c>
      <c r="C1074" s="208">
        <v>0</v>
      </c>
      <c r="D1074" s="208">
        <v>0</v>
      </c>
      <c r="E1074" s="208">
        <v>0</v>
      </c>
      <c r="F1074" s="208">
        <v>0</v>
      </c>
      <c r="G1074" s="208">
        <v>0</v>
      </c>
      <c r="H1074" s="208">
        <v>0</v>
      </c>
      <c r="I1074" s="386">
        <f t="shared" si="25"/>
        <v>188256.98</v>
      </c>
    </row>
    <row r="1075" spans="1:9" ht="13.9" hidden="1" customHeight="1" outlineLevel="1">
      <c r="A1075" s="424" t="s">
        <v>338</v>
      </c>
      <c r="B1075" s="208">
        <v>56706.05</v>
      </c>
      <c r="C1075" s="208">
        <v>0</v>
      </c>
      <c r="D1075" s="208">
        <v>0</v>
      </c>
      <c r="E1075" s="208">
        <v>0</v>
      </c>
      <c r="F1075" s="208">
        <v>0</v>
      </c>
      <c r="G1075" s="208">
        <v>0</v>
      </c>
      <c r="H1075" s="208">
        <v>0</v>
      </c>
      <c r="I1075" s="386">
        <f t="shared" si="25"/>
        <v>56706.05</v>
      </c>
    </row>
    <row r="1076" spans="1:9" ht="13.9" hidden="1" customHeight="1" outlineLevel="1">
      <c r="A1076" s="424" t="s">
        <v>340</v>
      </c>
      <c r="B1076" s="208">
        <v>236437.33</v>
      </c>
      <c r="C1076" s="208">
        <v>0</v>
      </c>
      <c r="D1076" s="208">
        <v>0</v>
      </c>
      <c r="E1076" s="208">
        <v>0</v>
      </c>
      <c r="F1076" s="208">
        <v>0</v>
      </c>
      <c r="G1076" s="208">
        <v>0</v>
      </c>
      <c r="H1076" s="208">
        <v>0</v>
      </c>
      <c r="I1076" s="386">
        <f t="shared" si="25"/>
        <v>236437.33</v>
      </c>
    </row>
    <row r="1077" spans="1:9" ht="13.9" hidden="1" customHeight="1" outlineLevel="1">
      <c r="A1077" s="424" t="s">
        <v>342</v>
      </c>
      <c r="B1077" s="208">
        <v>110308.03</v>
      </c>
      <c r="C1077" s="208">
        <v>0</v>
      </c>
      <c r="D1077" s="208">
        <v>0</v>
      </c>
      <c r="E1077" s="208">
        <v>0</v>
      </c>
      <c r="F1077" s="208">
        <v>0</v>
      </c>
      <c r="G1077" s="208">
        <v>0</v>
      </c>
      <c r="H1077" s="208">
        <v>0</v>
      </c>
      <c r="I1077" s="386">
        <f t="shared" si="25"/>
        <v>110308.03</v>
      </c>
    </row>
    <row r="1078" spans="1:9" ht="13.9" hidden="1" customHeight="1" outlineLevel="1">
      <c r="A1078" s="424" t="s">
        <v>344</v>
      </c>
      <c r="B1078" s="208">
        <v>338750.95</v>
      </c>
      <c r="C1078" s="208">
        <v>0</v>
      </c>
      <c r="D1078" s="208">
        <v>0</v>
      </c>
      <c r="E1078" s="208">
        <v>0</v>
      </c>
      <c r="F1078" s="208">
        <v>0</v>
      </c>
      <c r="G1078" s="208">
        <v>0</v>
      </c>
      <c r="H1078" s="208">
        <v>0</v>
      </c>
      <c r="I1078" s="386">
        <f t="shared" si="25"/>
        <v>338750.95</v>
      </c>
    </row>
    <row r="1079" spans="1:9" ht="13.9" hidden="1" customHeight="1" outlineLevel="1">
      <c r="A1079" s="424" t="s">
        <v>346</v>
      </c>
      <c r="B1079" s="208">
        <v>558646.17000000004</v>
      </c>
      <c r="C1079" s="208">
        <v>0</v>
      </c>
      <c r="D1079" s="208">
        <v>0</v>
      </c>
      <c r="E1079" s="208">
        <v>0</v>
      </c>
      <c r="F1079" s="208">
        <v>313.58999999999997</v>
      </c>
      <c r="G1079" s="208">
        <v>0</v>
      </c>
      <c r="H1079" s="208">
        <v>0</v>
      </c>
      <c r="I1079" s="386">
        <f t="shared" si="25"/>
        <v>558959.76</v>
      </c>
    </row>
    <row r="1080" spans="1:9" ht="13.9" hidden="1" customHeight="1" outlineLevel="1">
      <c r="A1080" s="424" t="s">
        <v>348</v>
      </c>
      <c r="B1080" s="208">
        <v>73107.490000000005</v>
      </c>
      <c r="C1080" s="208">
        <v>0</v>
      </c>
      <c r="D1080" s="208">
        <v>0</v>
      </c>
      <c r="E1080" s="208">
        <v>0</v>
      </c>
      <c r="F1080" s="208">
        <v>0</v>
      </c>
      <c r="G1080" s="208">
        <v>0</v>
      </c>
      <c r="H1080" s="208">
        <v>0</v>
      </c>
      <c r="I1080" s="386">
        <f t="shared" si="25"/>
        <v>73107.490000000005</v>
      </c>
    </row>
    <row r="1081" spans="1:9" ht="13.9" hidden="1" customHeight="1" outlineLevel="1">
      <c r="A1081" s="424" t="s">
        <v>350</v>
      </c>
      <c r="B1081" s="208">
        <v>184151.43</v>
      </c>
      <c r="C1081" s="208">
        <v>0</v>
      </c>
      <c r="D1081" s="208">
        <v>0</v>
      </c>
      <c r="E1081" s="208">
        <v>0</v>
      </c>
      <c r="F1081" s="208">
        <v>0</v>
      </c>
      <c r="G1081" s="208">
        <v>0</v>
      </c>
      <c r="H1081" s="208">
        <v>0</v>
      </c>
      <c r="I1081" s="386">
        <f t="shared" si="25"/>
        <v>184151.43</v>
      </c>
    </row>
    <row r="1082" spans="1:9" ht="13.9" hidden="1" customHeight="1" outlineLevel="1">
      <c r="A1082" s="424" t="s">
        <v>352</v>
      </c>
      <c r="B1082" s="208">
        <v>28960919.030000001</v>
      </c>
      <c r="C1082" s="208">
        <v>0</v>
      </c>
      <c r="D1082" s="208">
        <v>0</v>
      </c>
      <c r="E1082" s="208">
        <v>0</v>
      </c>
      <c r="F1082" s="208">
        <v>213859.19</v>
      </c>
      <c r="G1082" s="208">
        <v>1905.97</v>
      </c>
      <c r="H1082" s="208">
        <v>0</v>
      </c>
      <c r="I1082" s="386">
        <f t="shared" si="25"/>
        <v>29176684.190000001</v>
      </c>
    </row>
    <row r="1083" spans="1:9" ht="13.9" hidden="1" customHeight="1" outlineLevel="1">
      <c r="A1083" s="424" t="s">
        <v>354</v>
      </c>
      <c r="B1083" s="208">
        <v>163615.26999999999</v>
      </c>
      <c r="C1083" s="208">
        <v>0</v>
      </c>
      <c r="D1083" s="208">
        <v>0</v>
      </c>
      <c r="E1083" s="208">
        <v>0</v>
      </c>
      <c r="F1083" s="208">
        <v>0</v>
      </c>
      <c r="G1083" s="208">
        <v>0</v>
      </c>
      <c r="H1083" s="208">
        <v>0</v>
      </c>
      <c r="I1083" s="386">
        <f t="shared" si="25"/>
        <v>163615.26999999999</v>
      </c>
    </row>
    <row r="1084" spans="1:9" ht="13.9" hidden="1" customHeight="1" outlineLevel="1">
      <c r="A1084" s="424" t="s">
        <v>356</v>
      </c>
      <c r="B1084" s="208">
        <v>23058.639999999999</v>
      </c>
      <c r="C1084" s="208">
        <v>0</v>
      </c>
      <c r="D1084" s="208">
        <v>0</v>
      </c>
      <c r="E1084" s="208">
        <v>0</v>
      </c>
      <c r="F1084" s="208">
        <v>0</v>
      </c>
      <c r="G1084" s="208">
        <v>0</v>
      </c>
      <c r="H1084" s="208">
        <v>0</v>
      </c>
      <c r="I1084" s="386">
        <f t="shared" si="25"/>
        <v>23058.639999999999</v>
      </c>
    </row>
    <row r="1085" spans="1:9" ht="13.9" hidden="1" customHeight="1" outlineLevel="1">
      <c r="A1085" s="424" t="s">
        <v>358</v>
      </c>
      <c r="B1085" s="208">
        <v>5385278.3200000003</v>
      </c>
      <c r="C1085" s="208">
        <v>0</v>
      </c>
      <c r="D1085" s="208">
        <v>0</v>
      </c>
      <c r="E1085" s="208">
        <v>0</v>
      </c>
      <c r="F1085" s="208">
        <v>11531.11</v>
      </c>
      <c r="G1085" s="208">
        <v>1469.12</v>
      </c>
      <c r="H1085" s="208">
        <v>0</v>
      </c>
      <c r="I1085" s="386">
        <f t="shared" si="25"/>
        <v>5398278.5500000007</v>
      </c>
    </row>
    <row r="1086" spans="1:9" ht="13.9" hidden="1" customHeight="1" outlineLevel="1">
      <c r="A1086" s="424" t="s">
        <v>360</v>
      </c>
      <c r="B1086" s="208">
        <v>2513.35</v>
      </c>
      <c r="C1086" s="208">
        <v>0</v>
      </c>
      <c r="D1086" s="208">
        <v>0</v>
      </c>
      <c r="E1086" s="208">
        <v>0</v>
      </c>
      <c r="F1086" s="208">
        <v>0</v>
      </c>
      <c r="G1086" s="208">
        <v>0</v>
      </c>
      <c r="H1086" s="208">
        <v>0</v>
      </c>
      <c r="I1086" s="386">
        <f t="shared" si="25"/>
        <v>2513.35</v>
      </c>
    </row>
    <row r="1087" spans="1:9" ht="13.9" hidden="1" customHeight="1" outlineLevel="1">
      <c r="A1087" s="424" t="s">
        <v>362</v>
      </c>
      <c r="B1087" s="208">
        <v>64858.41</v>
      </c>
      <c r="C1087" s="208">
        <v>0</v>
      </c>
      <c r="D1087" s="208">
        <v>0</v>
      </c>
      <c r="E1087" s="208">
        <v>0</v>
      </c>
      <c r="F1087" s="208">
        <v>0</v>
      </c>
      <c r="G1087" s="208">
        <v>0</v>
      </c>
      <c r="H1087" s="208">
        <v>0</v>
      </c>
      <c r="I1087" s="386">
        <f t="shared" si="25"/>
        <v>64858.41</v>
      </c>
    </row>
    <row r="1088" spans="1:9" ht="13.9" hidden="1" customHeight="1" outlineLevel="1">
      <c r="A1088" s="424" t="s">
        <v>364</v>
      </c>
      <c r="B1088" s="208">
        <v>15003.98</v>
      </c>
      <c r="C1088" s="208">
        <v>0</v>
      </c>
      <c r="D1088" s="208">
        <v>0</v>
      </c>
      <c r="E1088" s="208">
        <v>0</v>
      </c>
      <c r="F1088" s="208">
        <v>0</v>
      </c>
      <c r="G1088" s="208">
        <v>0</v>
      </c>
      <c r="H1088" s="208">
        <v>0</v>
      </c>
      <c r="I1088" s="386">
        <f t="shared" si="25"/>
        <v>15003.98</v>
      </c>
    </row>
    <row r="1089" spans="1:9" ht="13.9" hidden="1" customHeight="1" outlineLevel="1">
      <c r="A1089" s="424" t="s">
        <v>402</v>
      </c>
      <c r="B1089" s="208">
        <v>12085778.119999999</v>
      </c>
      <c r="C1089" s="208">
        <v>0</v>
      </c>
      <c r="D1089" s="208">
        <v>0</v>
      </c>
      <c r="E1089" s="208">
        <v>0</v>
      </c>
      <c r="F1089" s="208">
        <v>0</v>
      </c>
      <c r="G1089" s="208">
        <v>0</v>
      </c>
      <c r="H1089" s="208">
        <v>0</v>
      </c>
      <c r="I1089" s="386">
        <f t="shared" si="25"/>
        <v>12085778.119999999</v>
      </c>
    </row>
    <row r="1090" spans="1:9" ht="13.9" hidden="1" customHeight="1" outlineLevel="1">
      <c r="A1090" s="424" t="s">
        <v>366</v>
      </c>
      <c r="B1090" s="208">
        <v>207384.21</v>
      </c>
      <c r="C1090" s="208">
        <v>0</v>
      </c>
      <c r="D1090" s="208">
        <v>0</v>
      </c>
      <c r="E1090" s="208">
        <v>0</v>
      </c>
      <c r="F1090" s="208">
        <v>0</v>
      </c>
      <c r="G1090" s="208">
        <v>0</v>
      </c>
      <c r="H1090" s="208">
        <v>0</v>
      </c>
      <c r="I1090" s="386">
        <f t="shared" si="25"/>
        <v>207384.21</v>
      </c>
    </row>
    <row r="1091" spans="1:9" ht="13.9" hidden="1" customHeight="1" outlineLevel="1">
      <c r="A1091" s="424" t="s">
        <v>368</v>
      </c>
      <c r="B1091" s="208">
        <v>752176.83</v>
      </c>
      <c r="C1091" s="208">
        <v>0</v>
      </c>
      <c r="D1091" s="208">
        <v>0</v>
      </c>
      <c r="E1091" s="208">
        <v>0</v>
      </c>
      <c r="F1091" s="208">
        <v>0</v>
      </c>
      <c r="G1091" s="208">
        <v>0</v>
      </c>
      <c r="H1091" s="208">
        <v>0</v>
      </c>
      <c r="I1091" s="386">
        <f t="shared" si="25"/>
        <v>752176.83</v>
      </c>
    </row>
    <row r="1092" spans="1:9" ht="13.9" hidden="1" customHeight="1" outlineLevel="1">
      <c r="A1092" s="424" t="s">
        <v>370</v>
      </c>
      <c r="B1092" s="208">
        <v>1784159.18</v>
      </c>
      <c r="C1092" s="208">
        <v>0</v>
      </c>
      <c r="D1092" s="208">
        <v>0</v>
      </c>
      <c r="E1092" s="208">
        <v>0</v>
      </c>
      <c r="F1092" s="208">
        <v>0</v>
      </c>
      <c r="G1092" s="208">
        <v>0</v>
      </c>
      <c r="H1092" s="208">
        <v>0</v>
      </c>
      <c r="I1092" s="386">
        <f t="shared" si="25"/>
        <v>1784159.18</v>
      </c>
    </row>
    <row r="1093" spans="1:9" ht="13.9" hidden="1" customHeight="1" outlineLevel="1">
      <c r="A1093" s="424" t="s">
        <v>372</v>
      </c>
      <c r="B1093" s="208">
        <v>229333.32</v>
      </c>
      <c r="C1093" s="208">
        <v>0</v>
      </c>
      <c r="D1093" s="208">
        <v>0</v>
      </c>
      <c r="E1093" s="208">
        <v>0</v>
      </c>
      <c r="F1093" s="208">
        <v>0</v>
      </c>
      <c r="G1093" s="208">
        <v>0</v>
      </c>
      <c r="H1093" s="208">
        <v>0</v>
      </c>
      <c r="I1093" s="386">
        <f t="shared" si="25"/>
        <v>229333.32</v>
      </c>
    </row>
    <row r="1094" spans="1:9" ht="13.9" hidden="1" customHeight="1" outlineLevel="1">
      <c r="A1094" s="424" t="s">
        <v>374</v>
      </c>
      <c r="B1094" s="208">
        <v>140886.01</v>
      </c>
      <c r="C1094" s="208">
        <v>0</v>
      </c>
      <c r="D1094" s="208">
        <v>0</v>
      </c>
      <c r="E1094" s="208">
        <v>0</v>
      </c>
      <c r="F1094" s="208">
        <v>0</v>
      </c>
      <c r="G1094" s="208">
        <v>0</v>
      </c>
      <c r="H1094" s="208">
        <v>0</v>
      </c>
      <c r="I1094" s="386">
        <f t="shared" si="25"/>
        <v>140886.01</v>
      </c>
    </row>
    <row r="1095" spans="1:9" ht="13.9" hidden="1" customHeight="1" outlineLevel="1">
      <c r="A1095" s="424" t="s">
        <v>376</v>
      </c>
      <c r="B1095" s="208">
        <v>118037.2</v>
      </c>
      <c r="C1095" s="208">
        <v>0</v>
      </c>
      <c r="D1095" s="208">
        <v>0</v>
      </c>
      <c r="E1095" s="208">
        <v>0</v>
      </c>
      <c r="F1095" s="208">
        <v>0</v>
      </c>
      <c r="G1095" s="208">
        <v>0</v>
      </c>
      <c r="H1095" s="208">
        <v>0</v>
      </c>
      <c r="I1095" s="386">
        <f t="shared" si="25"/>
        <v>118037.2</v>
      </c>
    </row>
    <row r="1096" spans="1:9" ht="13.9" hidden="1" customHeight="1" outlineLevel="1">
      <c r="A1096" s="424" t="s">
        <v>1859</v>
      </c>
      <c r="B1096" s="208">
        <v>26689.94</v>
      </c>
      <c r="C1096" s="208">
        <v>0</v>
      </c>
      <c r="D1096" s="208">
        <v>0</v>
      </c>
      <c r="E1096" s="208">
        <v>0</v>
      </c>
      <c r="F1096" s="208">
        <v>0</v>
      </c>
      <c r="G1096" s="208">
        <v>0</v>
      </c>
      <c r="H1096" s="208">
        <v>0</v>
      </c>
      <c r="I1096" s="386">
        <f t="shared" si="25"/>
        <v>26689.94</v>
      </c>
    </row>
    <row r="1097" spans="1:9" ht="13.9" hidden="1" customHeight="1" outlineLevel="1">
      <c r="A1097" s="424" t="s">
        <v>378</v>
      </c>
      <c r="B1097" s="208">
        <v>359272.2</v>
      </c>
      <c r="C1097" s="208">
        <v>0</v>
      </c>
      <c r="D1097" s="208">
        <v>0</v>
      </c>
      <c r="E1097" s="208">
        <v>0</v>
      </c>
      <c r="F1097" s="208">
        <v>0</v>
      </c>
      <c r="G1097" s="208">
        <v>0</v>
      </c>
      <c r="H1097" s="208">
        <v>0</v>
      </c>
      <c r="I1097" s="386">
        <f t="shared" si="25"/>
        <v>359272.2</v>
      </c>
    </row>
    <row r="1098" spans="1:9" ht="13.9" hidden="1" customHeight="1" outlineLevel="1">
      <c r="A1098" s="424" t="s">
        <v>380</v>
      </c>
      <c r="B1098" s="208">
        <v>113965.29</v>
      </c>
      <c r="C1098" s="208">
        <v>0</v>
      </c>
      <c r="D1098" s="208">
        <v>0</v>
      </c>
      <c r="E1098" s="208">
        <v>0</v>
      </c>
      <c r="F1098" s="208">
        <v>0</v>
      </c>
      <c r="G1098" s="208">
        <v>0</v>
      </c>
      <c r="H1098" s="208">
        <v>0</v>
      </c>
      <c r="I1098" s="386">
        <f t="shared" si="25"/>
        <v>113965.29</v>
      </c>
    </row>
    <row r="1099" spans="1:9" ht="13.9" hidden="1" customHeight="1" outlineLevel="1">
      <c r="A1099" s="424" t="s">
        <v>382</v>
      </c>
      <c r="B1099" s="208">
        <v>195778.41</v>
      </c>
      <c r="C1099" s="208">
        <v>0</v>
      </c>
      <c r="D1099" s="208">
        <v>0</v>
      </c>
      <c r="E1099" s="208">
        <v>0</v>
      </c>
      <c r="F1099" s="208">
        <v>0</v>
      </c>
      <c r="G1099" s="208">
        <v>0</v>
      </c>
      <c r="H1099" s="208">
        <v>0</v>
      </c>
      <c r="I1099" s="386">
        <f t="shared" si="25"/>
        <v>195778.41</v>
      </c>
    </row>
    <row r="1100" spans="1:9" ht="13.9" hidden="1" customHeight="1" outlineLevel="1">
      <c r="A1100" s="424" t="s">
        <v>384</v>
      </c>
      <c r="B1100" s="208">
        <v>82961.240000000005</v>
      </c>
      <c r="C1100" s="208">
        <v>0</v>
      </c>
      <c r="D1100" s="208">
        <v>0</v>
      </c>
      <c r="E1100" s="208">
        <v>0</v>
      </c>
      <c r="F1100" s="208">
        <v>0</v>
      </c>
      <c r="G1100" s="208">
        <v>0</v>
      </c>
      <c r="H1100" s="208">
        <v>0</v>
      </c>
      <c r="I1100" s="386">
        <f t="shared" si="25"/>
        <v>82961.240000000005</v>
      </c>
    </row>
    <row r="1101" spans="1:9" ht="13.9" hidden="1" customHeight="1" outlineLevel="1">
      <c r="A1101" s="424" t="s">
        <v>386</v>
      </c>
      <c r="B1101" s="208">
        <v>428530.37</v>
      </c>
      <c r="C1101" s="208">
        <v>0</v>
      </c>
      <c r="D1101" s="208">
        <v>0</v>
      </c>
      <c r="E1101" s="208">
        <v>0</v>
      </c>
      <c r="F1101" s="208">
        <v>0</v>
      </c>
      <c r="G1101" s="208">
        <v>0</v>
      </c>
      <c r="H1101" s="208">
        <v>0</v>
      </c>
      <c r="I1101" s="386">
        <f t="shared" si="25"/>
        <v>428530.37</v>
      </c>
    </row>
    <row r="1102" spans="1:9" ht="13.9" hidden="1" customHeight="1" outlineLevel="1">
      <c r="A1102" s="424" t="s">
        <v>388</v>
      </c>
      <c r="B1102" s="208">
        <v>5161952.72</v>
      </c>
      <c r="C1102" s="208">
        <v>0</v>
      </c>
      <c r="D1102" s="208">
        <v>0</v>
      </c>
      <c r="E1102" s="208">
        <v>0</v>
      </c>
      <c r="F1102" s="208">
        <v>0</v>
      </c>
      <c r="G1102" s="208">
        <v>0</v>
      </c>
      <c r="H1102" s="208">
        <v>0</v>
      </c>
      <c r="I1102" s="386">
        <f t="shared" si="25"/>
        <v>5161952.72</v>
      </c>
    </row>
    <row r="1103" spans="1:9" ht="13.9" hidden="1" customHeight="1" outlineLevel="1">
      <c r="A1103" s="424" t="s">
        <v>1860</v>
      </c>
      <c r="B1103" s="208">
        <v>172005.92</v>
      </c>
      <c r="C1103" s="208">
        <v>0</v>
      </c>
      <c r="D1103" s="208">
        <v>0</v>
      </c>
      <c r="E1103" s="208">
        <v>0</v>
      </c>
      <c r="F1103" s="208">
        <v>0</v>
      </c>
      <c r="G1103" s="208">
        <v>0</v>
      </c>
      <c r="H1103" s="208">
        <v>0</v>
      </c>
      <c r="I1103" s="386">
        <f t="shared" si="25"/>
        <v>172005.92</v>
      </c>
    </row>
    <row r="1104" spans="1:9" ht="13.9" hidden="1" customHeight="1" outlineLevel="1">
      <c r="A1104" s="424" t="s">
        <v>390</v>
      </c>
      <c r="B1104" s="208">
        <v>391268.96</v>
      </c>
      <c r="C1104" s="208">
        <v>0</v>
      </c>
      <c r="D1104" s="208">
        <v>0</v>
      </c>
      <c r="E1104" s="208">
        <v>0</v>
      </c>
      <c r="F1104" s="208">
        <v>0</v>
      </c>
      <c r="G1104" s="208">
        <v>0</v>
      </c>
      <c r="H1104" s="208">
        <v>0</v>
      </c>
      <c r="I1104" s="386">
        <f t="shared" si="25"/>
        <v>391268.96</v>
      </c>
    </row>
    <row r="1105" spans="1:10" ht="13.9" hidden="1" customHeight="1" outlineLevel="1">
      <c r="A1105" s="424" t="s">
        <v>392</v>
      </c>
      <c r="B1105" s="208">
        <v>73084.03</v>
      </c>
      <c r="C1105" s="208">
        <v>0</v>
      </c>
      <c r="D1105" s="208">
        <v>0</v>
      </c>
      <c r="E1105" s="208">
        <v>0</v>
      </c>
      <c r="F1105" s="208">
        <v>0</v>
      </c>
      <c r="G1105" s="208">
        <v>0</v>
      </c>
      <c r="H1105" s="208">
        <v>0</v>
      </c>
      <c r="I1105" s="386">
        <f t="shared" si="25"/>
        <v>73084.03</v>
      </c>
    </row>
    <row r="1106" spans="1:10" ht="13.9" hidden="1" customHeight="1" outlineLevel="1">
      <c r="A1106" s="424" t="s">
        <v>394</v>
      </c>
      <c r="B1106" s="208">
        <v>88702.03</v>
      </c>
      <c r="C1106" s="208">
        <v>0</v>
      </c>
      <c r="D1106" s="208">
        <v>0</v>
      </c>
      <c r="E1106" s="208">
        <v>0</v>
      </c>
      <c r="F1106" s="208">
        <v>0</v>
      </c>
      <c r="G1106" s="208">
        <v>0</v>
      </c>
      <c r="H1106" s="208">
        <v>0</v>
      </c>
      <c r="I1106" s="386">
        <f t="shared" si="25"/>
        <v>88702.03</v>
      </c>
    </row>
    <row r="1107" spans="1:10" ht="13.9" hidden="1" customHeight="1" outlineLevel="1">
      <c r="A1107" s="424" t="s">
        <v>396</v>
      </c>
      <c r="B1107" s="208">
        <v>191360.61</v>
      </c>
      <c r="C1107" s="208">
        <v>0</v>
      </c>
      <c r="D1107" s="208">
        <v>0</v>
      </c>
      <c r="E1107" s="208">
        <v>0</v>
      </c>
      <c r="F1107" s="208">
        <v>0</v>
      </c>
      <c r="G1107" s="208">
        <v>0</v>
      </c>
      <c r="H1107" s="208">
        <v>0</v>
      </c>
      <c r="I1107" s="386">
        <f t="shared" si="25"/>
        <v>191360.61</v>
      </c>
    </row>
    <row r="1108" spans="1:10" ht="13.9" hidden="1" customHeight="1" outlineLevel="1">
      <c r="A1108" s="424" t="s">
        <v>398</v>
      </c>
      <c r="B1108" s="208">
        <v>120372.85</v>
      </c>
      <c r="C1108" s="208">
        <v>0</v>
      </c>
      <c r="D1108" s="208">
        <v>0</v>
      </c>
      <c r="E1108" s="208">
        <v>0</v>
      </c>
      <c r="F1108" s="208">
        <v>0</v>
      </c>
      <c r="G1108" s="208">
        <v>0</v>
      </c>
      <c r="H1108" s="208">
        <v>0</v>
      </c>
      <c r="I1108" s="386">
        <f t="shared" si="25"/>
        <v>120372.85</v>
      </c>
    </row>
    <row r="1109" spans="1:10" ht="13.9" hidden="1" customHeight="1" outlineLevel="1">
      <c r="A1109" s="424" t="s">
        <v>831</v>
      </c>
      <c r="B1109" s="208">
        <v>42377.88</v>
      </c>
      <c r="C1109" s="208">
        <v>0</v>
      </c>
      <c r="D1109" s="208">
        <v>0</v>
      </c>
      <c r="E1109" s="208">
        <v>0</v>
      </c>
      <c r="F1109" s="208">
        <v>0</v>
      </c>
      <c r="G1109" s="208">
        <v>0</v>
      </c>
      <c r="H1109" s="208">
        <v>0</v>
      </c>
      <c r="I1109" s="386">
        <f t="shared" si="25"/>
        <v>42377.88</v>
      </c>
    </row>
    <row r="1110" spans="1:10" hidden="1" outlineLevel="1">
      <c r="A1110" s="424" t="s">
        <v>400</v>
      </c>
      <c r="B1110" s="208">
        <v>143193.60999999999</v>
      </c>
      <c r="C1110" s="208">
        <v>0</v>
      </c>
      <c r="D1110" s="208">
        <v>0</v>
      </c>
      <c r="E1110" s="208">
        <v>0</v>
      </c>
      <c r="F1110" s="208">
        <v>0</v>
      </c>
      <c r="G1110" s="208">
        <v>0</v>
      </c>
      <c r="H1110" s="208">
        <v>0</v>
      </c>
      <c r="I1110" s="386">
        <f t="shared" si="25"/>
        <v>143193.60999999999</v>
      </c>
    </row>
    <row r="1111" spans="1:10" collapsed="1">
      <c r="A1111" s="430" t="str">
        <f>A177</f>
        <v>Regelzone Amprion (gesamt)</v>
      </c>
      <c r="B1111" s="206">
        <f>SUM(B1112:B1345)</f>
        <v>289822762.96324986</v>
      </c>
      <c r="C1111" s="206">
        <v>0</v>
      </c>
      <c r="D1111" s="206">
        <f>SUM(D1112:D1345)</f>
        <v>342476.71383750002</v>
      </c>
      <c r="E1111" s="206">
        <f>SUM(E1112:E1345)</f>
        <v>0</v>
      </c>
      <c r="F1111" s="206">
        <f>SUM(F1112:F1345)</f>
        <v>968176.35420000018</v>
      </c>
      <c r="G1111" s="206">
        <f>SUM(G1112:G1345)</f>
        <v>9979.2351999999992</v>
      </c>
      <c r="H1111" s="206">
        <f t="shared" ref="H1111:H1174" si="26">H177*0.0055/100</f>
        <v>0</v>
      </c>
      <c r="I1111" s="386">
        <f t="shared" ref="I1111:I1174" si="27">SUM(B1111:H1111)</f>
        <v>291143395.26648736</v>
      </c>
    </row>
    <row r="1112" spans="1:10" hidden="1" outlineLevel="1">
      <c r="A1112" s="424" t="s">
        <v>405</v>
      </c>
      <c r="B1112" s="210">
        <v>250474.48800000001</v>
      </c>
      <c r="C1112" s="211">
        <v>0</v>
      </c>
      <c r="D1112" s="211">
        <f t="shared" ref="D1112:D1175" si="28">D178*0.04125/100</f>
        <v>0</v>
      </c>
      <c r="E1112" s="211">
        <f t="shared" ref="E1112:E1175" si="29">E178*0/100</f>
        <v>0</v>
      </c>
      <c r="F1112" s="211">
        <f t="shared" ref="F1112:F1175" si="30">F178*0.0275/100</f>
        <v>0</v>
      </c>
      <c r="G1112" s="211">
        <f t="shared" ref="G1112:G1175" si="31">G178*0.055/100</f>
        <v>0</v>
      </c>
      <c r="H1112" s="211">
        <f t="shared" si="26"/>
        <v>0</v>
      </c>
      <c r="I1112" s="386">
        <f t="shared" si="27"/>
        <v>250474.48800000001</v>
      </c>
      <c r="J1112" s="203" t="s">
        <v>406</v>
      </c>
    </row>
    <row r="1113" spans="1:10" hidden="1" outlineLevel="1">
      <c r="A1113" s="424" t="s">
        <v>86</v>
      </c>
      <c r="B1113" s="210">
        <v>287046.02299999999</v>
      </c>
      <c r="C1113" s="211">
        <v>0</v>
      </c>
      <c r="D1113" s="211">
        <f t="shared" si="28"/>
        <v>0</v>
      </c>
      <c r="E1113" s="211">
        <f t="shared" si="29"/>
        <v>0</v>
      </c>
      <c r="F1113" s="211">
        <f t="shared" si="30"/>
        <v>0</v>
      </c>
      <c r="G1113" s="211">
        <f t="shared" si="31"/>
        <v>0</v>
      </c>
      <c r="H1113" s="211">
        <f t="shared" si="26"/>
        <v>0</v>
      </c>
      <c r="I1113" s="386">
        <f t="shared" si="27"/>
        <v>287046.02299999999</v>
      </c>
      <c r="J1113" s="203" t="s">
        <v>87</v>
      </c>
    </row>
    <row r="1114" spans="1:10" hidden="1" outlineLevel="1">
      <c r="A1114" s="424" t="s">
        <v>407</v>
      </c>
      <c r="B1114" s="210">
        <v>329356.80250000005</v>
      </c>
      <c r="C1114" s="211">
        <v>0</v>
      </c>
      <c r="D1114" s="211">
        <f t="shared" si="28"/>
        <v>0</v>
      </c>
      <c r="E1114" s="211">
        <f t="shared" si="29"/>
        <v>0</v>
      </c>
      <c r="F1114" s="211">
        <f t="shared" si="30"/>
        <v>0</v>
      </c>
      <c r="G1114" s="211">
        <f t="shared" si="31"/>
        <v>234.38305</v>
      </c>
      <c r="H1114" s="211">
        <f t="shared" si="26"/>
        <v>0</v>
      </c>
      <c r="I1114" s="386">
        <f t="shared" si="27"/>
        <v>329591.18555000005</v>
      </c>
      <c r="J1114" s="203" t="s">
        <v>408</v>
      </c>
    </row>
    <row r="1115" spans="1:10" hidden="1" outlineLevel="1">
      <c r="A1115" s="424" t="s">
        <v>409</v>
      </c>
      <c r="B1115" s="210">
        <v>837525.87875000003</v>
      </c>
      <c r="C1115" s="211">
        <v>0</v>
      </c>
      <c r="D1115" s="211">
        <f t="shared" si="28"/>
        <v>0</v>
      </c>
      <c r="E1115" s="211">
        <f t="shared" si="29"/>
        <v>0</v>
      </c>
      <c r="F1115" s="211">
        <f t="shared" si="30"/>
        <v>0</v>
      </c>
      <c r="G1115" s="211">
        <f t="shared" si="31"/>
        <v>0</v>
      </c>
      <c r="H1115" s="211">
        <f t="shared" si="26"/>
        <v>0</v>
      </c>
      <c r="I1115" s="386">
        <f t="shared" si="27"/>
        <v>837525.87875000003</v>
      </c>
      <c r="J1115" s="203" t="s">
        <v>410</v>
      </c>
    </row>
    <row r="1116" spans="1:10" hidden="1" outlineLevel="1">
      <c r="A1116" s="424" t="s">
        <v>411</v>
      </c>
      <c r="B1116" s="210">
        <v>2455263.4507500003</v>
      </c>
      <c r="C1116" s="211">
        <v>0</v>
      </c>
      <c r="D1116" s="211">
        <f t="shared" si="28"/>
        <v>0</v>
      </c>
      <c r="E1116" s="211">
        <f t="shared" si="29"/>
        <v>0</v>
      </c>
      <c r="F1116" s="211">
        <f t="shared" si="30"/>
        <v>2106.5811249999997</v>
      </c>
      <c r="G1116" s="211">
        <f t="shared" si="31"/>
        <v>0</v>
      </c>
      <c r="H1116" s="211">
        <f t="shared" si="26"/>
        <v>0</v>
      </c>
      <c r="I1116" s="386">
        <f t="shared" si="27"/>
        <v>2457370.0318750003</v>
      </c>
      <c r="J1116" s="203" t="s">
        <v>412</v>
      </c>
    </row>
    <row r="1117" spans="1:10" hidden="1" outlineLevel="1">
      <c r="A1117" s="424" t="s">
        <v>413</v>
      </c>
      <c r="B1117" s="210">
        <v>464945.74225000001</v>
      </c>
      <c r="C1117" s="211">
        <v>0</v>
      </c>
      <c r="D1117" s="211">
        <f t="shared" si="28"/>
        <v>0</v>
      </c>
      <c r="E1117" s="211">
        <f t="shared" si="29"/>
        <v>0</v>
      </c>
      <c r="F1117" s="211">
        <f t="shared" si="30"/>
        <v>0</v>
      </c>
      <c r="G1117" s="211">
        <f t="shared" si="31"/>
        <v>0</v>
      </c>
      <c r="H1117" s="211">
        <f t="shared" si="26"/>
        <v>0</v>
      </c>
      <c r="I1117" s="386">
        <f t="shared" si="27"/>
        <v>464945.74225000001</v>
      </c>
      <c r="J1117" s="203" t="s">
        <v>414</v>
      </c>
    </row>
    <row r="1118" spans="1:10" hidden="1" outlineLevel="1">
      <c r="A1118" s="424" t="s">
        <v>415</v>
      </c>
      <c r="B1118" s="210">
        <v>327601.67275000003</v>
      </c>
      <c r="C1118" s="211">
        <v>0</v>
      </c>
      <c r="D1118" s="211">
        <f t="shared" si="28"/>
        <v>0</v>
      </c>
      <c r="E1118" s="211">
        <f t="shared" si="29"/>
        <v>0</v>
      </c>
      <c r="F1118" s="211">
        <f t="shared" si="30"/>
        <v>0</v>
      </c>
      <c r="G1118" s="211">
        <f t="shared" si="31"/>
        <v>0</v>
      </c>
      <c r="H1118" s="211">
        <f t="shared" si="26"/>
        <v>0</v>
      </c>
      <c r="I1118" s="386">
        <f t="shared" si="27"/>
        <v>327601.67275000003</v>
      </c>
      <c r="J1118" s="203" t="s">
        <v>416</v>
      </c>
    </row>
    <row r="1119" spans="1:10" hidden="1" outlineLevel="1">
      <c r="A1119" s="424" t="s">
        <v>417</v>
      </c>
      <c r="B1119" s="210">
        <v>5293665.0745000001</v>
      </c>
      <c r="C1119" s="211">
        <v>0</v>
      </c>
      <c r="D1119" s="211">
        <f t="shared" si="28"/>
        <v>0</v>
      </c>
      <c r="E1119" s="211">
        <f t="shared" si="29"/>
        <v>0</v>
      </c>
      <c r="F1119" s="211">
        <f t="shared" si="30"/>
        <v>0</v>
      </c>
      <c r="G1119" s="211">
        <f t="shared" si="31"/>
        <v>1837.0379500000001</v>
      </c>
      <c r="H1119" s="211">
        <f t="shared" si="26"/>
        <v>0</v>
      </c>
      <c r="I1119" s="386">
        <f t="shared" si="27"/>
        <v>5295502.1124499999</v>
      </c>
      <c r="J1119" s="203" t="s">
        <v>418</v>
      </c>
    </row>
    <row r="1120" spans="1:10" hidden="1" outlineLevel="1">
      <c r="A1120" s="424" t="s">
        <v>419</v>
      </c>
      <c r="B1120" s="210">
        <v>9754600.6909999996</v>
      </c>
      <c r="C1120" s="211">
        <v>0</v>
      </c>
      <c r="D1120" s="211">
        <f t="shared" si="28"/>
        <v>0</v>
      </c>
      <c r="E1120" s="211">
        <f t="shared" si="29"/>
        <v>0</v>
      </c>
      <c r="F1120" s="211">
        <f t="shared" si="30"/>
        <v>0</v>
      </c>
      <c r="G1120" s="211">
        <f t="shared" si="31"/>
        <v>0</v>
      </c>
      <c r="H1120" s="211">
        <f t="shared" si="26"/>
        <v>0</v>
      </c>
      <c r="I1120" s="386">
        <f t="shared" si="27"/>
        <v>9754600.6909999996</v>
      </c>
      <c r="J1120" s="203" t="s">
        <v>420</v>
      </c>
    </row>
    <row r="1121" spans="1:10" hidden="1" outlineLevel="1">
      <c r="A1121" s="424" t="s">
        <v>421</v>
      </c>
      <c r="B1121" s="210">
        <v>332192.24500000005</v>
      </c>
      <c r="C1121" s="211">
        <v>0</v>
      </c>
      <c r="D1121" s="211">
        <f t="shared" si="28"/>
        <v>0</v>
      </c>
      <c r="E1121" s="211">
        <f t="shared" si="29"/>
        <v>0</v>
      </c>
      <c r="F1121" s="211">
        <f t="shared" si="30"/>
        <v>0</v>
      </c>
      <c r="G1121" s="211">
        <f t="shared" si="31"/>
        <v>0</v>
      </c>
      <c r="H1121" s="211">
        <f t="shared" si="26"/>
        <v>0</v>
      </c>
      <c r="I1121" s="386">
        <f t="shared" si="27"/>
        <v>332192.24500000005</v>
      </c>
      <c r="J1121" s="203" t="s">
        <v>422</v>
      </c>
    </row>
    <row r="1122" spans="1:10" hidden="1" outlineLevel="1">
      <c r="A1122" s="424" t="s">
        <v>423</v>
      </c>
      <c r="B1122" s="210">
        <v>529342.64625000011</v>
      </c>
      <c r="C1122" s="211">
        <v>0</v>
      </c>
      <c r="D1122" s="211">
        <f t="shared" si="28"/>
        <v>0</v>
      </c>
      <c r="E1122" s="211">
        <f t="shared" si="29"/>
        <v>0</v>
      </c>
      <c r="F1122" s="211">
        <f t="shared" si="30"/>
        <v>0</v>
      </c>
      <c r="G1122" s="211">
        <f t="shared" si="31"/>
        <v>0</v>
      </c>
      <c r="H1122" s="211">
        <f t="shared" si="26"/>
        <v>0</v>
      </c>
      <c r="I1122" s="386">
        <f t="shared" si="27"/>
        <v>529342.64625000011</v>
      </c>
      <c r="J1122" s="203" t="s">
        <v>424</v>
      </c>
    </row>
    <row r="1123" spans="1:10" hidden="1" outlineLevel="1">
      <c r="A1123" s="424" t="s">
        <v>425</v>
      </c>
      <c r="B1123" s="210">
        <v>1600149.98275</v>
      </c>
      <c r="C1123" s="211">
        <v>0</v>
      </c>
      <c r="D1123" s="211">
        <f t="shared" si="28"/>
        <v>0</v>
      </c>
      <c r="E1123" s="211">
        <f t="shared" si="29"/>
        <v>0</v>
      </c>
      <c r="F1123" s="211">
        <f t="shared" si="30"/>
        <v>0</v>
      </c>
      <c r="G1123" s="211">
        <f t="shared" si="31"/>
        <v>0</v>
      </c>
      <c r="H1123" s="211">
        <f t="shared" si="26"/>
        <v>0</v>
      </c>
      <c r="I1123" s="386">
        <f t="shared" si="27"/>
        <v>1600149.98275</v>
      </c>
      <c r="J1123" s="203" t="s">
        <v>426</v>
      </c>
    </row>
    <row r="1124" spans="1:10" hidden="1" outlineLevel="1">
      <c r="A1124" s="424" t="s">
        <v>427</v>
      </c>
      <c r="B1124" s="210">
        <v>1039687.1760000001</v>
      </c>
      <c r="C1124" s="211">
        <v>0</v>
      </c>
      <c r="D1124" s="211">
        <f t="shared" si="28"/>
        <v>0</v>
      </c>
      <c r="E1124" s="211">
        <f t="shared" si="29"/>
        <v>0</v>
      </c>
      <c r="F1124" s="211">
        <f t="shared" si="30"/>
        <v>0</v>
      </c>
      <c r="G1124" s="211">
        <f t="shared" si="31"/>
        <v>0</v>
      </c>
      <c r="H1124" s="211">
        <f t="shared" si="26"/>
        <v>0</v>
      </c>
      <c r="I1124" s="386">
        <f t="shared" si="27"/>
        <v>1039687.1760000001</v>
      </c>
      <c r="J1124" s="203" t="s">
        <v>428</v>
      </c>
    </row>
    <row r="1125" spans="1:10" hidden="1" outlineLevel="1">
      <c r="A1125" s="424" t="s">
        <v>429</v>
      </c>
      <c r="B1125" s="210">
        <v>140317.77925000002</v>
      </c>
      <c r="C1125" s="211">
        <v>0</v>
      </c>
      <c r="D1125" s="211">
        <f t="shared" si="28"/>
        <v>0</v>
      </c>
      <c r="E1125" s="211">
        <f t="shared" si="29"/>
        <v>0</v>
      </c>
      <c r="F1125" s="211">
        <f t="shared" si="30"/>
        <v>0</v>
      </c>
      <c r="G1125" s="211">
        <f t="shared" si="31"/>
        <v>0</v>
      </c>
      <c r="H1125" s="211">
        <f t="shared" si="26"/>
        <v>0</v>
      </c>
      <c r="I1125" s="386">
        <f t="shared" si="27"/>
        <v>140317.77925000002</v>
      </c>
      <c r="J1125" s="203" t="s">
        <v>430</v>
      </c>
    </row>
    <row r="1126" spans="1:10" hidden="1" outlineLevel="1">
      <c r="A1126" s="424" t="s">
        <v>431</v>
      </c>
      <c r="B1126" s="210">
        <v>80553.956999999995</v>
      </c>
      <c r="C1126" s="211">
        <v>0</v>
      </c>
      <c r="D1126" s="211">
        <f t="shared" si="28"/>
        <v>0</v>
      </c>
      <c r="E1126" s="211">
        <f t="shared" si="29"/>
        <v>0</v>
      </c>
      <c r="F1126" s="211">
        <f t="shared" si="30"/>
        <v>0</v>
      </c>
      <c r="G1126" s="211">
        <f t="shared" si="31"/>
        <v>0</v>
      </c>
      <c r="H1126" s="211">
        <f t="shared" si="26"/>
        <v>0</v>
      </c>
      <c r="I1126" s="386">
        <f t="shared" si="27"/>
        <v>80553.956999999995</v>
      </c>
      <c r="J1126" s="203" t="s">
        <v>432</v>
      </c>
    </row>
    <row r="1127" spans="1:10" hidden="1" outlineLevel="1">
      <c r="A1127" s="424" t="s">
        <v>433</v>
      </c>
      <c r="B1127" s="210">
        <v>3364444.0555000002</v>
      </c>
      <c r="C1127" s="211">
        <v>0</v>
      </c>
      <c r="D1127" s="211">
        <f t="shared" si="28"/>
        <v>0</v>
      </c>
      <c r="E1127" s="211">
        <f t="shared" si="29"/>
        <v>0</v>
      </c>
      <c r="F1127" s="211">
        <f t="shared" si="30"/>
        <v>779.41902499999992</v>
      </c>
      <c r="G1127" s="211">
        <f t="shared" si="31"/>
        <v>0</v>
      </c>
      <c r="H1127" s="211">
        <f t="shared" si="26"/>
        <v>0</v>
      </c>
      <c r="I1127" s="386">
        <f t="shared" si="27"/>
        <v>3365223.4745250004</v>
      </c>
      <c r="J1127" s="203" t="s">
        <v>434</v>
      </c>
    </row>
    <row r="1128" spans="1:10" hidden="1" outlineLevel="1">
      <c r="A1128" s="424" t="s">
        <v>435</v>
      </c>
      <c r="B1128" s="210">
        <v>380264.12874999997</v>
      </c>
      <c r="C1128" s="211">
        <v>0</v>
      </c>
      <c r="D1128" s="211">
        <f t="shared" si="28"/>
        <v>0</v>
      </c>
      <c r="E1128" s="211">
        <f t="shared" si="29"/>
        <v>0</v>
      </c>
      <c r="F1128" s="211">
        <f t="shared" si="30"/>
        <v>0</v>
      </c>
      <c r="G1128" s="211">
        <f t="shared" si="31"/>
        <v>0</v>
      </c>
      <c r="H1128" s="211">
        <f t="shared" si="26"/>
        <v>0</v>
      </c>
      <c r="I1128" s="386">
        <f t="shared" si="27"/>
        <v>380264.12874999997</v>
      </c>
      <c r="J1128" s="203" t="s">
        <v>436</v>
      </c>
    </row>
    <row r="1129" spans="1:10" hidden="1" outlineLevel="1">
      <c r="A1129" s="424" t="s">
        <v>437</v>
      </c>
      <c r="B1129" s="210">
        <v>2340063.0000000005</v>
      </c>
      <c r="C1129" s="211">
        <v>0</v>
      </c>
      <c r="D1129" s="211">
        <f t="shared" si="28"/>
        <v>0</v>
      </c>
      <c r="E1129" s="211">
        <f t="shared" si="29"/>
        <v>0</v>
      </c>
      <c r="F1129" s="211">
        <f t="shared" si="30"/>
        <v>0</v>
      </c>
      <c r="G1129" s="211">
        <f t="shared" si="31"/>
        <v>0</v>
      </c>
      <c r="H1129" s="211">
        <f t="shared" si="26"/>
        <v>0</v>
      </c>
      <c r="I1129" s="386">
        <f t="shared" si="27"/>
        <v>2340063.0000000005</v>
      </c>
      <c r="J1129" s="203" t="s">
        <v>438</v>
      </c>
    </row>
    <row r="1130" spans="1:10" hidden="1" outlineLevel="1">
      <c r="A1130" s="424" t="s">
        <v>439</v>
      </c>
      <c r="B1130" s="210">
        <v>557294.71325000003</v>
      </c>
      <c r="C1130" s="211">
        <v>0</v>
      </c>
      <c r="D1130" s="211">
        <f t="shared" si="28"/>
        <v>0</v>
      </c>
      <c r="E1130" s="211">
        <f t="shared" si="29"/>
        <v>0</v>
      </c>
      <c r="F1130" s="211">
        <f t="shared" si="30"/>
        <v>0</v>
      </c>
      <c r="G1130" s="211">
        <f t="shared" si="31"/>
        <v>0</v>
      </c>
      <c r="H1130" s="211">
        <f t="shared" si="26"/>
        <v>0</v>
      </c>
      <c r="I1130" s="386">
        <f t="shared" si="27"/>
        <v>557294.71325000003</v>
      </c>
      <c r="J1130" s="203" t="s">
        <v>440</v>
      </c>
    </row>
    <row r="1131" spans="1:10" hidden="1" outlineLevel="1">
      <c r="A1131" s="424" t="s">
        <v>441</v>
      </c>
      <c r="B1131" s="210">
        <v>3968978.2440000004</v>
      </c>
      <c r="C1131" s="211">
        <v>0</v>
      </c>
      <c r="D1131" s="211">
        <f t="shared" si="28"/>
        <v>0</v>
      </c>
      <c r="E1131" s="211">
        <f t="shared" si="29"/>
        <v>0</v>
      </c>
      <c r="F1131" s="211">
        <f t="shared" si="30"/>
        <v>4612.0063</v>
      </c>
      <c r="G1131" s="211">
        <f t="shared" si="31"/>
        <v>0</v>
      </c>
      <c r="H1131" s="211">
        <f t="shared" si="26"/>
        <v>0</v>
      </c>
      <c r="I1131" s="386">
        <f t="shared" si="27"/>
        <v>3973590.2503000004</v>
      </c>
      <c r="J1131" s="203" t="s">
        <v>442</v>
      </c>
    </row>
    <row r="1132" spans="1:10" hidden="1" outlineLevel="1">
      <c r="A1132" s="424" t="s">
        <v>443</v>
      </c>
      <c r="B1132" s="210">
        <v>27015.205250000003</v>
      </c>
      <c r="C1132" s="211">
        <v>0</v>
      </c>
      <c r="D1132" s="211">
        <f t="shared" si="28"/>
        <v>0</v>
      </c>
      <c r="E1132" s="211">
        <f t="shared" si="29"/>
        <v>0</v>
      </c>
      <c r="F1132" s="211">
        <f t="shared" si="30"/>
        <v>0</v>
      </c>
      <c r="G1132" s="211">
        <f t="shared" si="31"/>
        <v>0</v>
      </c>
      <c r="H1132" s="211">
        <f t="shared" si="26"/>
        <v>0</v>
      </c>
      <c r="I1132" s="386">
        <f t="shared" si="27"/>
        <v>27015.205250000003</v>
      </c>
      <c r="J1132" s="203" t="s">
        <v>444</v>
      </c>
    </row>
    <row r="1133" spans="1:10" hidden="1" outlineLevel="1">
      <c r="A1133" s="424" t="s">
        <v>445</v>
      </c>
      <c r="B1133" s="210">
        <v>614902.44475000002</v>
      </c>
      <c r="C1133" s="211">
        <v>0</v>
      </c>
      <c r="D1133" s="211">
        <f t="shared" si="28"/>
        <v>0</v>
      </c>
      <c r="E1133" s="211">
        <f t="shared" si="29"/>
        <v>0</v>
      </c>
      <c r="F1133" s="211">
        <f t="shared" si="30"/>
        <v>0</v>
      </c>
      <c r="G1133" s="211">
        <f t="shared" si="31"/>
        <v>0</v>
      </c>
      <c r="H1133" s="211">
        <f t="shared" si="26"/>
        <v>0</v>
      </c>
      <c r="I1133" s="386">
        <f t="shared" si="27"/>
        <v>614902.44475000002</v>
      </c>
      <c r="J1133" s="203" t="s">
        <v>446</v>
      </c>
    </row>
    <row r="1134" spans="1:10" hidden="1" outlineLevel="1">
      <c r="A1134" s="424" t="s">
        <v>447</v>
      </c>
      <c r="B1134" s="210">
        <v>305656.16400000005</v>
      </c>
      <c r="C1134" s="211">
        <v>0</v>
      </c>
      <c r="D1134" s="211">
        <f t="shared" si="28"/>
        <v>0</v>
      </c>
      <c r="E1134" s="211">
        <f t="shared" si="29"/>
        <v>0</v>
      </c>
      <c r="F1134" s="211">
        <f t="shared" si="30"/>
        <v>0</v>
      </c>
      <c r="G1134" s="211">
        <f t="shared" si="31"/>
        <v>0</v>
      </c>
      <c r="H1134" s="211">
        <f t="shared" si="26"/>
        <v>0</v>
      </c>
      <c r="I1134" s="386">
        <f t="shared" si="27"/>
        <v>305656.16400000005</v>
      </c>
      <c r="J1134" s="203" t="s">
        <v>448</v>
      </c>
    </row>
    <row r="1135" spans="1:10" hidden="1" outlineLevel="1">
      <c r="A1135" s="424" t="s">
        <v>449</v>
      </c>
      <c r="B1135" s="210">
        <v>14594689.914750002</v>
      </c>
      <c r="C1135" s="211">
        <v>0</v>
      </c>
      <c r="D1135" s="211">
        <f t="shared" si="28"/>
        <v>0</v>
      </c>
      <c r="E1135" s="211">
        <f t="shared" si="29"/>
        <v>0</v>
      </c>
      <c r="F1135" s="211">
        <f t="shared" si="30"/>
        <v>1508.007325</v>
      </c>
      <c r="G1135" s="211">
        <f t="shared" si="31"/>
        <v>0</v>
      </c>
      <c r="H1135" s="211">
        <f t="shared" si="26"/>
        <v>0</v>
      </c>
      <c r="I1135" s="386">
        <f t="shared" si="27"/>
        <v>14596197.922075002</v>
      </c>
      <c r="J1135" s="203" t="s">
        <v>450</v>
      </c>
    </row>
    <row r="1136" spans="1:10" hidden="1" outlineLevel="1">
      <c r="A1136" s="424" t="s">
        <v>451</v>
      </c>
      <c r="B1136" s="210">
        <v>195858.78675</v>
      </c>
      <c r="C1136" s="211">
        <v>0</v>
      </c>
      <c r="D1136" s="211">
        <f t="shared" si="28"/>
        <v>0</v>
      </c>
      <c r="E1136" s="211">
        <f t="shared" si="29"/>
        <v>0</v>
      </c>
      <c r="F1136" s="211">
        <f t="shared" si="30"/>
        <v>0</v>
      </c>
      <c r="G1136" s="211">
        <f t="shared" si="31"/>
        <v>0</v>
      </c>
      <c r="H1136" s="211">
        <f t="shared" si="26"/>
        <v>0</v>
      </c>
      <c r="I1136" s="386">
        <f t="shared" si="27"/>
        <v>195858.78675</v>
      </c>
      <c r="J1136" s="203" t="s">
        <v>452</v>
      </c>
    </row>
    <row r="1137" spans="1:10" hidden="1" outlineLevel="1">
      <c r="A1137" s="424" t="s">
        <v>453</v>
      </c>
      <c r="B1137" s="210">
        <v>842658.37975000008</v>
      </c>
      <c r="C1137" s="211">
        <v>0</v>
      </c>
      <c r="D1137" s="211">
        <f t="shared" si="28"/>
        <v>0</v>
      </c>
      <c r="E1137" s="211">
        <f t="shared" si="29"/>
        <v>0</v>
      </c>
      <c r="F1137" s="211">
        <f t="shared" si="30"/>
        <v>0</v>
      </c>
      <c r="G1137" s="211">
        <f t="shared" si="31"/>
        <v>0</v>
      </c>
      <c r="H1137" s="211">
        <f t="shared" si="26"/>
        <v>0</v>
      </c>
      <c r="I1137" s="386">
        <f t="shared" si="27"/>
        <v>842658.37975000008</v>
      </c>
      <c r="J1137" s="203" t="s">
        <v>454</v>
      </c>
    </row>
    <row r="1138" spans="1:10" hidden="1" outlineLevel="1">
      <c r="A1138" s="424" t="s">
        <v>455</v>
      </c>
      <c r="B1138" s="210">
        <v>78558.774250000002</v>
      </c>
      <c r="C1138" s="211">
        <v>0</v>
      </c>
      <c r="D1138" s="211">
        <f t="shared" si="28"/>
        <v>0</v>
      </c>
      <c r="E1138" s="211">
        <f t="shared" si="29"/>
        <v>0</v>
      </c>
      <c r="F1138" s="211">
        <f t="shared" si="30"/>
        <v>0</v>
      </c>
      <c r="G1138" s="211">
        <f t="shared" si="31"/>
        <v>0</v>
      </c>
      <c r="H1138" s="211">
        <f t="shared" si="26"/>
        <v>0</v>
      </c>
      <c r="I1138" s="386">
        <f t="shared" si="27"/>
        <v>78558.774250000002</v>
      </c>
      <c r="J1138" s="203" t="s">
        <v>456</v>
      </c>
    </row>
    <row r="1139" spans="1:10" hidden="1" outlineLevel="1">
      <c r="A1139" s="424" t="s">
        <v>457</v>
      </c>
      <c r="B1139" s="210">
        <v>12977.123500000002</v>
      </c>
      <c r="C1139" s="211">
        <v>0</v>
      </c>
      <c r="D1139" s="211">
        <f t="shared" si="28"/>
        <v>0</v>
      </c>
      <c r="E1139" s="211">
        <f t="shared" si="29"/>
        <v>0</v>
      </c>
      <c r="F1139" s="211">
        <f t="shared" si="30"/>
        <v>0</v>
      </c>
      <c r="G1139" s="211">
        <f t="shared" si="31"/>
        <v>0</v>
      </c>
      <c r="H1139" s="211">
        <f t="shared" si="26"/>
        <v>0</v>
      </c>
      <c r="I1139" s="386">
        <f t="shared" si="27"/>
        <v>12977.123500000002</v>
      </c>
      <c r="J1139" s="203" t="s">
        <v>458</v>
      </c>
    </row>
    <row r="1140" spans="1:10" hidden="1" outlineLevel="1">
      <c r="A1140" s="424" t="s">
        <v>459</v>
      </c>
      <c r="B1140" s="210">
        <v>885447.772</v>
      </c>
      <c r="C1140" s="211">
        <v>0</v>
      </c>
      <c r="D1140" s="211">
        <f t="shared" si="28"/>
        <v>0</v>
      </c>
      <c r="E1140" s="211">
        <f t="shared" si="29"/>
        <v>0</v>
      </c>
      <c r="F1140" s="211">
        <f t="shared" si="30"/>
        <v>0</v>
      </c>
      <c r="G1140" s="211">
        <f t="shared" si="31"/>
        <v>0</v>
      </c>
      <c r="H1140" s="211">
        <f t="shared" si="26"/>
        <v>0</v>
      </c>
      <c r="I1140" s="386">
        <f t="shared" si="27"/>
        <v>885447.772</v>
      </c>
      <c r="J1140" s="203" t="s">
        <v>460</v>
      </c>
    </row>
    <row r="1141" spans="1:10" hidden="1" outlineLevel="1">
      <c r="A1141" s="424" t="s">
        <v>461</v>
      </c>
      <c r="B1141" s="210">
        <v>88390.238750000004</v>
      </c>
      <c r="C1141" s="211">
        <v>0</v>
      </c>
      <c r="D1141" s="211">
        <f t="shared" si="28"/>
        <v>0</v>
      </c>
      <c r="E1141" s="211">
        <f t="shared" si="29"/>
        <v>0</v>
      </c>
      <c r="F1141" s="211">
        <f t="shared" si="30"/>
        <v>0</v>
      </c>
      <c r="G1141" s="211">
        <f t="shared" si="31"/>
        <v>0</v>
      </c>
      <c r="H1141" s="211">
        <f t="shared" si="26"/>
        <v>0</v>
      </c>
      <c r="I1141" s="386">
        <f t="shared" si="27"/>
        <v>88390.238750000004</v>
      </c>
      <c r="J1141" s="203" t="s">
        <v>462</v>
      </c>
    </row>
    <row r="1142" spans="1:10" hidden="1" outlineLevel="1">
      <c r="A1142" s="424" t="s">
        <v>463</v>
      </c>
      <c r="B1142" s="210">
        <v>5416795.0815000013</v>
      </c>
      <c r="C1142" s="211">
        <v>0</v>
      </c>
      <c r="D1142" s="211">
        <f t="shared" si="28"/>
        <v>0</v>
      </c>
      <c r="E1142" s="211">
        <f t="shared" si="29"/>
        <v>0</v>
      </c>
      <c r="F1142" s="211">
        <f t="shared" si="30"/>
        <v>0</v>
      </c>
      <c r="G1142" s="211">
        <f t="shared" si="31"/>
        <v>0</v>
      </c>
      <c r="H1142" s="211">
        <f t="shared" si="26"/>
        <v>0</v>
      </c>
      <c r="I1142" s="386">
        <f t="shared" si="27"/>
        <v>5416795.0815000013</v>
      </c>
      <c r="J1142" s="203" t="s">
        <v>464</v>
      </c>
    </row>
    <row r="1143" spans="1:10" hidden="1" outlineLevel="1">
      <c r="A1143" s="424" t="s">
        <v>465</v>
      </c>
      <c r="B1143" s="210">
        <v>16526.922500000001</v>
      </c>
      <c r="C1143" s="211">
        <v>0</v>
      </c>
      <c r="D1143" s="211">
        <f t="shared" si="28"/>
        <v>0</v>
      </c>
      <c r="E1143" s="211">
        <f t="shared" si="29"/>
        <v>0</v>
      </c>
      <c r="F1143" s="211">
        <f t="shared" si="30"/>
        <v>0</v>
      </c>
      <c r="G1143" s="211">
        <f t="shared" si="31"/>
        <v>0</v>
      </c>
      <c r="H1143" s="211">
        <f t="shared" si="26"/>
        <v>0</v>
      </c>
      <c r="I1143" s="386">
        <f t="shared" si="27"/>
        <v>16526.922500000001</v>
      </c>
      <c r="J1143" s="203" t="s">
        <v>466</v>
      </c>
    </row>
    <row r="1144" spans="1:10" hidden="1" outlineLevel="1">
      <c r="A1144" s="424" t="s">
        <v>467</v>
      </c>
      <c r="B1144" s="210">
        <v>301169.16224999999</v>
      </c>
      <c r="C1144" s="211">
        <v>0</v>
      </c>
      <c r="D1144" s="211">
        <f t="shared" si="28"/>
        <v>0</v>
      </c>
      <c r="E1144" s="211">
        <f t="shared" si="29"/>
        <v>0</v>
      </c>
      <c r="F1144" s="211">
        <f t="shared" si="30"/>
        <v>0</v>
      </c>
      <c r="G1144" s="211">
        <f t="shared" si="31"/>
        <v>0</v>
      </c>
      <c r="H1144" s="211">
        <f t="shared" si="26"/>
        <v>0</v>
      </c>
      <c r="I1144" s="386">
        <f t="shared" si="27"/>
        <v>301169.16224999999</v>
      </c>
      <c r="J1144" s="203" t="s">
        <v>468</v>
      </c>
    </row>
    <row r="1145" spans="1:10" hidden="1" outlineLevel="1">
      <c r="A1145" s="424" t="s">
        <v>469</v>
      </c>
      <c r="B1145" s="210">
        <v>60313020.850500003</v>
      </c>
      <c r="C1145" s="211">
        <v>0</v>
      </c>
      <c r="D1145" s="211">
        <f t="shared" si="28"/>
        <v>31172.139075000003</v>
      </c>
      <c r="E1145" s="211">
        <f t="shared" si="29"/>
        <v>0</v>
      </c>
      <c r="F1145" s="211">
        <f t="shared" si="30"/>
        <v>12563.9195</v>
      </c>
      <c r="G1145" s="211">
        <f t="shared" si="31"/>
        <v>389.86090000000002</v>
      </c>
      <c r="H1145" s="211">
        <f t="shared" si="26"/>
        <v>0</v>
      </c>
      <c r="I1145" s="386">
        <f t="shared" si="27"/>
        <v>60357146.769975007</v>
      </c>
      <c r="J1145" s="203" t="s">
        <v>470</v>
      </c>
    </row>
    <row r="1146" spans="1:10" hidden="1" outlineLevel="1">
      <c r="A1146" s="424" t="s">
        <v>471</v>
      </c>
      <c r="B1146" s="210">
        <v>362582.01374999998</v>
      </c>
      <c r="C1146" s="211">
        <v>0</v>
      </c>
      <c r="D1146" s="211">
        <f t="shared" si="28"/>
        <v>0</v>
      </c>
      <c r="E1146" s="211">
        <f t="shared" si="29"/>
        <v>0</v>
      </c>
      <c r="F1146" s="211">
        <f t="shared" si="30"/>
        <v>0</v>
      </c>
      <c r="G1146" s="211">
        <f t="shared" si="31"/>
        <v>0</v>
      </c>
      <c r="H1146" s="211">
        <f t="shared" si="26"/>
        <v>0</v>
      </c>
      <c r="I1146" s="386">
        <f t="shared" si="27"/>
        <v>362582.01374999998</v>
      </c>
      <c r="J1146" s="203" t="s">
        <v>472</v>
      </c>
    </row>
    <row r="1147" spans="1:10" hidden="1" outlineLevel="1">
      <c r="A1147" s="424" t="s">
        <v>473</v>
      </c>
      <c r="B1147" s="210">
        <v>45334.81425000001</v>
      </c>
      <c r="C1147" s="211">
        <v>0</v>
      </c>
      <c r="D1147" s="211">
        <f t="shared" si="28"/>
        <v>0</v>
      </c>
      <c r="E1147" s="211">
        <f t="shared" si="29"/>
        <v>0</v>
      </c>
      <c r="F1147" s="211">
        <f t="shared" si="30"/>
        <v>0</v>
      </c>
      <c r="G1147" s="211">
        <f t="shared" si="31"/>
        <v>0</v>
      </c>
      <c r="H1147" s="211">
        <f t="shared" si="26"/>
        <v>0</v>
      </c>
      <c r="I1147" s="386">
        <f t="shared" si="27"/>
        <v>45334.81425000001</v>
      </c>
      <c r="J1147" s="203" t="s">
        <v>474</v>
      </c>
    </row>
    <row r="1148" spans="1:10" hidden="1" outlineLevel="1">
      <c r="A1148" s="424" t="s">
        <v>475</v>
      </c>
      <c r="B1148" s="210">
        <v>161365.23425000001</v>
      </c>
      <c r="C1148" s="211">
        <v>0</v>
      </c>
      <c r="D1148" s="211">
        <f t="shared" si="28"/>
        <v>0</v>
      </c>
      <c r="E1148" s="211">
        <f t="shared" si="29"/>
        <v>0</v>
      </c>
      <c r="F1148" s="211">
        <f t="shared" si="30"/>
        <v>0</v>
      </c>
      <c r="G1148" s="211">
        <f t="shared" si="31"/>
        <v>0</v>
      </c>
      <c r="H1148" s="211">
        <f t="shared" si="26"/>
        <v>0</v>
      </c>
      <c r="I1148" s="386">
        <f t="shared" si="27"/>
        <v>161365.23425000001</v>
      </c>
      <c r="J1148" s="203" t="s">
        <v>476</v>
      </c>
    </row>
    <row r="1149" spans="1:10" hidden="1" outlineLevel="1">
      <c r="A1149" s="424" t="s">
        <v>477</v>
      </c>
      <c r="B1149" s="210">
        <v>3294971.8450000002</v>
      </c>
      <c r="C1149" s="211">
        <v>0</v>
      </c>
      <c r="D1149" s="211">
        <f t="shared" si="28"/>
        <v>10873.454212500001</v>
      </c>
      <c r="E1149" s="211">
        <f t="shared" si="29"/>
        <v>0</v>
      </c>
      <c r="F1149" s="211">
        <f t="shared" si="30"/>
        <v>9722.4407499999998</v>
      </c>
      <c r="G1149" s="211">
        <f t="shared" si="31"/>
        <v>0</v>
      </c>
      <c r="H1149" s="211">
        <f t="shared" si="26"/>
        <v>0</v>
      </c>
      <c r="I1149" s="386">
        <f t="shared" si="27"/>
        <v>3315567.7399625001</v>
      </c>
      <c r="J1149" s="203" t="s">
        <v>478</v>
      </c>
    </row>
    <row r="1150" spans="1:10" hidden="1" outlineLevel="1">
      <c r="A1150" s="424" t="s">
        <v>479</v>
      </c>
      <c r="B1150" s="210">
        <v>499925.98425000004</v>
      </c>
      <c r="C1150" s="211">
        <v>0</v>
      </c>
      <c r="D1150" s="211">
        <f t="shared" si="28"/>
        <v>0</v>
      </c>
      <c r="E1150" s="211">
        <f t="shared" si="29"/>
        <v>0</v>
      </c>
      <c r="F1150" s="211">
        <f t="shared" si="30"/>
        <v>0</v>
      </c>
      <c r="G1150" s="211">
        <f t="shared" si="31"/>
        <v>0</v>
      </c>
      <c r="H1150" s="211">
        <f t="shared" si="26"/>
        <v>0</v>
      </c>
      <c r="I1150" s="386">
        <f t="shared" si="27"/>
        <v>499925.98425000004</v>
      </c>
      <c r="J1150" s="203" t="s">
        <v>480</v>
      </c>
    </row>
    <row r="1151" spans="1:10" hidden="1" outlineLevel="1">
      <c r="A1151" s="424" t="s">
        <v>481</v>
      </c>
      <c r="B1151" s="210">
        <v>333632.09000000003</v>
      </c>
      <c r="C1151" s="211">
        <v>0</v>
      </c>
      <c r="D1151" s="211">
        <f t="shared" si="28"/>
        <v>0</v>
      </c>
      <c r="E1151" s="211">
        <f t="shared" si="29"/>
        <v>0</v>
      </c>
      <c r="F1151" s="211">
        <f t="shared" si="30"/>
        <v>0</v>
      </c>
      <c r="G1151" s="211">
        <f t="shared" si="31"/>
        <v>0</v>
      </c>
      <c r="H1151" s="211">
        <f t="shared" si="26"/>
        <v>0</v>
      </c>
      <c r="I1151" s="386">
        <f t="shared" si="27"/>
        <v>333632.09000000003</v>
      </c>
      <c r="J1151" s="203" t="s">
        <v>482</v>
      </c>
    </row>
    <row r="1152" spans="1:10" hidden="1" outlineLevel="1">
      <c r="A1152" s="424" t="s">
        <v>483</v>
      </c>
      <c r="B1152" s="210">
        <v>17719619.09025</v>
      </c>
      <c r="C1152" s="211">
        <v>0</v>
      </c>
      <c r="D1152" s="211">
        <f t="shared" si="28"/>
        <v>0</v>
      </c>
      <c r="E1152" s="211">
        <f t="shared" si="29"/>
        <v>0</v>
      </c>
      <c r="F1152" s="211">
        <f t="shared" si="30"/>
        <v>31513.870575000001</v>
      </c>
      <c r="G1152" s="211">
        <f t="shared" si="31"/>
        <v>0</v>
      </c>
      <c r="H1152" s="211">
        <f t="shared" si="26"/>
        <v>0</v>
      </c>
      <c r="I1152" s="386">
        <f t="shared" si="27"/>
        <v>17751132.960825</v>
      </c>
      <c r="J1152" s="203" t="s">
        <v>484</v>
      </c>
    </row>
    <row r="1153" spans="1:10" hidden="1" outlineLevel="1">
      <c r="A1153" s="424" t="s">
        <v>485</v>
      </c>
      <c r="B1153" s="210">
        <v>923511.57250000013</v>
      </c>
      <c r="C1153" s="211">
        <v>0</v>
      </c>
      <c r="D1153" s="211">
        <f t="shared" si="28"/>
        <v>0</v>
      </c>
      <c r="E1153" s="211">
        <f t="shared" si="29"/>
        <v>0</v>
      </c>
      <c r="F1153" s="211">
        <f t="shared" si="30"/>
        <v>0</v>
      </c>
      <c r="G1153" s="211">
        <f t="shared" si="31"/>
        <v>0</v>
      </c>
      <c r="H1153" s="211">
        <f t="shared" si="26"/>
        <v>0</v>
      </c>
      <c r="I1153" s="386">
        <f t="shared" si="27"/>
        <v>923511.57250000013</v>
      </c>
      <c r="J1153" s="203" t="s">
        <v>486</v>
      </c>
    </row>
    <row r="1154" spans="1:10" hidden="1" outlineLevel="1">
      <c r="A1154" s="424" t="s">
        <v>487</v>
      </c>
      <c r="B1154" s="210">
        <v>199288.46575000003</v>
      </c>
      <c r="C1154" s="211">
        <v>0</v>
      </c>
      <c r="D1154" s="211">
        <f t="shared" si="28"/>
        <v>0</v>
      </c>
      <c r="E1154" s="211">
        <f t="shared" si="29"/>
        <v>0</v>
      </c>
      <c r="F1154" s="211">
        <f t="shared" si="30"/>
        <v>0</v>
      </c>
      <c r="G1154" s="211">
        <f t="shared" si="31"/>
        <v>0</v>
      </c>
      <c r="H1154" s="211">
        <f t="shared" si="26"/>
        <v>0</v>
      </c>
      <c r="I1154" s="386">
        <f t="shared" si="27"/>
        <v>199288.46575000003</v>
      </c>
      <c r="J1154" s="203" t="s">
        <v>488</v>
      </c>
    </row>
    <row r="1155" spans="1:10" hidden="1" outlineLevel="1">
      <c r="A1155" s="424" t="s">
        <v>489</v>
      </c>
      <c r="B1155" s="210">
        <v>1174697.77975</v>
      </c>
      <c r="C1155" s="211">
        <v>0</v>
      </c>
      <c r="D1155" s="211">
        <f t="shared" si="28"/>
        <v>0</v>
      </c>
      <c r="E1155" s="211">
        <f t="shared" si="29"/>
        <v>0</v>
      </c>
      <c r="F1155" s="211">
        <f t="shared" si="30"/>
        <v>0</v>
      </c>
      <c r="G1155" s="211">
        <f t="shared" si="31"/>
        <v>0</v>
      </c>
      <c r="H1155" s="211">
        <f t="shared" si="26"/>
        <v>0</v>
      </c>
      <c r="I1155" s="386">
        <f t="shared" si="27"/>
        <v>1174697.77975</v>
      </c>
      <c r="J1155" s="203" t="s">
        <v>490</v>
      </c>
    </row>
    <row r="1156" spans="1:10" hidden="1" outlineLevel="1">
      <c r="A1156" s="424" t="s">
        <v>491</v>
      </c>
      <c r="B1156" s="210">
        <v>52438.98550000001</v>
      </c>
      <c r="C1156" s="211">
        <v>0</v>
      </c>
      <c r="D1156" s="211">
        <f t="shared" si="28"/>
        <v>0</v>
      </c>
      <c r="E1156" s="211">
        <f t="shared" si="29"/>
        <v>0</v>
      </c>
      <c r="F1156" s="211">
        <f t="shared" si="30"/>
        <v>0</v>
      </c>
      <c r="G1156" s="211">
        <f t="shared" si="31"/>
        <v>0</v>
      </c>
      <c r="H1156" s="211">
        <f t="shared" si="26"/>
        <v>0</v>
      </c>
      <c r="I1156" s="386">
        <f t="shared" si="27"/>
        <v>52438.98550000001</v>
      </c>
      <c r="J1156" s="203" t="s">
        <v>492</v>
      </c>
    </row>
    <row r="1157" spans="1:10" hidden="1" outlineLevel="1">
      <c r="A1157" s="424" t="s">
        <v>493</v>
      </c>
      <c r="B1157" s="210">
        <v>596927.17700000003</v>
      </c>
      <c r="C1157" s="211">
        <v>0</v>
      </c>
      <c r="D1157" s="211">
        <f t="shared" si="28"/>
        <v>0</v>
      </c>
      <c r="E1157" s="211">
        <f t="shared" si="29"/>
        <v>0</v>
      </c>
      <c r="F1157" s="211">
        <f t="shared" si="30"/>
        <v>0</v>
      </c>
      <c r="G1157" s="211">
        <f t="shared" si="31"/>
        <v>0</v>
      </c>
      <c r="H1157" s="211">
        <f t="shared" si="26"/>
        <v>0</v>
      </c>
      <c r="I1157" s="386">
        <f t="shared" si="27"/>
        <v>596927.17700000003</v>
      </c>
      <c r="J1157" s="203" t="s">
        <v>494</v>
      </c>
    </row>
    <row r="1158" spans="1:10" hidden="1" outlineLevel="1">
      <c r="A1158" s="424" t="s">
        <v>495</v>
      </c>
      <c r="B1158" s="210">
        <v>2155250.6992500001</v>
      </c>
      <c r="C1158" s="211">
        <v>0</v>
      </c>
      <c r="D1158" s="211">
        <f t="shared" si="28"/>
        <v>0</v>
      </c>
      <c r="E1158" s="211">
        <f t="shared" si="29"/>
        <v>0</v>
      </c>
      <c r="F1158" s="211">
        <f t="shared" si="30"/>
        <v>0</v>
      </c>
      <c r="G1158" s="211">
        <f t="shared" si="31"/>
        <v>0</v>
      </c>
      <c r="H1158" s="211">
        <f t="shared" si="26"/>
        <v>0</v>
      </c>
      <c r="I1158" s="386">
        <f t="shared" si="27"/>
        <v>2155250.6992500001</v>
      </c>
      <c r="J1158" s="203" t="s">
        <v>496</v>
      </c>
    </row>
    <row r="1159" spans="1:10" hidden="1" outlineLevel="1">
      <c r="A1159" s="424" t="s">
        <v>497</v>
      </c>
      <c r="B1159" s="210">
        <v>487871.90650000004</v>
      </c>
      <c r="C1159" s="211">
        <v>0</v>
      </c>
      <c r="D1159" s="211">
        <f t="shared" si="28"/>
        <v>0</v>
      </c>
      <c r="E1159" s="211">
        <f t="shared" si="29"/>
        <v>0</v>
      </c>
      <c r="F1159" s="211">
        <f t="shared" si="30"/>
        <v>0</v>
      </c>
      <c r="G1159" s="211">
        <f t="shared" si="31"/>
        <v>0</v>
      </c>
      <c r="H1159" s="211">
        <f t="shared" si="26"/>
        <v>0</v>
      </c>
      <c r="I1159" s="386">
        <f t="shared" si="27"/>
        <v>487871.90650000004</v>
      </c>
      <c r="J1159" s="203" t="s">
        <v>498</v>
      </c>
    </row>
    <row r="1160" spans="1:10" hidden="1" outlineLevel="1">
      <c r="A1160" s="424" t="s">
        <v>499</v>
      </c>
      <c r="B1160" s="210">
        <v>40472.927000000003</v>
      </c>
      <c r="C1160" s="211">
        <v>0</v>
      </c>
      <c r="D1160" s="211">
        <f t="shared" si="28"/>
        <v>0</v>
      </c>
      <c r="E1160" s="211">
        <f t="shared" si="29"/>
        <v>0</v>
      </c>
      <c r="F1160" s="211">
        <f t="shared" si="30"/>
        <v>0</v>
      </c>
      <c r="G1160" s="211">
        <f t="shared" si="31"/>
        <v>0</v>
      </c>
      <c r="H1160" s="211">
        <f t="shared" si="26"/>
        <v>0</v>
      </c>
      <c r="I1160" s="386">
        <f t="shared" si="27"/>
        <v>40472.927000000003</v>
      </c>
      <c r="J1160" s="203" t="s">
        <v>500</v>
      </c>
    </row>
    <row r="1161" spans="1:10" hidden="1" outlineLevel="1">
      <c r="A1161" s="424" t="s">
        <v>501</v>
      </c>
      <c r="B1161" s="210">
        <v>396558.98425000004</v>
      </c>
      <c r="C1161" s="211">
        <v>0</v>
      </c>
      <c r="D1161" s="211">
        <f t="shared" si="28"/>
        <v>0</v>
      </c>
      <c r="E1161" s="211">
        <f t="shared" si="29"/>
        <v>0</v>
      </c>
      <c r="F1161" s="211">
        <f t="shared" si="30"/>
        <v>0</v>
      </c>
      <c r="G1161" s="211">
        <f t="shared" si="31"/>
        <v>0</v>
      </c>
      <c r="H1161" s="211">
        <f t="shared" si="26"/>
        <v>0</v>
      </c>
      <c r="I1161" s="386">
        <f t="shared" si="27"/>
        <v>396558.98425000004</v>
      </c>
      <c r="J1161" s="203" t="s">
        <v>502</v>
      </c>
    </row>
    <row r="1162" spans="1:10" hidden="1" outlineLevel="1">
      <c r="A1162" s="424" t="s">
        <v>503</v>
      </c>
      <c r="B1162" s="210">
        <v>3416996.7452500002</v>
      </c>
      <c r="C1162" s="211">
        <v>0</v>
      </c>
      <c r="D1162" s="211">
        <f t="shared" si="28"/>
        <v>0</v>
      </c>
      <c r="E1162" s="211">
        <f t="shared" si="29"/>
        <v>0</v>
      </c>
      <c r="F1162" s="211">
        <f t="shared" si="30"/>
        <v>0</v>
      </c>
      <c r="G1162" s="211">
        <f t="shared" si="31"/>
        <v>0</v>
      </c>
      <c r="H1162" s="211">
        <f t="shared" si="26"/>
        <v>0</v>
      </c>
      <c r="I1162" s="386">
        <f t="shared" si="27"/>
        <v>3416996.7452500002</v>
      </c>
      <c r="J1162" s="203" t="s">
        <v>504</v>
      </c>
    </row>
    <row r="1163" spans="1:10" hidden="1" outlineLevel="1">
      <c r="A1163" s="424" t="s">
        <v>505</v>
      </c>
      <c r="B1163" s="210">
        <v>300426.21675000002</v>
      </c>
      <c r="C1163" s="211">
        <v>0</v>
      </c>
      <c r="D1163" s="211">
        <f t="shared" si="28"/>
        <v>0</v>
      </c>
      <c r="E1163" s="211">
        <f t="shared" si="29"/>
        <v>0</v>
      </c>
      <c r="F1163" s="211">
        <f t="shared" si="30"/>
        <v>0</v>
      </c>
      <c r="G1163" s="211">
        <f t="shared" si="31"/>
        <v>0</v>
      </c>
      <c r="H1163" s="211">
        <f t="shared" si="26"/>
        <v>0</v>
      </c>
      <c r="I1163" s="386">
        <f t="shared" si="27"/>
        <v>300426.21675000002</v>
      </c>
      <c r="J1163" s="203" t="s">
        <v>506</v>
      </c>
    </row>
    <row r="1164" spans="1:10" hidden="1" outlineLevel="1">
      <c r="A1164" s="424" t="s">
        <v>507</v>
      </c>
      <c r="B1164" s="210">
        <v>336502.71050000004</v>
      </c>
      <c r="C1164" s="211">
        <v>0</v>
      </c>
      <c r="D1164" s="211">
        <f t="shared" si="28"/>
        <v>0</v>
      </c>
      <c r="E1164" s="211">
        <f t="shared" si="29"/>
        <v>0</v>
      </c>
      <c r="F1164" s="211">
        <f t="shared" si="30"/>
        <v>0</v>
      </c>
      <c r="G1164" s="211">
        <f t="shared" si="31"/>
        <v>0</v>
      </c>
      <c r="H1164" s="211">
        <f t="shared" si="26"/>
        <v>0</v>
      </c>
      <c r="I1164" s="386">
        <f t="shared" si="27"/>
        <v>336502.71050000004</v>
      </c>
      <c r="J1164" s="203" t="s">
        <v>508</v>
      </c>
    </row>
    <row r="1165" spans="1:10" hidden="1" outlineLevel="1">
      <c r="A1165" s="424" t="s">
        <v>509</v>
      </c>
      <c r="B1165" s="210">
        <v>357450.7475</v>
      </c>
      <c r="C1165" s="211">
        <v>0</v>
      </c>
      <c r="D1165" s="211">
        <f t="shared" si="28"/>
        <v>0</v>
      </c>
      <c r="E1165" s="211">
        <f t="shared" si="29"/>
        <v>0</v>
      </c>
      <c r="F1165" s="211">
        <f t="shared" si="30"/>
        <v>0</v>
      </c>
      <c r="G1165" s="211">
        <f t="shared" si="31"/>
        <v>0</v>
      </c>
      <c r="H1165" s="211">
        <f t="shared" si="26"/>
        <v>0</v>
      </c>
      <c r="I1165" s="386">
        <f t="shared" si="27"/>
        <v>357450.7475</v>
      </c>
      <c r="J1165" s="203" t="s">
        <v>510</v>
      </c>
    </row>
    <row r="1166" spans="1:10" hidden="1" outlineLevel="1">
      <c r="A1166" s="424" t="s">
        <v>511</v>
      </c>
      <c r="B1166" s="210">
        <v>170.79150000000001</v>
      </c>
      <c r="C1166" s="211">
        <v>0</v>
      </c>
      <c r="D1166" s="211">
        <f t="shared" si="28"/>
        <v>0</v>
      </c>
      <c r="E1166" s="211">
        <f t="shared" si="29"/>
        <v>0</v>
      </c>
      <c r="F1166" s="211">
        <f t="shared" si="30"/>
        <v>0</v>
      </c>
      <c r="G1166" s="211">
        <f t="shared" si="31"/>
        <v>0</v>
      </c>
      <c r="H1166" s="211">
        <f t="shared" si="26"/>
        <v>0</v>
      </c>
      <c r="I1166" s="386">
        <f t="shared" si="27"/>
        <v>170.79150000000001</v>
      </c>
      <c r="J1166" s="203" t="s">
        <v>512</v>
      </c>
    </row>
    <row r="1167" spans="1:10" hidden="1" outlineLevel="1">
      <c r="A1167" s="424" t="s">
        <v>172</v>
      </c>
      <c r="B1167" s="210">
        <v>24903.986250000002</v>
      </c>
      <c r="C1167" s="211">
        <v>0</v>
      </c>
      <c r="D1167" s="211">
        <f t="shared" si="28"/>
        <v>0</v>
      </c>
      <c r="E1167" s="211">
        <f t="shared" si="29"/>
        <v>0</v>
      </c>
      <c r="F1167" s="211">
        <f t="shared" si="30"/>
        <v>0</v>
      </c>
      <c r="G1167" s="211">
        <f t="shared" si="31"/>
        <v>0</v>
      </c>
      <c r="H1167" s="211">
        <f t="shared" si="26"/>
        <v>0</v>
      </c>
      <c r="I1167" s="386">
        <f t="shared" si="27"/>
        <v>24903.986250000002</v>
      </c>
      <c r="J1167" s="203" t="s">
        <v>173</v>
      </c>
    </row>
    <row r="1168" spans="1:10" hidden="1" outlineLevel="1">
      <c r="A1168" s="424" t="s">
        <v>513</v>
      </c>
      <c r="B1168" s="210">
        <v>237677.19250000003</v>
      </c>
      <c r="C1168" s="211">
        <v>0</v>
      </c>
      <c r="D1168" s="211">
        <f t="shared" si="28"/>
        <v>0</v>
      </c>
      <c r="E1168" s="211">
        <f t="shared" si="29"/>
        <v>0</v>
      </c>
      <c r="F1168" s="211">
        <f t="shared" si="30"/>
        <v>0</v>
      </c>
      <c r="G1168" s="211">
        <f t="shared" si="31"/>
        <v>0</v>
      </c>
      <c r="H1168" s="211">
        <f t="shared" si="26"/>
        <v>0</v>
      </c>
      <c r="I1168" s="386">
        <f t="shared" si="27"/>
        <v>237677.19250000003</v>
      </c>
      <c r="J1168" s="203" t="s">
        <v>514</v>
      </c>
    </row>
    <row r="1169" spans="1:10" hidden="1" outlineLevel="1">
      <c r="A1169" s="424" t="s">
        <v>515</v>
      </c>
      <c r="B1169" s="210">
        <v>9010.9250000000011</v>
      </c>
      <c r="C1169" s="211">
        <v>0</v>
      </c>
      <c r="D1169" s="211">
        <f t="shared" si="28"/>
        <v>0</v>
      </c>
      <c r="E1169" s="211">
        <f t="shared" si="29"/>
        <v>0</v>
      </c>
      <c r="F1169" s="211">
        <f t="shared" si="30"/>
        <v>0</v>
      </c>
      <c r="G1169" s="211">
        <f t="shared" si="31"/>
        <v>0</v>
      </c>
      <c r="H1169" s="211">
        <f t="shared" si="26"/>
        <v>0</v>
      </c>
      <c r="I1169" s="386">
        <f t="shared" si="27"/>
        <v>9010.9250000000011</v>
      </c>
      <c r="J1169" s="203" t="s">
        <v>516</v>
      </c>
    </row>
    <row r="1170" spans="1:10" hidden="1" outlineLevel="1">
      <c r="A1170" s="424" t="s">
        <v>517</v>
      </c>
      <c r="B1170" s="210">
        <v>379759.59450000001</v>
      </c>
      <c r="C1170" s="211">
        <v>0</v>
      </c>
      <c r="D1170" s="211">
        <f t="shared" si="28"/>
        <v>0</v>
      </c>
      <c r="E1170" s="211">
        <f t="shared" si="29"/>
        <v>0</v>
      </c>
      <c r="F1170" s="211">
        <f t="shared" si="30"/>
        <v>0</v>
      </c>
      <c r="G1170" s="211">
        <f t="shared" si="31"/>
        <v>0</v>
      </c>
      <c r="H1170" s="211">
        <f t="shared" si="26"/>
        <v>0</v>
      </c>
      <c r="I1170" s="386">
        <f t="shared" si="27"/>
        <v>379759.59450000001</v>
      </c>
      <c r="J1170" s="203" t="s">
        <v>518</v>
      </c>
    </row>
    <row r="1171" spans="1:10" hidden="1" outlineLevel="1">
      <c r="A1171" s="424" t="s">
        <v>519</v>
      </c>
      <c r="B1171" s="210">
        <v>260100.69250000003</v>
      </c>
      <c r="C1171" s="211">
        <v>0</v>
      </c>
      <c r="D1171" s="211">
        <f t="shared" si="28"/>
        <v>0</v>
      </c>
      <c r="E1171" s="211">
        <f t="shared" si="29"/>
        <v>0</v>
      </c>
      <c r="F1171" s="211">
        <f t="shared" si="30"/>
        <v>0</v>
      </c>
      <c r="G1171" s="211">
        <f t="shared" si="31"/>
        <v>0</v>
      </c>
      <c r="H1171" s="211">
        <f t="shared" si="26"/>
        <v>0</v>
      </c>
      <c r="I1171" s="386">
        <f t="shared" si="27"/>
        <v>260100.69250000003</v>
      </c>
      <c r="J1171" s="203" t="s">
        <v>520</v>
      </c>
    </row>
    <row r="1172" spans="1:10" hidden="1" outlineLevel="1">
      <c r="A1172" s="424" t="s">
        <v>521</v>
      </c>
      <c r="B1172" s="210">
        <v>833492.22550000018</v>
      </c>
      <c r="C1172" s="211">
        <v>0</v>
      </c>
      <c r="D1172" s="211">
        <f t="shared" si="28"/>
        <v>0</v>
      </c>
      <c r="E1172" s="211">
        <f t="shared" si="29"/>
        <v>0</v>
      </c>
      <c r="F1172" s="211">
        <f t="shared" si="30"/>
        <v>0</v>
      </c>
      <c r="G1172" s="211">
        <f t="shared" si="31"/>
        <v>0</v>
      </c>
      <c r="H1172" s="211">
        <f t="shared" si="26"/>
        <v>0</v>
      </c>
      <c r="I1172" s="386">
        <f t="shared" si="27"/>
        <v>833492.22550000018</v>
      </c>
      <c r="J1172" s="203" t="s">
        <v>522</v>
      </c>
    </row>
    <row r="1173" spans="1:10" hidden="1" outlineLevel="1">
      <c r="A1173" s="424" t="s">
        <v>523</v>
      </c>
      <c r="B1173" s="210">
        <v>383892.77850000001</v>
      </c>
      <c r="C1173" s="211">
        <v>0</v>
      </c>
      <c r="D1173" s="211">
        <f t="shared" si="28"/>
        <v>0</v>
      </c>
      <c r="E1173" s="211">
        <f t="shared" si="29"/>
        <v>0</v>
      </c>
      <c r="F1173" s="211">
        <f t="shared" si="30"/>
        <v>0</v>
      </c>
      <c r="G1173" s="211">
        <f t="shared" si="31"/>
        <v>0</v>
      </c>
      <c r="H1173" s="211">
        <f t="shared" si="26"/>
        <v>0</v>
      </c>
      <c r="I1173" s="386">
        <f t="shared" si="27"/>
        <v>383892.77850000001</v>
      </c>
      <c r="J1173" s="203" t="s">
        <v>524</v>
      </c>
    </row>
    <row r="1174" spans="1:10" hidden="1" outlineLevel="1">
      <c r="A1174" s="424" t="s">
        <v>525</v>
      </c>
      <c r="B1174" s="210">
        <v>52916.858500000002</v>
      </c>
      <c r="C1174" s="211">
        <v>0</v>
      </c>
      <c r="D1174" s="211">
        <f t="shared" si="28"/>
        <v>0</v>
      </c>
      <c r="E1174" s="211">
        <f t="shared" si="29"/>
        <v>0</v>
      </c>
      <c r="F1174" s="211">
        <f t="shared" si="30"/>
        <v>0</v>
      </c>
      <c r="G1174" s="211">
        <f t="shared" si="31"/>
        <v>0</v>
      </c>
      <c r="H1174" s="211">
        <f t="shared" si="26"/>
        <v>0</v>
      </c>
      <c r="I1174" s="386">
        <f t="shared" si="27"/>
        <v>52916.858500000002</v>
      </c>
      <c r="J1174" s="203" t="s">
        <v>526</v>
      </c>
    </row>
    <row r="1175" spans="1:10" hidden="1" outlineLevel="1">
      <c r="A1175" s="424" t="s">
        <v>527</v>
      </c>
      <c r="B1175" s="210">
        <v>500254.97224999999</v>
      </c>
      <c r="C1175" s="211">
        <v>0</v>
      </c>
      <c r="D1175" s="211">
        <f t="shared" si="28"/>
        <v>0</v>
      </c>
      <c r="E1175" s="211">
        <f t="shared" si="29"/>
        <v>0</v>
      </c>
      <c r="F1175" s="211">
        <f t="shared" si="30"/>
        <v>0</v>
      </c>
      <c r="G1175" s="211">
        <f t="shared" si="31"/>
        <v>0</v>
      </c>
      <c r="H1175" s="211">
        <f t="shared" ref="H1175:H1238" si="32">H241*0.0055/100</f>
        <v>0</v>
      </c>
      <c r="I1175" s="386">
        <f t="shared" ref="I1175:I1238" si="33">SUM(B1175:H1175)</f>
        <v>500254.97224999999</v>
      </c>
      <c r="J1175" s="203" t="s">
        <v>528</v>
      </c>
    </row>
    <row r="1176" spans="1:10" hidden="1" outlineLevel="1">
      <c r="A1176" s="424" t="s">
        <v>529</v>
      </c>
      <c r="B1176" s="210">
        <v>30807.304000000004</v>
      </c>
      <c r="C1176" s="211">
        <v>0</v>
      </c>
      <c r="D1176" s="211">
        <f t="shared" ref="D1176:D1239" si="34">D242*0.04125/100</f>
        <v>0</v>
      </c>
      <c r="E1176" s="211">
        <f t="shared" ref="E1176:E1239" si="35">E242*0/100</f>
        <v>0</v>
      </c>
      <c r="F1176" s="211">
        <f t="shared" ref="F1176:F1239" si="36">F242*0.0275/100</f>
        <v>0</v>
      </c>
      <c r="G1176" s="211">
        <f t="shared" ref="G1176:G1239" si="37">G242*0.055/100</f>
        <v>0</v>
      </c>
      <c r="H1176" s="211">
        <f t="shared" si="32"/>
        <v>0</v>
      </c>
      <c r="I1176" s="386">
        <f t="shared" si="33"/>
        <v>30807.304000000004</v>
      </c>
      <c r="J1176" s="203" t="s">
        <v>530</v>
      </c>
    </row>
    <row r="1177" spans="1:10" hidden="1" outlineLevel="1">
      <c r="A1177" s="424" t="s">
        <v>531</v>
      </c>
      <c r="B1177" s="210">
        <v>912165.06700000004</v>
      </c>
      <c r="C1177" s="211">
        <v>0</v>
      </c>
      <c r="D1177" s="211">
        <f t="shared" si="34"/>
        <v>0</v>
      </c>
      <c r="E1177" s="211">
        <f t="shared" si="35"/>
        <v>0</v>
      </c>
      <c r="F1177" s="211">
        <f t="shared" si="36"/>
        <v>0</v>
      </c>
      <c r="G1177" s="211">
        <f t="shared" si="37"/>
        <v>0</v>
      </c>
      <c r="H1177" s="211">
        <f t="shared" si="32"/>
        <v>0</v>
      </c>
      <c r="I1177" s="386">
        <f t="shared" si="33"/>
        <v>912165.06700000004</v>
      </c>
      <c r="J1177" s="203" t="s">
        <v>532</v>
      </c>
    </row>
    <row r="1178" spans="1:10" hidden="1" outlineLevel="1">
      <c r="A1178" s="424" t="s">
        <v>533</v>
      </c>
      <c r="B1178" s="210">
        <v>674279.10550000006</v>
      </c>
      <c r="C1178" s="211">
        <v>0</v>
      </c>
      <c r="D1178" s="211">
        <f t="shared" si="34"/>
        <v>0</v>
      </c>
      <c r="E1178" s="211">
        <f t="shared" si="35"/>
        <v>0</v>
      </c>
      <c r="F1178" s="211">
        <f t="shared" si="36"/>
        <v>0</v>
      </c>
      <c r="G1178" s="211">
        <f t="shared" si="37"/>
        <v>0</v>
      </c>
      <c r="H1178" s="211">
        <f t="shared" si="32"/>
        <v>0</v>
      </c>
      <c r="I1178" s="386">
        <f t="shared" si="33"/>
        <v>674279.10550000006</v>
      </c>
      <c r="J1178" s="203" t="s">
        <v>534</v>
      </c>
    </row>
    <row r="1179" spans="1:10" hidden="1" outlineLevel="1">
      <c r="A1179" s="424" t="s">
        <v>535</v>
      </c>
      <c r="B1179" s="210">
        <v>390816.52500000002</v>
      </c>
      <c r="C1179" s="211">
        <v>0</v>
      </c>
      <c r="D1179" s="211">
        <f t="shared" si="34"/>
        <v>0</v>
      </c>
      <c r="E1179" s="211">
        <f t="shared" si="35"/>
        <v>0</v>
      </c>
      <c r="F1179" s="211">
        <f t="shared" si="36"/>
        <v>0</v>
      </c>
      <c r="G1179" s="211">
        <f t="shared" si="37"/>
        <v>0</v>
      </c>
      <c r="H1179" s="211">
        <f t="shared" si="32"/>
        <v>0</v>
      </c>
      <c r="I1179" s="386">
        <f t="shared" si="33"/>
        <v>390816.52500000002</v>
      </c>
      <c r="J1179" s="203" t="s">
        <v>536</v>
      </c>
    </row>
    <row r="1180" spans="1:10" hidden="1" outlineLevel="1">
      <c r="A1180" s="424" t="s">
        <v>537</v>
      </c>
      <c r="B1180" s="210">
        <v>86459.829500000007</v>
      </c>
      <c r="C1180" s="211">
        <v>0</v>
      </c>
      <c r="D1180" s="211">
        <f t="shared" si="34"/>
        <v>0</v>
      </c>
      <c r="E1180" s="211">
        <f t="shared" si="35"/>
        <v>0</v>
      </c>
      <c r="F1180" s="211">
        <f t="shared" si="36"/>
        <v>0</v>
      </c>
      <c r="G1180" s="211">
        <f t="shared" si="37"/>
        <v>0</v>
      </c>
      <c r="H1180" s="211">
        <f t="shared" si="32"/>
        <v>0</v>
      </c>
      <c r="I1180" s="386">
        <f t="shared" si="33"/>
        <v>86459.829500000007</v>
      </c>
      <c r="J1180" s="203" t="s">
        <v>538</v>
      </c>
    </row>
    <row r="1181" spans="1:10" hidden="1" outlineLevel="1">
      <c r="A1181" s="424" t="s">
        <v>539</v>
      </c>
      <c r="B1181" s="210">
        <v>413753.05675000005</v>
      </c>
      <c r="C1181" s="211">
        <v>0</v>
      </c>
      <c r="D1181" s="211">
        <f t="shared" si="34"/>
        <v>0</v>
      </c>
      <c r="E1181" s="211">
        <f t="shared" si="35"/>
        <v>0</v>
      </c>
      <c r="F1181" s="211">
        <f t="shared" si="36"/>
        <v>0</v>
      </c>
      <c r="G1181" s="211">
        <f t="shared" si="37"/>
        <v>0</v>
      </c>
      <c r="H1181" s="211">
        <f t="shared" si="32"/>
        <v>0</v>
      </c>
      <c r="I1181" s="386">
        <f t="shared" si="33"/>
        <v>413753.05675000005</v>
      </c>
      <c r="J1181" s="203" t="s">
        <v>540</v>
      </c>
    </row>
    <row r="1182" spans="1:10" hidden="1" outlineLevel="1">
      <c r="A1182" s="424" t="s">
        <v>541</v>
      </c>
      <c r="B1182" s="210">
        <v>7051033.1430000011</v>
      </c>
      <c r="C1182" s="211">
        <v>0</v>
      </c>
      <c r="D1182" s="211">
        <f t="shared" si="34"/>
        <v>0</v>
      </c>
      <c r="E1182" s="211">
        <f t="shared" si="35"/>
        <v>0</v>
      </c>
      <c r="F1182" s="211">
        <f t="shared" si="36"/>
        <v>18884.524724999999</v>
      </c>
      <c r="G1182" s="211">
        <f t="shared" si="37"/>
        <v>0</v>
      </c>
      <c r="H1182" s="211">
        <f t="shared" si="32"/>
        <v>0</v>
      </c>
      <c r="I1182" s="386">
        <f t="shared" si="33"/>
        <v>7069917.6677250015</v>
      </c>
      <c r="J1182" s="203" t="s">
        <v>542</v>
      </c>
    </row>
    <row r="1183" spans="1:10" hidden="1" outlineLevel="1">
      <c r="A1183" s="424" t="s">
        <v>543</v>
      </c>
      <c r="B1183" s="210">
        <v>822092.36450000003</v>
      </c>
      <c r="C1183" s="211">
        <v>0</v>
      </c>
      <c r="D1183" s="211">
        <f t="shared" si="34"/>
        <v>0</v>
      </c>
      <c r="E1183" s="211">
        <f t="shared" si="35"/>
        <v>0</v>
      </c>
      <c r="F1183" s="211">
        <f t="shared" si="36"/>
        <v>0</v>
      </c>
      <c r="G1183" s="211">
        <f t="shared" si="37"/>
        <v>0</v>
      </c>
      <c r="H1183" s="211">
        <f t="shared" si="32"/>
        <v>0</v>
      </c>
      <c r="I1183" s="386">
        <f t="shared" si="33"/>
        <v>822092.36450000003</v>
      </c>
      <c r="J1183" s="203" t="s">
        <v>544</v>
      </c>
    </row>
    <row r="1184" spans="1:10" hidden="1" outlineLevel="1">
      <c r="A1184" s="424" t="s">
        <v>545</v>
      </c>
      <c r="B1184" s="210">
        <v>230277.31925</v>
      </c>
      <c r="C1184" s="211">
        <v>0</v>
      </c>
      <c r="D1184" s="211">
        <f t="shared" si="34"/>
        <v>0</v>
      </c>
      <c r="E1184" s="211">
        <f t="shared" si="35"/>
        <v>0</v>
      </c>
      <c r="F1184" s="211">
        <f t="shared" si="36"/>
        <v>0</v>
      </c>
      <c r="G1184" s="211">
        <f t="shared" si="37"/>
        <v>0</v>
      </c>
      <c r="H1184" s="211">
        <f t="shared" si="32"/>
        <v>0</v>
      </c>
      <c r="I1184" s="386">
        <f t="shared" si="33"/>
        <v>230277.31925</v>
      </c>
      <c r="J1184" s="203" t="s">
        <v>546</v>
      </c>
    </row>
    <row r="1185" spans="1:10" hidden="1" outlineLevel="1">
      <c r="A1185" s="424" t="s">
        <v>547</v>
      </c>
      <c r="B1185" s="210">
        <v>428319.16600000003</v>
      </c>
      <c r="C1185" s="211">
        <v>0</v>
      </c>
      <c r="D1185" s="211">
        <f t="shared" si="34"/>
        <v>0</v>
      </c>
      <c r="E1185" s="211">
        <f t="shared" si="35"/>
        <v>0</v>
      </c>
      <c r="F1185" s="211">
        <f t="shared" si="36"/>
        <v>0</v>
      </c>
      <c r="G1185" s="211">
        <f t="shared" si="37"/>
        <v>0</v>
      </c>
      <c r="H1185" s="211">
        <f t="shared" si="32"/>
        <v>0</v>
      </c>
      <c r="I1185" s="386">
        <f t="shared" si="33"/>
        <v>428319.16600000003</v>
      </c>
      <c r="J1185" s="203" t="s">
        <v>548</v>
      </c>
    </row>
    <row r="1186" spans="1:10" hidden="1" outlineLevel="1">
      <c r="A1186" s="424" t="s">
        <v>549</v>
      </c>
      <c r="B1186" s="210">
        <v>208759.80400000003</v>
      </c>
      <c r="C1186" s="211">
        <v>0</v>
      </c>
      <c r="D1186" s="211">
        <f t="shared" si="34"/>
        <v>0</v>
      </c>
      <c r="E1186" s="211">
        <f t="shared" si="35"/>
        <v>0</v>
      </c>
      <c r="F1186" s="211">
        <f t="shared" si="36"/>
        <v>0</v>
      </c>
      <c r="G1186" s="211">
        <f t="shared" si="37"/>
        <v>0</v>
      </c>
      <c r="H1186" s="211">
        <f t="shared" si="32"/>
        <v>0</v>
      </c>
      <c r="I1186" s="386">
        <f t="shared" si="33"/>
        <v>208759.80400000003</v>
      </c>
      <c r="J1186" s="203" t="s">
        <v>550</v>
      </c>
    </row>
    <row r="1187" spans="1:10" hidden="1" outlineLevel="1">
      <c r="A1187" s="424" t="s">
        <v>551</v>
      </c>
      <c r="B1187" s="210">
        <v>1263148.5817500001</v>
      </c>
      <c r="C1187" s="211">
        <v>0</v>
      </c>
      <c r="D1187" s="211">
        <f t="shared" si="34"/>
        <v>0</v>
      </c>
      <c r="E1187" s="211">
        <f t="shared" si="35"/>
        <v>0</v>
      </c>
      <c r="F1187" s="211">
        <f t="shared" si="36"/>
        <v>0</v>
      </c>
      <c r="G1187" s="211">
        <f t="shared" si="37"/>
        <v>0</v>
      </c>
      <c r="H1187" s="211">
        <f t="shared" si="32"/>
        <v>0</v>
      </c>
      <c r="I1187" s="386">
        <f t="shared" si="33"/>
        <v>1263148.5817500001</v>
      </c>
      <c r="J1187" s="203" t="s">
        <v>552</v>
      </c>
    </row>
    <row r="1188" spans="1:10" hidden="1" outlineLevel="1">
      <c r="A1188" s="424" t="s">
        <v>553</v>
      </c>
      <c r="B1188" s="210">
        <v>972717.08050000016</v>
      </c>
      <c r="C1188" s="211">
        <v>0</v>
      </c>
      <c r="D1188" s="211">
        <f t="shared" si="34"/>
        <v>0</v>
      </c>
      <c r="E1188" s="211">
        <f t="shared" si="35"/>
        <v>0</v>
      </c>
      <c r="F1188" s="211">
        <f t="shared" si="36"/>
        <v>0</v>
      </c>
      <c r="G1188" s="211">
        <f t="shared" si="37"/>
        <v>0</v>
      </c>
      <c r="H1188" s="211">
        <f t="shared" si="32"/>
        <v>0</v>
      </c>
      <c r="I1188" s="386">
        <f t="shared" si="33"/>
        <v>972717.08050000016</v>
      </c>
      <c r="J1188" s="203" t="s">
        <v>554</v>
      </c>
    </row>
    <row r="1189" spans="1:10" hidden="1" outlineLevel="1">
      <c r="A1189" s="424" t="s">
        <v>555</v>
      </c>
      <c r="B1189" s="210">
        <v>476167.96150000003</v>
      </c>
      <c r="C1189" s="211">
        <v>0</v>
      </c>
      <c r="D1189" s="211">
        <f t="shared" si="34"/>
        <v>0</v>
      </c>
      <c r="E1189" s="211">
        <f t="shared" si="35"/>
        <v>0</v>
      </c>
      <c r="F1189" s="211">
        <f t="shared" si="36"/>
        <v>0</v>
      </c>
      <c r="G1189" s="211">
        <f t="shared" si="37"/>
        <v>0</v>
      </c>
      <c r="H1189" s="211">
        <f t="shared" si="32"/>
        <v>0</v>
      </c>
      <c r="I1189" s="386">
        <f t="shared" si="33"/>
        <v>476167.96150000003</v>
      </c>
      <c r="J1189" s="203" t="s">
        <v>556</v>
      </c>
    </row>
    <row r="1190" spans="1:10" hidden="1" outlineLevel="1">
      <c r="A1190" s="424" t="s">
        <v>559</v>
      </c>
      <c r="B1190" s="210">
        <v>30214.706500000004</v>
      </c>
      <c r="C1190" s="211">
        <v>0</v>
      </c>
      <c r="D1190" s="211">
        <f t="shared" si="34"/>
        <v>0</v>
      </c>
      <c r="E1190" s="211">
        <f t="shared" si="35"/>
        <v>0</v>
      </c>
      <c r="F1190" s="211">
        <f t="shared" si="36"/>
        <v>0</v>
      </c>
      <c r="G1190" s="211">
        <f t="shared" si="37"/>
        <v>0</v>
      </c>
      <c r="H1190" s="211">
        <f t="shared" si="32"/>
        <v>0</v>
      </c>
      <c r="I1190" s="386">
        <f t="shared" si="33"/>
        <v>30214.706500000004</v>
      </c>
      <c r="J1190" s="203" t="s">
        <v>560</v>
      </c>
    </row>
    <row r="1191" spans="1:10" hidden="1" outlineLevel="1">
      <c r="A1191" s="424" t="s">
        <v>561</v>
      </c>
      <c r="B1191" s="210">
        <v>8950.947500000002</v>
      </c>
      <c r="C1191" s="211">
        <v>0</v>
      </c>
      <c r="D1191" s="211">
        <f t="shared" si="34"/>
        <v>0</v>
      </c>
      <c r="E1191" s="211">
        <f t="shared" si="35"/>
        <v>0</v>
      </c>
      <c r="F1191" s="211">
        <f t="shared" si="36"/>
        <v>0</v>
      </c>
      <c r="G1191" s="211">
        <f t="shared" si="37"/>
        <v>0</v>
      </c>
      <c r="H1191" s="211">
        <f t="shared" si="32"/>
        <v>0</v>
      </c>
      <c r="I1191" s="386">
        <f t="shared" si="33"/>
        <v>8950.947500000002</v>
      </c>
      <c r="J1191" s="203" t="s">
        <v>562</v>
      </c>
    </row>
    <row r="1192" spans="1:10" hidden="1" outlineLevel="1">
      <c r="A1192" s="424" t="s">
        <v>563</v>
      </c>
      <c r="B1192" s="210">
        <v>217189.5055</v>
      </c>
      <c r="C1192" s="211">
        <v>0</v>
      </c>
      <c r="D1192" s="211">
        <f t="shared" si="34"/>
        <v>0</v>
      </c>
      <c r="E1192" s="211">
        <f t="shared" si="35"/>
        <v>0</v>
      </c>
      <c r="F1192" s="211">
        <f t="shared" si="36"/>
        <v>0</v>
      </c>
      <c r="G1192" s="211">
        <f t="shared" si="37"/>
        <v>0</v>
      </c>
      <c r="H1192" s="211">
        <f t="shared" si="32"/>
        <v>0</v>
      </c>
      <c r="I1192" s="386">
        <f t="shared" si="33"/>
        <v>217189.5055</v>
      </c>
      <c r="J1192" s="203" t="s">
        <v>564</v>
      </c>
    </row>
    <row r="1193" spans="1:10" hidden="1" outlineLevel="1">
      <c r="A1193" s="424" t="s">
        <v>565</v>
      </c>
      <c r="B1193" s="210">
        <v>319848.36674999999</v>
      </c>
      <c r="C1193" s="211">
        <v>0</v>
      </c>
      <c r="D1193" s="211">
        <f t="shared" si="34"/>
        <v>0</v>
      </c>
      <c r="E1193" s="211">
        <f t="shared" si="35"/>
        <v>0</v>
      </c>
      <c r="F1193" s="211">
        <f t="shared" si="36"/>
        <v>0</v>
      </c>
      <c r="G1193" s="211">
        <f t="shared" si="37"/>
        <v>0</v>
      </c>
      <c r="H1193" s="211">
        <f t="shared" si="32"/>
        <v>0</v>
      </c>
      <c r="I1193" s="386">
        <f t="shared" si="33"/>
        <v>319848.36674999999</v>
      </c>
      <c r="J1193" s="203" t="s">
        <v>566</v>
      </c>
    </row>
    <row r="1194" spans="1:10" hidden="1" outlineLevel="1">
      <c r="A1194" s="424" t="s">
        <v>567</v>
      </c>
      <c r="B1194" s="210">
        <v>6427507.2372500002</v>
      </c>
      <c r="C1194" s="211">
        <v>0</v>
      </c>
      <c r="D1194" s="211">
        <f t="shared" si="34"/>
        <v>0</v>
      </c>
      <c r="E1194" s="211">
        <f t="shared" si="35"/>
        <v>0</v>
      </c>
      <c r="F1194" s="211">
        <f t="shared" si="36"/>
        <v>106.24735000000001</v>
      </c>
      <c r="G1194" s="211">
        <f t="shared" si="37"/>
        <v>0</v>
      </c>
      <c r="H1194" s="211">
        <f t="shared" si="32"/>
        <v>0</v>
      </c>
      <c r="I1194" s="386">
        <f t="shared" si="33"/>
        <v>6427613.4846000001</v>
      </c>
      <c r="J1194" s="203" t="s">
        <v>568</v>
      </c>
    </row>
    <row r="1195" spans="1:10" hidden="1" outlineLevel="1">
      <c r="A1195" s="424" t="s">
        <v>569</v>
      </c>
      <c r="B1195" s="210">
        <v>126572.93825000001</v>
      </c>
      <c r="C1195" s="211">
        <v>0</v>
      </c>
      <c r="D1195" s="211">
        <f t="shared" si="34"/>
        <v>0</v>
      </c>
      <c r="E1195" s="211">
        <f t="shared" si="35"/>
        <v>0</v>
      </c>
      <c r="F1195" s="211">
        <f t="shared" si="36"/>
        <v>0</v>
      </c>
      <c r="G1195" s="211">
        <f t="shared" si="37"/>
        <v>0</v>
      </c>
      <c r="H1195" s="211">
        <f t="shared" si="32"/>
        <v>0</v>
      </c>
      <c r="I1195" s="386">
        <f t="shared" si="33"/>
        <v>126572.93825000001</v>
      </c>
      <c r="J1195" s="203" t="s">
        <v>570</v>
      </c>
    </row>
    <row r="1196" spans="1:10" hidden="1" outlineLevel="1">
      <c r="A1196" s="424" t="s">
        <v>571</v>
      </c>
      <c r="B1196" s="210">
        <v>153338.11900000001</v>
      </c>
      <c r="C1196" s="211">
        <v>0</v>
      </c>
      <c r="D1196" s="211">
        <f t="shared" si="34"/>
        <v>0</v>
      </c>
      <c r="E1196" s="211">
        <f t="shared" si="35"/>
        <v>0</v>
      </c>
      <c r="F1196" s="211">
        <f t="shared" si="36"/>
        <v>0</v>
      </c>
      <c r="G1196" s="211">
        <f t="shared" si="37"/>
        <v>0</v>
      </c>
      <c r="H1196" s="211">
        <f t="shared" si="32"/>
        <v>0</v>
      </c>
      <c r="I1196" s="386">
        <f t="shared" si="33"/>
        <v>153338.11900000001</v>
      </c>
      <c r="J1196" s="203" t="s">
        <v>572</v>
      </c>
    </row>
    <row r="1197" spans="1:10" hidden="1" outlineLevel="1">
      <c r="A1197" s="424" t="s">
        <v>573</v>
      </c>
      <c r="B1197" s="210">
        <v>703897.96400000004</v>
      </c>
      <c r="C1197" s="211">
        <v>0</v>
      </c>
      <c r="D1197" s="211">
        <f t="shared" si="34"/>
        <v>0</v>
      </c>
      <c r="E1197" s="211">
        <f t="shared" si="35"/>
        <v>0</v>
      </c>
      <c r="F1197" s="211">
        <f t="shared" si="36"/>
        <v>0</v>
      </c>
      <c r="G1197" s="211">
        <f t="shared" si="37"/>
        <v>0</v>
      </c>
      <c r="H1197" s="211">
        <f t="shared" si="32"/>
        <v>0</v>
      </c>
      <c r="I1197" s="386">
        <f t="shared" si="33"/>
        <v>703897.96400000004</v>
      </c>
      <c r="J1197" s="203" t="s">
        <v>574</v>
      </c>
    </row>
    <row r="1198" spans="1:10" hidden="1" outlineLevel="1">
      <c r="A1198" s="424" t="s">
        <v>575</v>
      </c>
      <c r="B1198" s="210">
        <v>317538.14400000003</v>
      </c>
      <c r="C1198" s="211">
        <v>0</v>
      </c>
      <c r="D1198" s="211">
        <f t="shared" si="34"/>
        <v>0</v>
      </c>
      <c r="E1198" s="211">
        <f t="shared" si="35"/>
        <v>0</v>
      </c>
      <c r="F1198" s="211">
        <f t="shared" si="36"/>
        <v>0</v>
      </c>
      <c r="G1198" s="211">
        <f t="shared" si="37"/>
        <v>0</v>
      </c>
      <c r="H1198" s="211">
        <f t="shared" si="32"/>
        <v>0</v>
      </c>
      <c r="I1198" s="386">
        <f t="shared" si="33"/>
        <v>317538.14400000003</v>
      </c>
      <c r="J1198" s="203" t="s">
        <v>576</v>
      </c>
    </row>
    <row r="1199" spans="1:10" hidden="1" outlineLevel="1">
      <c r="A1199" s="424" t="s">
        <v>577</v>
      </c>
      <c r="B1199" s="210">
        <v>380119.25599999999</v>
      </c>
      <c r="C1199" s="211">
        <v>0</v>
      </c>
      <c r="D1199" s="211">
        <f t="shared" si="34"/>
        <v>0</v>
      </c>
      <c r="E1199" s="211">
        <f t="shared" si="35"/>
        <v>0</v>
      </c>
      <c r="F1199" s="211">
        <f t="shared" si="36"/>
        <v>833585.78352500009</v>
      </c>
      <c r="G1199" s="211">
        <f t="shared" si="37"/>
        <v>0</v>
      </c>
      <c r="H1199" s="211">
        <f t="shared" si="32"/>
        <v>0</v>
      </c>
      <c r="I1199" s="386">
        <f t="shared" si="33"/>
        <v>1213705.0395250001</v>
      </c>
      <c r="J1199" s="203" t="s">
        <v>578</v>
      </c>
    </row>
    <row r="1200" spans="1:10" hidden="1" outlineLevel="1">
      <c r="A1200" s="424" t="s">
        <v>579</v>
      </c>
      <c r="B1200" s="210">
        <v>385469.39750000002</v>
      </c>
      <c r="C1200" s="211">
        <v>0</v>
      </c>
      <c r="D1200" s="211">
        <f t="shared" si="34"/>
        <v>0</v>
      </c>
      <c r="E1200" s="211">
        <f t="shared" si="35"/>
        <v>0</v>
      </c>
      <c r="F1200" s="211">
        <f t="shared" si="36"/>
        <v>0</v>
      </c>
      <c r="G1200" s="211">
        <f t="shared" si="37"/>
        <v>0</v>
      </c>
      <c r="H1200" s="211">
        <f t="shared" si="32"/>
        <v>0</v>
      </c>
      <c r="I1200" s="386">
        <f t="shared" si="33"/>
        <v>385469.39750000002</v>
      </c>
      <c r="J1200" s="203" t="s">
        <v>580</v>
      </c>
    </row>
    <row r="1201" spans="1:10" hidden="1" outlineLevel="1">
      <c r="A1201" s="424" t="s">
        <v>581</v>
      </c>
      <c r="B1201" s="210">
        <v>88525.038250000012</v>
      </c>
      <c r="C1201" s="211">
        <v>0</v>
      </c>
      <c r="D1201" s="211">
        <f t="shared" si="34"/>
        <v>0</v>
      </c>
      <c r="E1201" s="211">
        <f t="shared" si="35"/>
        <v>0</v>
      </c>
      <c r="F1201" s="211">
        <f t="shared" si="36"/>
        <v>0</v>
      </c>
      <c r="G1201" s="211">
        <f t="shared" si="37"/>
        <v>0</v>
      </c>
      <c r="H1201" s="211">
        <f t="shared" si="32"/>
        <v>0</v>
      </c>
      <c r="I1201" s="386">
        <f t="shared" si="33"/>
        <v>88525.038250000012</v>
      </c>
      <c r="J1201" s="203" t="s">
        <v>582</v>
      </c>
    </row>
    <row r="1202" spans="1:10" hidden="1" outlineLevel="1">
      <c r="A1202" s="424" t="s">
        <v>583</v>
      </c>
      <c r="B1202" s="210">
        <v>323112.33900000004</v>
      </c>
      <c r="C1202" s="211">
        <v>0</v>
      </c>
      <c r="D1202" s="211">
        <f t="shared" si="34"/>
        <v>0</v>
      </c>
      <c r="E1202" s="211">
        <f t="shared" si="35"/>
        <v>0</v>
      </c>
      <c r="F1202" s="211">
        <f t="shared" si="36"/>
        <v>0</v>
      </c>
      <c r="G1202" s="211">
        <f t="shared" si="37"/>
        <v>0</v>
      </c>
      <c r="H1202" s="211">
        <f t="shared" si="32"/>
        <v>0</v>
      </c>
      <c r="I1202" s="386">
        <f t="shared" si="33"/>
        <v>323112.33900000004</v>
      </c>
      <c r="J1202" s="203" t="s">
        <v>584</v>
      </c>
    </row>
    <row r="1203" spans="1:10" hidden="1" outlineLevel="1">
      <c r="A1203" s="424" t="s">
        <v>585</v>
      </c>
      <c r="B1203" s="210">
        <v>4577.9387500000003</v>
      </c>
      <c r="C1203" s="211">
        <v>0</v>
      </c>
      <c r="D1203" s="211">
        <f t="shared" si="34"/>
        <v>0</v>
      </c>
      <c r="E1203" s="211">
        <f t="shared" si="35"/>
        <v>0</v>
      </c>
      <c r="F1203" s="211">
        <f t="shared" si="36"/>
        <v>0</v>
      </c>
      <c r="G1203" s="211">
        <f t="shared" si="37"/>
        <v>0</v>
      </c>
      <c r="H1203" s="211">
        <f t="shared" si="32"/>
        <v>0</v>
      </c>
      <c r="I1203" s="386">
        <f t="shared" si="33"/>
        <v>4577.9387500000003</v>
      </c>
      <c r="J1203" s="203" t="s">
        <v>586</v>
      </c>
    </row>
    <row r="1204" spans="1:10" hidden="1" outlineLevel="1">
      <c r="A1204" s="424" t="s">
        <v>585</v>
      </c>
      <c r="B1204" s="210">
        <v>115221.74675000001</v>
      </c>
      <c r="C1204" s="211">
        <v>0</v>
      </c>
      <c r="D1204" s="211">
        <f t="shared" si="34"/>
        <v>0</v>
      </c>
      <c r="E1204" s="211">
        <f t="shared" si="35"/>
        <v>0</v>
      </c>
      <c r="F1204" s="211">
        <f t="shared" si="36"/>
        <v>0</v>
      </c>
      <c r="G1204" s="211">
        <f t="shared" si="37"/>
        <v>0</v>
      </c>
      <c r="H1204" s="211">
        <f t="shared" si="32"/>
        <v>0</v>
      </c>
      <c r="I1204" s="386">
        <f t="shared" si="33"/>
        <v>115221.74675000001</v>
      </c>
      <c r="J1204" s="203" t="s">
        <v>586</v>
      </c>
    </row>
    <row r="1205" spans="1:10" hidden="1" outlineLevel="1">
      <c r="A1205" s="424" t="s">
        <v>587</v>
      </c>
      <c r="B1205" s="210">
        <v>196066.39800000002</v>
      </c>
      <c r="C1205" s="211">
        <v>0</v>
      </c>
      <c r="D1205" s="211">
        <f t="shared" si="34"/>
        <v>0</v>
      </c>
      <c r="E1205" s="211">
        <f t="shared" si="35"/>
        <v>0</v>
      </c>
      <c r="F1205" s="211">
        <f t="shared" si="36"/>
        <v>0</v>
      </c>
      <c r="G1205" s="211">
        <f t="shared" si="37"/>
        <v>0</v>
      </c>
      <c r="H1205" s="211">
        <f t="shared" si="32"/>
        <v>0</v>
      </c>
      <c r="I1205" s="386">
        <f t="shared" si="33"/>
        <v>196066.39800000002</v>
      </c>
      <c r="J1205" s="203" t="s">
        <v>588</v>
      </c>
    </row>
    <row r="1206" spans="1:10" hidden="1" outlineLevel="1">
      <c r="A1206" s="424" t="s">
        <v>589</v>
      </c>
      <c r="B1206" s="210">
        <v>374696.47875000001</v>
      </c>
      <c r="C1206" s="211">
        <v>0</v>
      </c>
      <c r="D1206" s="211">
        <f t="shared" si="34"/>
        <v>0</v>
      </c>
      <c r="E1206" s="211">
        <f t="shared" si="35"/>
        <v>0</v>
      </c>
      <c r="F1206" s="211">
        <f t="shared" si="36"/>
        <v>0</v>
      </c>
      <c r="G1206" s="211">
        <f t="shared" si="37"/>
        <v>0</v>
      </c>
      <c r="H1206" s="211">
        <f t="shared" si="32"/>
        <v>0</v>
      </c>
      <c r="I1206" s="386">
        <f t="shared" si="33"/>
        <v>374696.47875000001</v>
      </c>
      <c r="J1206" s="203" t="s">
        <v>590</v>
      </c>
    </row>
    <row r="1207" spans="1:10" hidden="1" outlineLevel="1">
      <c r="A1207" s="424" t="s">
        <v>591</v>
      </c>
      <c r="B1207" s="210">
        <v>1655967.8822500003</v>
      </c>
      <c r="C1207" s="211">
        <v>0</v>
      </c>
      <c r="D1207" s="211">
        <f t="shared" si="34"/>
        <v>0</v>
      </c>
      <c r="E1207" s="211">
        <f t="shared" si="35"/>
        <v>0</v>
      </c>
      <c r="F1207" s="211">
        <f t="shared" si="36"/>
        <v>0</v>
      </c>
      <c r="G1207" s="211">
        <f t="shared" si="37"/>
        <v>3215.6228499999997</v>
      </c>
      <c r="H1207" s="211">
        <f t="shared" si="32"/>
        <v>0</v>
      </c>
      <c r="I1207" s="386">
        <f t="shared" si="33"/>
        <v>1659183.5051000002</v>
      </c>
      <c r="J1207" s="203" t="s">
        <v>592</v>
      </c>
    </row>
    <row r="1208" spans="1:10" hidden="1" outlineLevel="1">
      <c r="A1208" s="424" t="s">
        <v>593</v>
      </c>
      <c r="B1208" s="210">
        <v>744194.76175000006</v>
      </c>
      <c r="C1208" s="211">
        <v>0</v>
      </c>
      <c r="D1208" s="211">
        <f t="shared" si="34"/>
        <v>0</v>
      </c>
      <c r="E1208" s="211">
        <f t="shared" si="35"/>
        <v>0</v>
      </c>
      <c r="F1208" s="211">
        <f t="shared" si="36"/>
        <v>0</v>
      </c>
      <c r="G1208" s="211">
        <f t="shared" si="37"/>
        <v>0</v>
      </c>
      <c r="H1208" s="211">
        <f t="shared" si="32"/>
        <v>0</v>
      </c>
      <c r="I1208" s="386">
        <f t="shared" si="33"/>
        <v>744194.76175000006</v>
      </c>
      <c r="J1208" s="203" t="s">
        <v>594</v>
      </c>
    </row>
    <row r="1209" spans="1:10" hidden="1" outlineLevel="1">
      <c r="A1209" s="424" t="s">
        <v>595</v>
      </c>
      <c r="B1209" s="210">
        <v>761851.83800000011</v>
      </c>
      <c r="C1209" s="211">
        <v>0</v>
      </c>
      <c r="D1209" s="211">
        <f t="shared" si="34"/>
        <v>0</v>
      </c>
      <c r="E1209" s="211">
        <f t="shared" si="35"/>
        <v>0</v>
      </c>
      <c r="F1209" s="211">
        <f t="shared" si="36"/>
        <v>0</v>
      </c>
      <c r="G1209" s="211">
        <f t="shared" si="37"/>
        <v>0</v>
      </c>
      <c r="H1209" s="211">
        <f t="shared" si="32"/>
        <v>0</v>
      </c>
      <c r="I1209" s="386">
        <f t="shared" si="33"/>
        <v>761851.83800000011</v>
      </c>
      <c r="J1209" s="203" t="s">
        <v>596</v>
      </c>
    </row>
    <row r="1210" spans="1:10" hidden="1" outlineLevel="1">
      <c r="A1210" s="424" t="s">
        <v>597</v>
      </c>
      <c r="B1210" s="210">
        <v>454937.03474999999</v>
      </c>
      <c r="C1210" s="211">
        <v>0</v>
      </c>
      <c r="D1210" s="211">
        <f t="shared" si="34"/>
        <v>0</v>
      </c>
      <c r="E1210" s="211">
        <f t="shared" si="35"/>
        <v>0</v>
      </c>
      <c r="F1210" s="211">
        <f t="shared" si="36"/>
        <v>0</v>
      </c>
      <c r="G1210" s="211">
        <f t="shared" si="37"/>
        <v>0</v>
      </c>
      <c r="H1210" s="211">
        <f t="shared" si="32"/>
        <v>0</v>
      </c>
      <c r="I1210" s="386">
        <f t="shared" si="33"/>
        <v>454937.03474999999</v>
      </c>
      <c r="J1210" s="203" t="s">
        <v>598</v>
      </c>
    </row>
    <row r="1211" spans="1:10" hidden="1" outlineLevel="1">
      <c r="A1211" s="424" t="s">
        <v>599</v>
      </c>
      <c r="B1211" s="210">
        <v>281332.07025000005</v>
      </c>
      <c r="C1211" s="211">
        <v>0</v>
      </c>
      <c r="D1211" s="211">
        <f t="shared" si="34"/>
        <v>0</v>
      </c>
      <c r="E1211" s="211">
        <f t="shared" si="35"/>
        <v>0</v>
      </c>
      <c r="F1211" s="211">
        <f t="shared" si="36"/>
        <v>0</v>
      </c>
      <c r="G1211" s="211">
        <f t="shared" si="37"/>
        <v>0</v>
      </c>
      <c r="H1211" s="211">
        <f t="shared" si="32"/>
        <v>0</v>
      </c>
      <c r="I1211" s="386">
        <f t="shared" si="33"/>
        <v>281332.07025000005</v>
      </c>
      <c r="J1211" s="203" t="s">
        <v>600</v>
      </c>
    </row>
    <row r="1212" spans="1:10" hidden="1" outlineLevel="1">
      <c r="A1212" s="424" t="s">
        <v>601</v>
      </c>
      <c r="B1212" s="210">
        <v>43544.679750000003</v>
      </c>
      <c r="C1212" s="211">
        <v>0</v>
      </c>
      <c r="D1212" s="211">
        <f t="shared" si="34"/>
        <v>0</v>
      </c>
      <c r="E1212" s="211">
        <f t="shared" si="35"/>
        <v>0</v>
      </c>
      <c r="F1212" s="211">
        <f t="shared" si="36"/>
        <v>0</v>
      </c>
      <c r="G1212" s="211">
        <f t="shared" si="37"/>
        <v>0</v>
      </c>
      <c r="H1212" s="211">
        <f t="shared" si="32"/>
        <v>0</v>
      </c>
      <c r="I1212" s="386">
        <f t="shared" si="33"/>
        <v>43544.679750000003</v>
      </c>
      <c r="J1212" s="203" t="s">
        <v>602</v>
      </c>
    </row>
    <row r="1213" spans="1:10" hidden="1" outlineLevel="1">
      <c r="A1213" s="424" t="s">
        <v>603</v>
      </c>
      <c r="B1213" s="210">
        <v>329746.35925000004</v>
      </c>
      <c r="C1213" s="211">
        <v>0</v>
      </c>
      <c r="D1213" s="211">
        <f t="shared" si="34"/>
        <v>0</v>
      </c>
      <c r="E1213" s="211">
        <f t="shared" si="35"/>
        <v>0</v>
      </c>
      <c r="F1213" s="211">
        <f t="shared" si="36"/>
        <v>0</v>
      </c>
      <c r="G1213" s="211">
        <f t="shared" si="37"/>
        <v>0</v>
      </c>
      <c r="H1213" s="211">
        <f t="shared" si="32"/>
        <v>0</v>
      </c>
      <c r="I1213" s="386">
        <f t="shared" si="33"/>
        <v>329746.35925000004</v>
      </c>
      <c r="J1213" s="203" t="s">
        <v>604</v>
      </c>
    </row>
    <row r="1214" spans="1:10" hidden="1" outlineLevel="1">
      <c r="A1214" s="424" t="s">
        <v>605</v>
      </c>
      <c r="B1214" s="210">
        <v>755020.93700000003</v>
      </c>
      <c r="C1214" s="211">
        <v>0</v>
      </c>
      <c r="D1214" s="211">
        <f t="shared" si="34"/>
        <v>0</v>
      </c>
      <c r="E1214" s="211">
        <f t="shared" si="35"/>
        <v>0</v>
      </c>
      <c r="F1214" s="211">
        <f t="shared" si="36"/>
        <v>0</v>
      </c>
      <c r="G1214" s="211">
        <f t="shared" si="37"/>
        <v>0</v>
      </c>
      <c r="H1214" s="211">
        <f t="shared" si="32"/>
        <v>0</v>
      </c>
      <c r="I1214" s="386">
        <f t="shared" si="33"/>
        <v>755020.93700000003</v>
      </c>
      <c r="J1214" s="203" t="s">
        <v>606</v>
      </c>
    </row>
    <row r="1215" spans="1:10" hidden="1" outlineLevel="1">
      <c r="A1215" s="424" t="s">
        <v>607</v>
      </c>
      <c r="B1215" s="210">
        <v>53813.177000000003</v>
      </c>
      <c r="C1215" s="211">
        <v>0</v>
      </c>
      <c r="D1215" s="211">
        <f t="shared" si="34"/>
        <v>0</v>
      </c>
      <c r="E1215" s="211">
        <f t="shared" si="35"/>
        <v>0</v>
      </c>
      <c r="F1215" s="211">
        <f t="shared" si="36"/>
        <v>0</v>
      </c>
      <c r="G1215" s="211">
        <f t="shared" si="37"/>
        <v>0</v>
      </c>
      <c r="H1215" s="211">
        <f t="shared" si="32"/>
        <v>0</v>
      </c>
      <c r="I1215" s="386">
        <f t="shared" si="33"/>
        <v>53813.177000000003</v>
      </c>
      <c r="J1215" s="203" t="s">
        <v>608</v>
      </c>
    </row>
    <row r="1216" spans="1:10" hidden="1" outlineLevel="1">
      <c r="A1216" s="424" t="s">
        <v>609</v>
      </c>
      <c r="B1216" s="210">
        <v>585205.92350000003</v>
      </c>
      <c r="C1216" s="211">
        <v>0</v>
      </c>
      <c r="D1216" s="211">
        <f t="shared" si="34"/>
        <v>0</v>
      </c>
      <c r="E1216" s="211">
        <f t="shared" si="35"/>
        <v>0</v>
      </c>
      <c r="F1216" s="211">
        <f t="shared" si="36"/>
        <v>0</v>
      </c>
      <c r="G1216" s="211">
        <f t="shared" si="37"/>
        <v>0</v>
      </c>
      <c r="H1216" s="211">
        <f t="shared" si="32"/>
        <v>0</v>
      </c>
      <c r="I1216" s="386">
        <f t="shared" si="33"/>
        <v>585205.92350000003</v>
      </c>
      <c r="J1216" s="203" t="s">
        <v>610</v>
      </c>
    </row>
    <row r="1217" spans="1:10" hidden="1" outlineLevel="1">
      <c r="A1217" s="424" t="s">
        <v>611</v>
      </c>
      <c r="B1217" s="210">
        <v>449423.821</v>
      </c>
      <c r="C1217" s="211">
        <v>0</v>
      </c>
      <c r="D1217" s="211">
        <f t="shared" si="34"/>
        <v>0</v>
      </c>
      <c r="E1217" s="211">
        <f t="shared" si="35"/>
        <v>0</v>
      </c>
      <c r="F1217" s="211">
        <f t="shared" si="36"/>
        <v>0</v>
      </c>
      <c r="G1217" s="211">
        <f t="shared" si="37"/>
        <v>0</v>
      </c>
      <c r="H1217" s="211">
        <f t="shared" si="32"/>
        <v>0</v>
      </c>
      <c r="I1217" s="386">
        <f t="shared" si="33"/>
        <v>449423.821</v>
      </c>
      <c r="J1217" s="203" t="s">
        <v>612</v>
      </c>
    </row>
    <row r="1218" spans="1:10" hidden="1" outlineLevel="1">
      <c r="A1218" s="424" t="s">
        <v>613</v>
      </c>
      <c r="B1218" s="210">
        <v>16214.275000000001</v>
      </c>
      <c r="C1218" s="211">
        <v>0</v>
      </c>
      <c r="D1218" s="211">
        <f t="shared" si="34"/>
        <v>0</v>
      </c>
      <c r="E1218" s="211">
        <f t="shared" si="35"/>
        <v>0</v>
      </c>
      <c r="F1218" s="211">
        <f t="shared" si="36"/>
        <v>0</v>
      </c>
      <c r="G1218" s="211">
        <f t="shared" si="37"/>
        <v>0</v>
      </c>
      <c r="H1218" s="211">
        <f t="shared" si="32"/>
        <v>0</v>
      </c>
      <c r="I1218" s="386">
        <f t="shared" si="33"/>
        <v>16214.275000000001</v>
      </c>
      <c r="J1218" s="203" t="s">
        <v>614</v>
      </c>
    </row>
    <row r="1219" spans="1:10" hidden="1" outlineLevel="1">
      <c r="A1219" s="424" t="s">
        <v>615</v>
      </c>
      <c r="B1219" s="210">
        <v>303748.80525000003</v>
      </c>
      <c r="C1219" s="211">
        <v>0</v>
      </c>
      <c r="D1219" s="211">
        <f t="shared" si="34"/>
        <v>0</v>
      </c>
      <c r="E1219" s="211">
        <f t="shared" si="35"/>
        <v>0</v>
      </c>
      <c r="F1219" s="211">
        <f t="shared" si="36"/>
        <v>0</v>
      </c>
      <c r="G1219" s="211">
        <f t="shared" si="37"/>
        <v>0</v>
      </c>
      <c r="H1219" s="211">
        <f t="shared" si="32"/>
        <v>0</v>
      </c>
      <c r="I1219" s="386">
        <f t="shared" si="33"/>
        <v>303748.80525000003</v>
      </c>
      <c r="J1219" s="203" t="s">
        <v>616</v>
      </c>
    </row>
    <row r="1220" spans="1:10" hidden="1" outlineLevel="1">
      <c r="A1220" s="424" t="s">
        <v>617</v>
      </c>
      <c r="B1220" s="210">
        <v>169397.64874999999</v>
      </c>
      <c r="C1220" s="211">
        <v>0</v>
      </c>
      <c r="D1220" s="211">
        <f t="shared" si="34"/>
        <v>0</v>
      </c>
      <c r="E1220" s="211">
        <f t="shared" si="35"/>
        <v>0</v>
      </c>
      <c r="F1220" s="211">
        <f t="shared" si="36"/>
        <v>0</v>
      </c>
      <c r="G1220" s="211">
        <f t="shared" si="37"/>
        <v>0</v>
      </c>
      <c r="H1220" s="211">
        <f t="shared" si="32"/>
        <v>0</v>
      </c>
      <c r="I1220" s="386">
        <f t="shared" si="33"/>
        <v>169397.64874999999</v>
      </c>
      <c r="J1220" s="203" t="s">
        <v>618</v>
      </c>
    </row>
    <row r="1221" spans="1:10" hidden="1" outlineLevel="1">
      <c r="A1221" s="424" t="s">
        <v>619</v>
      </c>
      <c r="B1221" s="210">
        <v>1108780.23025</v>
      </c>
      <c r="C1221" s="211">
        <v>0</v>
      </c>
      <c r="D1221" s="211">
        <f t="shared" si="34"/>
        <v>0</v>
      </c>
      <c r="E1221" s="211">
        <f t="shared" si="35"/>
        <v>0</v>
      </c>
      <c r="F1221" s="211">
        <f t="shared" si="36"/>
        <v>0</v>
      </c>
      <c r="G1221" s="211">
        <f t="shared" si="37"/>
        <v>0</v>
      </c>
      <c r="H1221" s="211">
        <f t="shared" si="32"/>
        <v>0</v>
      </c>
      <c r="I1221" s="386">
        <f t="shared" si="33"/>
        <v>1108780.23025</v>
      </c>
      <c r="J1221" s="203" t="s">
        <v>620</v>
      </c>
    </row>
    <row r="1222" spans="1:10" hidden="1" outlineLevel="1">
      <c r="A1222" s="424" t="s">
        <v>621</v>
      </c>
      <c r="B1222" s="210">
        <v>2690464.4249999998</v>
      </c>
      <c r="C1222" s="211">
        <v>0</v>
      </c>
      <c r="D1222" s="211">
        <f t="shared" si="34"/>
        <v>0</v>
      </c>
      <c r="E1222" s="211">
        <f t="shared" si="35"/>
        <v>0</v>
      </c>
      <c r="F1222" s="211">
        <f t="shared" si="36"/>
        <v>0</v>
      </c>
      <c r="G1222" s="211">
        <f t="shared" si="37"/>
        <v>0</v>
      </c>
      <c r="H1222" s="211">
        <f t="shared" si="32"/>
        <v>0</v>
      </c>
      <c r="I1222" s="386">
        <f t="shared" si="33"/>
        <v>2690464.4249999998</v>
      </c>
      <c r="J1222" s="203" t="s">
        <v>622</v>
      </c>
    </row>
    <row r="1223" spans="1:10" hidden="1" outlineLevel="1">
      <c r="A1223" s="424" t="s">
        <v>623</v>
      </c>
      <c r="B1223" s="210">
        <v>29647.925999999999</v>
      </c>
      <c r="C1223" s="211">
        <v>0</v>
      </c>
      <c r="D1223" s="211">
        <f t="shared" si="34"/>
        <v>0</v>
      </c>
      <c r="E1223" s="211">
        <f t="shared" si="35"/>
        <v>0</v>
      </c>
      <c r="F1223" s="211">
        <f t="shared" si="36"/>
        <v>0</v>
      </c>
      <c r="G1223" s="211">
        <f t="shared" si="37"/>
        <v>0</v>
      </c>
      <c r="H1223" s="211">
        <f t="shared" si="32"/>
        <v>0</v>
      </c>
      <c r="I1223" s="386">
        <f t="shared" si="33"/>
        <v>29647.925999999999</v>
      </c>
      <c r="J1223" s="203" t="s">
        <v>624</v>
      </c>
    </row>
    <row r="1224" spans="1:10" hidden="1" outlineLevel="1">
      <c r="A1224" s="424" t="s">
        <v>625</v>
      </c>
      <c r="B1224" s="210">
        <v>138766.8315</v>
      </c>
      <c r="C1224" s="211">
        <v>0</v>
      </c>
      <c r="D1224" s="211">
        <f t="shared" si="34"/>
        <v>0</v>
      </c>
      <c r="E1224" s="211">
        <f t="shared" si="35"/>
        <v>0</v>
      </c>
      <c r="F1224" s="211">
        <f t="shared" si="36"/>
        <v>0</v>
      </c>
      <c r="G1224" s="211">
        <f t="shared" si="37"/>
        <v>0</v>
      </c>
      <c r="H1224" s="211">
        <f t="shared" si="32"/>
        <v>0</v>
      </c>
      <c r="I1224" s="386">
        <f t="shared" si="33"/>
        <v>138766.8315</v>
      </c>
      <c r="J1224" s="203" t="s">
        <v>626</v>
      </c>
    </row>
    <row r="1225" spans="1:10" hidden="1" outlineLevel="1">
      <c r="A1225" s="424" t="s">
        <v>627</v>
      </c>
      <c r="B1225" s="210">
        <v>1001305.9100000001</v>
      </c>
      <c r="C1225" s="211">
        <v>0</v>
      </c>
      <c r="D1225" s="211">
        <f t="shared" si="34"/>
        <v>0</v>
      </c>
      <c r="E1225" s="211">
        <f t="shared" si="35"/>
        <v>0</v>
      </c>
      <c r="F1225" s="211">
        <f t="shared" si="36"/>
        <v>411.03480000000002</v>
      </c>
      <c r="G1225" s="211">
        <f t="shared" si="37"/>
        <v>0</v>
      </c>
      <c r="H1225" s="211">
        <f t="shared" si="32"/>
        <v>0</v>
      </c>
      <c r="I1225" s="386">
        <f t="shared" si="33"/>
        <v>1001716.9448000002</v>
      </c>
      <c r="J1225" s="203" t="s">
        <v>628</v>
      </c>
    </row>
    <row r="1226" spans="1:10" hidden="1" outlineLevel="1">
      <c r="A1226" s="424" t="s">
        <v>629</v>
      </c>
      <c r="B1226" s="210">
        <v>765643.00725000014</v>
      </c>
      <c r="C1226" s="211">
        <v>0</v>
      </c>
      <c r="D1226" s="211">
        <f t="shared" si="34"/>
        <v>0</v>
      </c>
      <c r="E1226" s="211">
        <f t="shared" si="35"/>
        <v>0</v>
      </c>
      <c r="F1226" s="211">
        <f t="shared" si="36"/>
        <v>0</v>
      </c>
      <c r="G1226" s="211">
        <f t="shared" si="37"/>
        <v>0</v>
      </c>
      <c r="H1226" s="211">
        <f t="shared" si="32"/>
        <v>0</v>
      </c>
      <c r="I1226" s="386">
        <f t="shared" si="33"/>
        <v>765643.00725000014</v>
      </c>
      <c r="J1226" s="203" t="s">
        <v>630</v>
      </c>
    </row>
    <row r="1227" spans="1:10" hidden="1" outlineLevel="1">
      <c r="A1227" s="424" t="s">
        <v>631</v>
      </c>
      <c r="B1227" s="210">
        <v>399105.19825000002</v>
      </c>
      <c r="C1227" s="211">
        <v>0</v>
      </c>
      <c r="D1227" s="211">
        <f t="shared" si="34"/>
        <v>0</v>
      </c>
      <c r="E1227" s="211">
        <f t="shared" si="35"/>
        <v>0</v>
      </c>
      <c r="F1227" s="211">
        <f t="shared" si="36"/>
        <v>0</v>
      </c>
      <c r="G1227" s="211">
        <f t="shared" si="37"/>
        <v>0</v>
      </c>
      <c r="H1227" s="211">
        <f t="shared" si="32"/>
        <v>0</v>
      </c>
      <c r="I1227" s="386">
        <f t="shared" si="33"/>
        <v>399105.19825000002</v>
      </c>
      <c r="J1227" s="203" t="s">
        <v>632</v>
      </c>
    </row>
    <row r="1228" spans="1:10" hidden="1" outlineLevel="1">
      <c r="A1228" s="424" t="s">
        <v>633</v>
      </c>
      <c r="B1228" s="210">
        <v>79217.399250000002</v>
      </c>
      <c r="C1228" s="211">
        <v>0</v>
      </c>
      <c r="D1228" s="211">
        <f t="shared" si="34"/>
        <v>0</v>
      </c>
      <c r="E1228" s="211">
        <f t="shared" si="35"/>
        <v>0</v>
      </c>
      <c r="F1228" s="211">
        <f t="shared" si="36"/>
        <v>0</v>
      </c>
      <c r="G1228" s="211">
        <f t="shared" si="37"/>
        <v>0</v>
      </c>
      <c r="H1228" s="211">
        <f t="shared" si="32"/>
        <v>0</v>
      </c>
      <c r="I1228" s="386">
        <f t="shared" si="33"/>
        <v>79217.399250000002</v>
      </c>
      <c r="J1228" s="203" t="s">
        <v>634</v>
      </c>
    </row>
    <row r="1229" spans="1:10" hidden="1" outlineLevel="1">
      <c r="A1229" s="424" t="s">
        <v>635</v>
      </c>
      <c r="B1229" s="210">
        <v>146049.39525</v>
      </c>
      <c r="C1229" s="211">
        <v>0</v>
      </c>
      <c r="D1229" s="211">
        <f t="shared" si="34"/>
        <v>0</v>
      </c>
      <c r="E1229" s="211">
        <f t="shared" si="35"/>
        <v>0</v>
      </c>
      <c r="F1229" s="211">
        <f t="shared" si="36"/>
        <v>0</v>
      </c>
      <c r="G1229" s="211">
        <f t="shared" si="37"/>
        <v>0</v>
      </c>
      <c r="H1229" s="211">
        <f t="shared" si="32"/>
        <v>0</v>
      </c>
      <c r="I1229" s="386">
        <f t="shared" si="33"/>
        <v>146049.39525</v>
      </c>
      <c r="J1229" s="203" t="s">
        <v>636</v>
      </c>
    </row>
    <row r="1230" spans="1:10" hidden="1" outlineLevel="1">
      <c r="A1230" s="424" t="s">
        <v>637</v>
      </c>
      <c r="B1230" s="210">
        <v>1552284.9210000003</v>
      </c>
      <c r="C1230" s="211">
        <v>0</v>
      </c>
      <c r="D1230" s="211">
        <f t="shared" si="34"/>
        <v>0</v>
      </c>
      <c r="E1230" s="211">
        <f t="shared" si="35"/>
        <v>0</v>
      </c>
      <c r="F1230" s="211">
        <f t="shared" si="36"/>
        <v>0</v>
      </c>
      <c r="G1230" s="211">
        <f t="shared" si="37"/>
        <v>0</v>
      </c>
      <c r="H1230" s="211">
        <f t="shared" si="32"/>
        <v>0</v>
      </c>
      <c r="I1230" s="386">
        <f t="shared" si="33"/>
        <v>1552284.9210000003</v>
      </c>
      <c r="J1230" s="203" t="s">
        <v>638</v>
      </c>
    </row>
    <row r="1231" spans="1:10" hidden="1" outlineLevel="1">
      <c r="A1231" s="424" t="s">
        <v>639</v>
      </c>
      <c r="B1231" s="210">
        <v>6536045.8845000006</v>
      </c>
      <c r="C1231" s="211">
        <v>0</v>
      </c>
      <c r="D1231" s="211">
        <f t="shared" si="34"/>
        <v>0</v>
      </c>
      <c r="E1231" s="211">
        <f t="shared" si="35"/>
        <v>0</v>
      </c>
      <c r="F1231" s="211">
        <f t="shared" si="36"/>
        <v>344.13004999999998</v>
      </c>
      <c r="G1231" s="211">
        <f t="shared" si="37"/>
        <v>2134.0599499999998</v>
      </c>
      <c r="H1231" s="211">
        <f t="shared" si="32"/>
        <v>0</v>
      </c>
      <c r="I1231" s="386">
        <f t="shared" si="33"/>
        <v>6538524.0745000001</v>
      </c>
      <c r="J1231" s="203" t="s">
        <v>640</v>
      </c>
    </row>
    <row r="1232" spans="1:10" hidden="1" outlineLevel="1">
      <c r="A1232" s="424" t="s">
        <v>641</v>
      </c>
      <c r="B1232" s="210">
        <v>74745.140249999997</v>
      </c>
      <c r="C1232" s="211">
        <v>0</v>
      </c>
      <c r="D1232" s="211">
        <f t="shared" si="34"/>
        <v>0</v>
      </c>
      <c r="E1232" s="211">
        <f t="shared" si="35"/>
        <v>0</v>
      </c>
      <c r="F1232" s="211">
        <f t="shared" si="36"/>
        <v>0</v>
      </c>
      <c r="G1232" s="211">
        <f t="shared" si="37"/>
        <v>0</v>
      </c>
      <c r="H1232" s="211">
        <f t="shared" si="32"/>
        <v>0</v>
      </c>
      <c r="I1232" s="386">
        <f t="shared" si="33"/>
        <v>74745.140249999997</v>
      </c>
      <c r="J1232" s="203" t="s">
        <v>642</v>
      </c>
    </row>
    <row r="1233" spans="1:10" hidden="1" outlineLevel="1">
      <c r="A1233" s="424" t="s">
        <v>643</v>
      </c>
      <c r="B1233" s="210">
        <v>243488.47600000002</v>
      </c>
      <c r="C1233" s="211">
        <v>0</v>
      </c>
      <c r="D1233" s="211">
        <f t="shared" si="34"/>
        <v>0</v>
      </c>
      <c r="E1233" s="211">
        <f t="shared" si="35"/>
        <v>0</v>
      </c>
      <c r="F1233" s="211">
        <f t="shared" si="36"/>
        <v>0</v>
      </c>
      <c r="G1233" s="211">
        <f t="shared" si="37"/>
        <v>0</v>
      </c>
      <c r="H1233" s="211">
        <f t="shared" si="32"/>
        <v>0</v>
      </c>
      <c r="I1233" s="386">
        <f t="shared" si="33"/>
        <v>243488.47600000002</v>
      </c>
      <c r="J1233" s="203" t="s">
        <v>644</v>
      </c>
    </row>
    <row r="1234" spans="1:10" hidden="1" outlineLevel="1">
      <c r="A1234" s="424" t="s">
        <v>645</v>
      </c>
      <c r="B1234" s="210">
        <v>2757954.2870000005</v>
      </c>
      <c r="C1234" s="211">
        <v>0</v>
      </c>
      <c r="D1234" s="211">
        <f t="shared" si="34"/>
        <v>0</v>
      </c>
      <c r="E1234" s="211">
        <f t="shared" si="35"/>
        <v>0</v>
      </c>
      <c r="F1234" s="211">
        <f t="shared" si="36"/>
        <v>0</v>
      </c>
      <c r="G1234" s="211">
        <f t="shared" si="37"/>
        <v>0</v>
      </c>
      <c r="H1234" s="211">
        <f t="shared" si="32"/>
        <v>0</v>
      </c>
      <c r="I1234" s="386">
        <f t="shared" si="33"/>
        <v>2757954.2870000005</v>
      </c>
      <c r="J1234" s="203" t="s">
        <v>646</v>
      </c>
    </row>
    <row r="1235" spans="1:10" hidden="1" outlineLevel="1">
      <c r="A1235" s="424" t="s">
        <v>647</v>
      </c>
      <c r="B1235" s="210">
        <v>249968.40275000001</v>
      </c>
      <c r="C1235" s="211">
        <v>0</v>
      </c>
      <c r="D1235" s="211">
        <f t="shared" si="34"/>
        <v>0</v>
      </c>
      <c r="E1235" s="211">
        <f t="shared" si="35"/>
        <v>0</v>
      </c>
      <c r="F1235" s="211">
        <f t="shared" si="36"/>
        <v>0</v>
      </c>
      <c r="G1235" s="211">
        <f t="shared" si="37"/>
        <v>0</v>
      </c>
      <c r="H1235" s="211">
        <f t="shared" si="32"/>
        <v>0</v>
      </c>
      <c r="I1235" s="386">
        <f t="shared" si="33"/>
        <v>249968.40275000001</v>
      </c>
      <c r="J1235" s="203" t="s">
        <v>648</v>
      </c>
    </row>
    <row r="1236" spans="1:10" hidden="1" outlineLevel="1">
      <c r="A1236" s="424" t="s">
        <v>649</v>
      </c>
      <c r="B1236" s="210">
        <v>324471.29000000004</v>
      </c>
      <c r="C1236" s="211">
        <v>0</v>
      </c>
      <c r="D1236" s="211">
        <f t="shared" si="34"/>
        <v>0</v>
      </c>
      <c r="E1236" s="211">
        <f t="shared" si="35"/>
        <v>0</v>
      </c>
      <c r="F1236" s="211">
        <f t="shared" si="36"/>
        <v>0</v>
      </c>
      <c r="G1236" s="211">
        <f t="shared" si="37"/>
        <v>0</v>
      </c>
      <c r="H1236" s="211">
        <f t="shared" si="32"/>
        <v>0</v>
      </c>
      <c r="I1236" s="386">
        <f t="shared" si="33"/>
        <v>324471.29000000004</v>
      </c>
      <c r="J1236" s="203" t="s">
        <v>650</v>
      </c>
    </row>
    <row r="1237" spans="1:10" hidden="1" outlineLevel="1">
      <c r="A1237" s="424" t="s">
        <v>651</v>
      </c>
      <c r="B1237" s="210">
        <v>3582066.3587500001</v>
      </c>
      <c r="C1237" s="211">
        <v>0</v>
      </c>
      <c r="D1237" s="211">
        <f t="shared" si="34"/>
        <v>0</v>
      </c>
      <c r="E1237" s="211">
        <f t="shared" si="35"/>
        <v>0</v>
      </c>
      <c r="F1237" s="211">
        <f t="shared" si="36"/>
        <v>2204.9346</v>
      </c>
      <c r="G1237" s="211">
        <f t="shared" si="37"/>
        <v>1027.9621</v>
      </c>
      <c r="H1237" s="211">
        <f t="shared" si="32"/>
        <v>0</v>
      </c>
      <c r="I1237" s="386">
        <f t="shared" si="33"/>
        <v>3585299.2554500001</v>
      </c>
      <c r="J1237" s="203" t="s">
        <v>652</v>
      </c>
    </row>
    <row r="1238" spans="1:10" hidden="1" outlineLevel="1">
      <c r="A1238" s="424" t="s">
        <v>653</v>
      </c>
      <c r="B1238" s="210">
        <v>31280.304000000004</v>
      </c>
      <c r="C1238" s="211">
        <v>0</v>
      </c>
      <c r="D1238" s="211">
        <f t="shared" si="34"/>
        <v>0</v>
      </c>
      <c r="E1238" s="211">
        <f t="shared" si="35"/>
        <v>0</v>
      </c>
      <c r="F1238" s="211">
        <f t="shared" si="36"/>
        <v>0</v>
      </c>
      <c r="G1238" s="211">
        <f t="shared" si="37"/>
        <v>0</v>
      </c>
      <c r="H1238" s="211">
        <f t="shared" si="32"/>
        <v>0</v>
      </c>
      <c r="I1238" s="386">
        <f t="shared" si="33"/>
        <v>31280.304000000004</v>
      </c>
      <c r="J1238" s="203" t="s">
        <v>654</v>
      </c>
    </row>
    <row r="1239" spans="1:10" hidden="1" outlineLevel="1">
      <c r="A1239" s="424" t="s">
        <v>655</v>
      </c>
      <c r="B1239" s="210">
        <v>187871.59600000002</v>
      </c>
      <c r="C1239" s="211">
        <v>0</v>
      </c>
      <c r="D1239" s="211">
        <f t="shared" si="34"/>
        <v>0</v>
      </c>
      <c r="E1239" s="211">
        <f t="shared" si="35"/>
        <v>0</v>
      </c>
      <c r="F1239" s="211">
        <f t="shared" si="36"/>
        <v>31385.736800000002</v>
      </c>
      <c r="G1239" s="211">
        <f t="shared" si="37"/>
        <v>0</v>
      </c>
      <c r="H1239" s="211">
        <f t="shared" ref="H1239:H1302" si="38">H305*0.0055/100</f>
        <v>0</v>
      </c>
      <c r="I1239" s="386">
        <f t="shared" ref="I1239:I1302" si="39">SUM(B1239:H1239)</f>
        <v>219257.33280000003</v>
      </c>
      <c r="J1239" s="203" t="s">
        <v>578</v>
      </c>
    </row>
    <row r="1240" spans="1:10" hidden="1" outlineLevel="1">
      <c r="A1240" s="424" t="s">
        <v>656</v>
      </c>
      <c r="B1240" s="210">
        <v>365462.80650000006</v>
      </c>
      <c r="C1240" s="211">
        <v>0</v>
      </c>
      <c r="D1240" s="211">
        <f t="shared" ref="D1240:D1303" si="40">D306*0.04125/100</f>
        <v>0</v>
      </c>
      <c r="E1240" s="211">
        <f t="shared" ref="E1240:E1303" si="41">E306*0/100</f>
        <v>0</v>
      </c>
      <c r="F1240" s="211">
        <f t="shared" ref="F1240:F1303" si="42">F306*0.0275/100</f>
        <v>0</v>
      </c>
      <c r="G1240" s="211">
        <f t="shared" ref="G1240:G1303" si="43">G306*0.055/100</f>
        <v>0</v>
      </c>
      <c r="H1240" s="211">
        <f t="shared" si="38"/>
        <v>0</v>
      </c>
      <c r="I1240" s="386">
        <f t="shared" si="39"/>
        <v>365462.80650000006</v>
      </c>
      <c r="J1240" s="203" t="s">
        <v>657</v>
      </c>
    </row>
    <row r="1241" spans="1:10" hidden="1" outlineLevel="1">
      <c r="A1241" s="424" t="s">
        <v>658</v>
      </c>
      <c r="B1241" s="210">
        <v>244133.76075000002</v>
      </c>
      <c r="C1241" s="211">
        <v>0</v>
      </c>
      <c r="D1241" s="211">
        <f t="shared" si="40"/>
        <v>0</v>
      </c>
      <c r="E1241" s="211">
        <f t="shared" si="41"/>
        <v>0</v>
      </c>
      <c r="F1241" s="211">
        <f t="shared" si="42"/>
        <v>0</v>
      </c>
      <c r="G1241" s="211">
        <f t="shared" si="43"/>
        <v>0</v>
      </c>
      <c r="H1241" s="211">
        <f t="shared" si="38"/>
        <v>0</v>
      </c>
      <c r="I1241" s="386">
        <f t="shared" si="39"/>
        <v>244133.76075000002</v>
      </c>
      <c r="J1241" s="203" t="s">
        <v>659</v>
      </c>
    </row>
    <row r="1242" spans="1:10" hidden="1" outlineLevel="1">
      <c r="A1242" s="424" t="s">
        <v>660</v>
      </c>
      <c r="B1242" s="210">
        <v>81860.933000000005</v>
      </c>
      <c r="C1242" s="211">
        <v>0</v>
      </c>
      <c r="D1242" s="211">
        <f t="shared" si="40"/>
        <v>0</v>
      </c>
      <c r="E1242" s="211">
        <f t="shared" si="41"/>
        <v>0</v>
      </c>
      <c r="F1242" s="211">
        <f t="shared" si="42"/>
        <v>0</v>
      </c>
      <c r="G1242" s="211">
        <f t="shared" si="43"/>
        <v>0</v>
      </c>
      <c r="H1242" s="211">
        <f t="shared" si="38"/>
        <v>0</v>
      </c>
      <c r="I1242" s="386">
        <f t="shared" si="39"/>
        <v>81860.933000000005</v>
      </c>
      <c r="J1242" s="203" t="s">
        <v>661</v>
      </c>
    </row>
    <row r="1243" spans="1:10" hidden="1" outlineLevel="1">
      <c r="A1243" s="424" t="s">
        <v>662</v>
      </c>
      <c r="B1243" s="210">
        <v>5008679.2607500004</v>
      </c>
      <c r="C1243" s="211">
        <v>0</v>
      </c>
      <c r="D1243" s="211">
        <f t="shared" si="40"/>
        <v>0</v>
      </c>
      <c r="E1243" s="211">
        <f t="shared" si="41"/>
        <v>0</v>
      </c>
      <c r="F1243" s="211">
        <f t="shared" si="42"/>
        <v>155.20009999999999</v>
      </c>
      <c r="G1243" s="211">
        <f t="shared" si="43"/>
        <v>0</v>
      </c>
      <c r="H1243" s="211">
        <f t="shared" si="38"/>
        <v>0</v>
      </c>
      <c r="I1243" s="386">
        <f t="shared" si="39"/>
        <v>5008834.4608500004</v>
      </c>
      <c r="J1243" s="203" t="s">
        <v>663</v>
      </c>
    </row>
    <row r="1244" spans="1:10" hidden="1" outlineLevel="1">
      <c r="A1244" s="424" t="s">
        <v>664</v>
      </c>
      <c r="B1244" s="210">
        <v>1115115.0560000001</v>
      </c>
      <c r="C1244" s="211">
        <v>0</v>
      </c>
      <c r="D1244" s="211">
        <f t="shared" si="40"/>
        <v>0</v>
      </c>
      <c r="E1244" s="211">
        <f t="shared" si="41"/>
        <v>0</v>
      </c>
      <c r="F1244" s="211">
        <f t="shared" si="42"/>
        <v>0</v>
      </c>
      <c r="G1244" s="211">
        <f t="shared" si="43"/>
        <v>0</v>
      </c>
      <c r="H1244" s="211">
        <f t="shared" si="38"/>
        <v>0</v>
      </c>
      <c r="I1244" s="386">
        <f t="shared" si="39"/>
        <v>1115115.0560000001</v>
      </c>
      <c r="J1244" s="203" t="s">
        <v>665</v>
      </c>
    </row>
    <row r="1245" spans="1:10" hidden="1" outlineLevel="1">
      <c r="A1245" s="424" t="s">
        <v>666</v>
      </c>
      <c r="B1245" s="210">
        <v>644101.98875000002</v>
      </c>
      <c r="C1245" s="211">
        <v>0</v>
      </c>
      <c r="D1245" s="211">
        <f t="shared" si="40"/>
        <v>0</v>
      </c>
      <c r="E1245" s="211">
        <f t="shared" si="41"/>
        <v>0</v>
      </c>
      <c r="F1245" s="211">
        <f t="shared" si="42"/>
        <v>0</v>
      </c>
      <c r="G1245" s="211">
        <f t="shared" si="43"/>
        <v>0</v>
      </c>
      <c r="H1245" s="211">
        <f t="shared" si="38"/>
        <v>0</v>
      </c>
      <c r="I1245" s="386">
        <f t="shared" si="39"/>
        <v>644101.98875000002</v>
      </c>
      <c r="J1245" s="203" t="s">
        <v>667</v>
      </c>
    </row>
    <row r="1246" spans="1:10" hidden="1" outlineLevel="1">
      <c r="A1246" s="424" t="s">
        <v>668</v>
      </c>
      <c r="B1246" s="210">
        <v>40964.151250000003</v>
      </c>
      <c r="C1246" s="211">
        <v>0</v>
      </c>
      <c r="D1246" s="211">
        <f t="shared" si="40"/>
        <v>0</v>
      </c>
      <c r="E1246" s="211">
        <f t="shared" si="41"/>
        <v>0</v>
      </c>
      <c r="F1246" s="211">
        <f t="shared" si="42"/>
        <v>0</v>
      </c>
      <c r="G1246" s="211">
        <f t="shared" si="43"/>
        <v>0</v>
      </c>
      <c r="H1246" s="211">
        <f t="shared" si="38"/>
        <v>0</v>
      </c>
      <c r="I1246" s="386">
        <f t="shared" si="39"/>
        <v>40964.151250000003</v>
      </c>
      <c r="J1246" s="203" t="s">
        <v>669</v>
      </c>
    </row>
    <row r="1247" spans="1:10" hidden="1" outlineLevel="1">
      <c r="A1247" s="424" t="s">
        <v>670</v>
      </c>
      <c r="B1247" s="210">
        <v>1154801.8597500001</v>
      </c>
      <c r="C1247" s="211">
        <v>0</v>
      </c>
      <c r="D1247" s="211">
        <f t="shared" si="40"/>
        <v>0</v>
      </c>
      <c r="E1247" s="211">
        <f t="shared" si="41"/>
        <v>0</v>
      </c>
      <c r="F1247" s="211">
        <f t="shared" si="42"/>
        <v>1218.2700750000001</v>
      </c>
      <c r="G1247" s="211">
        <f t="shared" si="43"/>
        <v>0</v>
      </c>
      <c r="H1247" s="211">
        <f t="shared" si="38"/>
        <v>0</v>
      </c>
      <c r="I1247" s="386">
        <f t="shared" si="39"/>
        <v>1156020.129825</v>
      </c>
      <c r="J1247" s="203" t="s">
        <v>671</v>
      </c>
    </row>
    <row r="1248" spans="1:10" hidden="1" outlineLevel="1">
      <c r="A1248" s="424" t="s">
        <v>672</v>
      </c>
      <c r="B1248" s="210">
        <v>252626.49775000001</v>
      </c>
      <c r="C1248" s="211">
        <v>0</v>
      </c>
      <c r="D1248" s="211">
        <f t="shared" si="40"/>
        <v>0</v>
      </c>
      <c r="E1248" s="211">
        <f t="shared" si="41"/>
        <v>0</v>
      </c>
      <c r="F1248" s="211">
        <f t="shared" si="42"/>
        <v>0</v>
      </c>
      <c r="G1248" s="211">
        <f t="shared" si="43"/>
        <v>0</v>
      </c>
      <c r="H1248" s="211">
        <f t="shared" si="38"/>
        <v>0</v>
      </c>
      <c r="I1248" s="386">
        <f t="shared" si="39"/>
        <v>252626.49775000001</v>
      </c>
      <c r="J1248" s="203" t="s">
        <v>673</v>
      </c>
    </row>
    <row r="1249" spans="1:10" hidden="1" outlineLevel="1">
      <c r="A1249" s="424" t="s">
        <v>674</v>
      </c>
      <c r="B1249" s="210">
        <v>474944.79450000002</v>
      </c>
      <c r="C1249" s="211">
        <v>0</v>
      </c>
      <c r="D1249" s="211">
        <f t="shared" si="40"/>
        <v>0</v>
      </c>
      <c r="E1249" s="211">
        <f t="shared" si="41"/>
        <v>0</v>
      </c>
      <c r="F1249" s="211">
        <f t="shared" si="42"/>
        <v>0</v>
      </c>
      <c r="G1249" s="211">
        <f t="shared" si="43"/>
        <v>0</v>
      </c>
      <c r="H1249" s="211">
        <f t="shared" si="38"/>
        <v>0</v>
      </c>
      <c r="I1249" s="386">
        <f t="shared" si="39"/>
        <v>474944.79450000002</v>
      </c>
      <c r="J1249" s="203" t="s">
        <v>675</v>
      </c>
    </row>
    <row r="1250" spans="1:10" hidden="1" outlineLevel="1">
      <c r="A1250" s="424" t="s">
        <v>676</v>
      </c>
      <c r="B1250" s="210">
        <v>335769.94825000002</v>
      </c>
      <c r="C1250" s="211">
        <v>0</v>
      </c>
      <c r="D1250" s="211">
        <f t="shared" si="40"/>
        <v>0</v>
      </c>
      <c r="E1250" s="211">
        <f t="shared" si="41"/>
        <v>0</v>
      </c>
      <c r="F1250" s="211">
        <f t="shared" si="42"/>
        <v>0</v>
      </c>
      <c r="G1250" s="211">
        <f t="shared" si="43"/>
        <v>0</v>
      </c>
      <c r="H1250" s="211">
        <f t="shared" si="38"/>
        <v>0</v>
      </c>
      <c r="I1250" s="386">
        <f t="shared" si="39"/>
        <v>335769.94825000002</v>
      </c>
      <c r="J1250" s="203" t="s">
        <v>677</v>
      </c>
    </row>
    <row r="1251" spans="1:10" hidden="1" outlineLevel="1">
      <c r="A1251" s="424" t="s">
        <v>678</v>
      </c>
      <c r="B1251" s="210">
        <v>448271.34825000004</v>
      </c>
      <c r="C1251" s="211">
        <v>0</v>
      </c>
      <c r="D1251" s="211">
        <f t="shared" si="40"/>
        <v>0</v>
      </c>
      <c r="E1251" s="211">
        <f t="shared" si="41"/>
        <v>0</v>
      </c>
      <c r="F1251" s="211">
        <f t="shared" si="42"/>
        <v>0</v>
      </c>
      <c r="G1251" s="211">
        <f t="shared" si="43"/>
        <v>0</v>
      </c>
      <c r="H1251" s="211">
        <f t="shared" si="38"/>
        <v>0</v>
      </c>
      <c r="I1251" s="386">
        <f t="shared" si="39"/>
        <v>448271.34825000004</v>
      </c>
      <c r="J1251" s="203" t="s">
        <v>679</v>
      </c>
    </row>
    <row r="1252" spans="1:10" hidden="1" outlineLevel="1">
      <c r="A1252" s="424" t="s">
        <v>680</v>
      </c>
      <c r="B1252" s="210">
        <v>710559.57499999995</v>
      </c>
      <c r="C1252" s="211">
        <v>0</v>
      </c>
      <c r="D1252" s="211">
        <f t="shared" si="40"/>
        <v>0</v>
      </c>
      <c r="E1252" s="211">
        <f t="shared" si="41"/>
        <v>0</v>
      </c>
      <c r="F1252" s="211">
        <f t="shared" si="42"/>
        <v>0</v>
      </c>
      <c r="G1252" s="211">
        <f t="shared" si="43"/>
        <v>0</v>
      </c>
      <c r="H1252" s="211">
        <f t="shared" si="38"/>
        <v>0</v>
      </c>
      <c r="I1252" s="386">
        <f t="shared" si="39"/>
        <v>710559.57499999995</v>
      </c>
      <c r="J1252" s="203" t="s">
        <v>681</v>
      </c>
    </row>
    <row r="1253" spans="1:10" hidden="1" outlineLevel="1">
      <c r="A1253" s="424" t="s">
        <v>682</v>
      </c>
      <c r="B1253" s="210">
        <v>630024.05674999999</v>
      </c>
      <c r="C1253" s="211">
        <v>0</v>
      </c>
      <c r="D1253" s="211">
        <f t="shared" si="40"/>
        <v>0</v>
      </c>
      <c r="E1253" s="211">
        <f t="shared" si="41"/>
        <v>0</v>
      </c>
      <c r="F1253" s="211">
        <f t="shared" si="42"/>
        <v>0</v>
      </c>
      <c r="G1253" s="211">
        <f t="shared" si="43"/>
        <v>0</v>
      </c>
      <c r="H1253" s="211">
        <f t="shared" si="38"/>
        <v>0</v>
      </c>
      <c r="I1253" s="386">
        <f t="shared" si="39"/>
        <v>630024.05674999999</v>
      </c>
      <c r="J1253" s="203" t="s">
        <v>683</v>
      </c>
    </row>
    <row r="1254" spans="1:10" hidden="1" outlineLevel="1">
      <c r="A1254" s="424" t="s">
        <v>684</v>
      </c>
      <c r="B1254" s="210">
        <v>388262.88325000001</v>
      </c>
      <c r="C1254" s="211">
        <v>0</v>
      </c>
      <c r="D1254" s="211">
        <f t="shared" si="40"/>
        <v>0</v>
      </c>
      <c r="E1254" s="211">
        <f t="shared" si="41"/>
        <v>0</v>
      </c>
      <c r="F1254" s="211">
        <f t="shared" si="42"/>
        <v>0</v>
      </c>
      <c r="G1254" s="211">
        <f t="shared" si="43"/>
        <v>0</v>
      </c>
      <c r="H1254" s="211">
        <f t="shared" si="38"/>
        <v>0</v>
      </c>
      <c r="I1254" s="386">
        <f t="shared" si="39"/>
        <v>388262.88325000001</v>
      </c>
      <c r="J1254" s="203" t="s">
        <v>685</v>
      </c>
    </row>
    <row r="1255" spans="1:10" hidden="1" outlineLevel="1">
      <c r="A1255" s="424" t="s">
        <v>688</v>
      </c>
      <c r="B1255" s="210">
        <v>950941.75000000012</v>
      </c>
      <c r="C1255" s="211">
        <v>0</v>
      </c>
      <c r="D1255" s="211">
        <f t="shared" si="40"/>
        <v>0</v>
      </c>
      <c r="E1255" s="211">
        <f t="shared" si="41"/>
        <v>0</v>
      </c>
      <c r="F1255" s="211">
        <f t="shared" si="42"/>
        <v>0</v>
      </c>
      <c r="G1255" s="211">
        <f t="shared" si="43"/>
        <v>0</v>
      </c>
      <c r="H1255" s="211">
        <f t="shared" si="38"/>
        <v>0</v>
      </c>
      <c r="I1255" s="386">
        <f t="shared" si="39"/>
        <v>950941.75000000012</v>
      </c>
      <c r="J1255" s="203" t="s">
        <v>689</v>
      </c>
    </row>
    <row r="1256" spans="1:10" hidden="1" outlineLevel="1">
      <c r="A1256" s="424" t="s">
        <v>690</v>
      </c>
      <c r="B1256" s="210">
        <v>303955.39350000001</v>
      </c>
      <c r="C1256" s="211">
        <v>0</v>
      </c>
      <c r="D1256" s="211">
        <f t="shared" si="40"/>
        <v>0</v>
      </c>
      <c r="E1256" s="211">
        <f t="shared" si="41"/>
        <v>0</v>
      </c>
      <c r="F1256" s="211">
        <f t="shared" si="42"/>
        <v>0</v>
      </c>
      <c r="G1256" s="211">
        <f t="shared" si="43"/>
        <v>0</v>
      </c>
      <c r="H1256" s="211">
        <f t="shared" si="38"/>
        <v>0</v>
      </c>
      <c r="I1256" s="386">
        <f t="shared" si="39"/>
        <v>303955.39350000001</v>
      </c>
      <c r="J1256" s="203" t="s">
        <v>691</v>
      </c>
    </row>
    <row r="1257" spans="1:10" hidden="1" outlineLevel="1">
      <c r="A1257" s="424" t="s">
        <v>692</v>
      </c>
      <c r="B1257" s="210">
        <v>1230813.2375</v>
      </c>
      <c r="C1257" s="211">
        <v>0</v>
      </c>
      <c r="D1257" s="211">
        <f t="shared" si="40"/>
        <v>0</v>
      </c>
      <c r="E1257" s="211">
        <f t="shared" si="41"/>
        <v>0</v>
      </c>
      <c r="F1257" s="211">
        <f t="shared" si="42"/>
        <v>0</v>
      </c>
      <c r="G1257" s="211">
        <f t="shared" si="43"/>
        <v>0</v>
      </c>
      <c r="H1257" s="211">
        <f t="shared" si="38"/>
        <v>0</v>
      </c>
      <c r="I1257" s="386">
        <f t="shared" si="39"/>
        <v>1230813.2375</v>
      </c>
      <c r="J1257" s="203" t="s">
        <v>693</v>
      </c>
    </row>
    <row r="1258" spans="1:10" hidden="1" outlineLevel="1">
      <c r="A1258" s="424" t="s">
        <v>694</v>
      </c>
      <c r="B1258" s="210">
        <v>8642.4057499999999</v>
      </c>
      <c r="C1258" s="211">
        <v>0</v>
      </c>
      <c r="D1258" s="211">
        <f t="shared" si="40"/>
        <v>0</v>
      </c>
      <c r="E1258" s="211">
        <f t="shared" si="41"/>
        <v>0</v>
      </c>
      <c r="F1258" s="211">
        <f t="shared" si="42"/>
        <v>0</v>
      </c>
      <c r="G1258" s="211">
        <f t="shared" si="43"/>
        <v>0</v>
      </c>
      <c r="H1258" s="211">
        <f t="shared" si="38"/>
        <v>0</v>
      </c>
      <c r="I1258" s="386">
        <f t="shared" si="39"/>
        <v>8642.4057499999999</v>
      </c>
      <c r="J1258" s="203" t="s">
        <v>695</v>
      </c>
    </row>
    <row r="1259" spans="1:10" hidden="1" outlineLevel="1">
      <c r="A1259" s="424" t="s">
        <v>696</v>
      </c>
      <c r="B1259" s="210">
        <v>326984.96050000004</v>
      </c>
      <c r="C1259" s="211">
        <v>0</v>
      </c>
      <c r="D1259" s="211">
        <f t="shared" si="40"/>
        <v>0</v>
      </c>
      <c r="E1259" s="211">
        <f t="shared" si="41"/>
        <v>0</v>
      </c>
      <c r="F1259" s="211">
        <f t="shared" si="42"/>
        <v>0</v>
      </c>
      <c r="G1259" s="211">
        <f t="shared" si="43"/>
        <v>0</v>
      </c>
      <c r="H1259" s="211">
        <f t="shared" si="38"/>
        <v>0</v>
      </c>
      <c r="I1259" s="386">
        <f t="shared" si="39"/>
        <v>326984.96050000004</v>
      </c>
      <c r="J1259" s="203" t="s">
        <v>697</v>
      </c>
    </row>
    <row r="1260" spans="1:10" hidden="1" outlineLevel="1">
      <c r="A1260" s="424" t="s">
        <v>698</v>
      </c>
      <c r="B1260" s="210">
        <v>1940980.85775</v>
      </c>
      <c r="C1260" s="211">
        <v>0</v>
      </c>
      <c r="D1260" s="211">
        <f t="shared" si="40"/>
        <v>0</v>
      </c>
      <c r="E1260" s="211">
        <f t="shared" si="41"/>
        <v>0</v>
      </c>
      <c r="F1260" s="211">
        <f t="shared" si="42"/>
        <v>0</v>
      </c>
      <c r="G1260" s="211">
        <f t="shared" si="43"/>
        <v>0</v>
      </c>
      <c r="H1260" s="211">
        <f t="shared" si="38"/>
        <v>0</v>
      </c>
      <c r="I1260" s="386">
        <f t="shared" si="39"/>
        <v>1940980.85775</v>
      </c>
      <c r="J1260" s="203" t="s">
        <v>699</v>
      </c>
    </row>
    <row r="1261" spans="1:10" hidden="1" outlineLevel="1">
      <c r="A1261" s="424" t="s">
        <v>700</v>
      </c>
      <c r="B1261" s="210">
        <v>28870.732000000004</v>
      </c>
      <c r="C1261" s="211">
        <v>0</v>
      </c>
      <c r="D1261" s="211">
        <f t="shared" si="40"/>
        <v>0</v>
      </c>
      <c r="E1261" s="211">
        <f t="shared" si="41"/>
        <v>0</v>
      </c>
      <c r="F1261" s="211">
        <f t="shared" si="42"/>
        <v>0</v>
      </c>
      <c r="G1261" s="211">
        <f t="shared" si="43"/>
        <v>0</v>
      </c>
      <c r="H1261" s="211">
        <f t="shared" si="38"/>
        <v>0</v>
      </c>
      <c r="I1261" s="386">
        <f t="shared" si="39"/>
        <v>28870.732000000004</v>
      </c>
      <c r="J1261" s="203" t="s">
        <v>701</v>
      </c>
    </row>
    <row r="1262" spans="1:10" hidden="1" outlineLevel="1">
      <c r="A1262" s="424" t="s">
        <v>702</v>
      </c>
      <c r="B1262" s="210">
        <v>1328301.6312500001</v>
      </c>
      <c r="C1262" s="211">
        <v>0</v>
      </c>
      <c r="D1262" s="211">
        <f t="shared" si="40"/>
        <v>0</v>
      </c>
      <c r="E1262" s="211">
        <f t="shared" si="41"/>
        <v>0</v>
      </c>
      <c r="F1262" s="211">
        <f t="shared" si="42"/>
        <v>0</v>
      </c>
      <c r="G1262" s="211">
        <f t="shared" si="43"/>
        <v>0</v>
      </c>
      <c r="H1262" s="211">
        <f t="shared" si="38"/>
        <v>0</v>
      </c>
      <c r="I1262" s="386">
        <f t="shared" si="39"/>
        <v>1328301.6312500001</v>
      </c>
      <c r="J1262" s="203" t="s">
        <v>703</v>
      </c>
    </row>
    <row r="1263" spans="1:10" hidden="1" outlineLevel="1">
      <c r="A1263" s="424" t="s">
        <v>704</v>
      </c>
      <c r="B1263" s="210">
        <v>257509.85150000002</v>
      </c>
      <c r="C1263" s="211">
        <v>0</v>
      </c>
      <c r="D1263" s="211">
        <f t="shared" si="40"/>
        <v>0</v>
      </c>
      <c r="E1263" s="211">
        <f t="shared" si="41"/>
        <v>0</v>
      </c>
      <c r="F1263" s="211">
        <f t="shared" si="42"/>
        <v>0</v>
      </c>
      <c r="G1263" s="211">
        <f t="shared" si="43"/>
        <v>0</v>
      </c>
      <c r="H1263" s="211">
        <f t="shared" si="38"/>
        <v>0</v>
      </c>
      <c r="I1263" s="386">
        <f t="shared" si="39"/>
        <v>257509.85150000002</v>
      </c>
      <c r="J1263" s="203" t="s">
        <v>705</v>
      </c>
    </row>
    <row r="1264" spans="1:10" hidden="1" outlineLevel="1">
      <c r="A1264" s="424" t="s">
        <v>706</v>
      </c>
      <c r="B1264" s="210">
        <v>691358.84125000006</v>
      </c>
      <c r="C1264" s="211">
        <v>0</v>
      </c>
      <c r="D1264" s="211">
        <f t="shared" si="40"/>
        <v>0</v>
      </c>
      <c r="E1264" s="211">
        <f t="shared" si="41"/>
        <v>0</v>
      </c>
      <c r="F1264" s="211">
        <f t="shared" si="42"/>
        <v>0</v>
      </c>
      <c r="G1264" s="211">
        <f t="shared" si="43"/>
        <v>0</v>
      </c>
      <c r="H1264" s="211">
        <f t="shared" si="38"/>
        <v>0</v>
      </c>
      <c r="I1264" s="386">
        <f t="shared" si="39"/>
        <v>691358.84125000006</v>
      </c>
      <c r="J1264" s="203" t="s">
        <v>707</v>
      </c>
    </row>
    <row r="1265" spans="1:10" hidden="1" outlineLevel="1">
      <c r="A1265" s="424" t="s">
        <v>708</v>
      </c>
      <c r="B1265" s="210">
        <v>3367005.0507500004</v>
      </c>
      <c r="C1265" s="211">
        <v>0</v>
      </c>
      <c r="D1265" s="211">
        <f t="shared" si="40"/>
        <v>0</v>
      </c>
      <c r="E1265" s="211">
        <f t="shared" si="41"/>
        <v>0</v>
      </c>
      <c r="F1265" s="211">
        <f t="shared" si="42"/>
        <v>0</v>
      </c>
      <c r="G1265" s="211">
        <f t="shared" si="43"/>
        <v>0</v>
      </c>
      <c r="H1265" s="211">
        <f t="shared" si="38"/>
        <v>0</v>
      </c>
      <c r="I1265" s="386">
        <f t="shared" si="39"/>
        <v>3367005.0507500004</v>
      </c>
      <c r="J1265" s="203" t="s">
        <v>709</v>
      </c>
    </row>
    <row r="1266" spans="1:10" hidden="1" outlineLevel="1">
      <c r="A1266" s="424" t="s">
        <v>710</v>
      </c>
      <c r="B1266" s="210">
        <v>324030.09375000006</v>
      </c>
      <c r="C1266" s="211">
        <v>0</v>
      </c>
      <c r="D1266" s="211">
        <f t="shared" si="40"/>
        <v>0</v>
      </c>
      <c r="E1266" s="211">
        <f t="shared" si="41"/>
        <v>0</v>
      </c>
      <c r="F1266" s="211">
        <f t="shared" si="42"/>
        <v>0</v>
      </c>
      <c r="G1266" s="211">
        <f t="shared" si="43"/>
        <v>0</v>
      </c>
      <c r="H1266" s="211">
        <f t="shared" si="38"/>
        <v>0</v>
      </c>
      <c r="I1266" s="386">
        <f t="shared" si="39"/>
        <v>324030.09375000006</v>
      </c>
      <c r="J1266" s="203" t="s">
        <v>711</v>
      </c>
    </row>
    <row r="1267" spans="1:10" hidden="1" outlineLevel="1">
      <c r="A1267" s="424" t="s">
        <v>712</v>
      </c>
      <c r="B1267" s="210">
        <v>1502137.1310000003</v>
      </c>
      <c r="C1267" s="211">
        <v>0</v>
      </c>
      <c r="D1267" s="211">
        <f t="shared" si="40"/>
        <v>0</v>
      </c>
      <c r="E1267" s="211">
        <f t="shared" si="41"/>
        <v>0</v>
      </c>
      <c r="F1267" s="211">
        <f t="shared" si="42"/>
        <v>0</v>
      </c>
      <c r="G1267" s="211">
        <f t="shared" si="43"/>
        <v>0</v>
      </c>
      <c r="H1267" s="211">
        <f t="shared" si="38"/>
        <v>0</v>
      </c>
      <c r="I1267" s="386">
        <f t="shared" si="39"/>
        <v>1502137.1310000003</v>
      </c>
      <c r="J1267" s="203" t="s">
        <v>713</v>
      </c>
    </row>
    <row r="1268" spans="1:10" hidden="1" outlineLevel="1">
      <c r="A1268" s="424" t="s">
        <v>714</v>
      </c>
      <c r="B1268" s="210">
        <v>86618.292750000008</v>
      </c>
      <c r="C1268" s="211">
        <v>0</v>
      </c>
      <c r="D1268" s="211">
        <f t="shared" si="40"/>
        <v>0</v>
      </c>
      <c r="E1268" s="211">
        <f t="shared" si="41"/>
        <v>0</v>
      </c>
      <c r="F1268" s="211">
        <f t="shared" si="42"/>
        <v>0</v>
      </c>
      <c r="G1268" s="211">
        <f t="shared" si="43"/>
        <v>0</v>
      </c>
      <c r="H1268" s="211">
        <f t="shared" si="38"/>
        <v>0</v>
      </c>
      <c r="I1268" s="386">
        <f t="shared" si="39"/>
        <v>86618.292750000008</v>
      </c>
      <c r="J1268" s="203" t="s">
        <v>715</v>
      </c>
    </row>
    <row r="1269" spans="1:10" hidden="1" outlineLevel="1">
      <c r="A1269" s="424" t="s">
        <v>716</v>
      </c>
      <c r="B1269" s="210">
        <v>640628.11725000001</v>
      </c>
      <c r="C1269" s="211">
        <v>0</v>
      </c>
      <c r="D1269" s="211">
        <f t="shared" si="40"/>
        <v>0</v>
      </c>
      <c r="E1269" s="211">
        <f t="shared" si="41"/>
        <v>0</v>
      </c>
      <c r="F1269" s="211">
        <f t="shared" si="42"/>
        <v>0</v>
      </c>
      <c r="G1269" s="211">
        <f t="shared" si="43"/>
        <v>0</v>
      </c>
      <c r="H1269" s="211">
        <f t="shared" si="38"/>
        <v>0</v>
      </c>
      <c r="I1269" s="386">
        <f t="shared" si="39"/>
        <v>640628.11725000001</v>
      </c>
      <c r="J1269" s="203" t="s">
        <v>717</v>
      </c>
    </row>
    <row r="1270" spans="1:10" hidden="1" outlineLevel="1">
      <c r="A1270" s="424" t="s">
        <v>718</v>
      </c>
      <c r="B1270" s="210">
        <v>471520.56875000009</v>
      </c>
      <c r="C1270" s="211">
        <v>0</v>
      </c>
      <c r="D1270" s="211">
        <f t="shared" si="40"/>
        <v>0</v>
      </c>
      <c r="E1270" s="211">
        <f t="shared" si="41"/>
        <v>0</v>
      </c>
      <c r="F1270" s="211">
        <f t="shared" si="42"/>
        <v>0</v>
      </c>
      <c r="G1270" s="211">
        <f t="shared" si="43"/>
        <v>0</v>
      </c>
      <c r="H1270" s="211">
        <f t="shared" si="38"/>
        <v>0</v>
      </c>
      <c r="I1270" s="386">
        <f t="shared" si="39"/>
        <v>471520.56875000009</v>
      </c>
      <c r="J1270" s="203" t="s">
        <v>719</v>
      </c>
    </row>
    <row r="1271" spans="1:10" hidden="1" outlineLevel="1">
      <c r="A1271" s="424" t="s">
        <v>720</v>
      </c>
      <c r="B1271" s="210">
        <v>221406.23450000002</v>
      </c>
      <c r="C1271" s="211">
        <v>0</v>
      </c>
      <c r="D1271" s="211">
        <f t="shared" si="40"/>
        <v>0</v>
      </c>
      <c r="E1271" s="211">
        <f t="shared" si="41"/>
        <v>0</v>
      </c>
      <c r="F1271" s="211">
        <f t="shared" si="42"/>
        <v>0</v>
      </c>
      <c r="G1271" s="211">
        <f t="shared" si="43"/>
        <v>0</v>
      </c>
      <c r="H1271" s="211">
        <f t="shared" si="38"/>
        <v>0</v>
      </c>
      <c r="I1271" s="386">
        <f t="shared" si="39"/>
        <v>221406.23450000002</v>
      </c>
      <c r="J1271" s="203" t="s">
        <v>721</v>
      </c>
    </row>
    <row r="1272" spans="1:10" hidden="1" outlineLevel="1">
      <c r="A1272" s="424" t="s">
        <v>722</v>
      </c>
      <c r="B1272" s="210">
        <v>122749.79750000002</v>
      </c>
      <c r="C1272" s="211">
        <v>0</v>
      </c>
      <c r="D1272" s="211">
        <f t="shared" si="40"/>
        <v>0</v>
      </c>
      <c r="E1272" s="211">
        <f t="shared" si="41"/>
        <v>0</v>
      </c>
      <c r="F1272" s="211">
        <f t="shared" si="42"/>
        <v>0</v>
      </c>
      <c r="G1272" s="211">
        <f t="shared" si="43"/>
        <v>0</v>
      </c>
      <c r="H1272" s="211">
        <f t="shared" si="38"/>
        <v>0</v>
      </c>
      <c r="I1272" s="386">
        <f t="shared" si="39"/>
        <v>122749.79750000002</v>
      </c>
      <c r="J1272" s="203" t="s">
        <v>723</v>
      </c>
    </row>
    <row r="1273" spans="1:10" hidden="1" outlineLevel="1">
      <c r="A1273" s="424" t="s">
        <v>724</v>
      </c>
      <c r="B1273" s="210">
        <v>809463.60825000005</v>
      </c>
      <c r="C1273" s="211">
        <v>0</v>
      </c>
      <c r="D1273" s="211">
        <f t="shared" si="40"/>
        <v>0</v>
      </c>
      <c r="E1273" s="211">
        <f t="shared" si="41"/>
        <v>0</v>
      </c>
      <c r="F1273" s="211">
        <f t="shared" si="42"/>
        <v>0</v>
      </c>
      <c r="G1273" s="211">
        <f t="shared" si="43"/>
        <v>0</v>
      </c>
      <c r="H1273" s="211">
        <f t="shared" si="38"/>
        <v>0</v>
      </c>
      <c r="I1273" s="386">
        <f t="shared" si="39"/>
        <v>809463.60825000005</v>
      </c>
      <c r="J1273" s="203" t="s">
        <v>725</v>
      </c>
    </row>
    <row r="1274" spans="1:10" hidden="1" outlineLevel="1">
      <c r="A1274" s="424" t="s">
        <v>726</v>
      </c>
      <c r="B1274" s="210">
        <v>1058027.94625</v>
      </c>
      <c r="C1274" s="211">
        <v>0</v>
      </c>
      <c r="D1274" s="211">
        <f t="shared" si="40"/>
        <v>0</v>
      </c>
      <c r="E1274" s="211">
        <f t="shared" si="41"/>
        <v>0</v>
      </c>
      <c r="F1274" s="211">
        <f t="shared" si="42"/>
        <v>856.00789999999995</v>
      </c>
      <c r="G1274" s="211">
        <f t="shared" si="43"/>
        <v>0</v>
      </c>
      <c r="H1274" s="211">
        <f t="shared" si="38"/>
        <v>0</v>
      </c>
      <c r="I1274" s="386">
        <f t="shared" si="39"/>
        <v>1058883.9541500001</v>
      </c>
      <c r="J1274" s="203" t="s">
        <v>727</v>
      </c>
    </row>
    <row r="1275" spans="1:10" hidden="1" outlineLevel="1">
      <c r="A1275" s="424" t="s">
        <v>728</v>
      </c>
      <c r="B1275" s="210">
        <v>79250.952000000005</v>
      </c>
      <c r="C1275" s="211">
        <v>0</v>
      </c>
      <c r="D1275" s="211">
        <f t="shared" si="40"/>
        <v>0</v>
      </c>
      <c r="E1275" s="211">
        <f t="shared" si="41"/>
        <v>0</v>
      </c>
      <c r="F1275" s="211">
        <f t="shared" si="42"/>
        <v>0</v>
      </c>
      <c r="G1275" s="211">
        <f t="shared" si="43"/>
        <v>0</v>
      </c>
      <c r="H1275" s="211">
        <f t="shared" si="38"/>
        <v>0</v>
      </c>
      <c r="I1275" s="386">
        <f t="shared" si="39"/>
        <v>79250.952000000005</v>
      </c>
      <c r="J1275" s="203" t="s">
        <v>729</v>
      </c>
    </row>
    <row r="1276" spans="1:10" hidden="1" outlineLevel="1">
      <c r="A1276" s="424" t="s">
        <v>730</v>
      </c>
      <c r="B1276" s="210">
        <v>314119.4705</v>
      </c>
      <c r="C1276" s="211">
        <v>0</v>
      </c>
      <c r="D1276" s="211">
        <f t="shared" si="40"/>
        <v>0</v>
      </c>
      <c r="E1276" s="211">
        <f t="shared" si="41"/>
        <v>0</v>
      </c>
      <c r="F1276" s="211">
        <f t="shared" si="42"/>
        <v>0</v>
      </c>
      <c r="G1276" s="211">
        <f t="shared" si="43"/>
        <v>0</v>
      </c>
      <c r="H1276" s="211">
        <f t="shared" si="38"/>
        <v>0</v>
      </c>
      <c r="I1276" s="386">
        <f t="shared" si="39"/>
        <v>314119.4705</v>
      </c>
      <c r="J1276" s="203" t="s">
        <v>731</v>
      </c>
    </row>
    <row r="1277" spans="1:10" hidden="1" outlineLevel="1">
      <c r="A1277" s="424" t="s">
        <v>732</v>
      </c>
      <c r="B1277" s="210">
        <v>26008.889500000001</v>
      </c>
      <c r="C1277" s="211">
        <v>0</v>
      </c>
      <c r="D1277" s="211">
        <f t="shared" si="40"/>
        <v>0</v>
      </c>
      <c r="E1277" s="211">
        <f t="shared" si="41"/>
        <v>0</v>
      </c>
      <c r="F1277" s="211">
        <f t="shared" si="42"/>
        <v>0</v>
      </c>
      <c r="G1277" s="211">
        <f t="shared" si="43"/>
        <v>0</v>
      </c>
      <c r="H1277" s="211">
        <f t="shared" si="38"/>
        <v>0</v>
      </c>
      <c r="I1277" s="386">
        <f t="shared" si="39"/>
        <v>26008.889500000001</v>
      </c>
      <c r="J1277" s="203" t="s">
        <v>733</v>
      </c>
    </row>
    <row r="1278" spans="1:10" hidden="1" outlineLevel="1">
      <c r="A1278" s="424" t="s">
        <v>734</v>
      </c>
      <c r="B1278" s="210">
        <v>3240038.3592500002</v>
      </c>
      <c r="C1278" s="211">
        <v>0</v>
      </c>
      <c r="D1278" s="211">
        <f t="shared" si="40"/>
        <v>0</v>
      </c>
      <c r="E1278" s="211">
        <f t="shared" si="41"/>
        <v>0</v>
      </c>
      <c r="F1278" s="211">
        <f t="shared" si="42"/>
        <v>3723.3009000000002</v>
      </c>
      <c r="G1278" s="211">
        <f t="shared" si="43"/>
        <v>0</v>
      </c>
      <c r="H1278" s="211">
        <f t="shared" si="38"/>
        <v>0</v>
      </c>
      <c r="I1278" s="386">
        <f t="shared" si="39"/>
        <v>3243761.6601500004</v>
      </c>
      <c r="J1278" s="203" t="s">
        <v>735</v>
      </c>
    </row>
    <row r="1279" spans="1:10" hidden="1" outlineLevel="1">
      <c r="A1279" s="424" t="s">
        <v>736</v>
      </c>
      <c r="B1279" s="210">
        <v>187937.57675000001</v>
      </c>
      <c r="C1279" s="211">
        <v>0</v>
      </c>
      <c r="D1279" s="211">
        <f t="shared" si="40"/>
        <v>0</v>
      </c>
      <c r="E1279" s="211">
        <f t="shared" si="41"/>
        <v>0</v>
      </c>
      <c r="F1279" s="211">
        <f t="shared" si="42"/>
        <v>0</v>
      </c>
      <c r="G1279" s="211">
        <f t="shared" si="43"/>
        <v>0</v>
      </c>
      <c r="H1279" s="211">
        <f t="shared" si="38"/>
        <v>0</v>
      </c>
      <c r="I1279" s="386">
        <f t="shared" si="39"/>
        <v>187937.57675000001</v>
      </c>
      <c r="J1279" s="203" t="s">
        <v>737</v>
      </c>
    </row>
    <row r="1280" spans="1:10" hidden="1" outlineLevel="1">
      <c r="A1280" s="424" t="s">
        <v>738</v>
      </c>
      <c r="B1280" s="210">
        <v>227618.28650000002</v>
      </c>
      <c r="C1280" s="211">
        <v>0</v>
      </c>
      <c r="D1280" s="211">
        <f t="shared" si="40"/>
        <v>0</v>
      </c>
      <c r="E1280" s="211">
        <f t="shared" si="41"/>
        <v>0</v>
      </c>
      <c r="F1280" s="211">
        <f t="shared" si="42"/>
        <v>0</v>
      </c>
      <c r="G1280" s="211">
        <f t="shared" si="43"/>
        <v>0</v>
      </c>
      <c r="H1280" s="211">
        <f t="shared" si="38"/>
        <v>0</v>
      </c>
      <c r="I1280" s="386">
        <f t="shared" si="39"/>
        <v>227618.28650000002</v>
      </c>
      <c r="J1280" s="203" t="s">
        <v>739</v>
      </c>
    </row>
    <row r="1281" spans="1:10" hidden="1" outlineLevel="1">
      <c r="A1281" s="424" t="s">
        <v>740</v>
      </c>
      <c r="B1281" s="210">
        <v>68136.849000000002</v>
      </c>
      <c r="C1281" s="211">
        <v>0</v>
      </c>
      <c r="D1281" s="211">
        <f t="shared" si="40"/>
        <v>0</v>
      </c>
      <c r="E1281" s="211">
        <f t="shared" si="41"/>
        <v>0</v>
      </c>
      <c r="F1281" s="211">
        <f t="shared" si="42"/>
        <v>0</v>
      </c>
      <c r="G1281" s="211">
        <f t="shared" si="43"/>
        <v>0</v>
      </c>
      <c r="H1281" s="211">
        <f t="shared" si="38"/>
        <v>0</v>
      </c>
      <c r="I1281" s="386">
        <f t="shared" si="39"/>
        <v>68136.849000000002</v>
      </c>
      <c r="J1281" s="203" t="s">
        <v>741</v>
      </c>
    </row>
    <row r="1282" spans="1:10" hidden="1" outlineLevel="1">
      <c r="A1282" s="424" t="s">
        <v>742</v>
      </c>
      <c r="B1282" s="210">
        <v>948696.0780000001</v>
      </c>
      <c r="C1282" s="211">
        <v>0</v>
      </c>
      <c r="D1282" s="211">
        <f t="shared" si="40"/>
        <v>0</v>
      </c>
      <c r="E1282" s="211">
        <f t="shared" si="41"/>
        <v>0</v>
      </c>
      <c r="F1282" s="211">
        <f t="shared" si="42"/>
        <v>0</v>
      </c>
      <c r="G1282" s="211">
        <f t="shared" si="43"/>
        <v>0</v>
      </c>
      <c r="H1282" s="211">
        <f t="shared" si="38"/>
        <v>0</v>
      </c>
      <c r="I1282" s="386">
        <f t="shared" si="39"/>
        <v>948696.0780000001</v>
      </c>
      <c r="J1282" s="203" t="s">
        <v>743</v>
      </c>
    </row>
    <row r="1283" spans="1:10" hidden="1" outlineLevel="1">
      <c r="A1283" s="424" t="s">
        <v>744</v>
      </c>
      <c r="B1283" s="210">
        <v>265656.30575000006</v>
      </c>
      <c r="C1283" s="211">
        <v>0</v>
      </c>
      <c r="D1283" s="211">
        <f t="shared" si="40"/>
        <v>0</v>
      </c>
      <c r="E1283" s="211">
        <f t="shared" si="41"/>
        <v>0</v>
      </c>
      <c r="F1283" s="211">
        <f t="shared" si="42"/>
        <v>0</v>
      </c>
      <c r="G1283" s="211">
        <f t="shared" si="43"/>
        <v>0</v>
      </c>
      <c r="H1283" s="211">
        <f t="shared" si="38"/>
        <v>0</v>
      </c>
      <c r="I1283" s="386">
        <f t="shared" si="39"/>
        <v>265656.30575000006</v>
      </c>
      <c r="J1283" s="203" t="s">
        <v>745</v>
      </c>
    </row>
    <row r="1284" spans="1:10" hidden="1" outlineLevel="1">
      <c r="A1284" s="424" t="s">
        <v>746</v>
      </c>
      <c r="B1284" s="210">
        <v>3116703.0510000004</v>
      </c>
      <c r="C1284" s="211">
        <v>0</v>
      </c>
      <c r="D1284" s="211">
        <f t="shared" si="40"/>
        <v>0</v>
      </c>
      <c r="E1284" s="211">
        <f t="shared" si="41"/>
        <v>0</v>
      </c>
      <c r="F1284" s="211">
        <f t="shared" si="42"/>
        <v>0</v>
      </c>
      <c r="G1284" s="211">
        <f t="shared" si="43"/>
        <v>0</v>
      </c>
      <c r="H1284" s="211">
        <f t="shared" si="38"/>
        <v>0</v>
      </c>
      <c r="I1284" s="386">
        <f t="shared" si="39"/>
        <v>3116703.0510000004</v>
      </c>
      <c r="J1284" s="203" t="s">
        <v>747</v>
      </c>
    </row>
    <row r="1285" spans="1:10" hidden="1" outlineLevel="1">
      <c r="A1285" s="424" t="s">
        <v>748</v>
      </c>
      <c r="B1285" s="210">
        <v>133812.86875000002</v>
      </c>
      <c r="C1285" s="211">
        <v>0</v>
      </c>
      <c r="D1285" s="211">
        <f t="shared" si="40"/>
        <v>0</v>
      </c>
      <c r="E1285" s="211">
        <f t="shared" si="41"/>
        <v>0</v>
      </c>
      <c r="F1285" s="211">
        <f t="shared" si="42"/>
        <v>0</v>
      </c>
      <c r="G1285" s="211">
        <f t="shared" si="43"/>
        <v>0</v>
      </c>
      <c r="H1285" s="211">
        <f t="shared" si="38"/>
        <v>0</v>
      </c>
      <c r="I1285" s="386">
        <f t="shared" si="39"/>
        <v>133812.86875000002</v>
      </c>
      <c r="J1285" s="203" t="s">
        <v>749</v>
      </c>
    </row>
    <row r="1286" spans="1:10" hidden="1" outlineLevel="1">
      <c r="A1286" s="424" t="s">
        <v>750</v>
      </c>
      <c r="B1286" s="210">
        <v>364896.36975000001</v>
      </c>
      <c r="C1286" s="211">
        <v>0</v>
      </c>
      <c r="D1286" s="211">
        <f t="shared" si="40"/>
        <v>0</v>
      </c>
      <c r="E1286" s="211">
        <f t="shared" si="41"/>
        <v>0</v>
      </c>
      <c r="F1286" s="211">
        <f t="shared" si="42"/>
        <v>0</v>
      </c>
      <c r="G1286" s="211">
        <f t="shared" si="43"/>
        <v>0</v>
      </c>
      <c r="H1286" s="211">
        <f t="shared" si="38"/>
        <v>0</v>
      </c>
      <c r="I1286" s="386">
        <f t="shared" si="39"/>
        <v>364896.36975000001</v>
      </c>
      <c r="J1286" s="203" t="s">
        <v>751</v>
      </c>
    </row>
    <row r="1287" spans="1:10" hidden="1" outlineLevel="1">
      <c r="A1287" s="424" t="s">
        <v>752</v>
      </c>
      <c r="B1287" s="210">
        <v>3274930.3345000003</v>
      </c>
      <c r="C1287" s="211">
        <v>0</v>
      </c>
      <c r="D1287" s="211">
        <f t="shared" si="40"/>
        <v>0</v>
      </c>
      <c r="E1287" s="211">
        <f t="shared" si="41"/>
        <v>0</v>
      </c>
      <c r="F1287" s="211">
        <f t="shared" si="42"/>
        <v>0</v>
      </c>
      <c r="G1287" s="211">
        <f t="shared" si="43"/>
        <v>0</v>
      </c>
      <c r="H1287" s="211">
        <f t="shared" si="38"/>
        <v>0</v>
      </c>
      <c r="I1287" s="386">
        <f t="shared" si="39"/>
        <v>3274930.3345000003</v>
      </c>
      <c r="J1287" s="203" t="s">
        <v>753</v>
      </c>
    </row>
    <row r="1288" spans="1:10" hidden="1" outlineLevel="1">
      <c r="A1288" s="424" t="s">
        <v>754</v>
      </c>
      <c r="B1288" s="210">
        <v>8816269.2997500002</v>
      </c>
      <c r="C1288" s="211">
        <v>0</v>
      </c>
      <c r="D1288" s="211">
        <f t="shared" si="40"/>
        <v>0</v>
      </c>
      <c r="E1288" s="211">
        <f t="shared" si="41"/>
        <v>0</v>
      </c>
      <c r="F1288" s="211">
        <f t="shared" si="42"/>
        <v>0</v>
      </c>
      <c r="G1288" s="211">
        <f t="shared" si="43"/>
        <v>0</v>
      </c>
      <c r="H1288" s="211">
        <f t="shared" si="38"/>
        <v>0</v>
      </c>
      <c r="I1288" s="386">
        <f t="shared" si="39"/>
        <v>8816269.2997500002</v>
      </c>
      <c r="J1288" s="203" t="s">
        <v>755</v>
      </c>
    </row>
    <row r="1289" spans="1:10" hidden="1" outlineLevel="1">
      <c r="A1289" s="424" t="s">
        <v>756</v>
      </c>
      <c r="B1289" s="210">
        <v>447269.82300000003</v>
      </c>
      <c r="C1289" s="211">
        <v>0</v>
      </c>
      <c r="D1289" s="211">
        <f t="shared" si="40"/>
        <v>0</v>
      </c>
      <c r="E1289" s="211">
        <f t="shared" si="41"/>
        <v>0</v>
      </c>
      <c r="F1289" s="211">
        <f t="shared" si="42"/>
        <v>0</v>
      </c>
      <c r="G1289" s="211">
        <f t="shared" si="43"/>
        <v>0</v>
      </c>
      <c r="H1289" s="211">
        <f t="shared" si="38"/>
        <v>0</v>
      </c>
      <c r="I1289" s="386">
        <f t="shared" si="39"/>
        <v>447269.82300000003</v>
      </c>
      <c r="J1289" s="203" t="s">
        <v>610</v>
      </c>
    </row>
    <row r="1290" spans="1:10" hidden="1" outlineLevel="1">
      <c r="A1290" s="424" t="s">
        <v>757</v>
      </c>
      <c r="B1290" s="210">
        <v>13554.444750000001</v>
      </c>
      <c r="C1290" s="211">
        <v>0</v>
      </c>
      <c r="D1290" s="211">
        <f t="shared" si="40"/>
        <v>0</v>
      </c>
      <c r="E1290" s="211">
        <f t="shared" si="41"/>
        <v>0</v>
      </c>
      <c r="F1290" s="211">
        <f t="shared" si="42"/>
        <v>0</v>
      </c>
      <c r="G1290" s="211">
        <f t="shared" si="43"/>
        <v>0</v>
      </c>
      <c r="H1290" s="211">
        <f t="shared" si="38"/>
        <v>0</v>
      </c>
      <c r="I1290" s="386">
        <f t="shared" si="39"/>
        <v>13554.444750000001</v>
      </c>
      <c r="J1290" s="203" t="s">
        <v>758</v>
      </c>
    </row>
    <row r="1291" spans="1:10" hidden="1" outlineLevel="1">
      <c r="A1291" s="424" t="s">
        <v>759</v>
      </c>
      <c r="B1291" s="210">
        <v>346588.68200000003</v>
      </c>
      <c r="C1291" s="211">
        <v>0</v>
      </c>
      <c r="D1291" s="211">
        <f t="shared" si="40"/>
        <v>0</v>
      </c>
      <c r="E1291" s="211">
        <f t="shared" si="41"/>
        <v>0</v>
      </c>
      <c r="F1291" s="211">
        <f t="shared" si="42"/>
        <v>0</v>
      </c>
      <c r="G1291" s="211">
        <f t="shared" si="43"/>
        <v>0</v>
      </c>
      <c r="H1291" s="211">
        <f t="shared" si="38"/>
        <v>0</v>
      </c>
      <c r="I1291" s="386">
        <f t="shared" si="39"/>
        <v>346588.68200000003</v>
      </c>
      <c r="J1291" s="203" t="s">
        <v>760</v>
      </c>
    </row>
    <row r="1292" spans="1:10" hidden="1" outlineLevel="1">
      <c r="A1292" s="424" t="s">
        <v>761</v>
      </c>
      <c r="B1292" s="210">
        <v>2719524.2250000001</v>
      </c>
      <c r="C1292" s="211">
        <v>0</v>
      </c>
      <c r="D1292" s="211">
        <f t="shared" si="40"/>
        <v>0</v>
      </c>
      <c r="E1292" s="211">
        <f t="shared" si="41"/>
        <v>0</v>
      </c>
      <c r="F1292" s="211">
        <f t="shared" si="42"/>
        <v>0</v>
      </c>
      <c r="G1292" s="211">
        <f t="shared" si="43"/>
        <v>0</v>
      </c>
      <c r="H1292" s="211">
        <f t="shared" si="38"/>
        <v>0</v>
      </c>
      <c r="I1292" s="386">
        <f t="shared" si="39"/>
        <v>2719524.2250000001</v>
      </c>
      <c r="J1292" s="203" t="s">
        <v>762</v>
      </c>
    </row>
    <row r="1293" spans="1:10" hidden="1" outlineLevel="1">
      <c r="A1293" s="424" t="s">
        <v>763</v>
      </c>
      <c r="B1293" s="210">
        <v>740460.16550000012</v>
      </c>
      <c r="C1293" s="211">
        <v>0</v>
      </c>
      <c r="D1293" s="211">
        <f t="shared" si="40"/>
        <v>0</v>
      </c>
      <c r="E1293" s="211">
        <f t="shared" si="41"/>
        <v>0</v>
      </c>
      <c r="F1293" s="211">
        <f t="shared" si="42"/>
        <v>0</v>
      </c>
      <c r="G1293" s="211">
        <f t="shared" si="43"/>
        <v>0</v>
      </c>
      <c r="H1293" s="211">
        <f t="shared" si="38"/>
        <v>0</v>
      </c>
      <c r="I1293" s="386">
        <f t="shared" si="39"/>
        <v>740460.16550000012</v>
      </c>
      <c r="J1293" s="203" t="s">
        <v>764</v>
      </c>
    </row>
    <row r="1294" spans="1:10" hidden="1" outlineLevel="1">
      <c r="A1294" s="424" t="s">
        <v>765</v>
      </c>
      <c r="B1294" s="210">
        <v>276421.74725000001</v>
      </c>
      <c r="C1294" s="211">
        <v>0</v>
      </c>
      <c r="D1294" s="211">
        <f t="shared" si="40"/>
        <v>0</v>
      </c>
      <c r="E1294" s="211">
        <f t="shared" si="41"/>
        <v>0</v>
      </c>
      <c r="F1294" s="211">
        <f t="shared" si="42"/>
        <v>0</v>
      </c>
      <c r="G1294" s="211">
        <f t="shared" si="43"/>
        <v>0</v>
      </c>
      <c r="H1294" s="211">
        <f t="shared" si="38"/>
        <v>0</v>
      </c>
      <c r="I1294" s="386">
        <f t="shared" si="39"/>
        <v>276421.74725000001</v>
      </c>
      <c r="J1294" s="203" t="s">
        <v>766</v>
      </c>
    </row>
    <row r="1295" spans="1:10" hidden="1" outlineLevel="1">
      <c r="A1295" s="424" t="s">
        <v>767</v>
      </c>
      <c r="B1295" s="210">
        <v>137230.07375000001</v>
      </c>
      <c r="C1295" s="211">
        <v>0</v>
      </c>
      <c r="D1295" s="211">
        <f t="shared" si="40"/>
        <v>0</v>
      </c>
      <c r="E1295" s="211">
        <f t="shared" si="41"/>
        <v>0</v>
      </c>
      <c r="F1295" s="211">
        <f t="shared" si="42"/>
        <v>0</v>
      </c>
      <c r="G1295" s="211">
        <f t="shared" si="43"/>
        <v>0</v>
      </c>
      <c r="H1295" s="211">
        <f t="shared" si="38"/>
        <v>0</v>
      </c>
      <c r="I1295" s="386">
        <f t="shared" si="39"/>
        <v>137230.07375000001</v>
      </c>
      <c r="J1295" s="203" t="s">
        <v>768</v>
      </c>
    </row>
    <row r="1296" spans="1:10" hidden="1" outlineLevel="1">
      <c r="A1296" s="424" t="s">
        <v>769</v>
      </c>
      <c r="B1296" s="210">
        <v>159180.41150000002</v>
      </c>
      <c r="C1296" s="211">
        <v>0</v>
      </c>
      <c r="D1296" s="211">
        <f t="shared" si="40"/>
        <v>0</v>
      </c>
      <c r="E1296" s="211">
        <f t="shared" si="41"/>
        <v>0</v>
      </c>
      <c r="F1296" s="211">
        <f t="shared" si="42"/>
        <v>0</v>
      </c>
      <c r="G1296" s="211">
        <f t="shared" si="43"/>
        <v>0</v>
      </c>
      <c r="H1296" s="211">
        <f t="shared" si="38"/>
        <v>0</v>
      </c>
      <c r="I1296" s="386">
        <f t="shared" si="39"/>
        <v>159180.41150000002</v>
      </c>
      <c r="J1296" s="203" t="s">
        <v>770</v>
      </c>
    </row>
    <row r="1297" spans="1:10" hidden="1" outlineLevel="1">
      <c r="A1297" s="424" t="s">
        <v>771</v>
      </c>
      <c r="B1297" s="210">
        <v>312412.58125000005</v>
      </c>
      <c r="C1297" s="211">
        <v>0</v>
      </c>
      <c r="D1297" s="211">
        <f t="shared" si="40"/>
        <v>0</v>
      </c>
      <c r="E1297" s="211">
        <f t="shared" si="41"/>
        <v>0</v>
      </c>
      <c r="F1297" s="211">
        <f t="shared" si="42"/>
        <v>0</v>
      </c>
      <c r="G1297" s="211">
        <f t="shared" si="43"/>
        <v>0</v>
      </c>
      <c r="H1297" s="211">
        <f t="shared" si="38"/>
        <v>0</v>
      </c>
      <c r="I1297" s="386">
        <f t="shared" si="39"/>
        <v>312412.58125000005</v>
      </c>
      <c r="J1297" s="203" t="s">
        <v>772</v>
      </c>
    </row>
    <row r="1298" spans="1:10" hidden="1" outlineLevel="1">
      <c r="A1298" s="424" t="s">
        <v>773</v>
      </c>
      <c r="B1298" s="210">
        <v>3980943.9642500002</v>
      </c>
      <c r="C1298" s="211">
        <v>0</v>
      </c>
      <c r="D1298" s="211">
        <f t="shared" si="40"/>
        <v>0</v>
      </c>
      <c r="E1298" s="211">
        <f t="shared" si="41"/>
        <v>0</v>
      </c>
      <c r="F1298" s="211">
        <f t="shared" si="42"/>
        <v>0</v>
      </c>
      <c r="G1298" s="211">
        <f t="shared" si="43"/>
        <v>0</v>
      </c>
      <c r="H1298" s="211">
        <f t="shared" si="38"/>
        <v>0</v>
      </c>
      <c r="I1298" s="386">
        <f t="shared" si="39"/>
        <v>3980943.9642500002</v>
      </c>
      <c r="J1298" s="203" t="s">
        <v>774</v>
      </c>
    </row>
    <row r="1299" spans="1:10" hidden="1" outlineLevel="1">
      <c r="A1299" s="424" t="s">
        <v>356</v>
      </c>
      <c r="B1299" s="210">
        <v>2681.7725</v>
      </c>
      <c r="C1299" s="211">
        <v>0</v>
      </c>
      <c r="D1299" s="211">
        <f t="shared" si="40"/>
        <v>0</v>
      </c>
      <c r="E1299" s="211">
        <f t="shared" si="41"/>
        <v>0</v>
      </c>
      <c r="F1299" s="211">
        <f t="shared" si="42"/>
        <v>0</v>
      </c>
      <c r="G1299" s="211">
        <f t="shared" si="43"/>
        <v>0</v>
      </c>
      <c r="H1299" s="211">
        <f t="shared" si="38"/>
        <v>0</v>
      </c>
      <c r="I1299" s="386">
        <f t="shared" si="39"/>
        <v>2681.7725</v>
      </c>
      <c r="J1299" s="203" t="s">
        <v>357</v>
      </c>
    </row>
    <row r="1300" spans="1:10" hidden="1" outlineLevel="1">
      <c r="A1300" s="424" t="s">
        <v>775</v>
      </c>
      <c r="B1300" s="210">
        <v>3098770.8290000004</v>
      </c>
      <c r="C1300" s="211">
        <v>0</v>
      </c>
      <c r="D1300" s="211">
        <f t="shared" si="40"/>
        <v>0</v>
      </c>
      <c r="E1300" s="211">
        <f t="shared" si="41"/>
        <v>0</v>
      </c>
      <c r="F1300" s="211">
        <f t="shared" si="42"/>
        <v>0</v>
      </c>
      <c r="G1300" s="211">
        <f t="shared" si="43"/>
        <v>0</v>
      </c>
      <c r="H1300" s="211">
        <f t="shared" si="38"/>
        <v>0</v>
      </c>
      <c r="I1300" s="386">
        <f t="shared" si="39"/>
        <v>3098770.8290000004</v>
      </c>
      <c r="J1300" s="203" t="s">
        <v>776</v>
      </c>
    </row>
    <row r="1301" spans="1:10" hidden="1" outlineLevel="1">
      <c r="A1301" s="424" t="s">
        <v>777</v>
      </c>
      <c r="B1301" s="210">
        <v>5101169.0070000002</v>
      </c>
      <c r="C1301" s="211">
        <v>0</v>
      </c>
      <c r="D1301" s="211">
        <f t="shared" si="40"/>
        <v>0</v>
      </c>
      <c r="E1301" s="211">
        <f t="shared" si="41"/>
        <v>0</v>
      </c>
      <c r="F1301" s="211">
        <f t="shared" si="42"/>
        <v>11077.944074999999</v>
      </c>
      <c r="G1301" s="211">
        <f t="shared" si="43"/>
        <v>1140.3083999999999</v>
      </c>
      <c r="H1301" s="211">
        <f t="shared" si="38"/>
        <v>0</v>
      </c>
      <c r="I1301" s="386">
        <f t="shared" si="39"/>
        <v>5113387.2594750002</v>
      </c>
      <c r="J1301" s="203" t="s">
        <v>778</v>
      </c>
    </row>
    <row r="1302" spans="1:10" hidden="1" outlineLevel="1">
      <c r="A1302" s="424" t="s">
        <v>360</v>
      </c>
      <c r="B1302" s="210">
        <v>24692.863250000002</v>
      </c>
      <c r="C1302" s="211">
        <v>0</v>
      </c>
      <c r="D1302" s="211">
        <f t="shared" si="40"/>
        <v>0</v>
      </c>
      <c r="E1302" s="211">
        <f t="shared" si="41"/>
        <v>0</v>
      </c>
      <c r="F1302" s="211">
        <f t="shared" si="42"/>
        <v>0</v>
      </c>
      <c r="G1302" s="211">
        <f t="shared" si="43"/>
        <v>0</v>
      </c>
      <c r="H1302" s="211">
        <f t="shared" si="38"/>
        <v>0</v>
      </c>
      <c r="I1302" s="386">
        <f t="shared" si="39"/>
        <v>24692.863250000002</v>
      </c>
      <c r="J1302" s="203" t="s">
        <v>361</v>
      </c>
    </row>
    <row r="1303" spans="1:10" hidden="1" outlineLevel="1">
      <c r="A1303" s="424" t="s">
        <v>779</v>
      </c>
      <c r="B1303" s="210">
        <v>329028.50475000002</v>
      </c>
      <c r="C1303" s="211">
        <v>0</v>
      </c>
      <c r="D1303" s="211">
        <f t="shared" si="40"/>
        <v>0</v>
      </c>
      <c r="E1303" s="211">
        <f t="shared" si="41"/>
        <v>0</v>
      </c>
      <c r="F1303" s="211">
        <f t="shared" si="42"/>
        <v>0</v>
      </c>
      <c r="G1303" s="211">
        <f t="shared" si="43"/>
        <v>0</v>
      </c>
      <c r="H1303" s="211">
        <f t="shared" ref="H1303:H1345" si="44">H369*0.0055/100</f>
        <v>0</v>
      </c>
      <c r="I1303" s="386">
        <f t="shared" ref="I1303:I1346" si="45">SUM(B1303:H1303)</f>
        <v>329028.50475000002</v>
      </c>
      <c r="J1303" s="203" t="s">
        <v>780</v>
      </c>
    </row>
    <row r="1304" spans="1:10" hidden="1" outlineLevel="1">
      <c r="A1304" s="424" t="s">
        <v>781</v>
      </c>
      <c r="B1304" s="210">
        <v>573087.33350000007</v>
      </c>
      <c r="C1304" s="211">
        <v>0</v>
      </c>
      <c r="D1304" s="211">
        <f t="shared" ref="D1304:D1345" si="46">D370*0.04125/100</f>
        <v>0</v>
      </c>
      <c r="E1304" s="211">
        <f t="shared" ref="E1304:E1345" si="47">E370*0/100</f>
        <v>0</v>
      </c>
      <c r="F1304" s="211">
        <f t="shared" ref="F1304:F1345" si="48">F370*0.0275/100</f>
        <v>0</v>
      </c>
      <c r="G1304" s="211">
        <f t="shared" ref="G1304:G1345" si="49">G370*0.055/100</f>
        <v>0</v>
      </c>
      <c r="H1304" s="211">
        <f t="shared" si="44"/>
        <v>0</v>
      </c>
      <c r="I1304" s="386">
        <f t="shared" si="45"/>
        <v>573087.33350000007</v>
      </c>
      <c r="J1304" s="203" t="s">
        <v>782</v>
      </c>
    </row>
    <row r="1305" spans="1:10" hidden="1" outlineLevel="1">
      <c r="A1305" s="424" t="s">
        <v>783</v>
      </c>
      <c r="B1305" s="210">
        <v>162345.68625000003</v>
      </c>
      <c r="C1305" s="211">
        <v>0</v>
      </c>
      <c r="D1305" s="211">
        <f t="shared" si="46"/>
        <v>0</v>
      </c>
      <c r="E1305" s="211">
        <f t="shared" si="47"/>
        <v>0</v>
      </c>
      <c r="F1305" s="211">
        <f t="shared" si="48"/>
        <v>0</v>
      </c>
      <c r="G1305" s="211">
        <f t="shared" si="49"/>
        <v>0</v>
      </c>
      <c r="H1305" s="211">
        <f t="shared" si="44"/>
        <v>0</v>
      </c>
      <c r="I1305" s="386">
        <f t="shared" si="45"/>
        <v>162345.68625000003</v>
      </c>
      <c r="J1305" s="203" t="s">
        <v>784</v>
      </c>
    </row>
    <row r="1306" spans="1:10" hidden="1" outlineLevel="1">
      <c r="A1306" s="424" t="s">
        <v>785</v>
      </c>
      <c r="B1306" s="210">
        <v>1238910.9205</v>
      </c>
      <c r="C1306" s="211">
        <v>0</v>
      </c>
      <c r="D1306" s="211">
        <f t="shared" si="46"/>
        <v>0</v>
      </c>
      <c r="E1306" s="211">
        <f t="shared" si="47"/>
        <v>0</v>
      </c>
      <c r="F1306" s="211">
        <f t="shared" si="48"/>
        <v>0</v>
      </c>
      <c r="G1306" s="211">
        <f t="shared" si="49"/>
        <v>0</v>
      </c>
      <c r="H1306" s="211">
        <f t="shared" si="44"/>
        <v>0</v>
      </c>
      <c r="I1306" s="386">
        <f t="shared" si="45"/>
        <v>1238910.9205</v>
      </c>
      <c r="J1306" s="203" t="s">
        <v>786</v>
      </c>
    </row>
    <row r="1307" spans="1:10" hidden="1" outlineLevel="1">
      <c r="A1307" s="424" t="s">
        <v>787</v>
      </c>
      <c r="B1307" s="210">
        <v>419815.52525000006</v>
      </c>
      <c r="C1307" s="211">
        <v>0</v>
      </c>
      <c r="D1307" s="211">
        <f t="shared" si="46"/>
        <v>0</v>
      </c>
      <c r="E1307" s="211">
        <f t="shared" si="47"/>
        <v>0</v>
      </c>
      <c r="F1307" s="211">
        <f t="shared" si="48"/>
        <v>0</v>
      </c>
      <c r="G1307" s="211">
        <f t="shared" si="49"/>
        <v>0</v>
      </c>
      <c r="H1307" s="211">
        <f t="shared" si="44"/>
        <v>0</v>
      </c>
      <c r="I1307" s="386">
        <f t="shared" si="45"/>
        <v>419815.52525000006</v>
      </c>
      <c r="J1307" s="203" t="s">
        <v>788</v>
      </c>
    </row>
    <row r="1308" spans="1:10" hidden="1" outlineLevel="1">
      <c r="A1308" s="424" t="s">
        <v>789</v>
      </c>
      <c r="B1308" s="210">
        <v>5590.7720000000008</v>
      </c>
      <c r="C1308" s="211">
        <v>0</v>
      </c>
      <c r="D1308" s="211">
        <f t="shared" si="46"/>
        <v>0</v>
      </c>
      <c r="E1308" s="211">
        <f t="shared" si="47"/>
        <v>0</v>
      </c>
      <c r="F1308" s="211">
        <f t="shared" si="48"/>
        <v>0</v>
      </c>
      <c r="G1308" s="211">
        <f t="shared" si="49"/>
        <v>0</v>
      </c>
      <c r="H1308" s="211">
        <f t="shared" si="44"/>
        <v>0</v>
      </c>
      <c r="I1308" s="386">
        <f t="shared" si="45"/>
        <v>5590.7720000000008</v>
      </c>
      <c r="J1308" s="203" t="s">
        <v>790</v>
      </c>
    </row>
    <row r="1309" spans="1:10" hidden="1" outlineLevel="1">
      <c r="A1309" s="424" t="s">
        <v>791</v>
      </c>
      <c r="B1309" s="210">
        <v>264358.05550000002</v>
      </c>
      <c r="C1309" s="211">
        <v>0</v>
      </c>
      <c r="D1309" s="211">
        <f t="shared" si="46"/>
        <v>0</v>
      </c>
      <c r="E1309" s="211">
        <f t="shared" si="47"/>
        <v>0</v>
      </c>
      <c r="F1309" s="211">
        <f t="shared" si="48"/>
        <v>0</v>
      </c>
      <c r="G1309" s="211">
        <f t="shared" si="49"/>
        <v>0</v>
      </c>
      <c r="H1309" s="211">
        <f t="shared" si="44"/>
        <v>0</v>
      </c>
      <c r="I1309" s="386">
        <f t="shared" si="45"/>
        <v>264358.05550000002</v>
      </c>
      <c r="J1309" s="203" t="s">
        <v>792</v>
      </c>
    </row>
    <row r="1310" spans="1:10" hidden="1" outlineLevel="1">
      <c r="A1310" s="424" t="s">
        <v>793</v>
      </c>
      <c r="B1310" s="210">
        <v>385866.0575</v>
      </c>
      <c r="C1310" s="211">
        <v>0</v>
      </c>
      <c r="D1310" s="211">
        <f t="shared" si="46"/>
        <v>0</v>
      </c>
      <c r="E1310" s="211">
        <f t="shared" si="47"/>
        <v>0</v>
      </c>
      <c r="F1310" s="211">
        <f t="shared" si="48"/>
        <v>0</v>
      </c>
      <c r="G1310" s="211">
        <f t="shared" si="49"/>
        <v>0</v>
      </c>
      <c r="H1310" s="211">
        <f t="shared" si="44"/>
        <v>0</v>
      </c>
      <c r="I1310" s="386">
        <f t="shared" si="45"/>
        <v>385866.0575</v>
      </c>
      <c r="J1310" s="203" t="s">
        <v>794</v>
      </c>
    </row>
    <row r="1311" spans="1:10" hidden="1" outlineLevel="1">
      <c r="A1311" s="424" t="s">
        <v>795</v>
      </c>
      <c r="B1311" s="210">
        <v>446547.88200000004</v>
      </c>
      <c r="C1311" s="211">
        <v>0</v>
      </c>
      <c r="D1311" s="211">
        <f t="shared" si="46"/>
        <v>0</v>
      </c>
      <c r="E1311" s="211">
        <f t="shared" si="47"/>
        <v>0</v>
      </c>
      <c r="F1311" s="211">
        <f t="shared" si="48"/>
        <v>0</v>
      </c>
      <c r="G1311" s="211">
        <f t="shared" si="49"/>
        <v>0</v>
      </c>
      <c r="H1311" s="211">
        <f t="shared" si="44"/>
        <v>0</v>
      </c>
      <c r="I1311" s="386">
        <f t="shared" si="45"/>
        <v>446547.88200000004</v>
      </c>
      <c r="J1311" s="203" t="s">
        <v>796</v>
      </c>
    </row>
    <row r="1312" spans="1:10" hidden="1" outlineLevel="1">
      <c r="A1312" s="424" t="s">
        <v>797</v>
      </c>
      <c r="B1312" s="210">
        <v>103012.57725000002</v>
      </c>
      <c r="C1312" s="211">
        <v>0</v>
      </c>
      <c r="D1312" s="211">
        <f t="shared" si="46"/>
        <v>0</v>
      </c>
      <c r="E1312" s="211">
        <f t="shared" si="47"/>
        <v>0</v>
      </c>
      <c r="F1312" s="211">
        <f t="shared" si="48"/>
        <v>0</v>
      </c>
      <c r="G1312" s="211">
        <f t="shared" si="49"/>
        <v>0</v>
      </c>
      <c r="H1312" s="211">
        <f t="shared" si="44"/>
        <v>0</v>
      </c>
      <c r="I1312" s="386">
        <f t="shared" si="45"/>
        <v>103012.57725000002</v>
      </c>
      <c r="J1312" s="203" t="s">
        <v>798</v>
      </c>
    </row>
    <row r="1313" spans="1:10" hidden="1" outlineLevel="1">
      <c r="A1313" s="424" t="s">
        <v>799</v>
      </c>
      <c r="B1313" s="210">
        <v>47914.839500000002</v>
      </c>
      <c r="C1313" s="211">
        <v>0</v>
      </c>
      <c r="D1313" s="211">
        <f t="shared" si="46"/>
        <v>0</v>
      </c>
      <c r="E1313" s="211">
        <f t="shared" si="47"/>
        <v>0</v>
      </c>
      <c r="F1313" s="211">
        <f t="shared" si="48"/>
        <v>0</v>
      </c>
      <c r="G1313" s="211">
        <f t="shared" si="49"/>
        <v>0</v>
      </c>
      <c r="H1313" s="211">
        <f t="shared" si="44"/>
        <v>0</v>
      </c>
      <c r="I1313" s="386">
        <f t="shared" si="45"/>
        <v>47914.839500000002</v>
      </c>
      <c r="J1313" s="203" t="s">
        <v>800</v>
      </c>
    </row>
    <row r="1314" spans="1:10" hidden="1" outlineLevel="1">
      <c r="A1314" s="424" t="s">
        <v>801</v>
      </c>
      <c r="B1314" s="210">
        <v>60077.833750000013</v>
      </c>
      <c r="C1314" s="211">
        <v>0</v>
      </c>
      <c r="D1314" s="211">
        <f t="shared" si="46"/>
        <v>0</v>
      </c>
      <c r="E1314" s="211">
        <f t="shared" si="47"/>
        <v>0</v>
      </c>
      <c r="F1314" s="211">
        <f t="shared" si="48"/>
        <v>0</v>
      </c>
      <c r="G1314" s="211">
        <f t="shared" si="49"/>
        <v>0</v>
      </c>
      <c r="H1314" s="211">
        <f t="shared" si="44"/>
        <v>0</v>
      </c>
      <c r="I1314" s="386">
        <f t="shared" si="45"/>
        <v>60077.833750000013</v>
      </c>
      <c r="J1314" s="203" t="s">
        <v>802</v>
      </c>
    </row>
    <row r="1315" spans="1:10" hidden="1" outlineLevel="1">
      <c r="A1315" s="424" t="s">
        <v>803</v>
      </c>
      <c r="B1315" s="210">
        <v>318733.50025000004</v>
      </c>
      <c r="C1315" s="211">
        <v>0</v>
      </c>
      <c r="D1315" s="211">
        <f t="shared" si="46"/>
        <v>0</v>
      </c>
      <c r="E1315" s="211">
        <f t="shared" si="47"/>
        <v>0</v>
      </c>
      <c r="F1315" s="211">
        <f t="shared" si="48"/>
        <v>0</v>
      </c>
      <c r="G1315" s="211">
        <f t="shared" si="49"/>
        <v>0</v>
      </c>
      <c r="H1315" s="211">
        <f t="shared" si="44"/>
        <v>0</v>
      </c>
      <c r="I1315" s="386">
        <f t="shared" si="45"/>
        <v>318733.50025000004</v>
      </c>
      <c r="J1315" s="203" t="s">
        <v>804</v>
      </c>
    </row>
    <row r="1316" spans="1:10" hidden="1" outlineLevel="1">
      <c r="A1316" s="424" t="s">
        <v>805</v>
      </c>
      <c r="B1316" s="210">
        <v>813360.22900000005</v>
      </c>
      <c r="C1316" s="211">
        <v>0</v>
      </c>
      <c r="D1316" s="211">
        <f t="shared" si="46"/>
        <v>0</v>
      </c>
      <c r="E1316" s="211">
        <f t="shared" si="47"/>
        <v>0</v>
      </c>
      <c r="F1316" s="211">
        <f t="shared" si="48"/>
        <v>0</v>
      </c>
      <c r="G1316" s="211">
        <f t="shared" si="49"/>
        <v>0</v>
      </c>
      <c r="H1316" s="211">
        <f t="shared" si="44"/>
        <v>0</v>
      </c>
      <c r="I1316" s="386">
        <f t="shared" si="45"/>
        <v>813360.22900000005</v>
      </c>
      <c r="J1316" s="203" t="s">
        <v>806</v>
      </c>
    </row>
    <row r="1317" spans="1:10" hidden="1" outlineLevel="1">
      <c r="A1317" s="424" t="s">
        <v>807</v>
      </c>
      <c r="B1317" s="210">
        <v>390789.58325000003</v>
      </c>
      <c r="C1317" s="211">
        <v>0</v>
      </c>
      <c r="D1317" s="211">
        <f t="shared" si="46"/>
        <v>0</v>
      </c>
      <c r="E1317" s="211">
        <f t="shared" si="47"/>
        <v>0</v>
      </c>
      <c r="F1317" s="211">
        <f t="shared" si="48"/>
        <v>0</v>
      </c>
      <c r="G1317" s="211">
        <f t="shared" si="49"/>
        <v>0</v>
      </c>
      <c r="H1317" s="211">
        <f t="shared" si="44"/>
        <v>0</v>
      </c>
      <c r="I1317" s="386">
        <f t="shared" si="45"/>
        <v>390789.58325000003</v>
      </c>
      <c r="J1317" s="203" t="s">
        <v>808</v>
      </c>
    </row>
    <row r="1318" spans="1:10" hidden="1" outlineLevel="1">
      <c r="A1318" s="424" t="s">
        <v>809</v>
      </c>
      <c r="B1318" s="210">
        <v>2517195.4225000003</v>
      </c>
      <c r="C1318" s="211">
        <v>0</v>
      </c>
      <c r="D1318" s="211">
        <f t="shared" si="46"/>
        <v>0</v>
      </c>
      <c r="E1318" s="211">
        <f t="shared" si="47"/>
        <v>0</v>
      </c>
      <c r="F1318" s="211">
        <f t="shared" si="48"/>
        <v>1416.9947</v>
      </c>
      <c r="G1318" s="211">
        <f t="shared" si="49"/>
        <v>0</v>
      </c>
      <c r="H1318" s="211">
        <f t="shared" si="44"/>
        <v>0</v>
      </c>
      <c r="I1318" s="386">
        <f t="shared" si="45"/>
        <v>2518612.4172000005</v>
      </c>
      <c r="J1318" s="203" t="s">
        <v>810</v>
      </c>
    </row>
    <row r="1319" spans="1:10" hidden="1" outlineLevel="1">
      <c r="A1319" s="424" t="s">
        <v>811</v>
      </c>
      <c r="B1319" s="210">
        <v>538010.46475000004</v>
      </c>
      <c r="C1319" s="211">
        <v>0</v>
      </c>
      <c r="D1319" s="211">
        <f t="shared" si="46"/>
        <v>0</v>
      </c>
      <c r="E1319" s="211">
        <f t="shared" si="47"/>
        <v>0</v>
      </c>
      <c r="F1319" s="211">
        <f t="shared" si="48"/>
        <v>0</v>
      </c>
      <c r="G1319" s="211">
        <f t="shared" si="49"/>
        <v>0</v>
      </c>
      <c r="H1319" s="211">
        <f t="shared" si="44"/>
        <v>0</v>
      </c>
      <c r="I1319" s="386">
        <f t="shared" si="45"/>
        <v>538010.46475000004</v>
      </c>
      <c r="J1319" s="203" t="s">
        <v>812</v>
      </c>
    </row>
    <row r="1320" spans="1:10" hidden="1" outlineLevel="1">
      <c r="A1320" s="424" t="s">
        <v>813</v>
      </c>
      <c r="B1320" s="210">
        <v>93249.865500000014</v>
      </c>
      <c r="C1320" s="211">
        <v>0</v>
      </c>
      <c r="D1320" s="211">
        <f t="shared" si="46"/>
        <v>0</v>
      </c>
      <c r="E1320" s="211">
        <f t="shared" si="47"/>
        <v>0</v>
      </c>
      <c r="F1320" s="211">
        <f t="shared" si="48"/>
        <v>0</v>
      </c>
      <c r="G1320" s="211">
        <f t="shared" si="49"/>
        <v>0</v>
      </c>
      <c r="H1320" s="211">
        <f t="shared" si="44"/>
        <v>0</v>
      </c>
      <c r="I1320" s="386">
        <f t="shared" si="45"/>
        <v>93249.865500000014</v>
      </c>
      <c r="J1320" s="203" t="s">
        <v>814</v>
      </c>
    </row>
    <row r="1321" spans="1:10" hidden="1" outlineLevel="1">
      <c r="A1321" s="424" t="s">
        <v>815</v>
      </c>
      <c r="B1321" s="210">
        <v>196825.24400000004</v>
      </c>
      <c r="C1321" s="211">
        <v>0</v>
      </c>
      <c r="D1321" s="211">
        <f t="shared" si="46"/>
        <v>0</v>
      </c>
      <c r="E1321" s="211">
        <f t="shared" si="47"/>
        <v>0</v>
      </c>
      <c r="F1321" s="211">
        <f t="shared" si="48"/>
        <v>0</v>
      </c>
      <c r="G1321" s="211">
        <f t="shared" si="49"/>
        <v>0</v>
      </c>
      <c r="H1321" s="211">
        <f t="shared" si="44"/>
        <v>0</v>
      </c>
      <c r="I1321" s="386">
        <f t="shared" si="45"/>
        <v>196825.24400000004</v>
      </c>
      <c r="J1321" s="203" t="s">
        <v>816</v>
      </c>
    </row>
    <row r="1322" spans="1:10" hidden="1" outlineLevel="1">
      <c r="A1322" s="424" t="s">
        <v>817</v>
      </c>
      <c r="B1322" s="210">
        <v>428087.6875</v>
      </c>
      <c r="C1322" s="211">
        <v>0</v>
      </c>
      <c r="D1322" s="211">
        <f t="shared" si="46"/>
        <v>0</v>
      </c>
      <c r="E1322" s="211">
        <f t="shared" si="47"/>
        <v>0</v>
      </c>
      <c r="F1322" s="211">
        <f t="shared" si="48"/>
        <v>0</v>
      </c>
      <c r="G1322" s="211">
        <f t="shared" si="49"/>
        <v>0</v>
      </c>
      <c r="H1322" s="211">
        <f t="shared" si="44"/>
        <v>0</v>
      </c>
      <c r="I1322" s="386">
        <f t="shared" si="45"/>
        <v>428087.6875</v>
      </c>
      <c r="J1322" s="203" t="s">
        <v>818</v>
      </c>
    </row>
    <row r="1323" spans="1:10" hidden="1" outlineLevel="1">
      <c r="A1323" s="424" t="s">
        <v>819</v>
      </c>
      <c r="B1323" s="210">
        <v>28233.108749999999</v>
      </c>
      <c r="C1323" s="211">
        <v>0</v>
      </c>
      <c r="D1323" s="211">
        <f t="shared" si="46"/>
        <v>0</v>
      </c>
      <c r="E1323" s="211">
        <f t="shared" si="47"/>
        <v>0</v>
      </c>
      <c r="F1323" s="211">
        <f t="shared" si="48"/>
        <v>0</v>
      </c>
      <c r="G1323" s="211">
        <f t="shared" si="49"/>
        <v>0</v>
      </c>
      <c r="H1323" s="211">
        <f t="shared" si="44"/>
        <v>0</v>
      </c>
      <c r="I1323" s="386">
        <f t="shared" si="45"/>
        <v>28233.108749999999</v>
      </c>
      <c r="J1323" s="203" t="s">
        <v>820</v>
      </c>
    </row>
    <row r="1324" spans="1:10" hidden="1" outlineLevel="1">
      <c r="A1324" s="424" t="s">
        <v>821</v>
      </c>
      <c r="B1324" s="210">
        <v>14618.351000000001</v>
      </c>
      <c r="C1324" s="211">
        <v>0</v>
      </c>
      <c r="D1324" s="211">
        <f t="shared" si="46"/>
        <v>168218.046975</v>
      </c>
      <c r="E1324" s="211">
        <f t="shared" si="47"/>
        <v>0</v>
      </c>
      <c r="F1324" s="211">
        <f t="shared" si="48"/>
        <v>0</v>
      </c>
      <c r="G1324" s="211">
        <f t="shared" si="49"/>
        <v>0</v>
      </c>
      <c r="H1324" s="211">
        <f t="shared" si="44"/>
        <v>0</v>
      </c>
      <c r="I1324" s="386">
        <f t="shared" si="45"/>
        <v>182836.397975</v>
      </c>
      <c r="J1324" s="203" t="s">
        <v>822</v>
      </c>
    </row>
    <row r="1325" spans="1:10" hidden="1" outlineLevel="1">
      <c r="A1325" s="424" t="s">
        <v>821</v>
      </c>
      <c r="B1325" s="210">
        <v>22761.150500000003</v>
      </c>
      <c r="C1325" s="211">
        <v>0</v>
      </c>
      <c r="D1325" s="211">
        <f t="shared" si="46"/>
        <v>7727.4495374999997</v>
      </c>
      <c r="E1325" s="211">
        <f t="shared" si="47"/>
        <v>0</v>
      </c>
      <c r="F1325" s="211">
        <f t="shared" si="48"/>
        <v>0</v>
      </c>
      <c r="G1325" s="211">
        <f t="shared" si="49"/>
        <v>0</v>
      </c>
      <c r="H1325" s="211">
        <f t="shared" si="44"/>
        <v>0</v>
      </c>
      <c r="I1325" s="386">
        <f t="shared" si="45"/>
        <v>30488.600037500004</v>
      </c>
      <c r="J1325" s="203" t="s">
        <v>822</v>
      </c>
    </row>
    <row r="1326" spans="1:10" hidden="1" outlineLevel="1">
      <c r="A1326" s="424" t="s">
        <v>821</v>
      </c>
      <c r="B1326" s="210">
        <v>17512.088</v>
      </c>
      <c r="C1326" s="211">
        <v>0</v>
      </c>
      <c r="D1326" s="211">
        <f t="shared" si="46"/>
        <v>124485.62403750001</v>
      </c>
      <c r="E1326" s="211">
        <f t="shared" si="47"/>
        <v>0</v>
      </c>
      <c r="F1326" s="211">
        <f t="shared" si="48"/>
        <v>0</v>
      </c>
      <c r="G1326" s="211">
        <f t="shared" si="49"/>
        <v>0</v>
      </c>
      <c r="H1326" s="211">
        <f t="shared" si="44"/>
        <v>0</v>
      </c>
      <c r="I1326" s="386">
        <f t="shared" si="45"/>
        <v>141997.71203749999</v>
      </c>
      <c r="J1326" s="203" t="s">
        <v>822</v>
      </c>
    </row>
    <row r="1327" spans="1:10" hidden="1" outlineLevel="1">
      <c r="A1327" s="424" t="s">
        <v>823</v>
      </c>
      <c r="B1327" s="210">
        <v>53491.682750000007</v>
      </c>
      <c r="C1327" s="211">
        <v>0</v>
      </c>
      <c r="D1327" s="211">
        <f t="shared" si="46"/>
        <v>0</v>
      </c>
      <c r="E1327" s="211">
        <f t="shared" si="47"/>
        <v>0</v>
      </c>
      <c r="F1327" s="211">
        <f t="shared" si="48"/>
        <v>0</v>
      </c>
      <c r="G1327" s="211">
        <f t="shared" si="49"/>
        <v>0</v>
      </c>
      <c r="H1327" s="211">
        <f t="shared" si="44"/>
        <v>0</v>
      </c>
      <c r="I1327" s="386">
        <f t="shared" si="45"/>
        <v>53491.682750000007</v>
      </c>
      <c r="J1327" s="203" t="s">
        <v>824</v>
      </c>
    </row>
    <row r="1328" spans="1:10" hidden="1" outlineLevel="1">
      <c r="A1328" s="424" t="s">
        <v>825</v>
      </c>
      <c r="B1328" s="210">
        <v>186399.42475000001</v>
      </c>
      <c r="C1328" s="211">
        <v>0</v>
      </c>
      <c r="D1328" s="211">
        <f t="shared" si="46"/>
        <v>0</v>
      </c>
      <c r="E1328" s="211">
        <f t="shared" si="47"/>
        <v>0</v>
      </c>
      <c r="F1328" s="211">
        <f t="shared" si="48"/>
        <v>0</v>
      </c>
      <c r="G1328" s="211">
        <f t="shared" si="49"/>
        <v>0</v>
      </c>
      <c r="H1328" s="211">
        <f t="shared" si="44"/>
        <v>0</v>
      </c>
      <c r="I1328" s="386">
        <f t="shared" si="45"/>
        <v>186399.42475000001</v>
      </c>
      <c r="J1328" s="203" t="s">
        <v>826</v>
      </c>
    </row>
    <row r="1329" spans="1:10" hidden="1" outlineLevel="1">
      <c r="A1329" s="424" t="s">
        <v>827</v>
      </c>
      <c r="B1329" s="210">
        <v>90057.871750000006</v>
      </c>
      <c r="C1329" s="211">
        <v>0</v>
      </c>
      <c r="D1329" s="211">
        <f t="shared" si="46"/>
        <v>0</v>
      </c>
      <c r="E1329" s="211">
        <f t="shared" si="47"/>
        <v>0</v>
      </c>
      <c r="F1329" s="211">
        <f t="shared" si="48"/>
        <v>0</v>
      </c>
      <c r="G1329" s="211">
        <f t="shared" si="49"/>
        <v>0</v>
      </c>
      <c r="H1329" s="211">
        <f t="shared" si="44"/>
        <v>0</v>
      </c>
      <c r="I1329" s="386">
        <f t="shared" si="45"/>
        <v>90057.871750000006</v>
      </c>
      <c r="J1329" s="203" t="s">
        <v>828</v>
      </c>
    </row>
    <row r="1330" spans="1:10" hidden="1" outlineLevel="1">
      <c r="A1330" s="424" t="s">
        <v>829</v>
      </c>
      <c r="B1330" s="210">
        <v>107182.34725000002</v>
      </c>
      <c r="C1330" s="211">
        <v>0</v>
      </c>
      <c r="D1330" s="211">
        <f t="shared" si="46"/>
        <v>0</v>
      </c>
      <c r="E1330" s="211">
        <f t="shared" si="47"/>
        <v>0</v>
      </c>
      <c r="F1330" s="211">
        <f t="shared" si="48"/>
        <v>0</v>
      </c>
      <c r="G1330" s="211">
        <f t="shared" si="49"/>
        <v>0</v>
      </c>
      <c r="H1330" s="211">
        <f t="shared" si="44"/>
        <v>0</v>
      </c>
      <c r="I1330" s="386">
        <f t="shared" si="45"/>
        <v>107182.34725000002</v>
      </c>
      <c r="J1330" s="203" t="s">
        <v>830</v>
      </c>
    </row>
    <row r="1331" spans="1:10" hidden="1" outlineLevel="1">
      <c r="A1331" s="424" t="s">
        <v>831</v>
      </c>
      <c r="B1331" s="210">
        <v>3057032.7617500001</v>
      </c>
      <c r="C1331" s="211">
        <v>0</v>
      </c>
      <c r="D1331" s="211">
        <f t="shared" si="46"/>
        <v>0</v>
      </c>
      <c r="E1331" s="211">
        <f t="shared" si="47"/>
        <v>0</v>
      </c>
      <c r="F1331" s="211">
        <f t="shared" si="48"/>
        <v>0</v>
      </c>
      <c r="G1331" s="211">
        <f t="shared" si="49"/>
        <v>0</v>
      </c>
      <c r="H1331" s="211">
        <f t="shared" si="44"/>
        <v>0</v>
      </c>
      <c r="I1331" s="386">
        <f t="shared" si="45"/>
        <v>3057032.7617500001</v>
      </c>
      <c r="J1331" s="203" t="s">
        <v>832</v>
      </c>
    </row>
    <row r="1332" spans="1:10" hidden="1" outlineLevel="1">
      <c r="A1332" s="424" t="s">
        <v>833</v>
      </c>
      <c r="B1332" s="210">
        <v>261874.15650000001</v>
      </c>
      <c r="C1332" s="211">
        <v>0</v>
      </c>
      <c r="D1332" s="211">
        <f t="shared" si="46"/>
        <v>0</v>
      </c>
      <c r="E1332" s="211">
        <f t="shared" si="47"/>
        <v>0</v>
      </c>
      <c r="F1332" s="211">
        <f t="shared" si="48"/>
        <v>0</v>
      </c>
      <c r="G1332" s="211">
        <f t="shared" si="49"/>
        <v>0</v>
      </c>
      <c r="H1332" s="211">
        <f t="shared" si="44"/>
        <v>0</v>
      </c>
      <c r="I1332" s="386">
        <f t="shared" si="45"/>
        <v>261874.15650000001</v>
      </c>
      <c r="J1332" s="203" t="s">
        <v>834</v>
      </c>
    </row>
    <row r="1333" spans="1:10" hidden="1" outlineLevel="1">
      <c r="A1333" s="424" t="s">
        <v>835</v>
      </c>
      <c r="B1333" s="210">
        <v>1242182.7165000001</v>
      </c>
      <c r="C1333" s="211">
        <v>0</v>
      </c>
      <c r="D1333" s="211">
        <f t="shared" si="46"/>
        <v>0</v>
      </c>
      <c r="E1333" s="211">
        <f t="shared" si="47"/>
        <v>0</v>
      </c>
      <c r="F1333" s="211">
        <f t="shared" si="48"/>
        <v>0</v>
      </c>
      <c r="G1333" s="211">
        <f t="shared" si="49"/>
        <v>0</v>
      </c>
      <c r="H1333" s="211">
        <f t="shared" si="44"/>
        <v>0</v>
      </c>
      <c r="I1333" s="386">
        <f t="shared" si="45"/>
        <v>1242182.7165000001</v>
      </c>
      <c r="J1333" s="203" t="s">
        <v>836</v>
      </c>
    </row>
    <row r="1334" spans="1:10" hidden="1" outlineLevel="1">
      <c r="A1334" s="424" t="s">
        <v>837</v>
      </c>
      <c r="B1334" s="210">
        <v>104405.939</v>
      </c>
      <c r="C1334" s="211">
        <v>0</v>
      </c>
      <c r="D1334" s="211">
        <f t="shared" si="46"/>
        <v>0</v>
      </c>
      <c r="E1334" s="211">
        <f t="shared" si="47"/>
        <v>0</v>
      </c>
      <c r="F1334" s="211">
        <f t="shared" si="48"/>
        <v>0</v>
      </c>
      <c r="G1334" s="211">
        <f t="shared" si="49"/>
        <v>0</v>
      </c>
      <c r="H1334" s="211">
        <f t="shared" si="44"/>
        <v>0</v>
      </c>
      <c r="I1334" s="386">
        <f t="shared" si="45"/>
        <v>104405.939</v>
      </c>
      <c r="J1334" s="203" t="s">
        <v>838</v>
      </c>
    </row>
    <row r="1335" spans="1:10" hidden="1" outlineLevel="1">
      <c r="A1335" s="424" t="s">
        <v>837</v>
      </c>
      <c r="B1335" s="210">
        <v>13081.329250000001</v>
      </c>
      <c r="C1335" s="211">
        <v>0</v>
      </c>
      <c r="D1335" s="211">
        <f t="shared" si="46"/>
        <v>0</v>
      </c>
      <c r="E1335" s="211">
        <f t="shared" si="47"/>
        <v>0</v>
      </c>
      <c r="F1335" s="211">
        <f t="shared" si="48"/>
        <v>0</v>
      </c>
      <c r="G1335" s="211">
        <f t="shared" si="49"/>
        <v>0</v>
      </c>
      <c r="H1335" s="211">
        <f t="shared" si="44"/>
        <v>0</v>
      </c>
      <c r="I1335" s="386">
        <f t="shared" si="45"/>
        <v>13081.329250000001</v>
      </c>
      <c r="J1335" s="203" t="s">
        <v>838</v>
      </c>
    </row>
    <row r="1336" spans="1:10" hidden="1" outlineLevel="1">
      <c r="A1336" s="424" t="s">
        <v>837</v>
      </c>
      <c r="B1336" s="210">
        <v>64789.494000000006</v>
      </c>
      <c r="C1336" s="211">
        <v>0</v>
      </c>
      <c r="D1336" s="211">
        <f t="shared" si="46"/>
        <v>0</v>
      </c>
      <c r="E1336" s="211">
        <f t="shared" si="47"/>
        <v>0</v>
      </c>
      <c r="F1336" s="211">
        <f t="shared" si="48"/>
        <v>0</v>
      </c>
      <c r="G1336" s="211">
        <f t="shared" si="49"/>
        <v>0</v>
      </c>
      <c r="H1336" s="211">
        <f t="shared" si="44"/>
        <v>0</v>
      </c>
      <c r="I1336" s="386">
        <f t="shared" si="45"/>
        <v>64789.494000000006</v>
      </c>
      <c r="J1336" s="203" t="s">
        <v>838</v>
      </c>
    </row>
    <row r="1337" spans="1:10" hidden="1" outlineLevel="1">
      <c r="A1337" s="424" t="s">
        <v>839</v>
      </c>
      <c r="B1337" s="210">
        <v>10625.1255</v>
      </c>
      <c r="C1337" s="211">
        <v>0</v>
      </c>
      <c r="D1337" s="211">
        <f t="shared" si="46"/>
        <v>0</v>
      </c>
      <c r="E1337" s="211">
        <f t="shared" si="47"/>
        <v>0</v>
      </c>
      <c r="F1337" s="211">
        <f t="shared" si="48"/>
        <v>0</v>
      </c>
      <c r="G1337" s="211">
        <f t="shared" si="49"/>
        <v>0</v>
      </c>
      <c r="H1337" s="211">
        <f t="shared" si="44"/>
        <v>0</v>
      </c>
      <c r="I1337" s="386">
        <f t="shared" si="45"/>
        <v>10625.1255</v>
      </c>
      <c r="J1337" s="203" t="s">
        <v>840</v>
      </c>
    </row>
    <row r="1338" spans="1:10" hidden="1" outlineLevel="1">
      <c r="A1338" s="424" t="s">
        <v>841</v>
      </c>
      <c r="B1338" s="210">
        <v>140569.31900000002</v>
      </c>
      <c r="C1338" s="211">
        <v>0</v>
      </c>
      <c r="D1338" s="211">
        <f t="shared" si="46"/>
        <v>0</v>
      </c>
      <c r="E1338" s="211">
        <f t="shared" si="47"/>
        <v>0</v>
      </c>
      <c r="F1338" s="211">
        <f t="shared" si="48"/>
        <v>0</v>
      </c>
      <c r="G1338" s="211">
        <f t="shared" si="49"/>
        <v>0</v>
      </c>
      <c r="H1338" s="211">
        <f t="shared" si="44"/>
        <v>0</v>
      </c>
      <c r="I1338" s="386">
        <f t="shared" si="45"/>
        <v>140569.31900000002</v>
      </c>
      <c r="J1338" s="203" t="s">
        <v>842</v>
      </c>
    </row>
    <row r="1339" spans="1:10" hidden="1" outlineLevel="1">
      <c r="A1339" s="424" t="s">
        <v>843</v>
      </c>
      <c r="B1339" s="210">
        <v>171522.19150000002</v>
      </c>
      <c r="C1339" s="211">
        <v>0</v>
      </c>
      <c r="D1339" s="211">
        <f t="shared" si="46"/>
        <v>0</v>
      </c>
      <c r="E1339" s="211">
        <f t="shared" si="47"/>
        <v>0</v>
      </c>
      <c r="F1339" s="211">
        <f t="shared" si="48"/>
        <v>0</v>
      </c>
      <c r="G1339" s="211">
        <f t="shared" si="49"/>
        <v>0</v>
      </c>
      <c r="H1339" s="211">
        <f t="shared" si="44"/>
        <v>0</v>
      </c>
      <c r="I1339" s="386">
        <f t="shared" si="45"/>
        <v>171522.19150000002</v>
      </c>
      <c r="J1339" s="203" t="s">
        <v>844</v>
      </c>
    </row>
    <row r="1340" spans="1:10" hidden="1" outlineLevel="1">
      <c r="A1340" s="424" t="s">
        <v>845</v>
      </c>
      <c r="B1340" s="210">
        <v>1757650.0727500001</v>
      </c>
      <c r="C1340" s="211">
        <v>0</v>
      </c>
      <c r="D1340" s="211">
        <f t="shared" si="46"/>
        <v>0</v>
      </c>
      <c r="E1340" s="211">
        <f t="shared" si="47"/>
        <v>0</v>
      </c>
      <c r="F1340" s="211">
        <f t="shared" si="48"/>
        <v>0</v>
      </c>
      <c r="G1340" s="211">
        <f t="shared" si="49"/>
        <v>0</v>
      </c>
      <c r="H1340" s="211">
        <f t="shared" si="44"/>
        <v>0</v>
      </c>
      <c r="I1340" s="386">
        <f t="shared" si="45"/>
        <v>1757650.0727500001</v>
      </c>
      <c r="J1340" s="203" t="s">
        <v>846</v>
      </c>
    </row>
    <row r="1341" spans="1:10" hidden="1" outlineLevel="1">
      <c r="A1341" s="424" t="s">
        <v>847</v>
      </c>
      <c r="B1341" s="210">
        <v>134183.36800000002</v>
      </c>
      <c r="C1341" s="211">
        <v>0</v>
      </c>
      <c r="D1341" s="211">
        <f t="shared" si="46"/>
        <v>0</v>
      </c>
      <c r="E1341" s="211">
        <f t="shared" si="47"/>
        <v>0</v>
      </c>
      <c r="F1341" s="211">
        <f t="shared" si="48"/>
        <v>0</v>
      </c>
      <c r="G1341" s="211">
        <f t="shared" si="49"/>
        <v>0</v>
      </c>
      <c r="H1341" s="211">
        <f t="shared" si="44"/>
        <v>0</v>
      </c>
      <c r="I1341" s="386">
        <f t="shared" si="45"/>
        <v>134183.36800000002</v>
      </c>
      <c r="J1341" s="203" t="s">
        <v>848</v>
      </c>
    </row>
    <row r="1342" spans="1:10" hidden="1" outlineLevel="1">
      <c r="A1342" s="424" t="s">
        <v>849</v>
      </c>
      <c r="B1342" s="210">
        <v>343091.87275000004</v>
      </c>
      <c r="C1342" s="211">
        <v>0</v>
      </c>
      <c r="D1342" s="211">
        <f t="shared" si="46"/>
        <v>0</v>
      </c>
      <c r="E1342" s="211">
        <f t="shared" si="47"/>
        <v>0</v>
      </c>
      <c r="F1342" s="211">
        <f t="shared" si="48"/>
        <v>0</v>
      </c>
      <c r="G1342" s="211">
        <f t="shared" si="49"/>
        <v>0</v>
      </c>
      <c r="H1342" s="211">
        <f t="shared" si="44"/>
        <v>0</v>
      </c>
      <c r="I1342" s="386">
        <f t="shared" si="45"/>
        <v>343091.87275000004</v>
      </c>
      <c r="J1342" s="203" t="s">
        <v>850</v>
      </c>
    </row>
    <row r="1343" spans="1:10" hidden="1" outlineLevel="1">
      <c r="A1343" s="424" t="s">
        <v>398</v>
      </c>
      <c r="B1343" s="210">
        <v>43821.610250000005</v>
      </c>
      <c r="C1343" s="211">
        <v>0</v>
      </c>
      <c r="D1343" s="211">
        <f t="shared" si="46"/>
        <v>0</v>
      </c>
      <c r="E1343" s="211">
        <f t="shared" si="47"/>
        <v>0</v>
      </c>
      <c r="F1343" s="211">
        <f t="shared" si="48"/>
        <v>0</v>
      </c>
      <c r="G1343" s="211">
        <f t="shared" si="49"/>
        <v>0</v>
      </c>
      <c r="H1343" s="211">
        <f t="shared" si="44"/>
        <v>0</v>
      </c>
      <c r="I1343" s="386">
        <f t="shared" si="45"/>
        <v>43821.610250000005</v>
      </c>
      <c r="J1343" s="203" t="s">
        <v>399</v>
      </c>
    </row>
    <row r="1344" spans="1:10" hidden="1" outlineLevel="1">
      <c r="A1344" s="424" t="s">
        <v>851</v>
      </c>
      <c r="B1344" s="210">
        <v>32972.516500000005</v>
      </c>
      <c r="C1344" s="211">
        <v>0</v>
      </c>
      <c r="D1344" s="211">
        <f t="shared" si="46"/>
        <v>0</v>
      </c>
      <c r="E1344" s="211">
        <f t="shared" si="47"/>
        <v>0</v>
      </c>
      <c r="F1344" s="211">
        <f t="shared" si="48"/>
        <v>0</v>
      </c>
      <c r="G1344" s="211">
        <f t="shared" si="49"/>
        <v>0</v>
      </c>
      <c r="H1344" s="211">
        <f t="shared" si="44"/>
        <v>0</v>
      </c>
      <c r="I1344" s="386">
        <f t="shared" si="45"/>
        <v>32972.516500000005</v>
      </c>
      <c r="J1344" s="203" t="s">
        <v>852</v>
      </c>
    </row>
    <row r="1345" spans="1:10" hidden="1" outlineLevel="1">
      <c r="A1345" s="424" t="s">
        <v>853</v>
      </c>
      <c r="B1345" s="210">
        <v>396756.17300000007</v>
      </c>
      <c r="C1345" s="211">
        <v>0</v>
      </c>
      <c r="D1345" s="211">
        <f t="shared" si="46"/>
        <v>0</v>
      </c>
      <c r="E1345" s="211">
        <f t="shared" si="47"/>
        <v>0</v>
      </c>
      <c r="F1345" s="211">
        <f t="shared" si="48"/>
        <v>0</v>
      </c>
      <c r="G1345" s="211">
        <f t="shared" si="49"/>
        <v>0</v>
      </c>
      <c r="H1345" s="211">
        <f t="shared" si="44"/>
        <v>0</v>
      </c>
      <c r="I1345" s="386">
        <f t="shared" si="45"/>
        <v>396756.17300000007</v>
      </c>
      <c r="J1345" s="203" t="s">
        <v>854</v>
      </c>
    </row>
    <row r="1346" spans="1:10" collapsed="1">
      <c r="A1346" s="430" t="str">
        <f>A412</f>
        <v>Regelzone TenneT (gesamt)</v>
      </c>
      <c r="B1346" s="206">
        <f>SUM(B1347:B1727)</f>
        <v>281537752.8768748</v>
      </c>
      <c r="C1346" s="207">
        <f t="shared" ref="C1346:H1346" si="50">SUM(C1347:C1727)</f>
        <v>0</v>
      </c>
      <c r="D1346" s="207">
        <f t="shared" si="50"/>
        <v>3435.9505125000001</v>
      </c>
      <c r="E1346" s="207">
        <f>SUM(E1347:E1727)</f>
        <v>0</v>
      </c>
      <c r="F1346" s="225">
        <f t="shared" si="50"/>
        <v>1452959</v>
      </c>
      <c r="G1346" s="225">
        <f t="shared" si="50"/>
        <v>6691</v>
      </c>
      <c r="H1346" s="225">
        <f t="shared" si="50"/>
        <v>137</v>
      </c>
      <c r="I1346" s="386">
        <f t="shared" si="45"/>
        <v>283000975.82738733</v>
      </c>
    </row>
    <row r="1347" spans="1:10" hidden="1" outlineLevel="1">
      <c r="A1347" s="425" t="s">
        <v>1861</v>
      </c>
      <c r="B1347" s="220">
        <f t="shared" ref="B1347:B1410" si="51">B413*0.275/100</f>
        <v>16717.156610000002</v>
      </c>
      <c r="C1347" s="812">
        <v>0</v>
      </c>
      <c r="D1347" s="812">
        <v>0</v>
      </c>
      <c r="E1347" s="812">
        <v>0</v>
      </c>
      <c r="F1347" s="812">
        <v>0</v>
      </c>
      <c r="G1347" s="812">
        <v>0</v>
      </c>
      <c r="H1347" s="812">
        <v>0</v>
      </c>
      <c r="I1347" s="386">
        <f t="shared" ref="I1347:I1410" si="52">SUM(B1347:H1347)</f>
        <v>16717.156610000002</v>
      </c>
      <c r="J1347" s="203" t="s">
        <v>1862</v>
      </c>
    </row>
    <row r="1348" spans="1:10" hidden="1" outlineLevel="1">
      <c r="A1348" s="425" t="s">
        <v>856</v>
      </c>
      <c r="B1348" s="220">
        <f t="shared" si="51"/>
        <v>50670.818000000007</v>
      </c>
      <c r="C1348" s="812">
        <v>0</v>
      </c>
      <c r="D1348" s="812">
        <v>0</v>
      </c>
      <c r="E1348" s="812">
        <v>0</v>
      </c>
      <c r="F1348" s="812">
        <v>0</v>
      </c>
      <c r="G1348" s="812">
        <v>0</v>
      </c>
      <c r="H1348" s="812">
        <v>0</v>
      </c>
      <c r="I1348" s="386">
        <f t="shared" si="52"/>
        <v>50670.818000000007</v>
      </c>
      <c r="J1348" s="203" t="s">
        <v>857</v>
      </c>
    </row>
    <row r="1349" spans="1:10" hidden="1" outlineLevel="1">
      <c r="A1349" s="425" t="s">
        <v>858</v>
      </c>
      <c r="B1349" s="220">
        <f t="shared" si="51"/>
        <v>86033.285250000001</v>
      </c>
      <c r="C1349" s="812">
        <v>0</v>
      </c>
      <c r="D1349" s="812">
        <v>0</v>
      </c>
      <c r="E1349" s="812">
        <v>0</v>
      </c>
      <c r="F1349" s="812">
        <v>0</v>
      </c>
      <c r="G1349" s="812">
        <v>0</v>
      </c>
      <c r="H1349" s="812">
        <v>0</v>
      </c>
      <c r="I1349" s="386">
        <f t="shared" si="52"/>
        <v>86033.285250000001</v>
      </c>
      <c r="J1349" s="203" t="s">
        <v>859</v>
      </c>
    </row>
    <row r="1350" spans="1:10" hidden="1" outlineLevel="1">
      <c r="A1350" s="425" t="s">
        <v>860</v>
      </c>
      <c r="B1350" s="220">
        <f t="shared" si="51"/>
        <v>150631.9045</v>
      </c>
      <c r="C1350" s="812">
        <v>0</v>
      </c>
      <c r="D1350" s="812">
        <v>0</v>
      </c>
      <c r="E1350" s="812">
        <v>0</v>
      </c>
      <c r="F1350" s="812">
        <v>0</v>
      </c>
      <c r="G1350" s="812">
        <v>0</v>
      </c>
      <c r="H1350" s="812">
        <v>0</v>
      </c>
      <c r="I1350" s="386">
        <f t="shared" si="52"/>
        <v>150631.9045</v>
      </c>
      <c r="J1350" s="203" t="s">
        <v>861</v>
      </c>
    </row>
    <row r="1351" spans="1:10" hidden="1" outlineLevel="1">
      <c r="A1351" s="425" t="s">
        <v>862</v>
      </c>
      <c r="B1351" s="220">
        <f t="shared" si="51"/>
        <v>65327.061250000006</v>
      </c>
      <c r="C1351" s="812">
        <v>0</v>
      </c>
      <c r="D1351" s="812">
        <v>0</v>
      </c>
      <c r="E1351" s="812">
        <v>0</v>
      </c>
      <c r="F1351" s="812">
        <v>0</v>
      </c>
      <c r="G1351" s="812">
        <v>0</v>
      </c>
      <c r="H1351" s="812">
        <v>0</v>
      </c>
      <c r="I1351" s="386">
        <f t="shared" si="52"/>
        <v>65327.061250000006</v>
      </c>
      <c r="J1351" s="203" t="s">
        <v>863</v>
      </c>
    </row>
    <row r="1352" spans="1:10" hidden="1" outlineLevel="1">
      <c r="A1352" s="425" t="s">
        <v>864</v>
      </c>
      <c r="B1352" s="220">
        <f t="shared" si="51"/>
        <v>113723.21124999999</v>
      </c>
      <c r="C1352" s="812">
        <v>0</v>
      </c>
      <c r="D1352" s="812">
        <v>0</v>
      </c>
      <c r="E1352" s="812">
        <v>0</v>
      </c>
      <c r="F1352" s="812">
        <v>0</v>
      </c>
      <c r="G1352" s="812">
        <v>0</v>
      </c>
      <c r="H1352" s="812">
        <v>0</v>
      </c>
      <c r="I1352" s="386">
        <f t="shared" si="52"/>
        <v>113723.21124999999</v>
      </c>
      <c r="J1352" s="203" t="s">
        <v>865</v>
      </c>
    </row>
    <row r="1353" spans="1:10" hidden="1" outlineLevel="1">
      <c r="A1353" s="425" t="s">
        <v>866</v>
      </c>
      <c r="B1353" s="220">
        <f t="shared" si="51"/>
        <v>37253.911749999999</v>
      </c>
      <c r="C1353" s="812">
        <v>0</v>
      </c>
      <c r="D1353" s="812">
        <v>0</v>
      </c>
      <c r="E1353" s="812">
        <v>0</v>
      </c>
      <c r="F1353" s="812">
        <v>0</v>
      </c>
      <c r="G1353" s="812">
        <v>0</v>
      </c>
      <c r="H1353" s="812">
        <v>0</v>
      </c>
      <c r="I1353" s="386">
        <f t="shared" si="52"/>
        <v>37253.911749999999</v>
      </c>
      <c r="J1353" s="203" t="s">
        <v>867</v>
      </c>
    </row>
    <row r="1354" spans="1:10" hidden="1" outlineLevel="1">
      <c r="A1354" s="425" t="s">
        <v>868</v>
      </c>
      <c r="B1354" s="220">
        <f t="shared" si="51"/>
        <v>216850.3425</v>
      </c>
      <c r="C1354" s="812">
        <v>0</v>
      </c>
      <c r="D1354" s="812">
        <v>0</v>
      </c>
      <c r="E1354" s="812">
        <v>0</v>
      </c>
      <c r="F1354" s="812">
        <v>0</v>
      </c>
      <c r="G1354" s="812">
        <v>0</v>
      </c>
      <c r="H1354" s="812">
        <v>0</v>
      </c>
      <c r="I1354" s="386">
        <f t="shared" si="52"/>
        <v>216850.3425</v>
      </c>
      <c r="J1354" s="203" t="s">
        <v>869</v>
      </c>
    </row>
    <row r="1355" spans="1:10" hidden="1" outlineLevel="1">
      <c r="A1355" s="425" t="s">
        <v>870</v>
      </c>
      <c r="B1355" s="220">
        <f t="shared" si="51"/>
        <v>460622.48650000006</v>
      </c>
      <c r="C1355" s="812">
        <v>0</v>
      </c>
      <c r="D1355" s="812">
        <v>0</v>
      </c>
      <c r="E1355" s="812">
        <v>0</v>
      </c>
      <c r="F1355" s="812">
        <v>254</v>
      </c>
      <c r="G1355" s="812">
        <v>0</v>
      </c>
      <c r="H1355" s="812">
        <v>0</v>
      </c>
      <c r="I1355" s="386">
        <f t="shared" si="52"/>
        <v>460876.48650000006</v>
      </c>
      <c r="J1355" s="203" t="s">
        <v>871</v>
      </c>
    </row>
    <row r="1356" spans="1:10" hidden="1" outlineLevel="1">
      <c r="A1356" s="425" t="s">
        <v>872</v>
      </c>
      <c r="B1356" s="220">
        <f t="shared" si="51"/>
        <v>67225.760250000007</v>
      </c>
      <c r="C1356" s="812">
        <v>0</v>
      </c>
      <c r="D1356" s="812">
        <v>0</v>
      </c>
      <c r="E1356" s="812">
        <v>0</v>
      </c>
      <c r="F1356" s="812">
        <v>0</v>
      </c>
      <c r="G1356" s="812">
        <v>0</v>
      </c>
      <c r="H1356" s="812">
        <v>0</v>
      </c>
      <c r="I1356" s="386">
        <f t="shared" si="52"/>
        <v>67225.760250000007</v>
      </c>
      <c r="J1356" s="203" t="s">
        <v>873</v>
      </c>
    </row>
    <row r="1357" spans="1:10" hidden="1" outlineLevel="1">
      <c r="A1357" s="425" t="s">
        <v>874</v>
      </c>
      <c r="B1357" s="220">
        <f t="shared" si="51"/>
        <v>1375721.4652500001</v>
      </c>
      <c r="C1357" s="812">
        <v>0</v>
      </c>
      <c r="D1357" s="812">
        <v>0</v>
      </c>
      <c r="E1357" s="812">
        <v>0</v>
      </c>
      <c r="F1357" s="812">
        <v>0</v>
      </c>
      <c r="G1357" s="812">
        <v>0</v>
      </c>
      <c r="H1357" s="812">
        <v>0</v>
      </c>
      <c r="I1357" s="386">
        <f t="shared" si="52"/>
        <v>1375721.4652500001</v>
      </c>
      <c r="J1357" s="203" t="s">
        <v>875</v>
      </c>
    </row>
    <row r="1358" spans="1:10" hidden="1" outlineLevel="1">
      <c r="A1358" s="425" t="s">
        <v>1863</v>
      </c>
      <c r="B1358" s="220">
        <f t="shared" si="51"/>
        <v>0</v>
      </c>
      <c r="C1358" s="812">
        <v>0</v>
      </c>
      <c r="D1358" s="812">
        <v>0</v>
      </c>
      <c r="E1358" s="812">
        <v>0</v>
      </c>
      <c r="F1358" s="812">
        <v>0</v>
      </c>
      <c r="G1358" s="812">
        <v>0</v>
      </c>
      <c r="H1358" s="812">
        <v>0</v>
      </c>
      <c r="I1358" s="386">
        <f t="shared" si="52"/>
        <v>0</v>
      </c>
      <c r="J1358" s="203" t="s">
        <v>1864</v>
      </c>
    </row>
    <row r="1359" spans="1:10" hidden="1" outlineLevel="1">
      <c r="A1359" s="425" t="s">
        <v>876</v>
      </c>
      <c r="B1359" s="220">
        <f t="shared" si="51"/>
        <v>76731.704500000007</v>
      </c>
      <c r="C1359" s="812">
        <v>0</v>
      </c>
      <c r="D1359" s="812">
        <v>0</v>
      </c>
      <c r="E1359" s="812">
        <v>0</v>
      </c>
      <c r="F1359" s="812">
        <v>0</v>
      </c>
      <c r="G1359" s="812">
        <v>0</v>
      </c>
      <c r="H1359" s="812">
        <v>0</v>
      </c>
      <c r="I1359" s="386">
        <f t="shared" si="52"/>
        <v>76731.704500000007</v>
      </c>
      <c r="J1359" s="203" t="s">
        <v>877</v>
      </c>
    </row>
    <row r="1360" spans="1:10" hidden="1" outlineLevel="1">
      <c r="A1360" s="425" t="s">
        <v>878</v>
      </c>
      <c r="B1360" s="220">
        <f t="shared" si="51"/>
        <v>75993.41750000001</v>
      </c>
      <c r="C1360" s="812">
        <v>0</v>
      </c>
      <c r="D1360" s="812">
        <v>0</v>
      </c>
      <c r="E1360" s="812">
        <v>0</v>
      </c>
      <c r="F1360" s="812">
        <v>0</v>
      </c>
      <c r="G1360" s="812">
        <v>0</v>
      </c>
      <c r="H1360" s="812">
        <v>0</v>
      </c>
      <c r="I1360" s="386">
        <f t="shared" si="52"/>
        <v>75993.41750000001</v>
      </c>
      <c r="J1360" s="203" t="s">
        <v>879</v>
      </c>
    </row>
    <row r="1361" spans="1:10" hidden="1" outlineLevel="1">
      <c r="A1361" s="425" t="s">
        <v>322</v>
      </c>
      <c r="B1361" s="220">
        <f t="shared" si="51"/>
        <v>116704.10675000001</v>
      </c>
      <c r="C1361" s="812">
        <v>0</v>
      </c>
      <c r="D1361" s="812">
        <v>0</v>
      </c>
      <c r="E1361" s="812">
        <v>0</v>
      </c>
      <c r="F1361" s="812">
        <v>0</v>
      </c>
      <c r="G1361" s="812">
        <v>0</v>
      </c>
      <c r="H1361" s="812">
        <v>0</v>
      </c>
      <c r="I1361" s="386">
        <f t="shared" si="52"/>
        <v>116704.10675000001</v>
      </c>
      <c r="J1361" s="203" t="s">
        <v>323</v>
      </c>
    </row>
    <row r="1362" spans="1:10" hidden="1" outlineLevel="1">
      <c r="A1362" s="425" t="s">
        <v>880</v>
      </c>
      <c r="B1362" s="220">
        <f t="shared" si="51"/>
        <v>150062.16774999999</v>
      </c>
      <c r="C1362" s="812">
        <v>0</v>
      </c>
      <c r="D1362" s="812">
        <v>0</v>
      </c>
      <c r="E1362" s="812">
        <v>0</v>
      </c>
      <c r="F1362" s="812">
        <v>0</v>
      </c>
      <c r="G1362" s="812">
        <v>0</v>
      </c>
      <c r="H1362" s="812">
        <v>0</v>
      </c>
      <c r="I1362" s="386">
        <f t="shared" si="52"/>
        <v>150062.16774999999</v>
      </c>
      <c r="J1362" s="203" t="s">
        <v>881</v>
      </c>
    </row>
    <row r="1363" spans="1:10" hidden="1" outlineLevel="1">
      <c r="A1363" s="425" t="s">
        <v>882</v>
      </c>
      <c r="B1363" s="220">
        <f t="shared" si="51"/>
        <v>501684.02735000005</v>
      </c>
      <c r="C1363" s="812">
        <v>0</v>
      </c>
      <c r="D1363" s="812">
        <v>0</v>
      </c>
      <c r="E1363" s="812">
        <v>0</v>
      </c>
      <c r="F1363" s="812">
        <v>0</v>
      </c>
      <c r="G1363" s="812">
        <v>0</v>
      </c>
      <c r="H1363" s="812">
        <v>0</v>
      </c>
      <c r="I1363" s="386">
        <f t="shared" si="52"/>
        <v>501684.02735000005</v>
      </c>
      <c r="J1363" s="203" t="s">
        <v>883</v>
      </c>
    </row>
    <row r="1364" spans="1:10" hidden="1" outlineLevel="1">
      <c r="A1364" s="425" t="s">
        <v>884</v>
      </c>
      <c r="B1364" s="220">
        <f t="shared" si="51"/>
        <v>536195.23650000012</v>
      </c>
      <c r="C1364" s="812">
        <v>0</v>
      </c>
      <c r="D1364" s="812">
        <v>0</v>
      </c>
      <c r="E1364" s="812">
        <v>0</v>
      </c>
      <c r="F1364" s="812">
        <v>0</v>
      </c>
      <c r="G1364" s="812">
        <v>0</v>
      </c>
      <c r="H1364" s="812">
        <v>0</v>
      </c>
      <c r="I1364" s="386">
        <f t="shared" si="52"/>
        <v>536195.23650000012</v>
      </c>
      <c r="J1364" s="203" t="s">
        <v>885</v>
      </c>
    </row>
    <row r="1365" spans="1:10" hidden="1" outlineLevel="1">
      <c r="A1365" s="425" t="s">
        <v>886</v>
      </c>
      <c r="B1365" s="220">
        <f t="shared" si="51"/>
        <v>164466.77775000001</v>
      </c>
      <c r="C1365" s="812">
        <v>0</v>
      </c>
      <c r="D1365" s="812">
        <v>0</v>
      </c>
      <c r="E1365" s="812">
        <v>0</v>
      </c>
      <c r="F1365" s="812">
        <v>0</v>
      </c>
      <c r="G1365" s="812">
        <v>0</v>
      </c>
      <c r="H1365" s="812">
        <v>0</v>
      </c>
      <c r="I1365" s="386">
        <f t="shared" si="52"/>
        <v>164466.77775000001</v>
      </c>
      <c r="J1365" s="203" t="s">
        <v>887</v>
      </c>
    </row>
    <row r="1366" spans="1:10" hidden="1" outlineLevel="1">
      <c r="A1366" s="425" t="s">
        <v>888</v>
      </c>
      <c r="B1366" s="220">
        <f t="shared" si="51"/>
        <v>109289.27350000001</v>
      </c>
      <c r="C1366" s="812">
        <v>0</v>
      </c>
      <c r="D1366" s="812">
        <v>0</v>
      </c>
      <c r="E1366" s="812">
        <v>0</v>
      </c>
      <c r="F1366" s="812">
        <v>0</v>
      </c>
      <c r="G1366" s="812">
        <v>0</v>
      </c>
      <c r="H1366" s="812">
        <v>0</v>
      </c>
      <c r="I1366" s="386">
        <f t="shared" si="52"/>
        <v>109289.27350000001</v>
      </c>
      <c r="J1366" s="203" t="s">
        <v>889</v>
      </c>
    </row>
    <row r="1367" spans="1:10" hidden="1" outlineLevel="1">
      <c r="A1367" s="425" t="s">
        <v>890</v>
      </c>
      <c r="B1367" s="220">
        <f t="shared" si="51"/>
        <v>499626.82275000005</v>
      </c>
      <c r="C1367" s="812">
        <v>0</v>
      </c>
      <c r="D1367" s="812">
        <v>0</v>
      </c>
      <c r="E1367" s="812">
        <v>0</v>
      </c>
      <c r="F1367" s="812">
        <v>0</v>
      </c>
      <c r="G1367" s="812">
        <v>0</v>
      </c>
      <c r="H1367" s="812">
        <v>0</v>
      </c>
      <c r="I1367" s="386">
        <f t="shared" si="52"/>
        <v>499626.82275000005</v>
      </c>
      <c r="J1367" s="203" t="s">
        <v>891</v>
      </c>
    </row>
    <row r="1368" spans="1:10" hidden="1" outlineLevel="1">
      <c r="A1368" s="425" t="s">
        <v>892</v>
      </c>
      <c r="B1368" s="220">
        <f t="shared" si="51"/>
        <v>19960.377250000001</v>
      </c>
      <c r="C1368" s="812">
        <v>0</v>
      </c>
      <c r="D1368" s="812">
        <v>0</v>
      </c>
      <c r="E1368" s="812">
        <v>0</v>
      </c>
      <c r="F1368" s="812">
        <v>0</v>
      </c>
      <c r="G1368" s="812">
        <v>0</v>
      </c>
      <c r="H1368" s="812">
        <v>0</v>
      </c>
      <c r="I1368" s="386">
        <f t="shared" si="52"/>
        <v>19960.377250000001</v>
      </c>
      <c r="J1368" s="203" t="s">
        <v>893</v>
      </c>
    </row>
    <row r="1369" spans="1:10" hidden="1" outlineLevel="1">
      <c r="A1369" s="425" t="s">
        <v>894</v>
      </c>
      <c r="B1369" s="220">
        <f t="shared" si="51"/>
        <v>266404.34425000002</v>
      </c>
      <c r="C1369" s="812">
        <v>0</v>
      </c>
      <c r="D1369" s="812">
        <v>0</v>
      </c>
      <c r="E1369" s="812">
        <v>0</v>
      </c>
      <c r="F1369" s="812">
        <v>0</v>
      </c>
      <c r="G1369" s="812">
        <v>0</v>
      </c>
      <c r="H1369" s="812">
        <v>0</v>
      </c>
      <c r="I1369" s="386">
        <f t="shared" si="52"/>
        <v>266404.34425000002</v>
      </c>
      <c r="J1369" s="203" t="s">
        <v>895</v>
      </c>
    </row>
    <row r="1370" spans="1:10" hidden="1" outlineLevel="1">
      <c r="A1370" s="425" t="s">
        <v>896</v>
      </c>
      <c r="B1370" s="220">
        <f t="shared" si="51"/>
        <v>351847.11925000005</v>
      </c>
      <c r="C1370" s="812">
        <v>0</v>
      </c>
      <c r="D1370" s="812">
        <v>0</v>
      </c>
      <c r="E1370" s="812">
        <v>0</v>
      </c>
      <c r="F1370" s="812">
        <v>0</v>
      </c>
      <c r="G1370" s="812">
        <v>0</v>
      </c>
      <c r="H1370" s="812">
        <v>0</v>
      </c>
      <c r="I1370" s="386">
        <f t="shared" si="52"/>
        <v>351847.11925000005</v>
      </c>
      <c r="J1370" s="203" t="s">
        <v>897</v>
      </c>
    </row>
    <row r="1371" spans="1:10" hidden="1" outlineLevel="1">
      <c r="A1371" s="425" t="s">
        <v>1865</v>
      </c>
      <c r="B1371" s="220">
        <f t="shared" si="51"/>
        <v>81138.153250000018</v>
      </c>
      <c r="C1371" s="812">
        <v>0</v>
      </c>
      <c r="D1371" s="812">
        <v>0</v>
      </c>
      <c r="E1371" s="812">
        <v>0</v>
      </c>
      <c r="F1371" s="812">
        <v>0</v>
      </c>
      <c r="G1371" s="812">
        <v>0</v>
      </c>
      <c r="H1371" s="812">
        <v>0</v>
      </c>
      <c r="I1371" s="386">
        <f t="shared" si="52"/>
        <v>81138.153250000018</v>
      </c>
      <c r="J1371" s="203" t="s">
        <v>1866</v>
      </c>
    </row>
    <row r="1372" spans="1:10" hidden="1" outlineLevel="1">
      <c r="A1372" s="425" t="s">
        <v>898</v>
      </c>
      <c r="B1372" s="220">
        <f t="shared" si="51"/>
        <v>148882.26925000001</v>
      </c>
      <c r="C1372" s="812">
        <v>0</v>
      </c>
      <c r="D1372" s="812">
        <v>0</v>
      </c>
      <c r="E1372" s="812">
        <v>0</v>
      </c>
      <c r="F1372" s="812">
        <v>0</v>
      </c>
      <c r="G1372" s="812">
        <v>0</v>
      </c>
      <c r="H1372" s="812">
        <v>0</v>
      </c>
      <c r="I1372" s="386">
        <f t="shared" si="52"/>
        <v>148882.26925000001</v>
      </c>
      <c r="J1372" s="203" t="s">
        <v>899</v>
      </c>
    </row>
    <row r="1373" spans="1:10" hidden="1" outlineLevel="1">
      <c r="A1373" s="425" t="s">
        <v>900</v>
      </c>
      <c r="B1373" s="220">
        <f t="shared" si="51"/>
        <v>28720.719500000003</v>
      </c>
      <c r="C1373" s="812">
        <v>0</v>
      </c>
      <c r="D1373" s="812">
        <v>0</v>
      </c>
      <c r="E1373" s="812">
        <v>0</v>
      </c>
      <c r="F1373" s="812">
        <v>0</v>
      </c>
      <c r="G1373" s="812">
        <v>0</v>
      </c>
      <c r="H1373" s="812">
        <v>0</v>
      </c>
      <c r="I1373" s="386">
        <f t="shared" si="52"/>
        <v>28720.719500000003</v>
      </c>
      <c r="J1373" s="203" t="s">
        <v>901</v>
      </c>
    </row>
    <row r="1374" spans="1:10" hidden="1" outlineLevel="1">
      <c r="A1374" s="425" t="s">
        <v>902</v>
      </c>
      <c r="B1374" s="220">
        <f t="shared" si="51"/>
        <v>519170.35225</v>
      </c>
      <c r="C1374" s="812">
        <v>0</v>
      </c>
      <c r="D1374" s="812">
        <v>0</v>
      </c>
      <c r="E1374" s="812">
        <v>0</v>
      </c>
      <c r="F1374" s="812">
        <v>0</v>
      </c>
      <c r="G1374" s="812">
        <v>0</v>
      </c>
      <c r="H1374" s="812">
        <v>0</v>
      </c>
      <c r="I1374" s="386">
        <f t="shared" si="52"/>
        <v>519170.35225</v>
      </c>
      <c r="J1374" s="203" t="s">
        <v>903</v>
      </c>
    </row>
    <row r="1375" spans="1:10" hidden="1" outlineLevel="1">
      <c r="A1375" s="425" t="s">
        <v>904</v>
      </c>
      <c r="B1375" s="220">
        <f t="shared" si="51"/>
        <v>543760.65700000001</v>
      </c>
      <c r="C1375" s="812">
        <v>0</v>
      </c>
      <c r="D1375" s="812">
        <v>0</v>
      </c>
      <c r="E1375" s="812">
        <v>0</v>
      </c>
      <c r="F1375" s="812">
        <v>0</v>
      </c>
      <c r="G1375" s="812">
        <v>0</v>
      </c>
      <c r="H1375" s="812">
        <v>0</v>
      </c>
      <c r="I1375" s="386">
        <f t="shared" si="52"/>
        <v>543760.65700000001</v>
      </c>
      <c r="J1375" s="203" t="s">
        <v>905</v>
      </c>
    </row>
    <row r="1376" spans="1:10" hidden="1" outlineLevel="1">
      <c r="A1376" s="425" t="s">
        <v>906</v>
      </c>
      <c r="B1376" s="220">
        <f t="shared" si="51"/>
        <v>234761.25187075001</v>
      </c>
      <c r="C1376" s="812">
        <v>0</v>
      </c>
      <c r="D1376" s="812">
        <v>0</v>
      </c>
      <c r="E1376" s="812">
        <v>0</v>
      </c>
      <c r="F1376" s="812">
        <v>0</v>
      </c>
      <c r="G1376" s="812">
        <v>0</v>
      </c>
      <c r="H1376" s="812">
        <v>0</v>
      </c>
      <c r="I1376" s="386">
        <f t="shared" si="52"/>
        <v>234761.25187075001</v>
      </c>
      <c r="J1376" s="203" t="s">
        <v>907</v>
      </c>
    </row>
    <row r="1377" spans="1:10" hidden="1" outlineLevel="1">
      <c r="A1377" s="425" t="s">
        <v>908</v>
      </c>
      <c r="B1377" s="220">
        <f t="shared" si="51"/>
        <v>402180.50124999997</v>
      </c>
      <c r="C1377" s="812">
        <v>0</v>
      </c>
      <c r="D1377" s="812">
        <v>0</v>
      </c>
      <c r="E1377" s="812">
        <v>0</v>
      </c>
      <c r="F1377" s="812">
        <v>0</v>
      </c>
      <c r="G1377" s="812">
        <v>0</v>
      </c>
      <c r="H1377" s="812">
        <v>0</v>
      </c>
      <c r="I1377" s="386">
        <f t="shared" si="52"/>
        <v>402180.50124999997</v>
      </c>
      <c r="J1377" s="203" t="s">
        <v>909</v>
      </c>
    </row>
    <row r="1378" spans="1:10" hidden="1" outlineLevel="1">
      <c r="A1378" s="425" t="s">
        <v>910</v>
      </c>
      <c r="B1378" s="220">
        <f t="shared" si="51"/>
        <v>1247548.2277500001</v>
      </c>
      <c r="C1378" s="812">
        <v>0</v>
      </c>
      <c r="D1378" s="812">
        <v>0</v>
      </c>
      <c r="E1378" s="812">
        <v>0</v>
      </c>
      <c r="F1378" s="813">
        <v>1760</v>
      </c>
      <c r="G1378" s="812">
        <v>0</v>
      </c>
      <c r="H1378" s="812">
        <v>0</v>
      </c>
      <c r="I1378" s="386">
        <f t="shared" si="52"/>
        <v>1249308.2277500001</v>
      </c>
      <c r="J1378" s="203" t="s">
        <v>911</v>
      </c>
    </row>
    <row r="1379" spans="1:10" hidden="1" outlineLevel="1">
      <c r="A1379" s="425" t="s">
        <v>912</v>
      </c>
      <c r="B1379" s="220">
        <f t="shared" si="51"/>
        <v>46910.729250000004</v>
      </c>
      <c r="C1379" s="812">
        <v>0</v>
      </c>
      <c r="D1379" s="812">
        <v>0</v>
      </c>
      <c r="E1379" s="812">
        <v>0</v>
      </c>
      <c r="F1379" s="812">
        <v>0</v>
      </c>
      <c r="G1379" s="812">
        <v>0</v>
      </c>
      <c r="H1379" s="812">
        <v>0</v>
      </c>
      <c r="I1379" s="386">
        <f t="shared" si="52"/>
        <v>46910.729250000004</v>
      </c>
      <c r="J1379" s="203" t="s">
        <v>913</v>
      </c>
    </row>
    <row r="1380" spans="1:10" hidden="1" outlineLevel="1">
      <c r="A1380" s="425" t="s">
        <v>914</v>
      </c>
      <c r="B1380" s="220">
        <f t="shared" si="51"/>
        <v>287989.98250000004</v>
      </c>
      <c r="C1380" s="812">
        <v>0</v>
      </c>
      <c r="D1380" s="812">
        <v>0</v>
      </c>
      <c r="E1380" s="812">
        <v>0</v>
      </c>
      <c r="F1380" s="812">
        <v>0</v>
      </c>
      <c r="G1380" s="812">
        <v>0</v>
      </c>
      <c r="H1380" s="812">
        <v>0</v>
      </c>
      <c r="I1380" s="386">
        <f t="shared" si="52"/>
        <v>287989.98250000004</v>
      </c>
      <c r="J1380" s="203" t="s">
        <v>915</v>
      </c>
    </row>
    <row r="1381" spans="1:10" hidden="1" outlineLevel="1">
      <c r="A1381" s="425" t="s">
        <v>916</v>
      </c>
      <c r="B1381" s="220">
        <f t="shared" si="51"/>
        <v>36889.138000000006</v>
      </c>
      <c r="C1381" s="812">
        <v>0</v>
      </c>
      <c r="D1381" s="812">
        <v>0</v>
      </c>
      <c r="E1381" s="812">
        <v>0</v>
      </c>
      <c r="F1381" s="812">
        <v>0</v>
      </c>
      <c r="G1381" s="812">
        <v>0</v>
      </c>
      <c r="H1381" s="812">
        <v>0</v>
      </c>
      <c r="I1381" s="386">
        <f t="shared" si="52"/>
        <v>36889.138000000006</v>
      </c>
      <c r="J1381" s="203" t="s">
        <v>917</v>
      </c>
    </row>
    <row r="1382" spans="1:10" hidden="1" outlineLevel="1">
      <c r="A1382" s="425" t="s">
        <v>918</v>
      </c>
      <c r="B1382" s="220">
        <f t="shared" si="51"/>
        <v>396464.24125000002</v>
      </c>
      <c r="C1382" s="812">
        <v>0</v>
      </c>
      <c r="D1382" s="812">
        <v>0</v>
      </c>
      <c r="E1382" s="812">
        <v>0</v>
      </c>
      <c r="F1382" s="812">
        <v>0</v>
      </c>
      <c r="G1382" s="812">
        <v>0</v>
      </c>
      <c r="H1382" s="812">
        <v>0</v>
      </c>
      <c r="I1382" s="386">
        <f t="shared" si="52"/>
        <v>396464.24125000002</v>
      </c>
      <c r="J1382" s="203" t="s">
        <v>919</v>
      </c>
    </row>
    <row r="1383" spans="1:10" hidden="1" outlineLevel="1">
      <c r="A1383" s="425" t="s">
        <v>920</v>
      </c>
      <c r="B1383" s="220">
        <f t="shared" si="51"/>
        <v>1310202.4693065002</v>
      </c>
      <c r="C1383" s="812">
        <v>0</v>
      </c>
      <c r="D1383" s="812">
        <v>0</v>
      </c>
      <c r="E1383" s="812">
        <v>0</v>
      </c>
      <c r="F1383" s="812">
        <v>0</v>
      </c>
      <c r="G1383" s="812">
        <v>0</v>
      </c>
      <c r="H1383" s="812">
        <v>0</v>
      </c>
      <c r="I1383" s="386">
        <f t="shared" si="52"/>
        <v>1310202.4693065002</v>
      </c>
      <c r="J1383" s="203" t="s">
        <v>921</v>
      </c>
    </row>
    <row r="1384" spans="1:10" hidden="1" outlineLevel="1">
      <c r="A1384" s="425" t="s">
        <v>922</v>
      </c>
      <c r="B1384" s="220">
        <f t="shared" si="51"/>
        <v>31211.721750000004</v>
      </c>
      <c r="C1384" s="812">
        <v>0</v>
      </c>
      <c r="D1384" s="812">
        <v>0</v>
      </c>
      <c r="E1384" s="812">
        <v>0</v>
      </c>
      <c r="F1384" s="812">
        <v>0</v>
      </c>
      <c r="G1384" s="812">
        <v>0</v>
      </c>
      <c r="H1384" s="812">
        <v>86</v>
      </c>
      <c r="I1384" s="386">
        <f t="shared" si="52"/>
        <v>31297.721750000004</v>
      </c>
      <c r="J1384" s="203" t="s">
        <v>923</v>
      </c>
    </row>
    <row r="1385" spans="1:10" hidden="1" outlineLevel="1">
      <c r="A1385" s="425" t="s">
        <v>924</v>
      </c>
      <c r="B1385" s="220">
        <f t="shared" si="51"/>
        <v>6405.4732500000009</v>
      </c>
      <c r="C1385" s="812">
        <v>0</v>
      </c>
      <c r="D1385" s="812">
        <v>0</v>
      </c>
      <c r="E1385" s="812">
        <v>0</v>
      </c>
      <c r="F1385" s="812">
        <v>0</v>
      </c>
      <c r="G1385" s="812">
        <v>0</v>
      </c>
      <c r="H1385" s="812">
        <v>0</v>
      </c>
      <c r="I1385" s="386">
        <f t="shared" si="52"/>
        <v>6405.4732500000009</v>
      </c>
      <c r="J1385" s="203" t="s">
        <v>925</v>
      </c>
    </row>
    <row r="1386" spans="1:10" hidden="1" outlineLevel="1">
      <c r="A1386" s="425" t="s">
        <v>1867</v>
      </c>
      <c r="B1386" s="220">
        <f t="shared" si="51"/>
        <v>17522.436250000002</v>
      </c>
      <c r="C1386" s="812">
        <v>0</v>
      </c>
      <c r="D1386" s="812">
        <v>0</v>
      </c>
      <c r="E1386" s="812">
        <v>0</v>
      </c>
      <c r="F1386" s="812">
        <v>0</v>
      </c>
      <c r="G1386" s="812">
        <v>0</v>
      </c>
      <c r="H1386" s="812">
        <v>0</v>
      </c>
      <c r="I1386" s="386">
        <f t="shared" si="52"/>
        <v>17522.436250000002</v>
      </c>
      <c r="J1386" s="203" t="s">
        <v>1868</v>
      </c>
    </row>
    <row r="1387" spans="1:10" hidden="1" outlineLevel="1">
      <c r="A1387" s="425" t="s">
        <v>926</v>
      </c>
      <c r="B1387" s="220">
        <f t="shared" si="51"/>
        <v>636212.32675000001</v>
      </c>
      <c r="C1387" s="812">
        <v>0</v>
      </c>
      <c r="D1387" s="812">
        <v>0</v>
      </c>
      <c r="E1387" s="812">
        <v>0</v>
      </c>
      <c r="F1387" s="812">
        <v>0</v>
      </c>
      <c r="G1387" s="812">
        <v>0</v>
      </c>
      <c r="H1387" s="812">
        <v>0</v>
      </c>
      <c r="I1387" s="386">
        <f t="shared" si="52"/>
        <v>636212.32675000001</v>
      </c>
      <c r="J1387" s="203" t="s">
        <v>927</v>
      </c>
    </row>
    <row r="1388" spans="1:10" hidden="1" outlineLevel="1">
      <c r="A1388" s="425" t="s">
        <v>928</v>
      </c>
      <c r="B1388" s="220">
        <f t="shared" si="51"/>
        <v>280061.82495500002</v>
      </c>
      <c r="C1388" s="812">
        <v>0</v>
      </c>
      <c r="D1388" s="812">
        <v>0</v>
      </c>
      <c r="E1388" s="812">
        <v>0</v>
      </c>
      <c r="F1388" s="812">
        <v>0</v>
      </c>
      <c r="G1388" s="812">
        <v>0</v>
      </c>
      <c r="H1388" s="812">
        <v>0</v>
      </c>
      <c r="I1388" s="386">
        <f t="shared" si="52"/>
        <v>280061.82495500002</v>
      </c>
      <c r="J1388" s="203" t="s">
        <v>929</v>
      </c>
    </row>
    <row r="1389" spans="1:10" hidden="1" outlineLevel="1">
      <c r="A1389" s="425" t="s">
        <v>930</v>
      </c>
      <c r="B1389" s="220">
        <f t="shared" si="51"/>
        <v>558246.80450000009</v>
      </c>
      <c r="C1389" s="812">
        <v>0</v>
      </c>
      <c r="D1389" s="812">
        <v>0</v>
      </c>
      <c r="E1389" s="812">
        <v>0</v>
      </c>
      <c r="F1389" s="812">
        <v>0</v>
      </c>
      <c r="G1389" s="812">
        <v>0</v>
      </c>
      <c r="H1389" s="812">
        <v>0</v>
      </c>
      <c r="I1389" s="386">
        <f t="shared" si="52"/>
        <v>558246.80450000009</v>
      </c>
      <c r="J1389" s="203" t="s">
        <v>931</v>
      </c>
    </row>
    <row r="1390" spans="1:10" hidden="1" outlineLevel="1">
      <c r="A1390" s="425" t="s">
        <v>932</v>
      </c>
      <c r="B1390" s="220">
        <f t="shared" si="51"/>
        <v>59251.266250000008</v>
      </c>
      <c r="C1390" s="812">
        <v>0</v>
      </c>
      <c r="D1390" s="812">
        <v>0</v>
      </c>
      <c r="E1390" s="812">
        <v>0</v>
      </c>
      <c r="F1390" s="812">
        <v>0</v>
      </c>
      <c r="G1390" s="812">
        <v>0</v>
      </c>
      <c r="H1390" s="812">
        <v>0</v>
      </c>
      <c r="I1390" s="386">
        <f t="shared" si="52"/>
        <v>59251.266250000008</v>
      </c>
      <c r="J1390" s="203" t="s">
        <v>933</v>
      </c>
    </row>
    <row r="1391" spans="1:10" hidden="1" outlineLevel="1">
      <c r="A1391" s="425" t="s">
        <v>934</v>
      </c>
      <c r="B1391" s="220">
        <f t="shared" si="51"/>
        <v>4595886.9440000001</v>
      </c>
      <c r="C1391" s="812">
        <v>0</v>
      </c>
      <c r="D1391" s="812">
        <v>0</v>
      </c>
      <c r="E1391" s="812">
        <v>0</v>
      </c>
      <c r="F1391" s="812">
        <v>0</v>
      </c>
      <c r="G1391" s="812">
        <v>0</v>
      </c>
      <c r="H1391" s="812">
        <v>0</v>
      </c>
      <c r="I1391" s="386">
        <f t="shared" si="52"/>
        <v>4595886.9440000001</v>
      </c>
      <c r="J1391" s="203" t="s">
        <v>935</v>
      </c>
    </row>
    <row r="1392" spans="1:10" hidden="1" outlineLevel="1">
      <c r="A1392" s="425" t="s">
        <v>936</v>
      </c>
      <c r="B1392" s="220">
        <f t="shared" si="51"/>
        <v>1573092.8557300002</v>
      </c>
      <c r="C1392" s="812">
        <v>0</v>
      </c>
      <c r="D1392" s="812">
        <v>0</v>
      </c>
      <c r="E1392" s="812">
        <v>0</v>
      </c>
      <c r="F1392" s="812">
        <v>0</v>
      </c>
      <c r="G1392" s="812">
        <v>0</v>
      </c>
      <c r="H1392" s="812">
        <v>0</v>
      </c>
      <c r="I1392" s="386">
        <f t="shared" si="52"/>
        <v>1573092.8557300002</v>
      </c>
      <c r="J1392" s="203" t="s">
        <v>937</v>
      </c>
    </row>
    <row r="1393" spans="1:10" hidden="1" outlineLevel="1">
      <c r="A1393" s="425" t="s">
        <v>938</v>
      </c>
      <c r="B1393" s="220">
        <f t="shared" si="51"/>
        <v>90388.853500000012</v>
      </c>
      <c r="C1393" s="812">
        <v>0</v>
      </c>
      <c r="D1393" s="812">
        <v>0</v>
      </c>
      <c r="E1393" s="812">
        <v>0</v>
      </c>
      <c r="F1393" s="812">
        <v>0</v>
      </c>
      <c r="G1393" s="812">
        <v>0</v>
      </c>
      <c r="H1393" s="812">
        <v>0</v>
      </c>
      <c r="I1393" s="386">
        <f t="shared" si="52"/>
        <v>90388.853500000012</v>
      </c>
      <c r="J1393" s="203" t="s">
        <v>939</v>
      </c>
    </row>
    <row r="1394" spans="1:10" hidden="1" outlineLevel="1">
      <c r="A1394" s="425" t="s">
        <v>940</v>
      </c>
      <c r="B1394" s="220">
        <f t="shared" si="51"/>
        <v>129946.71250000002</v>
      </c>
      <c r="C1394" s="812">
        <v>0</v>
      </c>
      <c r="D1394" s="812">
        <v>0</v>
      </c>
      <c r="E1394" s="812">
        <v>0</v>
      </c>
      <c r="F1394" s="812">
        <v>0</v>
      </c>
      <c r="G1394" s="812">
        <v>0</v>
      </c>
      <c r="H1394" s="812">
        <v>0</v>
      </c>
      <c r="I1394" s="386">
        <f t="shared" si="52"/>
        <v>129946.71250000002</v>
      </c>
      <c r="J1394" s="203" t="s">
        <v>941</v>
      </c>
    </row>
    <row r="1395" spans="1:10" hidden="1" outlineLevel="1">
      <c r="A1395" s="425" t="s">
        <v>942</v>
      </c>
      <c r="B1395" s="220">
        <f t="shared" si="51"/>
        <v>44219.912000000004</v>
      </c>
      <c r="C1395" s="812">
        <v>0</v>
      </c>
      <c r="D1395" s="812">
        <v>0</v>
      </c>
      <c r="E1395" s="812">
        <v>0</v>
      </c>
      <c r="F1395" s="812">
        <v>0</v>
      </c>
      <c r="G1395" s="812">
        <v>0</v>
      </c>
      <c r="H1395" s="812">
        <v>0</v>
      </c>
      <c r="I1395" s="386">
        <f t="shared" si="52"/>
        <v>44219.912000000004</v>
      </c>
      <c r="J1395" s="203" t="s">
        <v>943</v>
      </c>
    </row>
    <row r="1396" spans="1:10" hidden="1" outlineLevel="1">
      <c r="A1396" s="425" t="s">
        <v>210</v>
      </c>
      <c r="B1396" s="220">
        <f t="shared" si="51"/>
        <v>767731.42050000012</v>
      </c>
      <c r="C1396" s="812">
        <v>0</v>
      </c>
      <c r="D1396" s="812">
        <v>0</v>
      </c>
      <c r="E1396" s="812">
        <v>0</v>
      </c>
      <c r="F1396" s="812">
        <v>0</v>
      </c>
      <c r="G1396" s="812">
        <v>0</v>
      </c>
      <c r="H1396" s="812">
        <v>0</v>
      </c>
      <c r="I1396" s="386">
        <f t="shared" si="52"/>
        <v>767731.42050000012</v>
      </c>
      <c r="J1396" s="203" t="s">
        <v>211</v>
      </c>
    </row>
    <row r="1397" spans="1:10" hidden="1" outlineLevel="1">
      <c r="A1397" s="425" t="s">
        <v>944</v>
      </c>
      <c r="B1397" s="220">
        <f t="shared" si="51"/>
        <v>328879.03950000001</v>
      </c>
      <c r="C1397" s="812">
        <v>0</v>
      </c>
      <c r="D1397" s="812">
        <v>0</v>
      </c>
      <c r="E1397" s="812">
        <v>0</v>
      </c>
      <c r="F1397" s="812">
        <v>0</v>
      </c>
      <c r="G1397" s="812">
        <v>0</v>
      </c>
      <c r="H1397" s="812">
        <v>0</v>
      </c>
      <c r="I1397" s="386">
        <f t="shared" si="52"/>
        <v>328879.03950000001</v>
      </c>
      <c r="J1397" s="203" t="s">
        <v>945</v>
      </c>
    </row>
    <row r="1398" spans="1:10" hidden="1" outlineLevel="1">
      <c r="A1398" s="425" t="s">
        <v>946</v>
      </c>
      <c r="B1398" s="220">
        <f t="shared" si="51"/>
        <v>87462.133000000002</v>
      </c>
      <c r="C1398" s="812">
        <v>0</v>
      </c>
      <c r="D1398" s="812">
        <v>0</v>
      </c>
      <c r="E1398" s="812">
        <v>0</v>
      </c>
      <c r="F1398" s="812">
        <v>0</v>
      </c>
      <c r="G1398" s="812">
        <v>0</v>
      </c>
      <c r="H1398" s="812">
        <v>0</v>
      </c>
      <c r="I1398" s="386">
        <f t="shared" si="52"/>
        <v>87462.133000000002</v>
      </c>
      <c r="J1398" s="203" t="s">
        <v>947</v>
      </c>
    </row>
    <row r="1399" spans="1:10" hidden="1" outlineLevel="1">
      <c r="A1399" s="425" t="s">
        <v>948</v>
      </c>
      <c r="B1399" s="220">
        <f t="shared" si="51"/>
        <v>31347.423250000003</v>
      </c>
      <c r="C1399" s="812">
        <v>0</v>
      </c>
      <c r="D1399" s="812">
        <v>0</v>
      </c>
      <c r="E1399" s="812">
        <v>0</v>
      </c>
      <c r="F1399" s="812">
        <v>0</v>
      </c>
      <c r="G1399" s="812">
        <v>0</v>
      </c>
      <c r="H1399" s="812">
        <v>0</v>
      </c>
      <c r="I1399" s="386">
        <f t="shared" si="52"/>
        <v>31347.423250000003</v>
      </c>
      <c r="J1399" s="203" t="s">
        <v>949</v>
      </c>
    </row>
    <row r="1400" spans="1:10" hidden="1" outlineLevel="1">
      <c r="A1400" s="425" t="s">
        <v>950</v>
      </c>
      <c r="B1400" s="220">
        <f t="shared" si="51"/>
        <v>64375.553000000007</v>
      </c>
      <c r="C1400" s="812">
        <v>0</v>
      </c>
      <c r="D1400" s="812">
        <v>0</v>
      </c>
      <c r="E1400" s="812">
        <v>0</v>
      </c>
      <c r="F1400" s="812">
        <v>0</v>
      </c>
      <c r="G1400" s="812">
        <v>0</v>
      </c>
      <c r="H1400" s="812">
        <v>0</v>
      </c>
      <c r="I1400" s="386">
        <f t="shared" si="52"/>
        <v>64375.553000000007</v>
      </c>
      <c r="J1400" s="203" t="s">
        <v>951</v>
      </c>
    </row>
    <row r="1401" spans="1:10" hidden="1" outlineLevel="1">
      <c r="A1401" s="425" t="s">
        <v>952</v>
      </c>
      <c r="B1401" s="220">
        <f t="shared" si="51"/>
        <v>175549.81675</v>
      </c>
      <c r="C1401" s="812">
        <v>0</v>
      </c>
      <c r="D1401" s="812">
        <v>0</v>
      </c>
      <c r="E1401" s="812">
        <v>0</v>
      </c>
      <c r="F1401" s="812">
        <v>0</v>
      </c>
      <c r="G1401" s="812">
        <v>0</v>
      </c>
      <c r="H1401" s="812">
        <v>0</v>
      </c>
      <c r="I1401" s="386">
        <f t="shared" si="52"/>
        <v>175549.81675</v>
      </c>
      <c r="J1401" s="203" t="s">
        <v>953</v>
      </c>
    </row>
    <row r="1402" spans="1:10" hidden="1" outlineLevel="1">
      <c r="A1402" s="425" t="s">
        <v>954</v>
      </c>
      <c r="B1402" s="220">
        <f t="shared" si="51"/>
        <v>397346.75750000001</v>
      </c>
      <c r="C1402" s="812">
        <v>0</v>
      </c>
      <c r="D1402" s="812">
        <v>0</v>
      </c>
      <c r="E1402" s="812">
        <v>0</v>
      </c>
      <c r="F1402" s="812">
        <v>0</v>
      </c>
      <c r="G1402" s="812">
        <v>0</v>
      </c>
      <c r="H1402" s="812">
        <v>0</v>
      </c>
      <c r="I1402" s="386">
        <f t="shared" si="52"/>
        <v>397346.75750000001</v>
      </c>
      <c r="J1402" s="203" t="s">
        <v>955</v>
      </c>
    </row>
    <row r="1403" spans="1:10" hidden="1" outlineLevel="1">
      <c r="A1403" s="425" t="s">
        <v>956</v>
      </c>
      <c r="B1403" s="220">
        <f t="shared" si="51"/>
        <v>98383.298750000002</v>
      </c>
      <c r="C1403" s="812">
        <v>0</v>
      </c>
      <c r="D1403" s="812">
        <v>0</v>
      </c>
      <c r="E1403" s="812">
        <v>0</v>
      </c>
      <c r="F1403" s="812">
        <v>0</v>
      </c>
      <c r="G1403" s="812">
        <v>0</v>
      </c>
      <c r="H1403" s="812">
        <v>0</v>
      </c>
      <c r="I1403" s="386">
        <f t="shared" si="52"/>
        <v>98383.298750000002</v>
      </c>
      <c r="J1403" s="203" t="s">
        <v>957</v>
      </c>
    </row>
    <row r="1404" spans="1:10" hidden="1" outlineLevel="1">
      <c r="A1404" s="425" t="s">
        <v>958</v>
      </c>
      <c r="B1404" s="220">
        <f t="shared" si="51"/>
        <v>279499.37950000004</v>
      </c>
      <c r="C1404" s="812">
        <v>0</v>
      </c>
      <c r="D1404" s="812">
        <v>0</v>
      </c>
      <c r="E1404" s="812">
        <v>0</v>
      </c>
      <c r="F1404" s="812">
        <v>0</v>
      </c>
      <c r="G1404" s="812">
        <v>0</v>
      </c>
      <c r="H1404" s="812">
        <v>0</v>
      </c>
      <c r="I1404" s="386">
        <f t="shared" si="52"/>
        <v>279499.37950000004</v>
      </c>
      <c r="J1404" s="203" t="s">
        <v>959</v>
      </c>
    </row>
    <row r="1405" spans="1:10" hidden="1" outlineLevel="1">
      <c r="A1405" s="425" t="s">
        <v>960</v>
      </c>
      <c r="B1405" s="220">
        <f t="shared" si="51"/>
        <v>299497.12100000004</v>
      </c>
      <c r="C1405" s="812">
        <v>0</v>
      </c>
      <c r="D1405" s="812">
        <v>0</v>
      </c>
      <c r="E1405" s="812">
        <v>0</v>
      </c>
      <c r="F1405" s="812">
        <v>0</v>
      </c>
      <c r="G1405" s="812">
        <v>0</v>
      </c>
      <c r="H1405" s="812">
        <v>0</v>
      </c>
      <c r="I1405" s="386">
        <f t="shared" si="52"/>
        <v>299497.12100000004</v>
      </c>
      <c r="J1405" s="203" t="s">
        <v>961</v>
      </c>
    </row>
    <row r="1406" spans="1:10" hidden="1" outlineLevel="1">
      <c r="A1406" s="425" t="s">
        <v>962</v>
      </c>
      <c r="B1406" s="220">
        <f t="shared" si="51"/>
        <v>372542.22499999998</v>
      </c>
      <c r="C1406" s="812">
        <v>0</v>
      </c>
      <c r="D1406" s="812">
        <v>0</v>
      </c>
      <c r="E1406" s="812">
        <v>0</v>
      </c>
      <c r="F1406" s="812">
        <v>0</v>
      </c>
      <c r="G1406" s="812">
        <v>0</v>
      </c>
      <c r="H1406" s="812">
        <v>0</v>
      </c>
      <c r="I1406" s="386">
        <f t="shared" si="52"/>
        <v>372542.22499999998</v>
      </c>
      <c r="J1406" s="203" t="s">
        <v>963</v>
      </c>
    </row>
    <row r="1407" spans="1:10" hidden="1" outlineLevel="1">
      <c r="A1407" s="425" t="s">
        <v>1869</v>
      </c>
      <c r="B1407" s="220">
        <f t="shared" si="51"/>
        <v>13005.257210000002</v>
      </c>
      <c r="C1407" s="812">
        <v>0</v>
      </c>
      <c r="D1407" s="812">
        <v>0</v>
      </c>
      <c r="E1407" s="812">
        <v>0</v>
      </c>
      <c r="F1407" s="812">
        <v>0</v>
      </c>
      <c r="G1407" s="812">
        <v>0</v>
      </c>
      <c r="H1407" s="812">
        <v>0</v>
      </c>
      <c r="I1407" s="386">
        <f t="shared" si="52"/>
        <v>13005.257210000002</v>
      </c>
      <c r="J1407" s="203" t="s">
        <v>1870</v>
      </c>
    </row>
    <row r="1408" spans="1:10" hidden="1" outlineLevel="1">
      <c r="A1408" s="425" t="s">
        <v>964</v>
      </c>
      <c r="B1408" s="220">
        <f t="shared" si="51"/>
        <v>732743.26675000007</v>
      </c>
      <c r="C1408" s="812">
        <v>0</v>
      </c>
      <c r="D1408" s="812">
        <v>0</v>
      </c>
      <c r="E1408" s="812">
        <v>0</v>
      </c>
      <c r="F1408" s="812">
        <v>0</v>
      </c>
      <c r="G1408" s="812">
        <v>0</v>
      </c>
      <c r="H1408" s="812">
        <v>0</v>
      </c>
      <c r="I1408" s="386">
        <f t="shared" si="52"/>
        <v>732743.26675000007</v>
      </c>
      <c r="J1408" s="203" t="s">
        <v>965</v>
      </c>
    </row>
    <row r="1409" spans="1:10" hidden="1" outlineLevel="1">
      <c r="A1409" s="425" t="s">
        <v>1871</v>
      </c>
      <c r="B1409" s="220">
        <f t="shared" si="51"/>
        <v>0</v>
      </c>
      <c r="C1409" s="812">
        <v>0</v>
      </c>
      <c r="D1409" s="812">
        <v>0</v>
      </c>
      <c r="E1409" s="812">
        <v>0</v>
      </c>
      <c r="F1409" s="812">
        <v>0</v>
      </c>
      <c r="G1409" s="812">
        <v>0</v>
      </c>
      <c r="H1409" s="812">
        <v>0</v>
      </c>
      <c r="I1409" s="386">
        <f t="shared" si="52"/>
        <v>0</v>
      </c>
      <c r="J1409" s="203" t="s">
        <v>1872</v>
      </c>
    </row>
    <row r="1410" spans="1:10" hidden="1" outlineLevel="1">
      <c r="A1410" s="425" t="s">
        <v>966</v>
      </c>
      <c r="B1410" s="220">
        <f t="shared" si="51"/>
        <v>44223.72625</v>
      </c>
      <c r="C1410" s="812">
        <v>0</v>
      </c>
      <c r="D1410" s="812">
        <v>0</v>
      </c>
      <c r="E1410" s="812">
        <v>0</v>
      </c>
      <c r="F1410" s="812">
        <v>0</v>
      </c>
      <c r="G1410" s="812">
        <v>0</v>
      </c>
      <c r="H1410" s="812">
        <v>0</v>
      </c>
      <c r="I1410" s="386">
        <f t="shared" si="52"/>
        <v>44223.72625</v>
      </c>
      <c r="J1410" s="203" t="s">
        <v>967</v>
      </c>
    </row>
    <row r="1411" spans="1:10" hidden="1" outlineLevel="1">
      <c r="A1411" s="425" t="s">
        <v>968</v>
      </c>
      <c r="B1411" s="220">
        <f t="shared" ref="B1411:B1474" si="53">B477*0.275/100</f>
        <v>124900.48725000002</v>
      </c>
      <c r="C1411" s="812">
        <v>0</v>
      </c>
      <c r="D1411" s="812">
        <v>0</v>
      </c>
      <c r="E1411" s="812">
        <v>0</v>
      </c>
      <c r="F1411" s="812">
        <v>0</v>
      </c>
      <c r="G1411" s="812">
        <v>0</v>
      </c>
      <c r="H1411" s="812">
        <v>0</v>
      </c>
      <c r="I1411" s="386">
        <f t="shared" ref="I1411:I1474" si="54">SUM(B1411:H1411)</f>
        <v>124900.48725000002</v>
      </c>
      <c r="J1411" s="203" t="s">
        <v>969</v>
      </c>
    </row>
    <row r="1412" spans="1:10" hidden="1" outlineLevel="1">
      <c r="A1412" s="425" t="s">
        <v>1873</v>
      </c>
      <c r="B1412" s="220">
        <f t="shared" si="53"/>
        <v>17410.511250000003</v>
      </c>
      <c r="C1412" s="812">
        <v>0</v>
      </c>
      <c r="D1412" s="812">
        <v>0</v>
      </c>
      <c r="E1412" s="812">
        <v>0</v>
      </c>
      <c r="F1412" s="812">
        <v>0</v>
      </c>
      <c r="G1412" s="812">
        <v>0</v>
      </c>
      <c r="H1412" s="812">
        <v>0</v>
      </c>
      <c r="I1412" s="386">
        <f t="shared" si="54"/>
        <v>17410.511250000003</v>
      </c>
      <c r="J1412" s="203" t="s">
        <v>1874</v>
      </c>
    </row>
    <row r="1413" spans="1:10" hidden="1" outlineLevel="1">
      <c r="A1413" s="425" t="s">
        <v>970</v>
      </c>
      <c r="B1413" s="220">
        <f t="shared" si="53"/>
        <v>72264.505500000014</v>
      </c>
      <c r="C1413" s="812">
        <v>0</v>
      </c>
      <c r="D1413" s="812">
        <v>0</v>
      </c>
      <c r="E1413" s="812">
        <v>0</v>
      </c>
      <c r="F1413" s="812">
        <v>0</v>
      </c>
      <c r="G1413" s="812">
        <v>0</v>
      </c>
      <c r="H1413" s="812">
        <v>0</v>
      </c>
      <c r="I1413" s="386">
        <f t="shared" si="54"/>
        <v>72264.505500000014</v>
      </c>
      <c r="J1413" s="203" t="s">
        <v>971</v>
      </c>
    </row>
    <row r="1414" spans="1:10" hidden="1" outlineLevel="1">
      <c r="A1414" s="425" t="s">
        <v>972</v>
      </c>
      <c r="B1414" s="220">
        <f t="shared" si="53"/>
        <v>1377484.11625</v>
      </c>
      <c r="C1414" s="812">
        <v>0</v>
      </c>
      <c r="D1414" s="812">
        <v>0</v>
      </c>
      <c r="E1414" s="812">
        <v>0</v>
      </c>
      <c r="F1414" s="812">
        <v>0</v>
      </c>
      <c r="G1414" s="812">
        <v>0</v>
      </c>
      <c r="H1414" s="812">
        <v>0</v>
      </c>
      <c r="I1414" s="386">
        <f t="shared" si="54"/>
        <v>1377484.11625</v>
      </c>
      <c r="J1414" s="203" t="s">
        <v>973</v>
      </c>
    </row>
    <row r="1415" spans="1:10" hidden="1" outlineLevel="1">
      <c r="A1415" s="425" t="s">
        <v>974</v>
      </c>
      <c r="B1415" s="220">
        <f t="shared" si="53"/>
        <v>2564167.4932500003</v>
      </c>
      <c r="C1415" s="812">
        <v>0</v>
      </c>
      <c r="D1415" s="812">
        <v>0</v>
      </c>
      <c r="E1415" s="812">
        <v>0</v>
      </c>
      <c r="F1415" s="812">
        <v>0</v>
      </c>
      <c r="G1415" s="812">
        <v>0</v>
      </c>
      <c r="H1415" s="812">
        <v>0</v>
      </c>
      <c r="I1415" s="386">
        <f t="shared" si="54"/>
        <v>2564167.4932500003</v>
      </c>
      <c r="J1415" s="203" t="s">
        <v>975</v>
      </c>
    </row>
    <row r="1416" spans="1:10" hidden="1" outlineLevel="1">
      <c r="A1416" s="425" t="s">
        <v>976</v>
      </c>
      <c r="B1416" s="220">
        <f t="shared" si="53"/>
        <v>310484.37244000001</v>
      </c>
      <c r="C1416" s="812">
        <v>0</v>
      </c>
      <c r="D1416" s="812">
        <v>0</v>
      </c>
      <c r="E1416" s="812">
        <v>0</v>
      </c>
      <c r="F1416" s="812">
        <v>0</v>
      </c>
      <c r="G1416" s="812">
        <v>0</v>
      </c>
      <c r="H1416" s="812">
        <v>0</v>
      </c>
      <c r="I1416" s="386">
        <f t="shared" si="54"/>
        <v>310484.37244000001</v>
      </c>
      <c r="J1416" s="203" t="s">
        <v>977</v>
      </c>
    </row>
    <row r="1417" spans="1:10" hidden="1" outlineLevel="1">
      <c r="A1417" s="425" t="s">
        <v>978</v>
      </c>
      <c r="B1417" s="220">
        <f t="shared" si="53"/>
        <v>406753.95750000002</v>
      </c>
      <c r="C1417" s="812">
        <v>0</v>
      </c>
      <c r="D1417" s="812">
        <v>0</v>
      </c>
      <c r="E1417" s="812">
        <v>0</v>
      </c>
      <c r="F1417" s="812">
        <v>0</v>
      </c>
      <c r="G1417" s="812">
        <v>0</v>
      </c>
      <c r="H1417" s="812">
        <v>0</v>
      </c>
      <c r="I1417" s="386">
        <f t="shared" si="54"/>
        <v>406753.95750000002</v>
      </c>
      <c r="J1417" s="203" t="s">
        <v>979</v>
      </c>
    </row>
    <row r="1418" spans="1:10" hidden="1" outlineLevel="1">
      <c r="A1418" s="425" t="s">
        <v>980</v>
      </c>
      <c r="B1418" s="220">
        <f t="shared" si="53"/>
        <v>784490.43200000003</v>
      </c>
      <c r="C1418" s="812">
        <v>0</v>
      </c>
      <c r="D1418" s="812">
        <v>0</v>
      </c>
      <c r="E1418" s="812">
        <v>0</v>
      </c>
      <c r="F1418" s="812">
        <v>0</v>
      </c>
      <c r="G1418" s="812">
        <v>0</v>
      </c>
      <c r="H1418" s="812">
        <v>0</v>
      </c>
      <c r="I1418" s="386">
        <f t="shared" si="54"/>
        <v>784490.43200000003</v>
      </c>
      <c r="J1418" s="203" t="s">
        <v>981</v>
      </c>
    </row>
    <row r="1419" spans="1:10" hidden="1" outlineLevel="1">
      <c r="A1419" s="425" t="s">
        <v>982</v>
      </c>
      <c r="B1419" s="220">
        <f t="shared" si="53"/>
        <v>61539.687000000005</v>
      </c>
      <c r="C1419" s="812">
        <v>0</v>
      </c>
      <c r="D1419" s="812">
        <v>0</v>
      </c>
      <c r="E1419" s="812">
        <v>0</v>
      </c>
      <c r="F1419" s="812">
        <v>0</v>
      </c>
      <c r="G1419" s="812">
        <v>0</v>
      </c>
      <c r="H1419" s="812">
        <v>0</v>
      </c>
      <c r="I1419" s="386">
        <f t="shared" si="54"/>
        <v>61539.687000000005</v>
      </c>
      <c r="J1419" s="203" t="s">
        <v>983</v>
      </c>
    </row>
    <row r="1420" spans="1:10" hidden="1" outlineLevel="1">
      <c r="A1420" s="425" t="s">
        <v>984</v>
      </c>
      <c r="B1420" s="220">
        <f t="shared" si="53"/>
        <v>426066.58875</v>
      </c>
      <c r="C1420" s="812">
        <v>0</v>
      </c>
      <c r="D1420" s="812">
        <v>0</v>
      </c>
      <c r="E1420" s="812">
        <v>0</v>
      </c>
      <c r="F1420" s="812">
        <v>0</v>
      </c>
      <c r="G1420" s="812">
        <v>0</v>
      </c>
      <c r="H1420" s="812">
        <v>0</v>
      </c>
      <c r="I1420" s="386">
        <f t="shared" si="54"/>
        <v>426066.58875</v>
      </c>
      <c r="J1420" s="203" t="s">
        <v>985</v>
      </c>
    </row>
    <row r="1421" spans="1:10" hidden="1" outlineLevel="1">
      <c r="A1421" s="425" t="s">
        <v>986</v>
      </c>
      <c r="B1421" s="220">
        <f t="shared" si="53"/>
        <v>130192.13900000001</v>
      </c>
      <c r="C1421" s="812">
        <v>0</v>
      </c>
      <c r="D1421" s="812">
        <v>0</v>
      </c>
      <c r="E1421" s="812">
        <v>0</v>
      </c>
      <c r="F1421" s="812">
        <v>0</v>
      </c>
      <c r="G1421" s="812">
        <v>0</v>
      </c>
      <c r="H1421" s="812">
        <v>0</v>
      </c>
      <c r="I1421" s="386">
        <f t="shared" si="54"/>
        <v>130192.13900000001</v>
      </c>
      <c r="J1421" s="203" t="s">
        <v>987</v>
      </c>
    </row>
    <row r="1422" spans="1:10" hidden="1" outlineLevel="1">
      <c r="A1422" s="425" t="s">
        <v>988</v>
      </c>
      <c r="B1422" s="220">
        <f t="shared" si="53"/>
        <v>467244.41058350005</v>
      </c>
      <c r="C1422" s="812">
        <v>0</v>
      </c>
      <c r="D1422" s="812">
        <v>0</v>
      </c>
      <c r="E1422" s="812">
        <v>0</v>
      </c>
      <c r="F1422" s="812">
        <v>0</v>
      </c>
      <c r="G1422" s="812">
        <v>0</v>
      </c>
      <c r="H1422" s="812">
        <v>0</v>
      </c>
      <c r="I1422" s="386">
        <f t="shared" si="54"/>
        <v>467244.41058350005</v>
      </c>
      <c r="J1422" s="203" t="s">
        <v>989</v>
      </c>
    </row>
    <row r="1423" spans="1:10" hidden="1" outlineLevel="1">
      <c r="A1423" s="425" t="s">
        <v>990</v>
      </c>
      <c r="B1423" s="220">
        <f t="shared" si="53"/>
        <v>107655.8505</v>
      </c>
      <c r="C1423" s="812">
        <v>0</v>
      </c>
      <c r="D1423" s="812">
        <v>0</v>
      </c>
      <c r="E1423" s="812">
        <v>0</v>
      </c>
      <c r="F1423" s="812">
        <v>0</v>
      </c>
      <c r="G1423" s="812">
        <v>0</v>
      </c>
      <c r="H1423" s="812">
        <v>0</v>
      </c>
      <c r="I1423" s="386">
        <f t="shared" si="54"/>
        <v>107655.8505</v>
      </c>
      <c r="J1423" s="203" t="s">
        <v>991</v>
      </c>
    </row>
    <row r="1424" spans="1:10" hidden="1" outlineLevel="1">
      <c r="A1424" s="425" t="s">
        <v>992</v>
      </c>
      <c r="B1424" s="220">
        <f t="shared" si="53"/>
        <v>170478.39050000001</v>
      </c>
      <c r="C1424" s="812">
        <v>0</v>
      </c>
      <c r="D1424" s="812">
        <v>0</v>
      </c>
      <c r="E1424" s="812">
        <v>0</v>
      </c>
      <c r="F1424" s="812">
        <v>0</v>
      </c>
      <c r="G1424" s="812">
        <v>0</v>
      </c>
      <c r="H1424" s="812">
        <v>0</v>
      </c>
      <c r="I1424" s="386">
        <f t="shared" si="54"/>
        <v>170478.39050000001</v>
      </c>
      <c r="J1424" s="203" t="s">
        <v>993</v>
      </c>
    </row>
    <row r="1425" spans="1:10" hidden="1" outlineLevel="1">
      <c r="A1425" s="425" t="s">
        <v>994</v>
      </c>
      <c r="B1425" s="220">
        <f t="shared" si="53"/>
        <v>103941.48325</v>
      </c>
      <c r="C1425" s="812">
        <v>0</v>
      </c>
      <c r="D1425" s="812">
        <v>0</v>
      </c>
      <c r="E1425" s="812">
        <v>0</v>
      </c>
      <c r="F1425" s="812">
        <v>0</v>
      </c>
      <c r="G1425" s="812">
        <v>0</v>
      </c>
      <c r="H1425" s="812">
        <v>0</v>
      </c>
      <c r="I1425" s="386">
        <f t="shared" si="54"/>
        <v>103941.48325</v>
      </c>
      <c r="J1425" s="203" t="s">
        <v>995</v>
      </c>
    </row>
    <row r="1426" spans="1:10" hidden="1" outlineLevel="1">
      <c r="A1426" s="425" t="s">
        <v>996</v>
      </c>
      <c r="B1426" s="220">
        <f t="shared" si="53"/>
        <v>41352.192750000002</v>
      </c>
      <c r="C1426" s="812">
        <v>0</v>
      </c>
      <c r="D1426" s="812">
        <v>0</v>
      </c>
      <c r="E1426" s="812">
        <v>0</v>
      </c>
      <c r="F1426" s="812">
        <v>0</v>
      </c>
      <c r="G1426" s="812">
        <v>0</v>
      </c>
      <c r="H1426" s="812">
        <v>0</v>
      </c>
      <c r="I1426" s="386">
        <f t="shared" si="54"/>
        <v>41352.192750000002</v>
      </c>
      <c r="J1426" s="203" t="s">
        <v>997</v>
      </c>
    </row>
    <row r="1427" spans="1:10" hidden="1" outlineLevel="1">
      <c r="A1427" s="425" t="s">
        <v>998</v>
      </c>
      <c r="B1427" s="220">
        <f t="shared" si="53"/>
        <v>31867.797500000004</v>
      </c>
      <c r="C1427" s="812">
        <v>0</v>
      </c>
      <c r="D1427" s="812">
        <v>0</v>
      </c>
      <c r="E1427" s="812">
        <v>0</v>
      </c>
      <c r="F1427" s="812">
        <v>0</v>
      </c>
      <c r="G1427" s="812">
        <v>0</v>
      </c>
      <c r="H1427" s="812">
        <v>0</v>
      </c>
      <c r="I1427" s="386">
        <f t="shared" si="54"/>
        <v>31867.797500000004</v>
      </c>
      <c r="J1427" s="203" t="s">
        <v>999</v>
      </c>
    </row>
    <row r="1428" spans="1:10" hidden="1" outlineLevel="1">
      <c r="A1428" s="425" t="s">
        <v>1000</v>
      </c>
      <c r="B1428" s="220">
        <f t="shared" si="53"/>
        <v>56428.787250000008</v>
      </c>
      <c r="C1428" s="812">
        <v>0</v>
      </c>
      <c r="D1428" s="812">
        <v>0</v>
      </c>
      <c r="E1428" s="812">
        <v>0</v>
      </c>
      <c r="F1428" s="812">
        <v>0</v>
      </c>
      <c r="G1428" s="812">
        <v>0</v>
      </c>
      <c r="H1428" s="812">
        <v>0</v>
      </c>
      <c r="I1428" s="386">
        <f t="shared" si="54"/>
        <v>56428.787250000008</v>
      </c>
      <c r="J1428" s="203" t="s">
        <v>1001</v>
      </c>
    </row>
    <row r="1429" spans="1:10" hidden="1" outlineLevel="1">
      <c r="A1429" s="425" t="s">
        <v>1002</v>
      </c>
      <c r="B1429" s="220">
        <f t="shared" si="53"/>
        <v>260805.93275000004</v>
      </c>
      <c r="C1429" s="812">
        <v>0</v>
      </c>
      <c r="D1429" s="812">
        <v>0</v>
      </c>
      <c r="E1429" s="812">
        <v>0</v>
      </c>
      <c r="F1429" s="812">
        <v>0</v>
      </c>
      <c r="G1429" s="812">
        <v>0</v>
      </c>
      <c r="H1429" s="812">
        <v>0</v>
      </c>
      <c r="I1429" s="386">
        <f t="shared" si="54"/>
        <v>260805.93275000004</v>
      </c>
      <c r="J1429" s="203" t="s">
        <v>1003</v>
      </c>
    </row>
    <row r="1430" spans="1:10" hidden="1" outlineLevel="1">
      <c r="A1430" s="425" t="s">
        <v>1004</v>
      </c>
      <c r="B1430" s="220">
        <f t="shared" si="53"/>
        <v>122924.64525</v>
      </c>
      <c r="C1430" s="812">
        <v>0</v>
      </c>
      <c r="D1430" s="812">
        <v>0</v>
      </c>
      <c r="E1430" s="812">
        <v>0</v>
      </c>
      <c r="F1430" s="812">
        <v>0</v>
      </c>
      <c r="G1430" s="812">
        <v>0</v>
      </c>
      <c r="H1430" s="812">
        <v>0</v>
      </c>
      <c r="I1430" s="386">
        <f t="shared" si="54"/>
        <v>122924.64525</v>
      </c>
      <c r="J1430" s="203" t="s">
        <v>1005</v>
      </c>
    </row>
    <row r="1431" spans="1:10" hidden="1" outlineLevel="1">
      <c r="A1431" s="425" t="s">
        <v>1006</v>
      </c>
      <c r="B1431" s="220">
        <f t="shared" si="53"/>
        <v>145213.61525</v>
      </c>
      <c r="C1431" s="812">
        <v>0</v>
      </c>
      <c r="D1431" s="812">
        <v>0</v>
      </c>
      <c r="E1431" s="812">
        <v>0</v>
      </c>
      <c r="F1431" s="812">
        <v>0</v>
      </c>
      <c r="G1431" s="812">
        <v>0</v>
      </c>
      <c r="H1431" s="812">
        <v>0</v>
      </c>
      <c r="I1431" s="386">
        <f t="shared" si="54"/>
        <v>145213.61525</v>
      </c>
      <c r="J1431" s="203" t="s">
        <v>1007</v>
      </c>
    </row>
    <row r="1432" spans="1:10" hidden="1" outlineLevel="1">
      <c r="A1432" s="425" t="s">
        <v>1008</v>
      </c>
      <c r="B1432" s="220">
        <f t="shared" si="53"/>
        <v>38888.063500000004</v>
      </c>
      <c r="C1432" s="812">
        <v>0</v>
      </c>
      <c r="D1432" s="812">
        <v>0</v>
      </c>
      <c r="E1432" s="812">
        <v>0</v>
      </c>
      <c r="F1432" s="812">
        <v>0</v>
      </c>
      <c r="G1432" s="812">
        <v>0</v>
      </c>
      <c r="H1432" s="812">
        <v>0</v>
      </c>
      <c r="I1432" s="386">
        <f t="shared" si="54"/>
        <v>38888.063500000004</v>
      </c>
      <c r="J1432" s="203" t="s">
        <v>1009</v>
      </c>
    </row>
    <row r="1433" spans="1:10" hidden="1" outlineLevel="1">
      <c r="A1433" s="425" t="s">
        <v>1010</v>
      </c>
      <c r="B1433" s="220">
        <f t="shared" si="53"/>
        <v>47588.348500000007</v>
      </c>
      <c r="C1433" s="812">
        <v>0</v>
      </c>
      <c r="D1433" s="812">
        <v>0</v>
      </c>
      <c r="E1433" s="812">
        <v>0</v>
      </c>
      <c r="F1433" s="812">
        <v>0</v>
      </c>
      <c r="G1433" s="812">
        <v>0</v>
      </c>
      <c r="H1433" s="812">
        <v>0</v>
      </c>
      <c r="I1433" s="386">
        <f t="shared" si="54"/>
        <v>47588.348500000007</v>
      </c>
      <c r="J1433" s="203" t="s">
        <v>1011</v>
      </c>
    </row>
    <row r="1434" spans="1:10" hidden="1" outlineLevel="1">
      <c r="A1434" s="425" t="s">
        <v>1012</v>
      </c>
      <c r="B1434" s="220">
        <f t="shared" si="53"/>
        <v>15897.070750000003</v>
      </c>
      <c r="C1434" s="812">
        <v>0</v>
      </c>
      <c r="D1434" s="812">
        <v>0</v>
      </c>
      <c r="E1434" s="812">
        <v>0</v>
      </c>
      <c r="F1434" s="812">
        <v>0</v>
      </c>
      <c r="G1434" s="812">
        <v>0</v>
      </c>
      <c r="H1434" s="812">
        <v>0</v>
      </c>
      <c r="I1434" s="386">
        <f t="shared" si="54"/>
        <v>15897.070750000003</v>
      </c>
      <c r="J1434" s="203" t="s">
        <v>1013</v>
      </c>
    </row>
    <row r="1435" spans="1:10" hidden="1" outlineLevel="1">
      <c r="A1435" s="425" t="s">
        <v>1014</v>
      </c>
      <c r="B1435" s="220">
        <f t="shared" si="53"/>
        <v>139766.06050000002</v>
      </c>
      <c r="C1435" s="812">
        <v>0</v>
      </c>
      <c r="D1435" s="812">
        <v>0</v>
      </c>
      <c r="E1435" s="812">
        <v>0</v>
      </c>
      <c r="F1435" s="812">
        <v>0</v>
      </c>
      <c r="G1435" s="812">
        <v>0</v>
      </c>
      <c r="H1435" s="812">
        <v>0</v>
      </c>
      <c r="I1435" s="386">
        <f t="shared" si="54"/>
        <v>139766.06050000002</v>
      </c>
      <c r="J1435" s="203" t="s">
        <v>1015</v>
      </c>
    </row>
    <row r="1436" spans="1:10" hidden="1" outlineLevel="1">
      <c r="A1436" s="425" t="s">
        <v>1016</v>
      </c>
      <c r="B1436" s="220">
        <f t="shared" si="53"/>
        <v>19897.985250000002</v>
      </c>
      <c r="C1436" s="812">
        <v>0</v>
      </c>
      <c r="D1436" s="812">
        <v>0</v>
      </c>
      <c r="E1436" s="812">
        <v>0</v>
      </c>
      <c r="F1436" s="812">
        <v>0</v>
      </c>
      <c r="G1436" s="812">
        <v>0</v>
      </c>
      <c r="H1436" s="812">
        <v>0</v>
      </c>
      <c r="I1436" s="386">
        <f t="shared" si="54"/>
        <v>19897.985250000002</v>
      </c>
      <c r="J1436" s="203" t="s">
        <v>1017</v>
      </c>
    </row>
    <row r="1437" spans="1:10" hidden="1" outlineLevel="1">
      <c r="A1437" s="425" t="s">
        <v>1018</v>
      </c>
      <c r="B1437" s="220">
        <f t="shared" si="53"/>
        <v>178508.17874999999</v>
      </c>
      <c r="C1437" s="812">
        <v>0</v>
      </c>
      <c r="D1437" s="812">
        <v>0</v>
      </c>
      <c r="E1437" s="812">
        <v>0</v>
      </c>
      <c r="F1437" s="812">
        <v>0</v>
      </c>
      <c r="G1437" s="812">
        <v>0</v>
      </c>
      <c r="H1437" s="812">
        <v>0</v>
      </c>
      <c r="I1437" s="386">
        <f t="shared" si="54"/>
        <v>178508.17874999999</v>
      </c>
      <c r="J1437" s="203" t="s">
        <v>1019</v>
      </c>
    </row>
    <row r="1438" spans="1:10" hidden="1" outlineLevel="1">
      <c r="A1438" s="425" t="s">
        <v>1020</v>
      </c>
      <c r="B1438" s="220">
        <f t="shared" si="53"/>
        <v>239432.16275000002</v>
      </c>
      <c r="C1438" s="812">
        <v>0</v>
      </c>
      <c r="D1438" s="812">
        <v>0</v>
      </c>
      <c r="E1438" s="812">
        <v>0</v>
      </c>
      <c r="F1438" s="812">
        <v>0</v>
      </c>
      <c r="G1438" s="812">
        <v>0</v>
      </c>
      <c r="H1438" s="812">
        <v>0</v>
      </c>
      <c r="I1438" s="386">
        <f t="shared" si="54"/>
        <v>239432.16275000002</v>
      </c>
      <c r="J1438" s="203" t="s">
        <v>1021</v>
      </c>
    </row>
    <row r="1439" spans="1:10" hidden="1" outlineLevel="1">
      <c r="A1439" s="425" t="s">
        <v>1022</v>
      </c>
      <c r="B1439" s="220">
        <f t="shared" si="53"/>
        <v>658336.56350000005</v>
      </c>
      <c r="C1439" s="812">
        <v>0</v>
      </c>
      <c r="D1439" s="812">
        <v>0</v>
      </c>
      <c r="E1439" s="812">
        <v>0</v>
      </c>
      <c r="F1439" s="812">
        <v>0</v>
      </c>
      <c r="G1439" s="812">
        <v>0</v>
      </c>
      <c r="H1439" s="812">
        <v>0</v>
      </c>
      <c r="I1439" s="386">
        <f t="shared" si="54"/>
        <v>658336.56350000005</v>
      </c>
      <c r="J1439" s="203" t="s">
        <v>1023</v>
      </c>
    </row>
    <row r="1440" spans="1:10" hidden="1" outlineLevel="1">
      <c r="A1440" s="425" t="s">
        <v>1024</v>
      </c>
      <c r="B1440" s="220">
        <f t="shared" si="53"/>
        <v>2146287.5130455</v>
      </c>
      <c r="C1440" s="812">
        <v>0</v>
      </c>
      <c r="D1440" s="812">
        <v>0</v>
      </c>
      <c r="E1440" s="812">
        <v>0</v>
      </c>
      <c r="F1440" s="813">
        <v>4440</v>
      </c>
      <c r="G1440" s="812">
        <v>0</v>
      </c>
      <c r="H1440" s="812">
        <v>0</v>
      </c>
      <c r="I1440" s="386">
        <f t="shared" si="54"/>
        <v>2150727.5130455</v>
      </c>
      <c r="J1440" s="203" t="s">
        <v>1025</v>
      </c>
    </row>
    <row r="1441" spans="1:10" hidden="1" outlineLevel="1">
      <c r="A1441" s="425" t="s">
        <v>1026</v>
      </c>
      <c r="B1441" s="220">
        <f t="shared" si="53"/>
        <v>231038.017375</v>
      </c>
      <c r="C1441" s="812">
        <v>0</v>
      </c>
      <c r="D1441" s="812">
        <v>0</v>
      </c>
      <c r="E1441" s="812">
        <v>0</v>
      </c>
      <c r="F1441" s="812">
        <v>0</v>
      </c>
      <c r="G1441" s="812">
        <v>0</v>
      </c>
      <c r="H1441" s="812">
        <v>0</v>
      </c>
      <c r="I1441" s="386">
        <f t="shared" si="54"/>
        <v>231038.017375</v>
      </c>
      <c r="J1441" s="203" t="s">
        <v>1027</v>
      </c>
    </row>
    <row r="1442" spans="1:10" hidden="1" outlineLevel="1">
      <c r="A1442" s="425" t="s">
        <v>1028</v>
      </c>
      <c r="B1442" s="220">
        <f t="shared" si="53"/>
        <v>48209.859499999999</v>
      </c>
      <c r="C1442" s="812">
        <v>0</v>
      </c>
      <c r="D1442" s="812">
        <v>0</v>
      </c>
      <c r="E1442" s="812">
        <v>0</v>
      </c>
      <c r="F1442" s="812">
        <v>0</v>
      </c>
      <c r="G1442" s="812">
        <v>0</v>
      </c>
      <c r="H1442" s="812">
        <v>0</v>
      </c>
      <c r="I1442" s="386">
        <f t="shared" si="54"/>
        <v>48209.859499999999</v>
      </c>
      <c r="J1442" s="203" t="s">
        <v>1029</v>
      </c>
    </row>
    <row r="1443" spans="1:10" hidden="1" outlineLevel="1">
      <c r="A1443" s="425" t="s">
        <v>1030</v>
      </c>
      <c r="B1443" s="220">
        <f t="shared" si="53"/>
        <v>1658984.4314999999</v>
      </c>
      <c r="C1443" s="812">
        <v>0</v>
      </c>
      <c r="D1443" s="812">
        <v>0</v>
      </c>
      <c r="E1443" s="812">
        <v>0</v>
      </c>
      <c r="F1443" s="812">
        <v>0</v>
      </c>
      <c r="G1443" s="812">
        <v>0</v>
      </c>
      <c r="H1443" s="812">
        <v>0</v>
      </c>
      <c r="I1443" s="386">
        <f t="shared" si="54"/>
        <v>1658984.4314999999</v>
      </c>
      <c r="J1443" s="203" t="s">
        <v>1031</v>
      </c>
    </row>
    <row r="1444" spans="1:10" hidden="1" outlineLevel="1">
      <c r="A1444" s="425" t="s">
        <v>1032</v>
      </c>
      <c r="B1444" s="220">
        <f t="shared" si="53"/>
        <v>27785.799250000004</v>
      </c>
      <c r="C1444" s="812">
        <v>0</v>
      </c>
      <c r="D1444" s="812">
        <v>0</v>
      </c>
      <c r="E1444" s="812">
        <v>0</v>
      </c>
      <c r="F1444" s="812">
        <v>0</v>
      </c>
      <c r="G1444" s="812">
        <v>0</v>
      </c>
      <c r="H1444" s="812">
        <v>0</v>
      </c>
      <c r="I1444" s="386">
        <f t="shared" si="54"/>
        <v>27785.799250000004</v>
      </c>
      <c r="J1444" s="203" t="s">
        <v>1033</v>
      </c>
    </row>
    <row r="1445" spans="1:10" hidden="1" outlineLevel="1">
      <c r="A1445" s="425" t="s">
        <v>1034</v>
      </c>
      <c r="B1445" s="220">
        <f t="shared" si="53"/>
        <v>21403.47</v>
      </c>
      <c r="C1445" s="812">
        <v>0</v>
      </c>
      <c r="D1445" s="812">
        <v>0</v>
      </c>
      <c r="E1445" s="812">
        <v>0</v>
      </c>
      <c r="F1445" s="812">
        <v>0</v>
      </c>
      <c r="G1445" s="812">
        <v>0</v>
      </c>
      <c r="H1445" s="812">
        <v>0</v>
      </c>
      <c r="I1445" s="386">
        <f t="shared" si="54"/>
        <v>21403.47</v>
      </c>
      <c r="J1445" s="203" t="s">
        <v>1035</v>
      </c>
    </row>
    <row r="1446" spans="1:10" hidden="1" outlineLevel="1">
      <c r="A1446" s="425" t="s">
        <v>1036</v>
      </c>
      <c r="B1446" s="220">
        <f t="shared" si="53"/>
        <v>248880.66500000004</v>
      </c>
      <c r="C1446" s="812">
        <v>0</v>
      </c>
      <c r="D1446" s="812">
        <v>0</v>
      </c>
      <c r="E1446" s="812">
        <v>0</v>
      </c>
      <c r="F1446" s="812">
        <v>0</v>
      </c>
      <c r="G1446" s="812">
        <v>0</v>
      </c>
      <c r="H1446" s="812">
        <v>0</v>
      </c>
      <c r="I1446" s="386">
        <f t="shared" si="54"/>
        <v>248880.66500000004</v>
      </c>
      <c r="J1446" s="203" t="s">
        <v>1037</v>
      </c>
    </row>
    <row r="1447" spans="1:10" hidden="1" outlineLevel="1">
      <c r="A1447" s="425" t="s">
        <v>1038</v>
      </c>
      <c r="B1447" s="220">
        <f t="shared" si="53"/>
        <v>60130.969250000009</v>
      </c>
      <c r="C1447" s="812">
        <v>0</v>
      </c>
      <c r="D1447" s="812">
        <v>0</v>
      </c>
      <c r="E1447" s="812">
        <v>0</v>
      </c>
      <c r="F1447" s="812">
        <v>0</v>
      </c>
      <c r="G1447" s="812">
        <v>0</v>
      </c>
      <c r="H1447" s="812">
        <v>0</v>
      </c>
      <c r="I1447" s="386">
        <f t="shared" si="54"/>
        <v>60130.969250000009</v>
      </c>
      <c r="J1447" s="203" t="s">
        <v>1039</v>
      </c>
    </row>
    <row r="1448" spans="1:10" hidden="1" outlineLevel="1">
      <c r="A1448" s="425" t="s">
        <v>1040</v>
      </c>
      <c r="B1448" s="220">
        <f t="shared" si="53"/>
        <v>93543.11725000001</v>
      </c>
      <c r="C1448" s="812">
        <v>0</v>
      </c>
      <c r="D1448" s="812">
        <v>0</v>
      </c>
      <c r="E1448" s="812">
        <v>0</v>
      </c>
      <c r="F1448" s="812">
        <v>0</v>
      </c>
      <c r="G1448" s="812">
        <v>0</v>
      </c>
      <c r="H1448" s="812">
        <v>0</v>
      </c>
      <c r="I1448" s="386">
        <f t="shared" si="54"/>
        <v>93543.11725000001</v>
      </c>
      <c r="J1448" s="203" t="s">
        <v>1041</v>
      </c>
    </row>
    <row r="1449" spans="1:10" hidden="1" outlineLevel="1">
      <c r="A1449" s="425" t="s">
        <v>1042</v>
      </c>
      <c r="B1449" s="220">
        <f t="shared" si="53"/>
        <v>69795.72050000001</v>
      </c>
      <c r="C1449" s="812">
        <v>0</v>
      </c>
      <c r="D1449" s="812">
        <v>0</v>
      </c>
      <c r="E1449" s="812">
        <v>0</v>
      </c>
      <c r="F1449" s="812">
        <v>0</v>
      </c>
      <c r="G1449" s="812">
        <v>0</v>
      </c>
      <c r="H1449" s="812">
        <v>0</v>
      </c>
      <c r="I1449" s="386">
        <f t="shared" si="54"/>
        <v>69795.72050000001</v>
      </c>
      <c r="J1449" s="203" t="s">
        <v>1043</v>
      </c>
    </row>
    <row r="1450" spans="1:10" hidden="1" outlineLevel="1">
      <c r="A1450" s="425" t="s">
        <v>1044</v>
      </c>
      <c r="B1450" s="220">
        <f t="shared" si="53"/>
        <v>119276.55575000001</v>
      </c>
      <c r="C1450" s="812">
        <v>0</v>
      </c>
      <c r="D1450" s="812">
        <v>0</v>
      </c>
      <c r="E1450" s="812">
        <v>0</v>
      </c>
      <c r="F1450" s="812">
        <v>0</v>
      </c>
      <c r="G1450" s="812">
        <v>0</v>
      </c>
      <c r="H1450" s="812">
        <v>0</v>
      </c>
      <c r="I1450" s="386">
        <f t="shared" si="54"/>
        <v>119276.55575000001</v>
      </c>
      <c r="J1450" s="203" t="s">
        <v>1045</v>
      </c>
    </row>
    <row r="1451" spans="1:10" hidden="1" outlineLevel="1">
      <c r="A1451" s="425" t="s">
        <v>1046</v>
      </c>
      <c r="B1451" s="220">
        <f t="shared" si="53"/>
        <v>69157.706750000012</v>
      </c>
      <c r="C1451" s="812">
        <v>0</v>
      </c>
      <c r="D1451" s="812">
        <v>0</v>
      </c>
      <c r="E1451" s="812">
        <v>0</v>
      </c>
      <c r="F1451" s="812">
        <v>0</v>
      </c>
      <c r="G1451" s="812">
        <v>0</v>
      </c>
      <c r="H1451" s="812">
        <v>0</v>
      </c>
      <c r="I1451" s="386">
        <f t="shared" si="54"/>
        <v>69157.706750000012</v>
      </c>
      <c r="J1451" s="203" t="s">
        <v>1047</v>
      </c>
    </row>
    <row r="1452" spans="1:10" hidden="1" outlineLevel="1">
      <c r="A1452" s="425" t="s">
        <v>1048</v>
      </c>
      <c r="B1452" s="220">
        <f t="shared" si="53"/>
        <v>109591.56450000001</v>
      </c>
      <c r="C1452" s="812">
        <v>0</v>
      </c>
      <c r="D1452" s="812">
        <v>0</v>
      </c>
      <c r="E1452" s="812">
        <v>0</v>
      </c>
      <c r="F1452" s="812">
        <v>0</v>
      </c>
      <c r="G1452" s="812">
        <v>0</v>
      </c>
      <c r="H1452" s="812">
        <v>0</v>
      </c>
      <c r="I1452" s="386">
        <f t="shared" si="54"/>
        <v>109591.56450000001</v>
      </c>
      <c r="J1452" s="203" t="s">
        <v>1049</v>
      </c>
    </row>
    <row r="1453" spans="1:10" hidden="1" outlineLevel="1">
      <c r="A1453" s="425" t="s">
        <v>1050</v>
      </c>
      <c r="B1453" s="220">
        <f t="shared" si="53"/>
        <v>161459.38875000001</v>
      </c>
      <c r="C1453" s="812">
        <v>0</v>
      </c>
      <c r="D1453" s="812">
        <v>0</v>
      </c>
      <c r="E1453" s="812">
        <v>0</v>
      </c>
      <c r="F1453" s="812">
        <v>0</v>
      </c>
      <c r="G1453" s="812">
        <v>0</v>
      </c>
      <c r="H1453" s="812">
        <v>0</v>
      </c>
      <c r="I1453" s="386">
        <f t="shared" si="54"/>
        <v>161459.38875000001</v>
      </c>
      <c r="J1453" s="203" t="s">
        <v>1051</v>
      </c>
    </row>
    <row r="1454" spans="1:10" hidden="1" outlineLevel="1">
      <c r="A1454" s="425" t="s">
        <v>1052</v>
      </c>
      <c r="B1454" s="220">
        <f t="shared" si="53"/>
        <v>146609.49325</v>
      </c>
      <c r="C1454" s="812">
        <v>0</v>
      </c>
      <c r="D1454" s="812">
        <v>0</v>
      </c>
      <c r="E1454" s="812">
        <v>0</v>
      </c>
      <c r="F1454" s="812">
        <v>0</v>
      </c>
      <c r="G1454" s="812">
        <v>0</v>
      </c>
      <c r="H1454" s="812">
        <v>0</v>
      </c>
      <c r="I1454" s="386">
        <f t="shared" si="54"/>
        <v>146609.49325</v>
      </c>
      <c r="J1454" s="203" t="s">
        <v>1053</v>
      </c>
    </row>
    <row r="1455" spans="1:10" hidden="1" outlineLevel="1">
      <c r="A1455" s="425" t="s">
        <v>1054</v>
      </c>
      <c r="B1455" s="220">
        <f t="shared" si="53"/>
        <v>472617.36500000005</v>
      </c>
      <c r="C1455" s="812">
        <v>0</v>
      </c>
      <c r="D1455" s="812">
        <v>0</v>
      </c>
      <c r="E1455" s="812">
        <v>0</v>
      </c>
      <c r="F1455" s="812">
        <v>0</v>
      </c>
      <c r="G1455" s="812">
        <v>0</v>
      </c>
      <c r="H1455" s="812">
        <v>0</v>
      </c>
      <c r="I1455" s="386">
        <f t="shared" si="54"/>
        <v>472617.36500000005</v>
      </c>
      <c r="J1455" s="203" t="s">
        <v>1055</v>
      </c>
    </row>
    <row r="1456" spans="1:10" hidden="1" outlineLevel="1">
      <c r="A1456" s="425" t="s">
        <v>1056</v>
      </c>
      <c r="B1456" s="220">
        <f t="shared" si="53"/>
        <v>68842.064500000008</v>
      </c>
      <c r="C1456" s="812">
        <v>0</v>
      </c>
      <c r="D1456" s="812">
        <v>0</v>
      </c>
      <c r="E1456" s="812">
        <v>0</v>
      </c>
      <c r="F1456" s="812">
        <v>0</v>
      </c>
      <c r="G1456" s="812">
        <v>0</v>
      </c>
      <c r="H1456" s="812">
        <v>0</v>
      </c>
      <c r="I1456" s="386">
        <f t="shared" si="54"/>
        <v>68842.064500000008</v>
      </c>
      <c r="J1456" s="203" t="s">
        <v>1057</v>
      </c>
    </row>
    <row r="1457" spans="1:10" hidden="1" outlineLevel="1">
      <c r="A1457" s="425" t="s">
        <v>1058</v>
      </c>
      <c r="B1457" s="220">
        <f t="shared" si="53"/>
        <v>465005.90675000002</v>
      </c>
      <c r="C1457" s="812">
        <v>0</v>
      </c>
      <c r="D1457" s="812">
        <v>0</v>
      </c>
      <c r="E1457" s="812">
        <v>0</v>
      </c>
      <c r="F1457" s="812">
        <v>0</v>
      </c>
      <c r="G1457" s="812">
        <v>0</v>
      </c>
      <c r="H1457" s="812">
        <v>0</v>
      </c>
      <c r="I1457" s="386">
        <f t="shared" si="54"/>
        <v>465005.90675000002</v>
      </c>
      <c r="J1457" s="203" t="s">
        <v>1059</v>
      </c>
    </row>
    <row r="1458" spans="1:10" hidden="1" outlineLevel="1">
      <c r="A1458" s="425" t="s">
        <v>1060</v>
      </c>
      <c r="B1458" s="220">
        <f t="shared" si="53"/>
        <v>322170.97000000003</v>
      </c>
      <c r="C1458" s="812">
        <v>0</v>
      </c>
      <c r="D1458" s="812">
        <v>0</v>
      </c>
      <c r="E1458" s="812">
        <v>0</v>
      </c>
      <c r="F1458" s="812">
        <v>0</v>
      </c>
      <c r="G1458" s="812">
        <v>0</v>
      </c>
      <c r="H1458" s="812">
        <v>0</v>
      </c>
      <c r="I1458" s="386">
        <f t="shared" si="54"/>
        <v>322170.97000000003</v>
      </c>
      <c r="J1458" s="203" t="s">
        <v>1061</v>
      </c>
    </row>
    <row r="1459" spans="1:10" hidden="1" outlineLevel="1">
      <c r="A1459" s="425" t="s">
        <v>1062</v>
      </c>
      <c r="B1459" s="220">
        <f t="shared" si="53"/>
        <v>205992.97400000002</v>
      </c>
      <c r="C1459" s="812">
        <v>0</v>
      </c>
      <c r="D1459" s="812">
        <v>0</v>
      </c>
      <c r="E1459" s="812">
        <v>0</v>
      </c>
      <c r="F1459" s="812">
        <v>0</v>
      </c>
      <c r="G1459" s="812">
        <v>0</v>
      </c>
      <c r="H1459" s="812">
        <v>0</v>
      </c>
      <c r="I1459" s="386">
        <f t="shared" si="54"/>
        <v>205992.97400000002</v>
      </c>
      <c r="J1459" s="203" t="s">
        <v>1063</v>
      </c>
    </row>
    <row r="1460" spans="1:10" hidden="1" outlineLevel="1">
      <c r="A1460" s="425" t="s">
        <v>1064</v>
      </c>
      <c r="B1460" s="220">
        <f t="shared" si="53"/>
        <v>394796.49825</v>
      </c>
      <c r="C1460" s="812">
        <v>0</v>
      </c>
      <c r="D1460" s="812">
        <v>0</v>
      </c>
      <c r="E1460" s="812">
        <v>0</v>
      </c>
      <c r="F1460" s="812">
        <v>0</v>
      </c>
      <c r="G1460" s="812">
        <v>0</v>
      </c>
      <c r="H1460" s="812">
        <v>0</v>
      </c>
      <c r="I1460" s="386">
        <f t="shared" si="54"/>
        <v>394796.49825</v>
      </c>
      <c r="J1460" s="203" t="s">
        <v>1065</v>
      </c>
    </row>
    <row r="1461" spans="1:10" hidden="1" outlineLevel="1">
      <c r="A1461" s="425" t="s">
        <v>1066</v>
      </c>
      <c r="B1461" s="220">
        <f t="shared" si="53"/>
        <v>22001.182499999999</v>
      </c>
      <c r="C1461" s="812">
        <v>0</v>
      </c>
      <c r="D1461" s="812">
        <v>0</v>
      </c>
      <c r="E1461" s="812">
        <v>0</v>
      </c>
      <c r="F1461" s="812">
        <v>0</v>
      </c>
      <c r="G1461" s="812">
        <v>0</v>
      </c>
      <c r="H1461" s="812">
        <v>0</v>
      </c>
      <c r="I1461" s="386">
        <f t="shared" si="54"/>
        <v>22001.182499999999</v>
      </c>
      <c r="J1461" s="203" t="s">
        <v>1067</v>
      </c>
    </row>
    <row r="1462" spans="1:10" hidden="1" outlineLevel="1">
      <c r="A1462" s="425" t="s">
        <v>1068</v>
      </c>
      <c r="B1462" s="220">
        <f t="shared" si="53"/>
        <v>314773.59925000003</v>
      </c>
      <c r="C1462" s="812">
        <v>0</v>
      </c>
      <c r="D1462" s="812">
        <v>0</v>
      </c>
      <c r="E1462" s="812">
        <v>0</v>
      </c>
      <c r="F1462" s="812">
        <v>0</v>
      </c>
      <c r="G1462" s="812">
        <v>0</v>
      </c>
      <c r="H1462" s="812">
        <v>0</v>
      </c>
      <c r="I1462" s="386">
        <f t="shared" si="54"/>
        <v>314773.59925000003</v>
      </c>
      <c r="J1462" s="203" t="s">
        <v>1069</v>
      </c>
    </row>
    <row r="1463" spans="1:10" hidden="1" outlineLevel="1">
      <c r="A1463" s="425" t="s">
        <v>1070</v>
      </c>
      <c r="B1463" s="220">
        <f t="shared" si="53"/>
        <v>213424.27425000002</v>
      </c>
      <c r="C1463" s="812">
        <v>0</v>
      </c>
      <c r="D1463" s="812">
        <v>0</v>
      </c>
      <c r="E1463" s="812">
        <v>0</v>
      </c>
      <c r="F1463" s="812">
        <v>0</v>
      </c>
      <c r="G1463" s="812">
        <v>0</v>
      </c>
      <c r="H1463" s="812">
        <v>0</v>
      </c>
      <c r="I1463" s="386">
        <f t="shared" si="54"/>
        <v>213424.27425000002</v>
      </c>
      <c r="J1463" s="203" t="s">
        <v>1071</v>
      </c>
    </row>
    <row r="1464" spans="1:10" hidden="1" outlineLevel="1">
      <c r="A1464" s="425" t="s">
        <v>1072</v>
      </c>
      <c r="B1464" s="220">
        <f t="shared" si="53"/>
        <v>167711.9235</v>
      </c>
      <c r="C1464" s="812">
        <v>0</v>
      </c>
      <c r="D1464" s="812">
        <v>0</v>
      </c>
      <c r="E1464" s="812">
        <v>0</v>
      </c>
      <c r="F1464" s="812">
        <v>0</v>
      </c>
      <c r="G1464" s="812">
        <v>0</v>
      </c>
      <c r="H1464" s="812">
        <v>0</v>
      </c>
      <c r="I1464" s="386">
        <f t="shared" si="54"/>
        <v>167711.9235</v>
      </c>
      <c r="J1464" s="203" t="s">
        <v>1073</v>
      </c>
    </row>
    <row r="1465" spans="1:10" hidden="1" outlineLevel="1">
      <c r="A1465" s="425" t="s">
        <v>1074</v>
      </c>
      <c r="B1465" s="220">
        <f t="shared" si="53"/>
        <v>608197.38650000002</v>
      </c>
      <c r="C1465" s="812">
        <v>0</v>
      </c>
      <c r="D1465" s="812">
        <v>0</v>
      </c>
      <c r="E1465" s="812">
        <v>0</v>
      </c>
      <c r="F1465" s="812">
        <v>0</v>
      </c>
      <c r="G1465" s="812">
        <v>0</v>
      </c>
      <c r="H1465" s="812">
        <v>0</v>
      </c>
      <c r="I1465" s="386">
        <f t="shared" si="54"/>
        <v>608197.38650000002</v>
      </c>
      <c r="J1465" s="203" t="s">
        <v>1075</v>
      </c>
    </row>
    <row r="1466" spans="1:10" hidden="1" outlineLevel="1">
      <c r="A1466" s="425" t="s">
        <v>1076</v>
      </c>
      <c r="B1466" s="220">
        <f t="shared" si="53"/>
        <v>123444.07625000001</v>
      </c>
      <c r="C1466" s="812">
        <v>0</v>
      </c>
      <c r="D1466" s="812">
        <v>0</v>
      </c>
      <c r="E1466" s="812">
        <v>0</v>
      </c>
      <c r="F1466" s="812">
        <v>0</v>
      </c>
      <c r="G1466" s="812">
        <v>0</v>
      </c>
      <c r="H1466" s="812">
        <v>0</v>
      </c>
      <c r="I1466" s="386">
        <f t="shared" si="54"/>
        <v>123444.07625000001</v>
      </c>
      <c r="J1466" s="203" t="s">
        <v>1077</v>
      </c>
    </row>
    <row r="1467" spans="1:10" hidden="1" outlineLevel="1">
      <c r="A1467" s="425" t="s">
        <v>1078</v>
      </c>
      <c r="B1467" s="220">
        <f t="shared" si="53"/>
        <v>157789.76125000001</v>
      </c>
      <c r="C1467" s="812">
        <v>0</v>
      </c>
      <c r="D1467" s="812">
        <v>0</v>
      </c>
      <c r="E1467" s="812">
        <v>0</v>
      </c>
      <c r="F1467" s="812">
        <v>0</v>
      </c>
      <c r="G1467" s="812">
        <v>0</v>
      </c>
      <c r="H1467" s="812">
        <v>0</v>
      </c>
      <c r="I1467" s="386">
        <f t="shared" si="54"/>
        <v>157789.76125000001</v>
      </c>
      <c r="J1467" s="203" t="s">
        <v>1079</v>
      </c>
    </row>
    <row r="1468" spans="1:10" hidden="1" outlineLevel="1">
      <c r="A1468" s="425" t="s">
        <v>1080</v>
      </c>
      <c r="B1468" s="220">
        <f t="shared" si="53"/>
        <v>309423.43849999999</v>
      </c>
      <c r="C1468" s="812">
        <v>0</v>
      </c>
      <c r="D1468" s="812">
        <v>0</v>
      </c>
      <c r="E1468" s="812">
        <v>0</v>
      </c>
      <c r="F1468" s="812">
        <v>0</v>
      </c>
      <c r="G1468" s="812">
        <v>0</v>
      </c>
      <c r="H1468" s="812">
        <v>0</v>
      </c>
      <c r="I1468" s="386">
        <f t="shared" si="54"/>
        <v>309423.43849999999</v>
      </c>
      <c r="J1468" s="203" t="s">
        <v>1081</v>
      </c>
    </row>
    <row r="1469" spans="1:10" hidden="1" outlineLevel="1">
      <c r="A1469" s="425" t="s">
        <v>1082</v>
      </c>
      <c r="B1469" s="220">
        <f t="shared" si="53"/>
        <v>111521.29175</v>
      </c>
      <c r="C1469" s="812">
        <v>0</v>
      </c>
      <c r="D1469" s="812">
        <v>0</v>
      </c>
      <c r="E1469" s="812">
        <v>0</v>
      </c>
      <c r="F1469" s="812">
        <v>0</v>
      </c>
      <c r="G1469" s="812">
        <v>0</v>
      </c>
      <c r="H1469" s="812">
        <v>0</v>
      </c>
      <c r="I1469" s="386">
        <f t="shared" si="54"/>
        <v>111521.29175</v>
      </c>
      <c r="J1469" s="203" t="s">
        <v>1083</v>
      </c>
    </row>
    <row r="1470" spans="1:10" hidden="1" outlineLevel="1">
      <c r="A1470" s="425" t="s">
        <v>1084</v>
      </c>
      <c r="B1470" s="220">
        <f t="shared" si="53"/>
        <v>203742.74800000002</v>
      </c>
      <c r="C1470" s="812">
        <v>0</v>
      </c>
      <c r="D1470" s="812">
        <v>0</v>
      </c>
      <c r="E1470" s="812">
        <v>0</v>
      </c>
      <c r="F1470" s="812">
        <v>0</v>
      </c>
      <c r="G1470" s="812">
        <v>0</v>
      </c>
      <c r="H1470" s="812">
        <v>0</v>
      </c>
      <c r="I1470" s="386">
        <f t="shared" si="54"/>
        <v>203742.74800000002</v>
      </c>
      <c r="J1470" s="203" t="s">
        <v>1085</v>
      </c>
    </row>
    <row r="1471" spans="1:10" hidden="1" outlineLevel="1">
      <c r="A1471" s="425" t="s">
        <v>1086</v>
      </c>
      <c r="B1471" s="220">
        <f t="shared" si="53"/>
        <v>290064.049</v>
      </c>
      <c r="C1471" s="812">
        <v>0</v>
      </c>
      <c r="D1471" s="812">
        <v>0</v>
      </c>
      <c r="E1471" s="812">
        <v>0</v>
      </c>
      <c r="F1471" s="812">
        <v>0</v>
      </c>
      <c r="G1471" s="812">
        <v>0</v>
      </c>
      <c r="H1471" s="812">
        <v>0</v>
      </c>
      <c r="I1471" s="386">
        <f t="shared" si="54"/>
        <v>290064.049</v>
      </c>
      <c r="J1471" s="203" t="s">
        <v>1087</v>
      </c>
    </row>
    <row r="1472" spans="1:10" hidden="1" outlineLevel="1">
      <c r="A1472" s="425" t="s">
        <v>1088</v>
      </c>
      <c r="B1472" s="220">
        <f t="shared" si="53"/>
        <v>285999.85150000005</v>
      </c>
      <c r="C1472" s="812">
        <v>0</v>
      </c>
      <c r="D1472" s="812">
        <v>0</v>
      </c>
      <c r="E1472" s="812">
        <v>0</v>
      </c>
      <c r="F1472" s="812">
        <v>0</v>
      </c>
      <c r="G1472" s="812">
        <v>0</v>
      </c>
      <c r="H1472" s="812">
        <v>0</v>
      </c>
      <c r="I1472" s="386">
        <f t="shared" si="54"/>
        <v>285999.85150000005</v>
      </c>
      <c r="J1472" s="203" t="s">
        <v>1089</v>
      </c>
    </row>
    <row r="1473" spans="1:10" hidden="1" outlineLevel="1">
      <c r="A1473" s="425" t="s">
        <v>1090</v>
      </c>
      <c r="B1473" s="220">
        <f t="shared" si="53"/>
        <v>177052.02900000001</v>
      </c>
      <c r="C1473" s="812">
        <v>0</v>
      </c>
      <c r="D1473" s="812">
        <v>0</v>
      </c>
      <c r="E1473" s="812">
        <v>0</v>
      </c>
      <c r="F1473" s="812">
        <v>0</v>
      </c>
      <c r="G1473" s="812">
        <v>0</v>
      </c>
      <c r="H1473" s="812">
        <v>0</v>
      </c>
      <c r="I1473" s="386">
        <f t="shared" si="54"/>
        <v>177052.02900000001</v>
      </c>
      <c r="J1473" s="203" t="s">
        <v>1091</v>
      </c>
    </row>
    <row r="1474" spans="1:10" hidden="1" outlineLevel="1">
      <c r="A1474" s="425" t="s">
        <v>1092</v>
      </c>
      <c r="B1474" s="220">
        <f t="shared" si="53"/>
        <v>252236.99875000003</v>
      </c>
      <c r="C1474" s="812">
        <v>0</v>
      </c>
      <c r="D1474" s="812">
        <v>0</v>
      </c>
      <c r="E1474" s="812">
        <v>0</v>
      </c>
      <c r="F1474" s="812">
        <v>0</v>
      </c>
      <c r="G1474" s="812">
        <v>0</v>
      </c>
      <c r="H1474" s="812">
        <v>0</v>
      </c>
      <c r="I1474" s="386">
        <f t="shared" si="54"/>
        <v>252236.99875000003</v>
      </c>
      <c r="J1474" s="203" t="s">
        <v>1093</v>
      </c>
    </row>
    <row r="1475" spans="1:10" hidden="1" outlineLevel="1">
      <c r="A1475" s="425" t="s">
        <v>1474</v>
      </c>
      <c r="B1475" s="220">
        <f t="shared" ref="B1475:B1538" si="55">B541*0.275/100</f>
        <v>319870.79300000001</v>
      </c>
      <c r="C1475" s="812">
        <v>0</v>
      </c>
      <c r="D1475" s="812">
        <v>0</v>
      </c>
      <c r="E1475" s="812">
        <v>0</v>
      </c>
      <c r="F1475" s="812">
        <v>0</v>
      </c>
      <c r="G1475" s="812">
        <v>0</v>
      </c>
      <c r="H1475" s="812">
        <v>0</v>
      </c>
      <c r="I1475" s="386">
        <f t="shared" ref="I1475:I1538" si="56">SUM(B1475:H1475)</f>
        <v>319870.79300000001</v>
      </c>
      <c r="J1475" s="203" t="s">
        <v>1475</v>
      </c>
    </row>
    <row r="1476" spans="1:10" hidden="1" outlineLevel="1">
      <c r="A1476" s="425" t="s">
        <v>1094</v>
      </c>
      <c r="B1476" s="220">
        <f t="shared" si="55"/>
        <v>174354.41925000001</v>
      </c>
      <c r="C1476" s="812">
        <v>0</v>
      </c>
      <c r="D1476" s="812">
        <v>0</v>
      </c>
      <c r="E1476" s="812">
        <v>0</v>
      </c>
      <c r="F1476" s="812">
        <v>0</v>
      </c>
      <c r="G1476" s="812">
        <v>0</v>
      </c>
      <c r="H1476" s="812">
        <v>0</v>
      </c>
      <c r="I1476" s="386">
        <f t="shared" si="56"/>
        <v>174354.41925000001</v>
      </c>
      <c r="J1476" s="203" t="s">
        <v>1095</v>
      </c>
    </row>
    <row r="1477" spans="1:10" hidden="1" outlineLevel="1">
      <c r="A1477" s="425" t="s">
        <v>1096</v>
      </c>
      <c r="B1477" s="220">
        <f t="shared" si="55"/>
        <v>78651.284250000012</v>
      </c>
      <c r="C1477" s="812">
        <v>0</v>
      </c>
      <c r="D1477" s="812">
        <v>0</v>
      </c>
      <c r="E1477" s="812">
        <v>0</v>
      </c>
      <c r="F1477" s="812">
        <v>0</v>
      </c>
      <c r="G1477" s="812">
        <v>0</v>
      </c>
      <c r="H1477" s="812">
        <v>0</v>
      </c>
      <c r="I1477" s="386">
        <f t="shared" si="56"/>
        <v>78651.284250000012</v>
      </c>
      <c r="J1477" s="203" t="s">
        <v>1097</v>
      </c>
    </row>
    <row r="1478" spans="1:10" hidden="1" outlineLevel="1">
      <c r="A1478" s="425" t="s">
        <v>1098</v>
      </c>
      <c r="B1478" s="220">
        <f t="shared" si="55"/>
        <v>65558.765249999997</v>
      </c>
      <c r="C1478" s="812">
        <v>0</v>
      </c>
      <c r="D1478" s="812">
        <v>0</v>
      </c>
      <c r="E1478" s="812">
        <v>0</v>
      </c>
      <c r="F1478" s="812">
        <v>0</v>
      </c>
      <c r="G1478" s="812">
        <v>0</v>
      </c>
      <c r="H1478" s="812">
        <v>0</v>
      </c>
      <c r="I1478" s="386">
        <f t="shared" si="56"/>
        <v>65558.765249999997</v>
      </c>
      <c r="J1478" s="203" t="s">
        <v>1099</v>
      </c>
    </row>
    <row r="1479" spans="1:10" hidden="1" outlineLevel="1">
      <c r="A1479" s="425" t="s">
        <v>1100</v>
      </c>
      <c r="B1479" s="220">
        <f t="shared" si="55"/>
        <v>2916921.7825000002</v>
      </c>
      <c r="C1479" s="812">
        <v>0</v>
      </c>
      <c r="D1479" s="812">
        <v>0</v>
      </c>
      <c r="E1479" s="812">
        <v>0</v>
      </c>
      <c r="F1479" s="812">
        <v>0</v>
      </c>
      <c r="G1479" s="812">
        <v>0</v>
      </c>
      <c r="H1479" s="812">
        <v>0</v>
      </c>
      <c r="I1479" s="386">
        <f t="shared" si="56"/>
        <v>2916921.7825000002</v>
      </c>
      <c r="J1479" s="203" t="s">
        <v>1101</v>
      </c>
    </row>
    <row r="1480" spans="1:10" hidden="1" outlineLevel="1">
      <c r="A1480" s="425" t="s">
        <v>521</v>
      </c>
      <c r="B1480" s="220">
        <f t="shared" si="55"/>
        <v>59632.21143825</v>
      </c>
      <c r="C1480" s="812">
        <v>0</v>
      </c>
      <c r="D1480" s="812">
        <v>0</v>
      </c>
      <c r="E1480" s="812">
        <v>0</v>
      </c>
      <c r="F1480" s="812">
        <v>0</v>
      </c>
      <c r="G1480" s="812">
        <v>0</v>
      </c>
      <c r="H1480" s="812">
        <v>0</v>
      </c>
      <c r="I1480" s="386">
        <f t="shared" si="56"/>
        <v>59632.21143825</v>
      </c>
      <c r="J1480" s="203" t="s">
        <v>522</v>
      </c>
    </row>
    <row r="1481" spans="1:10" hidden="1" outlineLevel="1">
      <c r="A1481" s="425" t="s">
        <v>1102</v>
      </c>
      <c r="B1481" s="220">
        <f t="shared" si="55"/>
        <v>98763.824500000017</v>
      </c>
      <c r="C1481" s="812">
        <v>0</v>
      </c>
      <c r="D1481" s="812">
        <v>0</v>
      </c>
      <c r="E1481" s="812">
        <v>0</v>
      </c>
      <c r="F1481" s="812">
        <v>0</v>
      </c>
      <c r="G1481" s="812">
        <v>0</v>
      </c>
      <c r="H1481" s="812">
        <v>0</v>
      </c>
      <c r="I1481" s="386">
        <f t="shared" si="56"/>
        <v>98763.824500000017</v>
      </c>
      <c r="J1481" s="203" t="s">
        <v>1103</v>
      </c>
    </row>
    <row r="1482" spans="1:10" hidden="1" outlineLevel="1">
      <c r="A1482" s="425" t="s">
        <v>1104</v>
      </c>
      <c r="B1482" s="220">
        <f t="shared" si="55"/>
        <v>89891.595750000008</v>
      </c>
      <c r="C1482" s="812">
        <v>0</v>
      </c>
      <c r="D1482" s="812">
        <v>0</v>
      </c>
      <c r="E1482" s="812">
        <v>0</v>
      </c>
      <c r="F1482" s="812">
        <v>0</v>
      </c>
      <c r="G1482" s="812">
        <v>0</v>
      </c>
      <c r="H1482" s="812">
        <v>0</v>
      </c>
      <c r="I1482" s="386">
        <f t="shared" si="56"/>
        <v>89891.595750000008</v>
      </c>
      <c r="J1482" s="203" t="s">
        <v>1105</v>
      </c>
    </row>
    <row r="1483" spans="1:10" hidden="1" outlineLevel="1">
      <c r="A1483" s="425" t="s">
        <v>1106</v>
      </c>
      <c r="B1483" s="220">
        <f t="shared" si="55"/>
        <v>215543.12450000003</v>
      </c>
      <c r="C1483" s="812">
        <v>0</v>
      </c>
      <c r="D1483" s="812">
        <v>0</v>
      </c>
      <c r="E1483" s="812">
        <v>0</v>
      </c>
      <c r="F1483" s="812">
        <v>0</v>
      </c>
      <c r="G1483" s="812">
        <v>0</v>
      </c>
      <c r="H1483" s="812">
        <v>0</v>
      </c>
      <c r="I1483" s="386">
        <f t="shared" si="56"/>
        <v>215543.12450000003</v>
      </c>
      <c r="J1483" s="203" t="s">
        <v>1107</v>
      </c>
    </row>
    <row r="1484" spans="1:10" hidden="1" outlineLevel="1">
      <c r="A1484" s="425" t="s">
        <v>1108</v>
      </c>
      <c r="B1484" s="220">
        <f t="shared" si="55"/>
        <v>112938.31725000002</v>
      </c>
      <c r="C1484" s="812">
        <v>0</v>
      </c>
      <c r="D1484" s="812">
        <v>0</v>
      </c>
      <c r="E1484" s="812">
        <v>0</v>
      </c>
      <c r="F1484" s="812">
        <v>0</v>
      </c>
      <c r="G1484" s="812">
        <v>0</v>
      </c>
      <c r="H1484" s="812">
        <v>0</v>
      </c>
      <c r="I1484" s="386">
        <f t="shared" si="56"/>
        <v>112938.31725000002</v>
      </c>
      <c r="J1484" s="203" t="s">
        <v>1109</v>
      </c>
    </row>
    <row r="1485" spans="1:10" hidden="1" outlineLevel="1">
      <c r="A1485" s="425" t="s">
        <v>1110</v>
      </c>
      <c r="B1485" s="220">
        <f t="shared" si="55"/>
        <v>328605.17525000003</v>
      </c>
      <c r="C1485" s="812">
        <v>0</v>
      </c>
      <c r="D1485" s="812">
        <v>0</v>
      </c>
      <c r="E1485" s="812">
        <v>0</v>
      </c>
      <c r="F1485" s="812">
        <v>0</v>
      </c>
      <c r="G1485" s="812">
        <v>0</v>
      </c>
      <c r="H1485" s="812">
        <v>0</v>
      </c>
      <c r="I1485" s="386">
        <f t="shared" si="56"/>
        <v>328605.17525000003</v>
      </c>
      <c r="J1485" s="203" t="s">
        <v>1111</v>
      </c>
    </row>
    <row r="1486" spans="1:10" hidden="1" outlineLevel="1">
      <c r="A1486" s="425" t="s">
        <v>1112</v>
      </c>
      <c r="B1486" s="220">
        <f t="shared" si="55"/>
        <v>209470.24725000001</v>
      </c>
      <c r="C1486" s="812">
        <v>0</v>
      </c>
      <c r="D1486" s="812">
        <v>0</v>
      </c>
      <c r="E1486" s="812">
        <v>0</v>
      </c>
      <c r="F1486" s="812">
        <v>0</v>
      </c>
      <c r="G1486" s="812">
        <v>0</v>
      </c>
      <c r="H1486" s="812">
        <v>0</v>
      </c>
      <c r="I1486" s="386">
        <f t="shared" si="56"/>
        <v>209470.24725000001</v>
      </c>
      <c r="J1486" s="203" t="s">
        <v>1113</v>
      </c>
    </row>
    <row r="1487" spans="1:10" hidden="1" outlineLevel="1">
      <c r="A1487" s="425" t="s">
        <v>1114</v>
      </c>
      <c r="B1487" s="220">
        <f t="shared" si="55"/>
        <v>163903.78229500001</v>
      </c>
      <c r="C1487" s="812">
        <v>0</v>
      </c>
      <c r="D1487" s="812">
        <v>0</v>
      </c>
      <c r="E1487" s="812">
        <v>0</v>
      </c>
      <c r="F1487" s="812">
        <v>0</v>
      </c>
      <c r="G1487" s="812">
        <v>0</v>
      </c>
      <c r="H1487" s="812">
        <v>0</v>
      </c>
      <c r="I1487" s="386">
        <f t="shared" si="56"/>
        <v>163903.78229500001</v>
      </c>
      <c r="J1487" s="203" t="s">
        <v>1115</v>
      </c>
    </row>
    <row r="1488" spans="1:10" hidden="1" outlineLevel="1">
      <c r="A1488" s="425" t="s">
        <v>1116</v>
      </c>
      <c r="B1488" s="220">
        <f t="shared" si="55"/>
        <v>385864.13250000001</v>
      </c>
      <c r="C1488" s="812">
        <v>0</v>
      </c>
      <c r="D1488" s="812">
        <v>0</v>
      </c>
      <c r="E1488" s="812">
        <v>0</v>
      </c>
      <c r="F1488" s="812">
        <v>0</v>
      </c>
      <c r="G1488" s="812">
        <v>0</v>
      </c>
      <c r="H1488" s="812">
        <v>0</v>
      </c>
      <c r="I1488" s="386">
        <f t="shared" si="56"/>
        <v>385864.13250000001</v>
      </c>
      <c r="J1488" s="203" t="s">
        <v>1117</v>
      </c>
    </row>
    <row r="1489" spans="1:10" hidden="1" outlineLevel="1">
      <c r="A1489" s="425" t="s">
        <v>1118</v>
      </c>
      <c r="B1489" s="220">
        <f t="shared" si="55"/>
        <v>43665.888749999998</v>
      </c>
      <c r="C1489" s="812">
        <v>0</v>
      </c>
      <c r="D1489" s="812">
        <v>0</v>
      </c>
      <c r="E1489" s="812">
        <v>0</v>
      </c>
      <c r="F1489" s="812">
        <v>0</v>
      </c>
      <c r="G1489" s="812">
        <v>0</v>
      </c>
      <c r="H1489" s="812">
        <v>0</v>
      </c>
      <c r="I1489" s="386">
        <f t="shared" si="56"/>
        <v>43665.888749999998</v>
      </c>
      <c r="J1489" s="203" t="s">
        <v>1119</v>
      </c>
    </row>
    <row r="1490" spans="1:10" hidden="1" outlineLevel="1">
      <c r="A1490" s="425" t="s">
        <v>1120</v>
      </c>
      <c r="B1490" s="220">
        <f t="shared" si="55"/>
        <v>6982027.7834999999</v>
      </c>
      <c r="C1490" s="812">
        <v>0</v>
      </c>
      <c r="D1490" s="812">
        <v>0</v>
      </c>
      <c r="E1490" s="812">
        <v>0</v>
      </c>
      <c r="F1490" s="813">
        <v>22058</v>
      </c>
      <c r="G1490" s="813">
        <v>1865</v>
      </c>
      <c r="H1490" s="812">
        <v>0</v>
      </c>
      <c r="I1490" s="386">
        <f t="shared" si="56"/>
        <v>7005950.7834999999</v>
      </c>
      <c r="J1490" s="203" t="s">
        <v>1121</v>
      </c>
    </row>
    <row r="1491" spans="1:10" hidden="1" outlineLevel="1">
      <c r="A1491" s="425" t="s">
        <v>1122</v>
      </c>
      <c r="B1491" s="220">
        <f t="shared" si="55"/>
        <v>697733.55248575006</v>
      </c>
      <c r="C1491" s="812">
        <v>0</v>
      </c>
      <c r="D1491" s="812">
        <v>0</v>
      </c>
      <c r="E1491" s="812">
        <v>0</v>
      </c>
      <c r="F1491" s="812">
        <v>0</v>
      </c>
      <c r="G1491" s="812">
        <v>0</v>
      </c>
      <c r="H1491" s="812">
        <v>0</v>
      </c>
      <c r="I1491" s="386">
        <f t="shared" si="56"/>
        <v>697733.55248575006</v>
      </c>
      <c r="J1491" s="203" t="s">
        <v>1123</v>
      </c>
    </row>
    <row r="1492" spans="1:10" hidden="1" outlineLevel="1">
      <c r="A1492" s="425" t="s">
        <v>1875</v>
      </c>
      <c r="B1492" s="220">
        <f t="shared" si="55"/>
        <v>6469.3997500000005</v>
      </c>
      <c r="C1492" s="812">
        <v>0</v>
      </c>
      <c r="D1492" s="812">
        <v>0</v>
      </c>
      <c r="E1492" s="812">
        <v>0</v>
      </c>
      <c r="F1492" s="812">
        <v>0</v>
      </c>
      <c r="G1492" s="812">
        <v>0</v>
      </c>
      <c r="H1492" s="812">
        <v>0</v>
      </c>
      <c r="I1492" s="386">
        <f t="shared" si="56"/>
        <v>6469.3997500000005</v>
      </c>
      <c r="J1492" s="203" t="s">
        <v>1876</v>
      </c>
    </row>
    <row r="1493" spans="1:10" hidden="1" outlineLevel="1">
      <c r="A1493" s="425" t="s">
        <v>1124</v>
      </c>
      <c r="B1493" s="220">
        <f t="shared" si="55"/>
        <v>93455.580570000006</v>
      </c>
      <c r="C1493" s="812">
        <v>0</v>
      </c>
      <c r="D1493" s="812">
        <v>0</v>
      </c>
      <c r="E1493" s="812">
        <v>0</v>
      </c>
      <c r="F1493" s="812">
        <v>0</v>
      </c>
      <c r="G1493" s="812">
        <v>0</v>
      </c>
      <c r="H1493" s="812">
        <v>0</v>
      </c>
      <c r="I1493" s="386">
        <f t="shared" si="56"/>
        <v>93455.580570000006</v>
      </c>
      <c r="J1493" s="203" t="s">
        <v>1125</v>
      </c>
    </row>
    <row r="1494" spans="1:10" hidden="1" outlineLevel="1">
      <c r="A1494" s="425" t="s">
        <v>1126</v>
      </c>
      <c r="B1494" s="220">
        <f t="shared" si="55"/>
        <v>315334.37017500005</v>
      </c>
      <c r="C1494" s="812">
        <v>0</v>
      </c>
      <c r="D1494" s="812">
        <v>0</v>
      </c>
      <c r="E1494" s="812">
        <v>0</v>
      </c>
      <c r="F1494" s="812">
        <v>0</v>
      </c>
      <c r="G1494" s="812">
        <v>0</v>
      </c>
      <c r="H1494" s="812">
        <v>0</v>
      </c>
      <c r="I1494" s="386">
        <f t="shared" si="56"/>
        <v>315334.37017500005</v>
      </c>
      <c r="J1494" s="203" t="s">
        <v>1127</v>
      </c>
    </row>
    <row r="1495" spans="1:10" hidden="1" outlineLevel="1">
      <c r="A1495" s="425" t="s">
        <v>1128</v>
      </c>
      <c r="B1495" s="220">
        <f t="shared" si="55"/>
        <v>72814.1535</v>
      </c>
      <c r="C1495" s="812">
        <v>0</v>
      </c>
      <c r="D1495" s="812">
        <v>0</v>
      </c>
      <c r="E1495" s="812">
        <v>0</v>
      </c>
      <c r="F1495" s="812">
        <v>0</v>
      </c>
      <c r="G1495" s="812">
        <v>0</v>
      </c>
      <c r="H1495" s="812">
        <v>0</v>
      </c>
      <c r="I1495" s="386">
        <f t="shared" si="56"/>
        <v>72814.1535</v>
      </c>
      <c r="J1495" s="203" t="s">
        <v>1129</v>
      </c>
    </row>
    <row r="1496" spans="1:10" hidden="1" outlineLevel="1">
      <c r="A1496" s="425" t="s">
        <v>1130</v>
      </c>
      <c r="B1496" s="220">
        <f t="shared" si="55"/>
        <v>346680.69425000006</v>
      </c>
      <c r="C1496" s="812">
        <v>0</v>
      </c>
      <c r="D1496" s="812">
        <v>0</v>
      </c>
      <c r="E1496" s="812">
        <v>0</v>
      </c>
      <c r="F1496" s="812">
        <v>0</v>
      </c>
      <c r="G1496" s="812">
        <v>0</v>
      </c>
      <c r="H1496" s="812">
        <v>0</v>
      </c>
      <c r="I1496" s="386">
        <f t="shared" si="56"/>
        <v>346680.69425000006</v>
      </c>
      <c r="J1496" s="203" t="s">
        <v>1131</v>
      </c>
    </row>
    <row r="1497" spans="1:10" hidden="1" outlineLevel="1">
      <c r="A1497" s="425" t="s">
        <v>1132</v>
      </c>
      <c r="B1497" s="220">
        <f t="shared" si="55"/>
        <v>50970.587250000004</v>
      </c>
      <c r="C1497" s="812">
        <v>0</v>
      </c>
      <c r="D1497" s="812">
        <v>0</v>
      </c>
      <c r="E1497" s="812">
        <v>0</v>
      </c>
      <c r="F1497" s="812">
        <v>0</v>
      </c>
      <c r="G1497" s="812">
        <v>0</v>
      </c>
      <c r="H1497" s="812">
        <v>0</v>
      </c>
      <c r="I1497" s="386">
        <f t="shared" si="56"/>
        <v>50970.587250000004</v>
      </c>
      <c r="J1497" s="203" t="s">
        <v>1133</v>
      </c>
    </row>
    <row r="1498" spans="1:10" hidden="1" outlineLevel="1">
      <c r="A1498" s="425" t="s">
        <v>1134</v>
      </c>
      <c r="B1498" s="220">
        <f t="shared" si="55"/>
        <v>217546.64249999999</v>
      </c>
      <c r="C1498" s="812">
        <v>0</v>
      </c>
      <c r="D1498" s="812">
        <v>0</v>
      </c>
      <c r="E1498" s="812">
        <v>0</v>
      </c>
      <c r="F1498" s="812">
        <v>0</v>
      </c>
      <c r="G1498" s="812">
        <v>0</v>
      </c>
      <c r="H1498" s="812">
        <v>0</v>
      </c>
      <c r="I1498" s="386">
        <f t="shared" si="56"/>
        <v>217546.64249999999</v>
      </c>
      <c r="J1498" s="203" t="s">
        <v>1135</v>
      </c>
    </row>
    <row r="1499" spans="1:10" hidden="1" outlineLevel="1">
      <c r="A1499" s="425" t="s">
        <v>1136</v>
      </c>
      <c r="B1499" s="220">
        <f t="shared" si="55"/>
        <v>44937.474999999999</v>
      </c>
      <c r="C1499" s="812">
        <v>0</v>
      </c>
      <c r="D1499" s="812">
        <v>0</v>
      </c>
      <c r="E1499" s="812">
        <v>0</v>
      </c>
      <c r="F1499" s="812">
        <v>0</v>
      </c>
      <c r="G1499" s="812">
        <v>0</v>
      </c>
      <c r="H1499" s="812">
        <v>0</v>
      </c>
      <c r="I1499" s="386">
        <f t="shared" si="56"/>
        <v>44937.474999999999</v>
      </c>
      <c r="J1499" s="203" t="s">
        <v>1137</v>
      </c>
    </row>
    <row r="1500" spans="1:10" hidden="1" outlineLevel="1">
      <c r="A1500" s="425" t="s">
        <v>1138</v>
      </c>
      <c r="B1500" s="220">
        <f t="shared" si="55"/>
        <v>28852.991750000001</v>
      </c>
      <c r="C1500" s="812">
        <v>0</v>
      </c>
      <c r="D1500" s="812">
        <v>0</v>
      </c>
      <c r="E1500" s="812">
        <v>0</v>
      </c>
      <c r="F1500" s="812">
        <v>0</v>
      </c>
      <c r="G1500" s="812">
        <v>0</v>
      </c>
      <c r="H1500" s="812">
        <v>0</v>
      </c>
      <c r="I1500" s="386">
        <f t="shared" si="56"/>
        <v>28852.991750000001</v>
      </c>
      <c r="J1500" s="203" t="s">
        <v>1139</v>
      </c>
    </row>
    <row r="1501" spans="1:10" hidden="1" outlineLevel="1">
      <c r="A1501" s="425" t="s">
        <v>1140</v>
      </c>
      <c r="B1501" s="220">
        <f t="shared" si="55"/>
        <v>479106.43550000002</v>
      </c>
      <c r="C1501" s="812">
        <v>0</v>
      </c>
      <c r="D1501" s="812">
        <v>0</v>
      </c>
      <c r="E1501" s="812">
        <v>0</v>
      </c>
      <c r="F1501" s="812">
        <v>0</v>
      </c>
      <c r="G1501" s="812">
        <v>0</v>
      </c>
      <c r="H1501" s="812">
        <v>0</v>
      </c>
      <c r="I1501" s="386">
        <f t="shared" si="56"/>
        <v>479106.43550000002</v>
      </c>
      <c r="J1501" s="203" t="s">
        <v>1141</v>
      </c>
    </row>
    <row r="1502" spans="1:10" hidden="1" outlineLevel="1">
      <c r="A1502" s="425" t="s">
        <v>1142</v>
      </c>
      <c r="B1502" s="220">
        <f t="shared" si="55"/>
        <v>85616.800500000012</v>
      </c>
      <c r="C1502" s="812">
        <v>0</v>
      </c>
      <c r="D1502" s="812">
        <v>0</v>
      </c>
      <c r="E1502" s="812">
        <v>0</v>
      </c>
      <c r="F1502" s="812">
        <v>0</v>
      </c>
      <c r="G1502" s="812">
        <v>0</v>
      </c>
      <c r="H1502" s="812">
        <v>0</v>
      </c>
      <c r="I1502" s="386">
        <f t="shared" si="56"/>
        <v>85616.800500000012</v>
      </c>
      <c r="J1502" s="203" t="s">
        <v>1143</v>
      </c>
    </row>
    <row r="1503" spans="1:10" hidden="1" outlineLevel="1">
      <c r="A1503" s="425" t="s">
        <v>1144</v>
      </c>
      <c r="B1503" s="220">
        <f t="shared" si="55"/>
        <v>101859.01275000001</v>
      </c>
      <c r="C1503" s="812">
        <v>0</v>
      </c>
      <c r="D1503" s="812">
        <v>0</v>
      </c>
      <c r="E1503" s="812">
        <v>0</v>
      </c>
      <c r="F1503" s="812">
        <v>0</v>
      </c>
      <c r="G1503" s="812">
        <v>0</v>
      </c>
      <c r="H1503" s="812">
        <v>0</v>
      </c>
      <c r="I1503" s="386">
        <f t="shared" si="56"/>
        <v>101859.01275000001</v>
      </c>
      <c r="J1503" s="203" t="s">
        <v>1145</v>
      </c>
    </row>
    <row r="1504" spans="1:10" hidden="1" outlineLevel="1">
      <c r="A1504" s="425" t="s">
        <v>1146</v>
      </c>
      <c r="B1504" s="220">
        <f t="shared" si="55"/>
        <v>47567.338500000005</v>
      </c>
      <c r="C1504" s="812">
        <v>0</v>
      </c>
      <c r="D1504" s="812">
        <v>0</v>
      </c>
      <c r="E1504" s="812">
        <v>0</v>
      </c>
      <c r="F1504" s="812">
        <v>0</v>
      </c>
      <c r="G1504" s="812">
        <v>0</v>
      </c>
      <c r="H1504" s="812">
        <v>0</v>
      </c>
      <c r="I1504" s="386">
        <f t="shared" si="56"/>
        <v>47567.338500000005</v>
      </c>
      <c r="J1504" s="203" t="s">
        <v>1147</v>
      </c>
    </row>
    <row r="1505" spans="1:10" hidden="1" outlineLevel="1">
      <c r="A1505" s="425" t="s">
        <v>1148</v>
      </c>
      <c r="B1505" s="220">
        <f t="shared" si="55"/>
        <v>16653.262999999999</v>
      </c>
      <c r="C1505" s="812">
        <v>0</v>
      </c>
      <c r="D1505" s="812">
        <v>0</v>
      </c>
      <c r="E1505" s="812">
        <v>0</v>
      </c>
      <c r="F1505" s="812">
        <v>0</v>
      </c>
      <c r="G1505" s="812">
        <v>0</v>
      </c>
      <c r="H1505" s="812">
        <v>0</v>
      </c>
      <c r="I1505" s="386">
        <f t="shared" si="56"/>
        <v>16653.262999999999</v>
      </c>
      <c r="J1505" s="203" t="s">
        <v>1149</v>
      </c>
    </row>
    <row r="1506" spans="1:10" hidden="1" outlineLevel="1">
      <c r="A1506" s="425" t="s">
        <v>1150</v>
      </c>
      <c r="B1506" s="220">
        <f t="shared" si="55"/>
        <v>93167.78350000002</v>
      </c>
      <c r="C1506" s="812">
        <v>0</v>
      </c>
      <c r="D1506" s="812">
        <v>0</v>
      </c>
      <c r="E1506" s="812">
        <v>0</v>
      </c>
      <c r="F1506" s="812">
        <v>0</v>
      </c>
      <c r="G1506" s="812">
        <v>0</v>
      </c>
      <c r="H1506" s="812">
        <v>0</v>
      </c>
      <c r="I1506" s="386">
        <f t="shared" si="56"/>
        <v>93167.78350000002</v>
      </c>
      <c r="J1506" s="203" t="s">
        <v>1151</v>
      </c>
    </row>
    <row r="1507" spans="1:10" hidden="1" outlineLevel="1">
      <c r="A1507" s="425" t="s">
        <v>1152</v>
      </c>
      <c r="B1507" s="220">
        <f t="shared" si="55"/>
        <v>46912.269250000005</v>
      </c>
      <c r="C1507" s="812">
        <v>0</v>
      </c>
      <c r="D1507" s="812">
        <v>0</v>
      </c>
      <c r="E1507" s="812">
        <v>0</v>
      </c>
      <c r="F1507" s="812">
        <v>0</v>
      </c>
      <c r="G1507" s="812">
        <v>0</v>
      </c>
      <c r="H1507" s="812">
        <v>0</v>
      </c>
      <c r="I1507" s="386">
        <f t="shared" si="56"/>
        <v>46912.269250000005</v>
      </c>
      <c r="J1507" s="203" t="s">
        <v>1153</v>
      </c>
    </row>
    <row r="1508" spans="1:10" hidden="1" outlineLevel="1">
      <c r="A1508" s="425" t="s">
        <v>1154</v>
      </c>
      <c r="B1508" s="220">
        <f t="shared" si="55"/>
        <v>23127.775000000001</v>
      </c>
      <c r="C1508" s="812">
        <v>0</v>
      </c>
      <c r="D1508" s="812">
        <v>0</v>
      </c>
      <c r="E1508" s="812">
        <v>0</v>
      </c>
      <c r="F1508" s="812">
        <v>0</v>
      </c>
      <c r="G1508" s="812">
        <v>0</v>
      </c>
      <c r="H1508" s="812">
        <v>0</v>
      </c>
      <c r="I1508" s="386">
        <f t="shared" si="56"/>
        <v>23127.775000000001</v>
      </c>
      <c r="J1508" s="203" t="s">
        <v>1155</v>
      </c>
    </row>
    <row r="1509" spans="1:10" hidden="1" outlineLevel="1">
      <c r="A1509" s="425" t="s">
        <v>1156</v>
      </c>
      <c r="B1509" s="220">
        <f t="shared" si="55"/>
        <v>78210.748000000007</v>
      </c>
      <c r="C1509" s="812">
        <v>0</v>
      </c>
      <c r="D1509" s="812">
        <v>0</v>
      </c>
      <c r="E1509" s="812">
        <v>0</v>
      </c>
      <c r="F1509" s="812">
        <v>0</v>
      </c>
      <c r="G1509" s="812">
        <v>0</v>
      </c>
      <c r="H1509" s="812">
        <v>0</v>
      </c>
      <c r="I1509" s="386">
        <f t="shared" si="56"/>
        <v>78210.748000000007</v>
      </c>
      <c r="J1509" s="203" t="s">
        <v>1157</v>
      </c>
    </row>
    <row r="1510" spans="1:10" hidden="1" outlineLevel="1">
      <c r="A1510" s="425" t="s">
        <v>1158</v>
      </c>
      <c r="B1510" s="220">
        <f t="shared" si="55"/>
        <v>56498.741750000008</v>
      </c>
      <c r="C1510" s="812">
        <v>0</v>
      </c>
      <c r="D1510" s="812">
        <v>0</v>
      </c>
      <c r="E1510" s="812">
        <v>0</v>
      </c>
      <c r="F1510" s="812">
        <v>0</v>
      </c>
      <c r="G1510" s="812">
        <v>0</v>
      </c>
      <c r="H1510" s="812">
        <v>0</v>
      </c>
      <c r="I1510" s="386">
        <f t="shared" si="56"/>
        <v>56498.741750000008</v>
      </c>
      <c r="J1510" s="203" t="s">
        <v>1159</v>
      </c>
    </row>
    <row r="1511" spans="1:10" hidden="1" outlineLevel="1">
      <c r="A1511" s="425" t="s">
        <v>1160</v>
      </c>
      <c r="B1511" s="220">
        <f t="shared" si="55"/>
        <v>1039621.51650775</v>
      </c>
      <c r="C1511" s="812">
        <v>0</v>
      </c>
      <c r="D1511" s="812">
        <v>0</v>
      </c>
      <c r="E1511" s="812">
        <v>0</v>
      </c>
      <c r="F1511" s="812">
        <v>0</v>
      </c>
      <c r="G1511" s="812">
        <v>0</v>
      </c>
      <c r="H1511" s="812">
        <v>0</v>
      </c>
      <c r="I1511" s="386">
        <f t="shared" si="56"/>
        <v>1039621.51650775</v>
      </c>
      <c r="J1511" s="203" t="s">
        <v>1161</v>
      </c>
    </row>
    <row r="1512" spans="1:10" hidden="1" outlineLevel="1">
      <c r="A1512" s="425" t="s">
        <v>1162</v>
      </c>
      <c r="B1512" s="220">
        <f t="shared" si="55"/>
        <v>225019.82250000001</v>
      </c>
      <c r="C1512" s="812">
        <v>0</v>
      </c>
      <c r="D1512" s="812">
        <v>0</v>
      </c>
      <c r="E1512" s="812">
        <v>0</v>
      </c>
      <c r="F1512" s="812">
        <v>0</v>
      </c>
      <c r="G1512" s="812">
        <v>0</v>
      </c>
      <c r="H1512" s="812">
        <v>0</v>
      </c>
      <c r="I1512" s="386">
        <f t="shared" si="56"/>
        <v>225019.82250000001</v>
      </c>
      <c r="J1512" s="203" t="s">
        <v>1163</v>
      </c>
    </row>
    <row r="1513" spans="1:10" hidden="1" outlineLevel="1">
      <c r="A1513" s="425" t="s">
        <v>1164</v>
      </c>
      <c r="B1513" s="220">
        <f t="shared" si="55"/>
        <v>357142.44775000005</v>
      </c>
      <c r="C1513" s="812">
        <v>0</v>
      </c>
      <c r="D1513" s="812">
        <v>0</v>
      </c>
      <c r="E1513" s="812">
        <v>0</v>
      </c>
      <c r="F1513" s="812">
        <v>0</v>
      </c>
      <c r="G1513" s="812">
        <v>0</v>
      </c>
      <c r="H1513" s="812">
        <v>0</v>
      </c>
      <c r="I1513" s="386">
        <f t="shared" si="56"/>
        <v>357142.44775000005</v>
      </c>
      <c r="J1513" s="203" t="s">
        <v>1165</v>
      </c>
    </row>
    <row r="1514" spans="1:10" hidden="1" outlineLevel="1">
      <c r="A1514" s="425" t="s">
        <v>1166</v>
      </c>
      <c r="B1514" s="220">
        <f t="shared" si="55"/>
        <v>8765.0887500000008</v>
      </c>
      <c r="C1514" s="812">
        <v>0</v>
      </c>
      <c r="D1514" s="812">
        <v>0</v>
      </c>
      <c r="E1514" s="812">
        <v>0</v>
      </c>
      <c r="F1514" s="812">
        <v>0</v>
      </c>
      <c r="G1514" s="812">
        <v>0</v>
      </c>
      <c r="H1514" s="812">
        <v>0</v>
      </c>
      <c r="I1514" s="386">
        <f t="shared" si="56"/>
        <v>8765.0887500000008</v>
      </c>
      <c r="J1514" s="203" t="s">
        <v>1167</v>
      </c>
    </row>
    <row r="1515" spans="1:10" hidden="1" outlineLevel="1">
      <c r="A1515" s="425" t="s">
        <v>1168</v>
      </c>
      <c r="B1515" s="220">
        <f t="shared" si="55"/>
        <v>78752.412750000003</v>
      </c>
      <c r="C1515" s="812">
        <v>0</v>
      </c>
      <c r="D1515" s="812">
        <v>0</v>
      </c>
      <c r="E1515" s="812">
        <v>0</v>
      </c>
      <c r="F1515" s="812">
        <v>0</v>
      </c>
      <c r="G1515" s="812">
        <v>0</v>
      </c>
      <c r="H1515" s="812">
        <v>0</v>
      </c>
      <c r="I1515" s="386">
        <f t="shared" si="56"/>
        <v>78752.412750000003</v>
      </c>
      <c r="J1515" s="203" t="s">
        <v>1169</v>
      </c>
    </row>
    <row r="1516" spans="1:10" hidden="1" outlineLevel="1">
      <c r="A1516" s="425" t="s">
        <v>1170</v>
      </c>
      <c r="B1516" s="220">
        <f t="shared" si="55"/>
        <v>155140.139</v>
      </c>
      <c r="C1516" s="812">
        <v>0</v>
      </c>
      <c r="D1516" s="812">
        <v>0</v>
      </c>
      <c r="E1516" s="812">
        <v>0</v>
      </c>
      <c r="F1516" s="812">
        <v>0</v>
      </c>
      <c r="G1516" s="812">
        <v>0</v>
      </c>
      <c r="H1516" s="812">
        <v>0</v>
      </c>
      <c r="I1516" s="386">
        <f t="shared" si="56"/>
        <v>155140.139</v>
      </c>
      <c r="J1516" s="203" t="s">
        <v>1171</v>
      </c>
    </row>
    <row r="1517" spans="1:10" hidden="1" outlineLevel="1">
      <c r="A1517" s="425" t="s">
        <v>1172</v>
      </c>
      <c r="B1517" s="220">
        <f t="shared" si="55"/>
        <v>103779.00775</v>
      </c>
      <c r="C1517" s="812">
        <v>0</v>
      </c>
      <c r="D1517" s="812">
        <v>0</v>
      </c>
      <c r="E1517" s="812">
        <v>0</v>
      </c>
      <c r="F1517" s="812">
        <v>0</v>
      </c>
      <c r="G1517" s="812">
        <v>0</v>
      </c>
      <c r="H1517" s="812">
        <v>0</v>
      </c>
      <c r="I1517" s="386">
        <f t="shared" si="56"/>
        <v>103779.00775</v>
      </c>
      <c r="J1517" s="203" t="s">
        <v>1173</v>
      </c>
    </row>
    <row r="1518" spans="1:10" hidden="1" outlineLevel="1">
      <c r="A1518" s="425" t="s">
        <v>1174</v>
      </c>
      <c r="B1518" s="220">
        <f t="shared" si="55"/>
        <v>914132.85150000011</v>
      </c>
      <c r="C1518" s="812">
        <v>0</v>
      </c>
      <c r="D1518" s="812">
        <v>0</v>
      </c>
      <c r="E1518" s="812">
        <v>0</v>
      </c>
      <c r="F1518" s="812">
        <v>0</v>
      </c>
      <c r="G1518" s="812">
        <v>0</v>
      </c>
      <c r="H1518" s="812">
        <v>0</v>
      </c>
      <c r="I1518" s="386">
        <f t="shared" si="56"/>
        <v>914132.85150000011</v>
      </c>
      <c r="J1518" s="203" t="s">
        <v>1175</v>
      </c>
    </row>
    <row r="1519" spans="1:10" hidden="1" outlineLevel="1">
      <c r="A1519" s="425" t="s">
        <v>1176</v>
      </c>
      <c r="B1519" s="220">
        <f t="shared" si="55"/>
        <v>994165.26825000008</v>
      </c>
      <c r="C1519" s="812">
        <v>0</v>
      </c>
      <c r="D1519" s="812">
        <v>0</v>
      </c>
      <c r="E1519" s="812">
        <v>0</v>
      </c>
      <c r="F1519" s="812">
        <v>0</v>
      </c>
      <c r="G1519" s="812">
        <v>0</v>
      </c>
      <c r="H1519" s="812">
        <v>0</v>
      </c>
      <c r="I1519" s="386">
        <f t="shared" si="56"/>
        <v>994165.26825000008</v>
      </c>
      <c r="J1519" s="203" t="s">
        <v>1177</v>
      </c>
    </row>
    <row r="1520" spans="1:10" hidden="1" outlineLevel="1">
      <c r="A1520" s="425" t="s">
        <v>1178</v>
      </c>
      <c r="B1520" s="220">
        <f t="shared" si="55"/>
        <v>49050.116500000004</v>
      </c>
      <c r="C1520" s="812">
        <v>0</v>
      </c>
      <c r="D1520" s="812">
        <v>0</v>
      </c>
      <c r="E1520" s="812">
        <v>0</v>
      </c>
      <c r="F1520" s="812">
        <v>0</v>
      </c>
      <c r="G1520" s="812">
        <v>0</v>
      </c>
      <c r="H1520" s="812">
        <v>0</v>
      </c>
      <c r="I1520" s="386">
        <f t="shared" si="56"/>
        <v>49050.116500000004</v>
      </c>
      <c r="J1520" s="203" t="s">
        <v>1179</v>
      </c>
    </row>
    <row r="1521" spans="1:10" hidden="1" outlineLevel="1">
      <c r="A1521" s="425" t="s">
        <v>1877</v>
      </c>
      <c r="B1521" s="220">
        <f t="shared" si="55"/>
        <v>0</v>
      </c>
      <c r="C1521" s="812">
        <v>0</v>
      </c>
      <c r="D1521" s="812">
        <v>0</v>
      </c>
      <c r="E1521" s="812">
        <v>0</v>
      </c>
      <c r="F1521" s="812">
        <v>0</v>
      </c>
      <c r="G1521" s="812">
        <v>0</v>
      </c>
      <c r="H1521" s="812">
        <v>0</v>
      </c>
      <c r="I1521" s="386">
        <f t="shared" si="56"/>
        <v>0</v>
      </c>
      <c r="J1521" s="203" t="s">
        <v>1878</v>
      </c>
    </row>
    <row r="1522" spans="1:10" hidden="1" outlineLevel="1">
      <c r="A1522" s="425" t="s">
        <v>1180</v>
      </c>
      <c r="B1522" s="220">
        <f t="shared" si="55"/>
        <v>45690.818250000004</v>
      </c>
      <c r="C1522" s="812">
        <v>0</v>
      </c>
      <c r="D1522" s="812">
        <v>0</v>
      </c>
      <c r="E1522" s="812">
        <v>0</v>
      </c>
      <c r="F1522" s="812">
        <v>0</v>
      </c>
      <c r="G1522" s="812">
        <v>0</v>
      </c>
      <c r="H1522" s="812">
        <v>0</v>
      </c>
      <c r="I1522" s="386">
        <f t="shared" si="56"/>
        <v>45690.818250000004</v>
      </c>
      <c r="J1522" s="203" t="s">
        <v>1181</v>
      </c>
    </row>
    <row r="1523" spans="1:10" hidden="1" outlineLevel="1">
      <c r="A1523" s="425" t="s">
        <v>1182</v>
      </c>
      <c r="B1523" s="220">
        <f t="shared" si="55"/>
        <v>58039.734499999999</v>
      </c>
      <c r="C1523" s="812">
        <v>0</v>
      </c>
      <c r="D1523" s="812">
        <v>0</v>
      </c>
      <c r="E1523" s="812">
        <v>0</v>
      </c>
      <c r="F1523" s="812">
        <v>0</v>
      </c>
      <c r="G1523" s="812">
        <v>0</v>
      </c>
      <c r="H1523" s="812">
        <v>0</v>
      </c>
      <c r="I1523" s="386">
        <f t="shared" si="56"/>
        <v>58039.734499999999</v>
      </c>
      <c r="J1523" s="203" t="s">
        <v>1183</v>
      </c>
    </row>
    <row r="1524" spans="1:10" hidden="1" outlineLevel="1">
      <c r="A1524" s="425" t="s">
        <v>1184</v>
      </c>
      <c r="B1524" s="220">
        <f t="shared" si="55"/>
        <v>396231.05775000004</v>
      </c>
      <c r="C1524" s="812">
        <v>0</v>
      </c>
      <c r="D1524" s="812">
        <v>0</v>
      </c>
      <c r="E1524" s="812">
        <v>0</v>
      </c>
      <c r="F1524" s="812">
        <v>0</v>
      </c>
      <c r="G1524" s="812">
        <v>0</v>
      </c>
      <c r="H1524" s="812">
        <v>0</v>
      </c>
      <c r="I1524" s="386">
        <f t="shared" si="56"/>
        <v>396231.05775000004</v>
      </c>
      <c r="J1524" s="203" t="s">
        <v>1185</v>
      </c>
    </row>
    <row r="1525" spans="1:10" hidden="1" outlineLevel="1">
      <c r="A1525" s="425" t="s">
        <v>1186</v>
      </c>
      <c r="B1525" s="220">
        <f t="shared" si="55"/>
        <v>240798.39575000003</v>
      </c>
      <c r="C1525" s="812">
        <v>0</v>
      </c>
      <c r="D1525" s="812">
        <v>0</v>
      </c>
      <c r="E1525" s="812">
        <v>0</v>
      </c>
      <c r="F1525" s="812">
        <v>0</v>
      </c>
      <c r="G1525" s="812">
        <v>0</v>
      </c>
      <c r="H1525" s="812">
        <v>0</v>
      </c>
      <c r="I1525" s="386">
        <f t="shared" si="56"/>
        <v>240798.39575000003</v>
      </c>
      <c r="J1525" s="203" t="s">
        <v>1187</v>
      </c>
    </row>
    <row r="1526" spans="1:10" hidden="1" outlineLevel="1">
      <c r="A1526" s="425" t="s">
        <v>1188</v>
      </c>
      <c r="B1526" s="220">
        <f t="shared" si="55"/>
        <v>67392.688000000009</v>
      </c>
      <c r="C1526" s="812">
        <v>0</v>
      </c>
      <c r="D1526" s="812">
        <v>0</v>
      </c>
      <c r="E1526" s="812">
        <v>0</v>
      </c>
      <c r="F1526" s="812">
        <v>0</v>
      </c>
      <c r="G1526" s="812">
        <v>0</v>
      </c>
      <c r="H1526" s="812">
        <v>0</v>
      </c>
      <c r="I1526" s="386">
        <f t="shared" si="56"/>
        <v>67392.688000000009</v>
      </c>
      <c r="J1526" s="203" t="s">
        <v>1189</v>
      </c>
    </row>
    <row r="1527" spans="1:10" hidden="1" outlineLevel="1">
      <c r="A1527" s="425" t="s">
        <v>1190</v>
      </c>
      <c r="B1527" s="220">
        <f t="shared" si="55"/>
        <v>241754.58452750006</v>
      </c>
      <c r="C1527" s="812">
        <v>0</v>
      </c>
      <c r="D1527" s="812">
        <v>0</v>
      </c>
      <c r="E1527" s="812">
        <v>0</v>
      </c>
      <c r="F1527" s="812">
        <v>0</v>
      </c>
      <c r="G1527" s="812">
        <v>0</v>
      </c>
      <c r="H1527" s="812">
        <v>0</v>
      </c>
      <c r="I1527" s="386">
        <f t="shared" si="56"/>
        <v>241754.58452750006</v>
      </c>
      <c r="J1527" s="203" t="s">
        <v>1191</v>
      </c>
    </row>
    <row r="1528" spans="1:10" hidden="1" outlineLevel="1">
      <c r="A1528" s="425" t="s">
        <v>1192</v>
      </c>
      <c r="B1528" s="220">
        <f t="shared" si="55"/>
        <v>326513.26400000002</v>
      </c>
      <c r="C1528" s="812">
        <v>0</v>
      </c>
      <c r="D1528" s="812">
        <v>0</v>
      </c>
      <c r="E1528" s="812">
        <v>0</v>
      </c>
      <c r="F1528" s="812">
        <v>0</v>
      </c>
      <c r="G1528" s="812">
        <v>0</v>
      </c>
      <c r="H1528" s="812">
        <v>0</v>
      </c>
      <c r="I1528" s="386">
        <f t="shared" si="56"/>
        <v>326513.26400000002</v>
      </c>
      <c r="J1528" s="203" t="s">
        <v>1193</v>
      </c>
    </row>
    <row r="1529" spans="1:10" hidden="1" outlineLevel="1">
      <c r="A1529" s="425" t="s">
        <v>1194</v>
      </c>
      <c r="B1529" s="220">
        <f t="shared" si="55"/>
        <v>119303.06300000001</v>
      </c>
      <c r="C1529" s="812">
        <v>0</v>
      </c>
      <c r="D1529" s="812">
        <v>0</v>
      </c>
      <c r="E1529" s="812">
        <v>0</v>
      </c>
      <c r="F1529" s="812">
        <v>0</v>
      </c>
      <c r="G1529" s="812">
        <v>0</v>
      </c>
      <c r="H1529" s="812">
        <v>0</v>
      </c>
      <c r="I1529" s="386">
        <f t="shared" si="56"/>
        <v>119303.06300000001</v>
      </c>
      <c r="J1529" s="203" t="s">
        <v>1195</v>
      </c>
    </row>
    <row r="1530" spans="1:10" hidden="1" outlineLevel="1">
      <c r="A1530" s="425" t="s">
        <v>1196</v>
      </c>
      <c r="B1530" s="220">
        <f t="shared" si="55"/>
        <v>266542.33650000003</v>
      </c>
      <c r="C1530" s="812">
        <v>0</v>
      </c>
      <c r="D1530" s="812">
        <v>0</v>
      </c>
      <c r="E1530" s="812">
        <v>0</v>
      </c>
      <c r="F1530" s="812">
        <v>0</v>
      </c>
      <c r="G1530" s="812">
        <v>0</v>
      </c>
      <c r="H1530" s="812">
        <v>0</v>
      </c>
      <c r="I1530" s="386">
        <f t="shared" si="56"/>
        <v>266542.33650000003</v>
      </c>
      <c r="J1530" s="203" t="s">
        <v>1197</v>
      </c>
    </row>
    <row r="1531" spans="1:10" hidden="1" outlineLevel="1">
      <c r="A1531" s="425" t="s">
        <v>1198</v>
      </c>
      <c r="B1531" s="220">
        <f t="shared" si="55"/>
        <v>5597920.3720000004</v>
      </c>
      <c r="C1531" s="812">
        <v>0</v>
      </c>
      <c r="D1531" s="812">
        <v>0</v>
      </c>
      <c r="E1531" s="812">
        <v>0</v>
      </c>
      <c r="F1531" s="813">
        <v>8770</v>
      </c>
      <c r="G1531" s="812">
        <v>0</v>
      </c>
      <c r="H1531" s="812">
        <v>0</v>
      </c>
      <c r="I1531" s="386">
        <f t="shared" si="56"/>
        <v>5606690.3720000004</v>
      </c>
      <c r="J1531" s="203" t="s">
        <v>1199</v>
      </c>
    </row>
    <row r="1532" spans="1:10" hidden="1" outlineLevel="1">
      <c r="A1532" s="425" t="s">
        <v>1200</v>
      </c>
      <c r="B1532" s="220">
        <f t="shared" si="55"/>
        <v>657462.87199999997</v>
      </c>
      <c r="C1532" s="812">
        <v>0</v>
      </c>
      <c r="D1532" s="812">
        <v>0</v>
      </c>
      <c r="E1532" s="812">
        <v>0</v>
      </c>
      <c r="F1532" s="812">
        <v>0</v>
      </c>
      <c r="G1532" s="812">
        <v>0</v>
      </c>
      <c r="H1532" s="812">
        <v>0</v>
      </c>
      <c r="I1532" s="386">
        <f t="shared" si="56"/>
        <v>657462.87199999997</v>
      </c>
      <c r="J1532" s="203" t="s">
        <v>1201</v>
      </c>
    </row>
    <row r="1533" spans="1:10" hidden="1" outlineLevel="1">
      <c r="A1533" s="425" t="s">
        <v>1202</v>
      </c>
      <c r="B1533" s="220">
        <f t="shared" si="55"/>
        <v>53384.144</v>
      </c>
      <c r="C1533" s="812">
        <v>0</v>
      </c>
      <c r="D1533" s="812">
        <v>0</v>
      </c>
      <c r="E1533" s="812">
        <v>0</v>
      </c>
      <c r="F1533" s="812">
        <v>0</v>
      </c>
      <c r="G1533" s="812">
        <v>0</v>
      </c>
      <c r="H1533" s="812">
        <v>0</v>
      </c>
      <c r="I1533" s="386">
        <f t="shared" si="56"/>
        <v>53384.144</v>
      </c>
      <c r="J1533" s="203" t="s">
        <v>1203</v>
      </c>
    </row>
    <row r="1534" spans="1:10" hidden="1" outlineLevel="1">
      <c r="A1534" s="425" t="s">
        <v>1204</v>
      </c>
      <c r="B1534" s="220">
        <f t="shared" si="55"/>
        <v>16760034.816250002</v>
      </c>
      <c r="C1534" s="812">
        <v>0</v>
      </c>
      <c r="D1534" s="812">
        <v>0</v>
      </c>
      <c r="E1534" s="812">
        <v>0</v>
      </c>
      <c r="F1534" s="813">
        <v>72829</v>
      </c>
      <c r="G1534" s="812">
        <v>0</v>
      </c>
      <c r="H1534" s="812">
        <v>0</v>
      </c>
      <c r="I1534" s="386">
        <f t="shared" si="56"/>
        <v>16832863.816250004</v>
      </c>
      <c r="J1534" s="203" t="s">
        <v>1205</v>
      </c>
    </row>
    <row r="1535" spans="1:10" hidden="1" outlineLevel="1">
      <c r="A1535" s="425" t="s">
        <v>1206</v>
      </c>
      <c r="B1535" s="220">
        <f t="shared" si="55"/>
        <v>230013.86925000002</v>
      </c>
      <c r="C1535" s="812">
        <v>0</v>
      </c>
      <c r="D1535" s="812">
        <v>0</v>
      </c>
      <c r="E1535" s="812">
        <v>0</v>
      </c>
      <c r="F1535" s="812">
        <v>0</v>
      </c>
      <c r="G1535" s="812">
        <v>0</v>
      </c>
      <c r="H1535" s="812">
        <v>0</v>
      </c>
      <c r="I1535" s="386">
        <f t="shared" si="56"/>
        <v>230013.86925000002</v>
      </c>
      <c r="J1535" s="203" t="s">
        <v>1207</v>
      </c>
    </row>
    <row r="1536" spans="1:10" hidden="1" outlineLevel="1">
      <c r="A1536" s="425" t="s">
        <v>1208</v>
      </c>
      <c r="B1536" s="220">
        <f t="shared" si="55"/>
        <v>146538.21325</v>
      </c>
      <c r="C1536" s="812">
        <v>0</v>
      </c>
      <c r="D1536" s="812">
        <v>0</v>
      </c>
      <c r="E1536" s="812">
        <v>0</v>
      </c>
      <c r="F1536" s="812">
        <v>0</v>
      </c>
      <c r="G1536" s="812">
        <v>0</v>
      </c>
      <c r="H1536" s="812">
        <v>0</v>
      </c>
      <c r="I1536" s="386">
        <f t="shared" si="56"/>
        <v>146538.21325</v>
      </c>
      <c r="J1536" s="203" t="s">
        <v>1209</v>
      </c>
    </row>
    <row r="1537" spans="1:10" hidden="1" outlineLevel="1">
      <c r="A1537" s="425" t="s">
        <v>1210</v>
      </c>
      <c r="B1537" s="220">
        <f t="shared" si="55"/>
        <v>2770898.108</v>
      </c>
      <c r="C1537" s="812">
        <v>0</v>
      </c>
      <c r="D1537" s="812">
        <v>0</v>
      </c>
      <c r="E1537" s="812">
        <v>0</v>
      </c>
      <c r="F1537" s="812">
        <v>0</v>
      </c>
      <c r="G1537" s="812">
        <v>0</v>
      </c>
      <c r="H1537" s="812">
        <v>0</v>
      </c>
      <c r="I1537" s="386">
        <f t="shared" si="56"/>
        <v>2770898.108</v>
      </c>
      <c r="J1537" s="203" t="s">
        <v>1211</v>
      </c>
    </row>
    <row r="1538" spans="1:10" hidden="1" outlineLevel="1">
      <c r="A1538" s="425" t="s">
        <v>1212</v>
      </c>
      <c r="B1538" s="220">
        <f t="shared" si="55"/>
        <v>177443.09275000001</v>
      </c>
      <c r="C1538" s="812">
        <v>0</v>
      </c>
      <c r="D1538" s="812">
        <v>0</v>
      </c>
      <c r="E1538" s="812">
        <v>0</v>
      </c>
      <c r="F1538" s="812">
        <v>0</v>
      </c>
      <c r="G1538" s="812">
        <v>0</v>
      </c>
      <c r="H1538" s="812">
        <v>0</v>
      </c>
      <c r="I1538" s="386">
        <f t="shared" si="56"/>
        <v>177443.09275000001</v>
      </c>
      <c r="J1538" s="203" t="s">
        <v>1213</v>
      </c>
    </row>
    <row r="1539" spans="1:10" hidden="1" outlineLevel="1">
      <c r="A1539" s="425" t="s">
        <v>1214</v>
      </c>
      <c r="B1539" s="220">
        <f t="shared" ref="B1539:B1602" si="57">B605*0.275/100</f>
        <v>71655.585512500009</v>
      </c>
      <c r="C1539" s="812">
        <v>0</v>
      </c>
      <c r="D1539" s="812">
        <v>0</v>
      </c>
      <c r="E1539" s="812">
        <v>0</v>
      </c>
      <c r="F1539" s="812">
        <v>0</v>
      </c>
      <c r="G1539" s="812">
        <v>398</v>
      </c>
      <c r="H1539" s="812">
        <v>0</v>
      </c>
      <c r="I1539" s="386">
        <f t="shared" ref="I1539:I1602" si="58">SUM(B1539:H1539)</f>
        <v>72053.585512500009</v>
      </c>
      <c r="J1539" s="203" t="s">
        <v>1215</v>
      </c>
    </row>
    <row r="1540" spans="1:10" hidden="1" outlineLevel="1">
      <c r="A1540" s="425" t="s">
        <v>1216</v>
      </c>
      <c r="B1540" s="220">
        <f t="shared" si="57"/>
        <v>100763.93800000001</v>
      </c>
      <c r="C1540" s="812">
        <v>0</v>
      </c>
      <c r="D1540" s="812">
        <v>0</v>
      </c>
      <c r="E1540" s="812">
        <v>0</v>
      </c>
      <c r="F1540" s="812">
        <v>0</v>
      </c>
      <c r="G1540" s="812">
        <v>0</v>
      </c>
      <c r="H1540" s="812">
        <v>0</v>
      </c>
      <c r="I1540" s="386">
        <f t="shared" si="58"/>
        <v>100763.93800000001</v>
      </c>
      <c r="J1540" s="203" t="s">
        <v>1217</v>
      </c>
    </row>
    <row r="1541" spans="1:10" hidden="1" outlineLevel="1">
      <c r="A1541" s="425" t="s">
        <v>1218</v>
      </c>
      <c r="B1541" s="220">
        <f t="shared" si="57"/>
        <v>164581.20525000003</v>
      </c>
      <c r="C1541" s="812">
        <v>0</v>
      </c>
      <c r="D1541" s="812">
        <v>0</v>
      </c>
      <c r="E1541" s="812">
        <v>0</v>
      </c>
      <c r="F1541" s="812">
        <v>0</v>
      </c>
      <c r="G1541" s="812">
        <v>0</v>
      </c>
      <c r="H1541" s="812">
        <v>0</v>
      </c>
      <c r="I1541" s="386">
        <f t="shared" si="58"/>
        <v>164581.20525000003</v>
      </c>
      <c r="J1541" s="203" t="s">
        <v>1219</v>
      </c>
    </row>
    <row r="1542" spans="1:10" hidden="1" outlineLevel="1">
      <c r="A1542" s="425" t="s">
        <v>1220</v>
      </c>
      <c r="B1542" s="220">
        <f t="shared" si="57"/>
        <v>170017.42450000002</v>
      </c>
      <c r="C1542" s="812">
        <v>0</v>
      </c>
      <c r="D1542" s="812">
        <v>0</v>
      </c>
      <c r="E1542" s="812">
        <v>0</v>
      </c>
      <c r="F1542" s="812">
        <v>0</v>
      </c>
      <c r="G1542" s="812">
        <v>0</v>
      </c>
      <c r="H1542" s="812">
        <v>0</v>
      </c>
      <c r="I1542" s="386">
        <f t="shared" si="58"/>
        <v>170017.42450000002</v>
      </c>
      <c r="J1542" s="203" t="s">
        <v>1221</v>
      </c>
    </row>
    <row r="1543" spans="1:10" hidden="1" outlineLevel="1">
      <c r="A1543" s="425" t="s">
        <v>1476</v>
      </c>
      <c r="B1543" s="220">
        <f t="shared" si="57"/>
        <v>651946.23175000004</v>
      </c>
      <c r="C1543" s="812">
        <v>0</v>
      </c>
      <c r="D1543" s="812">
        <v>0</v>
      </c>
      <c r="E1543" s="812">
        <v>0</v>
      </c>
      <c r="F1543" s="812">
        <v>0</v>
      </c>
      <c r="G1543" s="812">
        <v>0</v>
      </c>
      <c r="H1543" s="812">
        <v>0</v>
      </c>
      <c r="I1543" s="386">
        <f t="shared" si="58"/>
        <v>651946.23175000004</v>
      </c>
      <c r="J1543" s="203" t="s">
        <v>1477</v>
      </c>
    </row>
    <row r="1544" spans="1:10" hidden="1" outlineLevel="1">
      <c r="A1544" s="425" t="s">
        <v>1222</v>
      </c>
      <c r="B1544" s="220">
        <f t="shared" si="57"/>
        <v>157711.84825000001</v>
      </c>
      <c r="C1544" s="812">
        <v>0</v>
      </c>
      <c r="D1544" s="812">
        <v>0</v>
      </c>
      <c r="E1544" s="812">
        <v>0</v>
      </c>
      <c r="F1544" s="812">
        <v>0</v>
      </c>
      <c r="G1544" s="812">
        <v>0</v>
      </c>
      <c r="H1544" s="812">
        <v>0</v>
      </c>
      <c r="I1544" s="386">
        <f t="shared" si="58"/>
        <v>157711.84825000001</v>
      </c>
      <c r="J1544" s="203" t="s">
        <v>1223</v>
      </c>
    </row>
    <row r="1545" spans="1:10" hidden="1" outlineLevel="1">
      <c r="A1545" s="425" t="s">
        <v>1224</v>
      </c>
      <c r="B1545" s="220">
        <f t="shared" si="57"/>
        <v>148819.46750000003</v>
      </c>
      <c r="C1545" s="812">
        <v>0</v>
      </c>
      <c r="D1545" s="812">
        <v>0</v>
      </c>
      <c r="E1545" s="812">
        <v>0</v>
      </c>
      <c r="F1545" s="812">
        <v>0</v>
      </c>
      <c r="G1545" s="812">
        <v>0</v>
      </c>
      <c r="H1545" s="812">
        <v>0</v>
      </c>
      <c r="I1545" s="386">
        <f t="shared" si="58"/>
        <v>148819.46750000003</v>
      </c>
      <c r="J1545" s="203" t="s">
        <v>1225</v>
      </c>
    </row>
    <row r="1546" spans="1:10" hidden="1" outlineLevel="1">
      <c r="A1546" s="425" t="s">
        <v>1226</v>
      </c>
      <c r="B1546" s="220">
        <f t="shared" si="57"/>
        <v>161666.26850000001</v>
      </c>
      <c r="C1546" s="812">
        <v>0</v>
      </c>
      <c r="D1546" s="812">
        <v>0</v>
      </c>
      <c r="E1546" s="812">
        <v>0</v>
      </c>
      <c r="F1546" s="812">
        <v>0</v>
      </c>
      <c r="G1546" s="812">
        <v>0</v>
      </c>
      <c r="H1546" s="812">
        <v>0</v>
      </c>
      <c r="I1546" s="386">
        <f t="shared" si="58"/>
        <v>161666.26850000001</v>
      </c>
      <c r="J1546" s="203" t="s">
        <v>1227</v>
      </c>
    </row>
    <row r="1547" spans="1:10" hidden="1" outlineLevel="1">
      <c r="A1547" s="425" t="s">
        <v>1228</v>
      </c>
      <c r="B1547" s="220">
        <f t="shared" si="57"/>
        <v>395536.24825</v>
      </c>
      <c r="C1547" s="812">
        <v>0</v>
      </c>
      <c r="D1547" s="812">
        <v>0</v>
      </c>
      <c r="E1547" s="812">
        <v>0</v>
      </c>
      <c r="F1547" s="812">
        <v>0</v>
      </c>
      <c r="G1547" s="812">
        <v>0</v>
      </c>
      <c r="H1547" s="812">
        <v>0</v>
      </c>
      <c r="I1547" s="386">
        <f t="shared" si="58"/>
        <v>395536.24825</v>
      </c>
      <c r="J1547" s="203" t="s">
        <v>1229</v>
      </c>
    </row>
    <row r="1548" spans="1:10" hidden="1" outlineLevel="1">
      <c r="A1548" s="425" t="s">
        <v>1230</v>
      </c>
      <c r="B1548" s="220">
        <f t="shared" si="57"/>
        <v>143476.99575</v>
      </c>
      <c r="C1548" s="812">
        <v>0</v>
      </c>
      <c r="D1548" s="812">
        <v>0</v>
      </c>
      <c r="E1548" s="812">
        <v>0</v>
      </c>
      <c r="F1548" s="812">
        <v>0</v>
      </c>
      <c r="G1548" s="812">
        <v>0</v>
      </c>
      <c r="H1548" s="812">
        <v>0</v>
      </c>
      <c r="I1548" s="386">
        <f t="shared" si="58"/>
        <v>143476.99575</v>
      </c>
      <c r="J1548" s="203" t="s">
        <v>1231</v>
      </c>
    </row>
    <row r="1549" spans="1:10" hidden="1" outlineLevel="1">
      <c r="A1549" s="425" t="s">
        <v>1232</v>
      </c>
      <c r="B1549" s="220">
        <f t="shared" si="57"/>
        <v>55808.970250000006</v>
      </c>
      <c r="C1549" s="812">
        <v>0</v>
      </c>
      <c r="D1549" s="812">
        <v>0</v>
      </c>
      <c r="E1549" s="812">
        <v>0</v>
      </c>
      <c r="F1549" s="812">
        <v>0</v>
      </c>
      <c r="G1549" s="812">
        <v>0</v>
      </c>
      <c r="H1549" s="812">
        <v>0</v>
      </c>
      <c r="I1549" s="386">
        <f t="shared" si="58"/>
        <v>55808.970250000006</v>
      </c>
      <c r="J1549" s="203" t="s">
        <v>1233</v>
      </c>
    </row>
    <row r="1550" spans="1:10" hidden="1" outlineLevel="1">
      <c r="A1550" s="425" t="s">
        <v>1234</v>
      </c>
      <c r="B1550" s="220">
        <f t="shared" si="57"/>
        <v>65165.80639250001</v>
      </c>
      <c r="C1550" s="812">
        <v>0</v>
      </c>
      <c r="D1550" s="812">
        <v>0</v>
      </c>
      <c r="E1550" s="812">
        <v>0</v>
      </c>
      <c r="F1550" s="812">
        <v>0</v>
      </c>
      <c r="G1550" s="812">
        <v>0</v>
      </c>
      <c r="H1550" s="812">
        <v>0</v>
      </c>
      <c r="I1550" s="386">
        <f t="shared" si="58"/>
        <v>65165.80639250001</v>
      </c>
      <c r="J1550" s="203" t="s">
        <v>1235</v>
      </c>
    </row>
    <row r="1551" spans="1:10" hidden="1" outlineLevel="1">
      <c r="A1551" s="425" t="s">
        <v>1236</v>
      </c>
      <c r="B1551" s="220">
        <f t="shared" si="57"/>
        <v>153573.81600000002</v>
      </c>
      <c r="C1551" s="812">
        <v>0</v>
      </c>
      <c r="D1551" s="812">
        <v>0</v>
      </c>
      <c r="E1551" s="812">
        <v>0</v>
      </c>
      <c r="F1551" s="812">
        <v>0</v>
      </c>
      <c r="G1551" s="812">
        <v>0</v>
      </c>
      <c r="H1551" s="812">
        <v>0</v>
      </c>
      <c r="I1551" s="386">
        <f t="shared" si="58"/>
        <v>153573.81600000002</v>
      </c>
      <c r="J1551" s="203" t="s">
        <v>1237</v>
      </c>
    </row>
    <row r="1552" spans="1:10" hidden="1" outlineLevel="1">
      <c r="A1552" s="425" t="s">
        <v>1238</v>
      </c>
      <c r="B1552" s="220">
        <f t="shared" si="57"/>
        <v>2345568.2497500004</v>
      </c>
      <c r="C1552" s="812">
        <v>0</v>
      </c>
      <c r="D1552" s="812">
        <v>0</v>
      </c>
      <c r="E1552" s="812">
        <v>0</v>
      </c>
      <c r="F1552" s="812">
        <v>0</v>
      </c>
      <c r="G1552" s="813">
        <v>4312</v>
      </c>
      <c r="H1552" s="812">
        <v>0</v>
      </c>
      <c r="I1552" s="386">
        <f t="shared" si="58"/>
        <v>2349880.2497500004</v>
      </c>
      <c r="J1552" s="203" t="s">
        <v>1239</v>
      </c>
    </row>
    <row r="1553" spans="1:10" hidden="1" outlineLevel="1">
      <c r="A1553" s="425" t="s">
        <v>1879</v>
      </c>
      <c r="B1553" s="220">
        <f t="shared" si="57"/>
        <v>16716.210500000001</v>
      </c>
      <c r="C1553" s="812">
        <v>0</v>
      </c>
      <c r="D1553" s="812">
        <v>0</v>
      </c>
      <c r="E1553" s="812">
        <v>0</v>
      </c>
      <c r="F1553" s="812">
        <v>0</v>
      </c>
      <c r="G1553" s="812">
        <v>0</v>
      </c>
      <c r="H1553" s="812">
        <v>0</v>
      </c>
      <c r="I1553" s="386">
        <f t="shared" si="58"/>
        <v>16716.210500000001</v>
      </c>
      <c r="J1553" s="203" t="s">
        <v>1880</v>
      </c>
    </row>
    <row r="1554" spans="1:10" hidden="1" outlineLevel="1">
      <c r="A1554" s="425" t="s">
        <v>1240</v>
      </c>
      <c r="B1554" s="220">
        <f t="shared" si="57"/>
        <v>52707.176500000001</v>
      </c>
      <c r="C1554" s="812">
        <v>0</v>
      </c>
      <c r="D1554" s="812">
        <v>0</v>
      </c>
      <c r="E1554" s="812">
        <v>0</v>
      </c>
      <c r="F1554" s="812">
        <v>0</v>
      </c>
      <c r="G1554" s="812">
        <v>0</v>
      </c>
      <c r="H1554" s="812">
        <v>0</v>
      </c>
      <c r="I1554" s="386">
        <f t="shared" si="58"/>
        <v>52707.176500000001</v>
      </c>
      <c r="J1554" s="203" t="s">
        <v>1241</v>
      </c>
    </row>
    <row r="1555" spans="1:10" hidden="1" outlineLevel="1">
      <c r="A1555" s="425" t="s">
        <v>1242</v>
      </c>
      <c r="B1555" s="220">
        <f t="shared" si="57"/>
        <v>488682.33975000004</v>
      </c>
      <c r="C1555" s="812">
        <v>0</v>
      </c>
      <c r="D1555" s="812">
        <v>0</v>
      </c>
      <c r="E1555" s="812">
        <v>0</v>
      </c>
      <c r="F1555" s="812">
        <v>0</v>
      </c>
      <c r="G1555" s="812">
        <v>0</v>
      </c>
      <c r="H1555" s="812">
        <v>0</v>
      </c>
      <c r="I1555" s="386">
        <f t="shared" si="58"/>
        <v>488682.33975000004</v>
      </c>
      <c r="J1555" s="203" t="s">
        <v>1243</v>
      </c>
    </row>
    <row r="1556" spans="1:10" hidden="1" outlineLevel="1">
      <c r="A1556" s="425" t="s">
        <v>1244</v>
      </c>
      <c r="B1556" s="220">
        <f t="shared" si="57"/>
        <v>44755.10325</v>
      </c>
      <c r="C1556" s="812">
        <v>0</v>
      </c>
      <c r="D1556" s="812">
        <v>0</v>
      </c>
      <c r="E1556" s="812">
        <v>0</v>
      </c>
      <c r="F1556" s="812">
        <v>0</v>
      </c>
      <c r="G1556" s="812">
        <v>0</v>
      </c>
      <c r="H1556" s="812">
        <v>0</v>
      </c>
      <c r="I1556" s="386">
        <f t="shared" si="58"/>
        <v>44755.10325</v>
      </c>
      <c r="J1556" s="203" t="s">
        <v>1245</v>
      </c>
    </row>
    <row r="1557" spans="1:10" hidden="1" outlineLevel="1">
      <c r="A1557" s="425" t="s">
        <v>1246</v>
      </c>
      <c r="B1557" s="220">
        <f t="shared" si="57"/>
        <v>318402.38375000004</v>
      </c>
      <c r="C1557" s="812">
        <v>0</v>
      </c>
      <c r="D1557" s="812">
        <v>0</v>
      </c>
      <c r="E1557" s="812">
        <v>0</v>
      </c>
      <c r="F1557" s="812">
        <v>0</v>
      </c>
      <c r="G1557" s="812">
        <v>0</v>
      </c>
      <c r="H1557" s="812">
        <v>0</v>
      </c>
      <c r="I1557" s="386">
        <f t="shared" si="58"/>
        <v>318402.38375000004</v>
      </c>
      <c r="J1557" s="203" t="s">
        <v>1247</v>
      </c>
    </row>
    <row r="1558" spans="1:10" hidden="1" outlineLevel="1">
      <c r="A1558" s="425" t="s">
        <v>1248</v>
      </c>
      <c r="B1558" s="220">
        <f t="shared" si="57"/>
        <v>40380.381250000006</v>
      </c>
      <c r="C1558" s="812">
        <v>0</v>
      </c>
      <c r="D1558" s="812">
        <v>0</v>
      </c>
      <c r="E1558" s="812">
        <v>0</v>
      </c>
      <c r="F1558" s="812">
        <v>0</v>
      </c>
      <c r="G1558" s="812">
        <v>0</v>
      </c>
      <c r="H1558" s="812">
        <v>0</v>
      </c>
      <c r="I1558" s="386">
        <f t="shared" si="58"/>
        <v>40380.381250000006</v>
      </c>
      <c r="J1558" s="203" t="s">
        <v>1249</v>
      </c>
    </row>
    <row r="1559" spans="1:10" hidden="1" outlineLevel="1">
      <c r="A1559" s="425" t="s">
        <v>1250</v>
      </c>
      <c r="B1559" s="220">
        <f t="shared" si="57"/>
        <v>943027.20050000015</v>
      </c>
      <c r="C1559" s="812">
        <v>0</v>
      </c>
      <c r="D1559" s="812">
        <v>0</v>
      </c>
      <c r="E1559" s="812">
        <v>0</v>
      </c>
      <c r="F1559" s="812">
        <v>0</v>
      </c>
      <c r="G1559" s="812">
        <v>0</v>
      </c>
      <c r="H1559" s="812">
        <v>0</v>
      </c>
      <c r="I1559" s="386">
        <f t="shared" si="58"/>
        <v>943027.20050000015</v>
      </c>
      <c r="J1559" s="203" t="s">
        <v>1251</v>
      </c>
    </row>
    <row r="1560" spans="1:10" hidden="1" outlineLevel="1">
      <c r="A1560" s="425" t="s">
        <v>1252</v>
      </c>
      <c r="B1560" s="220">
        <f t="shared" si="57"/>
        <v>125421.84050000001</v>
      </c>
      <c r="C1560" s="812">
        <v>0</v>
      </c>
      <c r="D1560" s="812">
        <v>0</v>
      </c>
      <c r="E1560" s="812">
        <v>0</v>
      </c>
      <c r="F1560" s="812">
        <v>0</v>
      </c>
      <c r="G1560" s="812">
        <v>0</v>
      </c>
      <c r="H1560" s="812">
        <v>0</v>
      </c>
      <c r="I1560" s="386">
        <f t="shared" si="58"/>
        <v>125421.84050000001</v>
      </c>
      <c r="J1560" s="203" t="s">
        <v>1253</v>
      </c>
    </row>
    <row r="1561" spans="1:10" hidden="1" outlineLevel="1">
      <c r="A1561" s="425" t="s">
        <v>1254</v>
      </c>
      <c r="B1561" s="220">
        <f t="shared" si="57"/>
        <v>273056.94349999999</v>
      </c>
      <c r="C1561" s="812">
        <v>0</v>
      </c>
      <c r="D1561" s="812">
        <v>0</v>
      </c>
      <c r="E1561" s="812">
        <v>0</v>
      </c>
      <c r="F1561" s="812">
        <v>0</v>
      </c>
      <c r="G1561" s="812">
        <v>0</v>
      </c>
      <c r="H1561" s="812">
        <v>0</v>
      </c>
      <c r="I1561" s="386">
        <f t="shared" si="58"/>
        <v>273056.94349999999</v>
      </c>
      <c r="J1561" s="203" t="s">
        <v>1255</v>
      </c>
    </row>
    <row r="1562" spans="1:10" hidden="1" outlineLevel="1">
      <c r="A1562" s="425" t="s">
        <v>1256</v>
      </c>
      <c r="B1562" s="220">
        <f t="shared" si="57"/>
        <v>39747.501750000003</v>
      </c>
      <c r="C1562" s="812">
        <v>0</v>
      </c>
      <c r="D1562" s="812">
        <v>0</v>
      </c>
      <c r="E1562" s="812">
        <v>0</v>
      </c>
      <c r="F1562" s="812">
        <v>0</v>
      </c>
      <c r="G1562" s="812">
        <v>0</v>
      </c>
      <c r="H1562" s="812">
        <v>0</v>
      </c>
      <c r="I1562" s="386">
        <f t="shared" si="58"/>
        <v>39747.501750000003</v>
      </c>
      <c r="J1562" s="203" t="s">
        <v>1257</v>
      </c>
    </row>
    <row r="1563" spans="1:10" hidden="1" outlineLevel="1">
      <c r="A1563" s="425" t="s">
        <v>1258</v>
      </c>
      <c r="B1563" s="220">
        <f t="shared" si="57"/>
        <v>50523.308000000005</v>
      </c>
      <c r="C1563" s="812">
        <v>0</v>
      </c>
      <c r="D1563" s="812">
        <v>0</v>
      </c>
      <c r="E1563" s="812">
        <v>0</v>
      </c>
      <c r="F1563" s="812">
        <v>0</v>
      </c>
      <c r="G1563" s="812">
        <v>0</v>
      </c>
      <c r="H1563" s="812">
        <v>0</v>
      </c>
      <c r="I1563" s="386">
        <f t="shared" si="58"/>
        <v>50523.308000000005</v>
      </c>
      <c r="J1563" s="203" t="s">
        <v>1259</v>
      </c>
    </row>
    <row r="1564" spans="1:10" hidden="1" outlineLevel="1">
      <c r="A1564" s="425" t="s">
        <v>1260</v>
      </c>
      <c r="B1564" s="220">
        <f t="shared" si="57"/>
        <v>3029096.2625000002</v>
      </c>
      <c r="C1564" s="812">
        <v>0</v>
      </c>
      <c r="D1564" s="812">
        <v>0</v>
      </c>
      <c r="E1564" s="812">
        <v>0</v>
      </c>
      <c r="F1564" s="813">
        <v>4274</v>
      </c>
      <c r="G1564" s="812">
        <v>0</v>
      </c>
      <c r="H1564" s="812">
        <v>0</v>
      </c>
      <c r="I1564" s="386">
        <f t="shared" si="58"/>
        <v>3033370.2625000002</v>
      </c>
      <c r="J1564" s="203" t="s">
        <v>1261</v>
      </c>
    </row>
    <row r="1565" spans="1:10" hidden="1" outlineLevel="1">
      <c r="A1565" s="425" t="s">
        <v>1262</v>
      </c>
      <c r="B1565" s="220">
        <f t="shared" si="57"/>
        <v>451935.25025000004</v>
      </c>
      <c r="C1565" s="812">
        <v>0</v>
      </c>
      <c r="D1565" s="812">
        <v>0</v>
      </c>
      <c r="E1565" s="812">
        <v>0</v>
      </c>
      <c r="F1565" s="812">
        <v>0</v>
      </c>
      <c r="G1565" s="812">
        <v>0</v>
      </c>
      <c r="H1565" s="812">
        <v>0</v>
      </c>
      <c r="I1565" s="386">
        <f t="shared" si="58"/>
        <v>451935.25025000004</v>
      </c>
      <c r="J1565" s="203" t="s">
        <v>1263</v>
      </c>
    </row>
    <row r="1566" spans="1:10" hidden="1" outlineLevel="1">
      <c r="A1566" s="425" t="s">
        <v>1881</v>
      </c>
      <c r="B1566" s="220">
        <f t="shared" si="57"/>
        <v>4748.6862500000007</v>
      </c>
      <c r="C1566" s="812">
        <v>0</v>
      </c>
      <c r="D1566" s="812">
        <v>0</v>
      </c>
      <c r="E1566" s="812">
        <v>0</v>
      </c>
      <c r="F1566" s="812">
        <v>0</v>
      </c>
      <c r="G1566" s="812">
        <v>0</v>
      </c>
      <c r="H1566" s="812">
        <v>0</v>
      </c>
      <c r="I1566" s="386">
        <f t="shared" si="58"/>
        <v>4748.6862500000007</v>
      </c>
      <c r="J1566" s="203" t="s">
        <v>1882</v>
      </c>
    </row>
    <row r="1567" spans="1:10" hidden="1" outlineLevel="1">
      <c r="A1567" s="425" t="s">
        <v>1883</v>
      </c>
      <c r="B1567" s="220">
        <f t="shared" si="57"/>
        <v>60026.056750000011</v>
      </c>
      <c r="C1567" s="812">
        <v>0</v>
      </c>
      <c r="D1567" s="812">
        <v>0</v>
      </c>
      <c r="E1567" s="812">
        <v>0</v>
      </c>
      <c r="F1567" s="812">
        <v>0</v>
      </c>
      <c r="G1567" s="812">
        <v>0</v>
      </c>
      <c r="H1567" s="812">
        <v>0</v>
      </c>
      <c r="I1567" s="386">
        <f t="shared" si="58"/>
        <v>60026.056750000011</v>
      </c>
      <c r="J1567" s="203" t="s">
        <v>1884</v>
      </c>
    </row>
    <row r="1568" spans="1:10" hidden="1" outlineLevel="1">
      <c r="A1568" s="425" t="s">
        <v>1264</v>
      </c>
      <c r="B1568" s="220">
        <f t="shared" si="57"/>
        <v>57692.393000000011</v>
      </c>
      <c r="C1568" s="812">
        <v>0</v>
      </c>
      <c r="D1568" s="812">
        <v>0</v>
      </c>
      <c r="E1568" s="812">
        <v>0</v>
      </c>
      <c r="F1568" s="812">
        <v>0</v>
      </c>
      <c r="G1568" s="812">
        <v>0</v>
      </c>
      <c r="H1568" s="812">
        <v>0</v>
      </c>
      <c r="I1568" s="386">
        <f t="shared" si="58"/>
        <v>57692.393000000011</v>
      </c>
      <c r="J1568" s="203" t="s">
        <v>1265</v>
      </c>
    </row>
    <row r="1569" spans="1:10" hidden="1" outlineLevel="1">
      <c r="A1569" s="425" t="s">
        <v>1482</v>
      </c>
      <c r="B1569" s="220">
        <f t="shared" si="57"/>
        <v>238628.89875000005</v>
      </c>
      <c r="C1569" s="812">
        <v>0</v>
      </c>
      <c r="D1569" s="812">
        <v>0</v>
      </c>
      <c r="E1569" s="812">
        <v>0</v>
      </c>
      <c r="F1569" s="812">
        <v>0</v>
      </c>
      <c r="G1569" s="812">
        <v>0</v>
      </c>
      <c r="H1569" s="812">
        <v>0</v>
      </c>
      <c r="I1569" s="386">
        <f t="shared" si="58"/>
        <v>238628.89875000005</v>
      </c>
      <c r="J1569" s="203" t="s">
        <v>1483</v>
      </c>
    </row>
    <row r="1570" spans="1:10" hidden="1" outlineLevel="1">
      <c r="A1570" s="425" t="s">
        <v>1266</v>
      </c>
      <c r="B1570" s="220">
        <f t="shared" si="57"/>
        <v>119824.9415</v>
      </c>
      <c r="C1570" s="812">
        <v>0</v>
      </c>
      <c r="D1570" s="812">
        <v>0</v>
      </c>
      <c r="E1570" s="812">
        <v>0</v>
      </c>
      <c r="F1570" s="812">
        <v>0</v>
      </c>
      <c r="G1570" s="812">
        <v>0</v>
      </c>
      <c r="H1570" s="812">
        <v>0</v>
      </c>
      <c r="I1570" s="386">
        <f t="shared" si="58"/>
        <v>119824.9415</v>
      </c>
      <c r="J1570" s="203" t="s">
        <v>1267</v>
      </c>
    </row>
    <row r="1571" spans="1:10" hidden="1" outlineLevel="1">
      <c r="A1571" s="425" t="s">
        <v>1268</v>
      </c>
      <c r="B1571" s="220">
        <f t="shared" si="57"/>
        <v>2140578.34925</v>
      </c>
      <c r="C1571" s="812">
        <v>0</v>
      </c>
      <c r="D1571" s="812">
        <v>0</v>
      </c>
      <c r="E1571" s="812">
        <v>0</v>
      </c>
      <c r="F1571" s="812">
        <v>0</v>
      </c>
      <c r="G1571" s="812">
        <v>0</v>
      </c>
      <c r="H1571" s="812">
        <v>0</v>
      </c>
      <c r="I1571" s="386">
        <f t="shared" si="58"/>
        <v>2140578.34925</v>
      </c>
      <c r="J1571" s="203" t="s">
        <v>1269</v>
      </c>
    </row>
    <row r="1572" spans="1:10" hidden="1" outlineLevel="1">
      <c r="A1572" s="425" t="s">
        <v>1270</v>
      </c>
      <c r="B1572" s="220">
        <f t="shared" si="57"/>
        <v>182976.02620000002</v>
      </c>
      <c r="C1572" s="812">
        <v>0</v>
      </c>
      <c r="D1572" s="812">
        <v>0</v>
      </c>
      <c r="E1572" s="812">
        <v>0</v>
      </c>
      <c r="F1572" s="812">
        <v>0</v>
      </c>
      <c r="G1572" s="812">
        <v>0</v>
      </c>
      <c r="H1572" s="812">
        <v>0</v>
      </c>
      <c r="I1572" s="386">
        <f t="shared" si="58"/>
        <v>182976.02620000002</v>
      </c>
      <c r="J1572" s="203" t="s">
        <v>1271</v>
      </c>
    </row>
    <row r="1573" spans="1:10" hidden="1" outlineLevel="1">
      <c r="A1573" s="425" t="s">
        <v>1272</v>
      </c>
      <c r="B1573" s="220">
        <f t="shared" si="57"/>
        <v>95432.713749999995</v>
      </c>
      <c r="C1573" s="812">
        <v>0</v>
      </c>
      <c r="D1573" s="812">
        <v>0</v>
      </c>
      <c r="E1573" s="812">
        <v>0</v>
      </c>
      <c r="F1573" s="812">
        <v>0</v>
      </c>
      <c r="G1573" s="812">
        <v>0</v>
      </c>
      <c r="H1573" s="812">
        <v>0</v>
      </c>
      <c r="I1573" s="386">
        <f t="shared" si="58"/>
        <v>95432.713749999995</v>
      </c>
      <c r="J1573" s="203" t="s">
        <v>1273</v>
      </c>
    </row>
    <row r="1574" spans="1:10" hidden="1" outlineLevel="1">
      <c r="A1574" s="425" t="s">
        <v>1274</v>
      </c>
      <c r="B1574" s="220">
        <f t="shared" si="57"/>
        <v>386431.30350000004</v>
      </c>
      <c r="C1574" s="812">
        <v>0</v>
      </c>
      <c r="D1574" s="812">
        <v>0</v>
      </c>
      <c r="E1574" s="812">
        <v>0</v>
      </c>
      <c r="F1574" s="812">
        <v>0</v>
      </c>
      <c r="G1574" s="812">
        <v>0</v>
      </c>
      <c r="H1574" s="812">
        <v>0</v>
      </c>
      <c r="I1574" s="386">
        <f t="shared" si="58"/>
        <v>386431.30350000004</v>
      </c>
      <c r="J1574" s="203" t="s">
        <v>1275</v>
      </c>
    </row>
    <row r="1575" spans="1:10" hidden="1" outlineLevel="1">
      <c r="A1575" s="425" t="s">
        <v>1276</v>
      </c>
      <c r="B1575" s="220">
        <f t="shared" si="57"/>
        <v>189969.098</v>
      </c>
      <c r="C1575" s="812">
        <v>0</v>
      </c>
      <c r="D1575" s="812">
        <v>0</v>
      </c>
      <c r="E1575" s="812">
        <v>0</v>
      </c>
      <c r="F1575" s="812">
        <v>0</v>
      </c>
      <c r="G1575" s="812">
        <v>0</v>
      </c>
      <c r="H1575" s="812">
        <v>0</v>
      </c>
      <c r="I1575" s="386">
        <f t="shared" si="58"/>
        <v>189969.098</v>
      </c>
      <c r="J1575" s="203" t="s">
        <v>1277</v>
      </c>
    </row>
    <row r="1576" spans="1:10" hidden="1" outlineLevel="1">
      <c r="A1576" s="425" t="s">
        <v>1278</v>
      </c>
      <c r="B1576" s="220">
        <f t="shared" si="57"/>
        <v>92374.188500000018</v>
      </c>
      <c r="C1576" s="812">
        <v>0</v>
      </c>
      <c r="D1576" s="812">
        <v>0</v>
      </c>
      <c r="E1576" s="812">
        <v>0</v>
      </c>
      <c r="F1576" s="812">
        <v>0</v>
      </c>
      <c r="G1576" s="812">
        <v>0</v>
      </c>
      <c r="H1576" s="812">
        <v>0</v>
      </c>
      <c r="I1576" s="386">
        <f t="shared" si="58"/>
        <v>92374.188500000018</v>
      </c>
      <c r="J1576" s="203" t="s">
        <v>1279</v>
      </c>
    </row>
    <row r="1577" spans="1:10" hidden="1" outlineLevel="1">
      <c r="A1577" s="425" t="s">
        <v>1885</v>
      </c>
      <c r="B1577" s="220">
        <f t="shared" si="57"/>
        <v>31168.04075</v>
      </c>
      <c r="C1577" s="812">
        <v>0</v>
      </c>
      <c r="D1577" s="812">
        <v>0</v>
      </c>
      <c r="E1577" s="812">
        <v>0</v>
      </c>
      <c r="F1577" s="812">
        <v>0</v>
      </c>
      <c r="G1577" s="812">
        <v>0</v>
      </c>
      <c r="H1577" s="812">
        <v>0</v>
      </c>
      <c r="I1577" s="386">
        <f t="shared" si="58"/>
        <v>31168.04075</v>
      </c>
      <c r="J1577" s="203" t="s">
        <v>1886</v>
      </c>
    </row>
    <row r="1578" spans="1:10" hidden="1" outlineLevel="1">
      <c r="A1578" s="425" t="s">
        <v>1280</v>
      </c>
      <c r="B1578" s="220">
        <f t="shared" si="57"/>
        <v>130068.12225000001</v>
      </c>
      <c r="C1578" s="812">
        <v>0</v>
      </c>
      <c r="D1578" s="812">
        <v>0</v>
      </c>
      <c r="E1578" s="812">
        <v>0</v>
      </c>
      <c r="F1578" s="812">
        <v>0</v>
      </c>
      <c r="G1578" s="812">
        <v>0</v>
      </c>
      <c r="H1578" s="812">
        <v>0</v>
      </c>
      <c r="I1578" s="386">
        <f t="shared" si="58"/>
        <v>130068.12225000001</v>
      </c>
      <c r="J1578" s="203" t="s">
        <v>1281</v>
      </c>
    </row>
    <row r="1579" spans="1:10" hidden="1" outlineLevel="1">
      <c r="A1579" s="425" t="s">
        <v>1282</v>
      </c>
      <c r="B1579" s="220">
        <f t="shared" si="57"/>
        <v>11956391.485500002</v>
      </c>
      <c r="C1579" s="812">
        <v>0</v>
      </c>
      <c r="D1579" s="812">
        <v>0</v>
      </c>
      <c r="E1579" s="812">
        <v>0</v>
      </c>
      <c r="F1579" s="813">
        <v>27461</v>
      </c>
      <c r="G1579" s="812">
        <v>0</v>
      </c>
      <c r="H1579" s="812">
        <v>0</v>
      </c>
      <c r="I1579" s="386">
        <f t="shared" si="58"/>
        <v>11983852.485500002</v>
      </c>
      <c r="J1579" s="203" t="s">
        <v>1283</v>
      </c>
    </row>
    <row r="1580" spans="1:10" hidden="1" outlineLevel="1">
      <c r="A1580" s="425" t="s">
        <v>1284</v>
      </c>
      <c r="B1580" s="220">
        <f t="shared" si="57"/>
        <v>99906.050750000009</v>
      </c>
      <c r="C1580" s="812">
        <v>0</v>
      </c>
      <c r="D1580" s="812">
        <v>0</v>
      </c>
      <c r="E1580" s="812">
        <v>0</v>
      </c>
      <c r="F1580" s="812">
        <v>0</v>
      </c>
      <c r="G1580" s="812">
        <v>0</v>
      </c>
      <c r="H1580" s="812">
        <v>0</v>
      </c>
      <c r="I1580" s="386">
        <f t="shared" si="58"/>
        <v>99906.050750000009</v>
      </c>
      <c r="J1580" s="203" t="s">
        <v>1285</v>
      </c>
    </row>
    <row r="1581" spans="1:10" hidden="1" outlineLevel="1">
      <c r="A1581" s="425" t="s">
        <v>1286</v>
      </c>
      <c r="B1581" s="220">
        <f t="shared" si="57"/>
        <v>538911.40049999999</v>
      </c>
      <c r="C1581" s="812">
        <v>0</v>
      </c>
      <c r="D1581" s="812">
        <v>0</v>
      </c>
      <c r="E1581" s="812">
        <v>0</v>
      </c>
      <c r="F1581" s="812">
        <v>0</v>
      </c>
      <c r="G1581" s="812">
        <v>0</v>
      </c>
      <c r="H1581" s="812">
        <v>0</v>
      </c>
      <c r="I1581" s="386">
        <f t="shared" si="58"/>
        <v>538911.40049999999</v>
      </c>
      <c r="J1581" s="203" t="s">
        <v>1287</v>
      </c>
    </row>
    <row r="1582" spans="1:10" hidden="1" outlineLevel="1">
      <c r="A1582" s="425" t="s">
        <v>1887</v>
      </c>
      <c r="B1582" s="220">
        <f t="shared" si="57"/>
        <v>18109.107500000002</v>
      </c>
      <c r="C1582" s="812">
        <v>0</v>
      </c>
      <c r="D1582" s="812">
        <v>0</v>
      </c>
      <c r="E1582" s="812">
        <v>0</v>
      </c>
      <c r="F1582" s="812">
        <v>0</v>
      </c>
      <c r="G1582" s="812">
        <v>0</v>
      </c>
      <c r="H1582" s="812">
        <v>0</v>
      </c>
      <c r="I1582" s="386">
        <f t="shared" si="58"/>
        <v>18109.107500000002</v>
      </c>
      <c r="J1582" s="203" t="s">
        <v>1888</v>
      </c>
    </row>
    <row r="1583" spans="1:10" hidden="1" outlineLevel="1">
      <c r="A1583" s="425" t="s">
        <v>1288</v>
      </c>
      <c r="B1583" s="220">
        <f t="shared" si="57"/>
        <v>2969194.3792500002</v>
      </c>
      <c r="C1583" s="812">
        <v>0</v>
      </c>
      <c r="D1583" s="813">
        <f>D649*0.04125/100</f>
        <v>3435.9505125000001</v>
      </c>
      <c r="E1583" s="812">
        <v>0</v>
      </c>
      <c r="F1583" s="812">
        <v>0</v>
      </c>
      <c r="G1583" s="812">
        <v>0</v>
      </c>
      <c r="H1583" s="812">
        <v>0</v>
      </c>
      <c r="I1583" s="386">
        <f t="shared" si="58"/>
        <v>2972630.3297625002</v>
      </c>
      <c r="J1583" s="203" t="s">
        <v>1289</v>
      </c>
    </row>
    <row r="1584" spans="1:10" hidden="1" outlineLevel="1">
      <c r="A1584" s="425" t="s">
        <v>1889</v>
      </c>
      <c r="B1584" s="220">
        <f t="shared" si="57"/>
        <v>16879.41475</v>
      </c>
      <c r="C1584" s="812">
        <v>0</v>
      </c>
      <c r="D1584" s="812">
        <v>0</v>
      </c>
      <c r="E1584" s="812">
        <v>0</v>
      </c>
      <c r="F1584" s="812">
        <v>0</v>
      </c>
      <c r="G1584" s="812">
        <v>0</v>
      </c>
      <c r="H1584" s="812">
        <v>0</v>
      </c>
      <c r="I1584" s="386">
        <f t="shared" si="58"/>
        <v>16879.41475</v>
      </c>
      <c r="J1584" s="203" t="s">
        <v>1890</v>
      </c>
    </row>
    <row r="1585" spans="1:10" hidden="1" outlineLevel="1">
      <c r="A1585" s="425" t="s">
        <v>1290</v>
      </c>
      <c r="B1585" s="220">
        <f t="shared" si="57"/>
        <v>160921.42825</v>
      </c>
      <c r="C1585" s="812">
        <v>0</v>
      </c>
      <c r="D1585" s="812">
        <v>0</v>
      </c>
      <c r="E1585" s="812">
        <v>0</v>
      </c>
      <c r="F1585" s="812">
        <v>0</v>
      </c>
      <c r="G1585" s="812">
        <v>0</v>
      </c>
      <c r="H1585" s="812">
        <v>0</v>
      </c>
      <c r="I1585" s="386">
        <f t="shared" si="58"/>
        <v>160921.42825</v>
      </c>
      <c r="J1585" s="203" t="s">
        <v>1291</v>
      </c>
    </row>
    <row r="1586" spans="1:10" hidden="1" outlineLevel="1">
      <c r="A1586" s="425" t="s">
        <v>1292</v>
      </c>
      <c r="B1586" s="220">
        <f t="shared" si="57"/>
        <v>16868.148000000001</v>
      </c>
      <c r="C1586" s="812">
        <v>0</v>
      </c>
      <c r="D1586" s="812">
        <v>0</v>
      </c>
      <c r="E1586" s="812">
        <v>0</v>
      </c>
      <c r="F1586" s="812">
        <v>0</v>
      </c>
      <c r="G1586" s="812">
        <v>0</v>
      </c>
      <c r="H1586" s="812">
        <v>0</v>
      </c>
      <c r="I1586" s="386">
        <f t="shared" si="58"/>
        <v>16868.148000000001</v>
      </c>
      <c r="J1586" s="203" t="s">
        <v>1293</v>
      </c>
    </row>
    <row r="1587" spans="1:10" hidden="1" outlineLevel="1">
      <c r="A1587" s="425" t="s">
        <v>1294</v>
      </c>
      <c r="B1587" s="220">
        <f t="shared" si="57"/>
        <v>50043.471500000007</v>
      </c>
      <c r="C1587" s="812">
        <v>0</v>
      </c>
      <c r="D1587" s="812">
        <v>0</v>
      </c>
      <c r="E1587" s="812">
        <v>0</v>
      </c>
      <c r="F1587" s="812">
        <v>0</v>
      </c>
      <c r="G1587" s="812">
        <v>0</v>
      </c>
      <c r="H1587" s="812">
        <v>0</v>
      </c>
      <c r="I1587" s="386">
        <f t="shared" si="58"/>
        <v>50043.471500000007</v>
      </c>
      <c r="J1587" s="203" t="s">
        <v>1295</v>
      </c>
    </row>
    <row r="1588" spans="1:10" hidden="1" outlineLevel="1">
      <c r="A1588" s="425" t="s">
        <v>1296</v>
      </c>
      <c r="B1588" s="220">
        <f t="shared" si="57"/>
        <v>21279.150750000001</v>
      </c>
      <c r="C1588" s="812">
        <v>0</v>
      </c>
      <c r="D1588" s="812">
        <v>0</v>
      </c>
      <c r="E1588" s="812">
        <v>0</v>
      </c>
      <c r="F1588" s="812">
        <v>0</v>
      </c>
      <c r="G1588" s="812">
        <v>0</v>
      </c>
      <c r="H1588" s="812">
        <v>0</v>
      </c>
      <c r="I1588" s="386">
        <f t="shared" si="58"/>
        <v>21279.150750000001</v>
      </c>
      <c r="J1588" s="203" t="s">
        <v>1297</v>
      </c>
    </row>
    <row r="1589" spans="1:10" hidden="1" outlineLevel="1">
      <c r="A1589" s="425" t="s">
        <v>1298</v>
      </c>
      <c r="B1589" s="220">
        <f t="shared" si="57"/>
        <v>27394.323000000004</v>
      </c>
      <c r="C1589" s="812">
        <v>0</v>
      </c>
      <c r="D1589" s="812">
        <v>0</v>
      </c>
      <c r="E1589" s="812">
        <v>0</v>
      </c>
      <c r="F1589" s="812">
        <v>0</v>
      </c>
      <c r="G1589" s="812">
        <v>0</v>
      </c>
      <c r="H1589" s="812">
        <v>0</v>
      </c>
      <c r="I1589" s="386">
        <f t="shared" si="58"/>
        <v>27394.323000000004</v>
      </c>
      <c r="J1589" s="203" t="s">
        <v>1299</v>
      </c>
    </row>
    <row r="1590" spans="1:10" hidden="1" outlineLevel="1">
      <c r="A1590" s="425" t="s">
        <v>1300</v>
      </c>
      <c r="B1590" s="220">
        <f t="shared" si="57"/>
        <v>212006.641</v>
      </c>
      <c r="C1590" s="812">
        <v>0</v>
      </c>
      <c r="D1590" s="812">
        <v>0</v>
      </c>
      <c r="E1590" s="812">
        <v>0</v>
      </c>
      <c r="F1590" s="812">
        <v>0</v>
      </c>
      <c r="G1590" s="812">
        <v>0</v>
      </c>
      <c r="H1590" s="812">
        <v>0</v>
      </c>
      <c r="I1590" s="386">
        <f t="shared" si="58"/>
        <v>212006.641</v>
      </c>
      <c r="J1590" s="203" t="s">
        <v>1301</v>
      </c>
    </row>
    <row r="1591" spans="1:10" hidden="1" outlineLevel="1">
      <c r="A1591" s="425" t="s">
        <v>1891</v>
      </c>
      <c r="B1591" s="220">
        <f t="shared" si="57"/>
        <v>44773.8995</v>
      </c>
      <c r="C1591" s="812">
        <v>0</v>
      </c>
      <c r="D1591" s="812">
        <v>0</v>
      </c>
      <c r="E1591" s="812">
        <v>0</v>
      </c>
      <c r="F1591" s="812">
        <v>0</v>
      </c>
      <c r="G1591" s="812">
        <v>0</v>
      </c>
      <c r="H1591" s="812">
        <v>0</v>
      </c>
      <c r="I1591" s="386">
        <f t="shared" si="58"/>
        <v>44773.8995</v>
      </c>
      <c r="J1591" s="203" t="s">
        <v>1892</v>
      </c>
    </row>
    <row r="1592" spans="1:10" hidden="1" outlineLevel="1">
      <c r="A1592" s="425" t="s">
        <v>1302</v>
      </c>
      <c r="B1592" s="220">
        <f t="shared" si="57"/>
        <v>71711.55750000001</v>
      </c>
      <c r="C1592" s="812">
        <v>0</v>
      </c>
      <c r="D1592" s="812">
        <v>0</v>
      </c>
      <c r="E1592" s="812">
        <v>0</v>
      </c>
      <c r="F1592" s="812">
        <v>0</v>
      </c>
      <c r="G1592" s="812">
        <v>0</v>
      </c>
      <c r="H1592" s="812">
        <v>0</v>
      </c>
      <c r="I1592" s="386">
        <f t="shared" si="58"/>
        <v>71711.55750000001</v>
      </c>
      <c r="J1592" s="203" t="s">
        <v>1303</v>
      </c>
    </row>
    <row r="1593" spans="1:10" hidden="1" outlineLevel="1">
      <c r="A1593" s="425" t="s">
        <v>1484</v>
      </c>
      <c r="B1593" s="220">
        <f t="shared" si="57"/>
        <v>98461.737000000008</v>
      </c>
      <c r="C1593" s="812">
        <v>0</v>
      </c>
      <c r="D1593" s="812">
        <v>0</v>
      </c>
      <c r="E1593" s="812">
        <v>0</v>
      </c>
      <c r="F1593" s="812">
        <v>0</v>
      </c>
      <c r="G1593" s="812">
        <v>0</v>
      </c>
      <c r="H1593" s="812">
        <v>0</v>
      </c>
      <c r="I1593" s="386">
        <f t="shared" si="58"/>
        <v>98461.737000000008</v>
      </c>
      <c r="J1593" s="203" t="s">
        <v>1485</v>
      </c>
    </row>
    <row r="1594" spans="1:10" hidden="1" outlineLevel="1">
      <c r="A1594" s="425" t="s">
        <v>1304</v>
      </c>
      <c r="B1594" s="220">
        <f t="shared" si="57"/>
        <v>210989.17950000003</v>
      </c>
      <c r="C1594" s="812">
        <v>0</v>
      </c>
      <c r="D1594" s="812">
        <v>0</v>
      </c>
      <c r="E1594" s="812">
        <v>0</v>
      </c>
      <c r="F1594" s="812">
        <v>0</v>
      </c>
      <c r="G1594" s="812">
        <v>0</v>
      </c>
      <c r="H1594" s="812">
        <v>0</v>
      </c>
      <c r="I1594" s="386">
        <f t="shared" si="58"/>
        <v>210989.17950000003</v>
      </c>
      <c r="J1594" s="203" t="s">
        <v>1305</v>
      </c>
    </row>
    <row r="1595" spans="1:10" hidden="1" outlineLevel="1">
      <c r="A1595" s="425" t="s">
        <v>1306</v>
      </c>
      <c r="B1595" s="220">
        <f t="shared" si="57"/>
        <v>123984.55467475</v>
      </c>
      <c r="C1595" s="812">
        <v>0</v>
      </c>
      <c r="D1595" s="812">
        <v>0</v>
      </c>
      <c r="E1595" s="812">
        <v>0</v>
      </c>
      <c r="F1595" s="812">
        <v>0</v>
      </c>
      <c r="G1595" s="812">
        <v>0</v>
      </c>
      <c r="H1595" s="812">
        <v>0</v>
      </c>
      <c r="I1595" s="386">
        <f t="shared" si="58"/>
        <v>123984.55467475</v>
      </c>
      <c r="J1595" s="203" t="s">
        <v>1307</v>
      </c>
    </row>
    <row r="1596" spans="1:10" hidden="1" outlineLevel="1">
      <c r="A1596" s="425" t="s">
        <v>1308</v>
      </c>
      <c r="B1596" s="220">
        <f t="shared" si="57"/>
        <v>198877.18400000001</v>
      </c>
      <c r="C1596" s="812">
        <v>0</v>
      </c>
      <c r="D1596" s="812">
        <v>0</v>
      </c>
      <c r="E1596" s="812">
        <v>0</v>
      </c>
      <c r="F1596" s="812">
        <v>0</v>
      </c>
      <c r="G1596" s="812">
        <v>0</v>
      </c>
      <c r="H1596" s="812">
        <v>0</v>
      </c>
      <c r="I1596" s="386">
        <f t="shared" si="58"/>
        <v>198877.18400000001</v>
      </c>
      <c r="J1596" s="203" t="s">
        <v>1309</v>
      </c>
    </row>
    <row r="1597" spans="1:10" hidden="1" outlineLevel="1">
      <c r="A1597" s="425" t="s">
        <v>1893</v>
      </c>
      <c r="B1597" s="220">
        <f t="shared" si="57"/>
        <v>24811.646750000004</v>
      </c>
      <c r="C1597" s="812">
        <v>0</v>
      </c>
      <c r="D1597" s="812">
        <v>0</v>
      </c>
      <c r="E1597" s="812">
        <v>0</v>
      </c>
      <c r="F1597" s="812">
        <v>0</v>
      </c>
      <c r="G1597" s="812">
        <v>0</v>
      </c>
      <c r="H1597" s="812">
        <v>0</v>
      </c>
      <c r="I1597" s="386">
        <f t="shared" si="58"/>
        <v>24811.646750000004</v>
      </c>
      <c r="J1597" s="203" t="s">
        <v>1894</v>
      </c>
    </row>
    <row r="1598" spans="1:10" hidden="1" outlineLevel="1">
      <c r="A1598" s="425" t="s">
        <v>1310</v>
      </c>
      <c r="B1598" s="220">
        <f t="shared" si="57"/>
        <v>152992.62549999999</v>
      </c>
      <c r="C1598" s="812">
        <v>0</v>
      </c>
      <c r="D1598" s="812">
        <v>0</v>
      </c>
      <c r="E1598" s="812">
        <v>0</v>
      </c>
      <c r="F1598" s="812">
        <v>0</v>
      </c>
      <c r="G1598" s="812">
        <v>0</v>
      </c>
      <c r="H1598" s="812">
        <v>0</v>
      </c>
      <c r="I1598" s="386">
        <f t="shared" si="58"/>
        <v>152992.62549999999</v>
      </c>
      <c r="J1598" s="203" t="s">
        <v>1311</v>
      </c>
    </row>
    <row r="1599" spans="1:10" hidden="1" outlineLevel="1">
      <c r="A1599" s="425" t="s">
        <v>1312</v>
      </c>
      <c r="B1599" s="220">
        <f t="shared" si="57"/>
        <v>408815.89374999999</v>
      </c>
      <c r="C1599" s="812">
        <v>0</v>
      </c>
      <c r="D1599" s="812">
        <v>0</v>
      </c>
      <c r="E1599" s="812">
        <v>0</v>
      </c>
      <c r="F1599" s="812">
        <v>0</v>
      </c>
      <c r="G1599" s="812">
        <v>0</v>
      </c>
      <c r="H1599" s="812">
        <v>0</v>
      </c>
      <c r="I1599" s="386">
        <f t="shared" si="58"/>
        <v>408815.89374999999</v>
      </c>
      <c r="J1599" s="203" t="s">
        <v>1313</v>
      </c>
    </row>
    <row r="1600" spans="1:10" hidden="1" outlineLevel="1">
      <c r="A1600" s="425" t="s">
        <v>1314</v>
      </c>
      <c r="B1600" s="220">
        <f t="shared" si="57"/>
        <v>140526.21825000001</v>
      </c>
      <c r="C1600" s="812">
        <v>0</v>
      </c>
      <c r="D1600" s="812">
        <v>0</v>
      </c>
      <c r="E1600" s="812">
        <v>0</v>
      </c>
      <c r="F1600" s="812">
        <v>0</v>
      </c>
      <c r="G1600" s="812">
        <v>0</v>
      </c>
      <c r="H1600" s="812">
        <v>0</v>
      </c>
      <c r="I1600" s="386">
        <f t="shared" si="58"/>
        <v>140526.21825000001</v>
      </c>
      <c r="J1600" s="203" t="s">
        <v>1315</v>
      </c>
    </row>
    <row r="1601" spans="1:10" hidden="1" outlineLevel="1">
      <c r="A1601" s="425" t="s">
        <v>1316</v>
      </c>
      <c r="B1601" s="220">
        <f t="shared" si="57"/>
        <v>772436.01600000006</v>
      </c>
      <c r="C1601" s="812">
        <v>0</v>
      </c>
      <c r="D1601" s="812">
        <v>0</v>
      </c>
      <c r="E1601" s="812">
        <v>0</v>
      </c>
      <c r="F1601" s="812">
        <v>0</v>
      </c>
      <c r="G1601" s="812">
        <v>0</v>
      </c>
      <c r="H1601" s="812">
        <v>0</v>
      </c>
      <c r="I1601" s="386">
        <f t="shared" si="58"/>
        <v>772436.01600000006</v>
      </c>
      <c r="J1601" s="203" t="s">
        <v>1317</v>
      </c>
    </row>
    <row r="1602" spans="1:10" hidden="1" outlineLevel="1">
      <c r="A1602" s="425" t="s">
        <v>1318</v>
      </c>
      <c r="B1602" s="220">
        <f t="shared" si="57"/>
        <v>475287.60675000004</v>
      </c>
      <c r="C1602" s="812">
        <v>0</v>
      </c>
      <c r="D1602" s="812">
        <v>0</v>
      </c>
      <c r="E1602" s="812">
        <v>0</v>
      </c>
      <c r="F1602" s="812">
        <v>0</v>
      </c>
      <c r="G1602" s="812">
        <v>0</v>
      </c>
      <c r="H1602" s="812">
        <v>0</v>
      </c>
      <c r="I1602" s="386">
        <f t="shared" si="58"/>
        <v>475287.60675000004</v>
      </c>
      <c r="J1602" s="203" t="s">
        <v>1319</v>
      </c>
    </row>
    <row r="1603" spans="1:10" hidden="1" outlineLevel="1">
      <c r="A1603" s="425" t="s">
        <v>1320</v>
      </c>
      <c r="B1603" s="220">
        <f t="shared" ref="B1603:B1666" si="59">B669*0.275/100</f>
        <v>902955.88900000008</v>
      </c>
      <c r="C1603" s="812">
        <v>0</v>
      </c>
      <c r="D1603" s="812">
        <v>0</v>
      </c>
      <c r="E1603" s="812">
        <v>0</v>
      </c>
      <c r="F1603" s="812">
        <v>0</v>
      </c>
      <c r="G1603" s="812">
        <v>0</v>
      </c>
      <c r="H1603" s="812">
        <v>0</v>
      </c>
      <c r="I1603" s="386">
        <f t="shared" ref="I1603:I1666" si="60">SUM(B1603:H1603)</f>
        <v>902955.88900000008</v>
      </c>
      <c r="J1603" s="203" t="s">
        <v>1321</v>
      </c>
    </row>
    <row r="1604" spans="1:10" hidden="1" outlineLevel="1">
      <c r="A1604" s="425" t="s">
        <v>1322</v>
      </c>
      <c r="B1604" s="220">
        <f t="shared" si="59"/>
        <v>35043.415000000008</v>
      </c>
      <c r="C1604" s="812">
        <v>0</v>
      </c>
      <c r="D1604" s="812">
        <v>0</v>
      </c>
      <c r="E1604" s="812">
        <v>0</v>
      </c>
      <c r="F1604" s="812">
        <v>0</v>
      </c>
      <c r="G1604" s="812">
        <v>0</v>
      </c>
      <c r="H1604" s="812">
        <v>0</v>
      </c>
      <c r="I1604" s="386">
        <f t="shared" si="60"/>
        <v>35043.415000000008</v>
      </c>
      <c r="J1604" s="203" t="s">
        <v>1323</v>
      </c>
    </row>
    <row r="1605" spans="1:10" hidden="1" outlineLevel="1">
      <c r="A1605" s="425" t="s">
        <v>1324</v>
      </c>
      <c r="B1605" s="220">
        <f t="shared" si="59"/>
        <v>38924.710000000006</v>
      </c>
      <c r="C1605" s="812">
        <v>0</v>
      </c>
      <c r="D1605" s="812">
        <v>0</v>
      </c>
      <c r="E1605" s="812">
        <v>0</v>
      </c>
      <c r="F1605" s="812">
        <v>0</v>
      </c>
      <c r="G1605" s="812">
        <v>0</v>
      </c>
      <c r="H1605" s="812">
        <v>0</v>
      </c>
      <c r="I1605" s="386">
        <f t="shared" si="60"/>
        <v>38924.710000000006</v>
      </c>
      <c r="J1605" s="203" t="s">
        <v>1325</v>
      </c>
    </row>
    <row r="1606" spans="1:10" hidden="1" outlineLevel="1">
      <c r="A1606" s="425" t="s">
        <v>1326</v>
      </c>
      <c r="B1606" s="220">
        <f t="shared" si="59"/>
        <v>163770.5135</v>
      </c>
      <c r="C1606" s="812">
        <v>0</v>
      </c>
      <c r="D1606" s="812">
        <v>0</v>
      </c>
      <c r="E1606" s="812">
        <v>0</v>
      </c>
      <c r="F1606" s="812">
        <v>0</v>
      </c>
      <c r="G1606" s="812">
        <v>0</v>
      </c>
      <c r="H1606" s="812">
        <v>0</v>
      </c>
      <c r="I1606" s="386">
        <f t="shared" si="60"/>
        <v>163770.5135</v>
      </c>
      <c r="J1606" s="203" t="s">
        <v>1327</v>
      </c>
    </row>
    <row r="1607" spans="1:10" hidden="1" outlineLevel="1">
      <c r="A1607" s="425" t="s">
        <v>1328</v>
      </c>
      <c r="B1607" s="220">
        <f t="shared" si="59"/>
        <v>890167.19</v>
      </c>
      <c r="C1607" s="812">
        <v>0</v>
      </c>
      <c r="D1607" s="812">
        <v>0</v>
      </c>
      <c r="E1607" s="812">
        <v>0</v>
      </c>
      <c r="F1607" s="812">
        <v>0</v>
      </c>
      <c r="G1607" s="812">
        <v>116</v>
      </c>
      <c r="H1607" s="812">
        <v>0</v>
      </c>
      <c r="I1607" s="386">
        <f t="shared" si="60"/>
        <v>890283.19</v>
      </c>
      <c r="J1607" s="203" t="s">
        <v>1329</v>
      </c>
    </row>
    <row r="1608" spans="1:10" hidden="1" outlineLevel="1">
      <c r="A1608" s="425" t="s">
        <v>1330</v>
      </c>
      <c r="B1608" s="220">
        <f t="shared" si="59"/>
        <v>2225937.3317499999</v>
      </c>
      <c r="C1608" s="812">
        <v>0</v>
      </c>
      <c r="D1608" s="812">
        <v>0</v>
      </c>
      <c r="E1608" s="812">
        <v>0</v>
      </c>
      <c r="F1608" s="812">
        <v>0</v>
      </c>
      <c r="G1608" s="812">
        <v>0</v>
      </c>
      <c r="H1608" s="812">
        <v>0</v>
      </c>
      <c r="I1608" s="386">
        <f t="shared" si="60"/>
        <v>2225937.3317499999</v>
      </c>
      <c r="J1608" s="203" t="s">
        <v>1331</v>
      </c>
    </row>
    <row r="1609" spans="1:10" hidden="1" outlineLevel="1">
      <c r="A1609" s="425" t="s">
        <v>1332</v>
      </c>
      <c r="B1609" s="220">
        <f t="shared" si="59"/>
        <v>1594907.8736415002</v>
      </c>
      <c r="C1609" s="812">
        <v>0</v>
      </c>
      <c r="D1609" s="812">
        <v>0</v>
      </c>
      <c r="E1609" s="812">
        <v>0</v>
      </c>
      <c r="F1609" s="812">
        <v>0</v>
      </c>
      <c r="G1609" s="812">
        <v>0</v>
      </c>
      <c r="H1609" s="812">
        <v>0</v>
      </c>
      <c r="I1609" s="386">
        <f t="shared" si="60"/>
        <v>1594907.8736415002</v>
      </c>
      <c r="J1609" s="203" t="s">
        <v>1333</v>
      </c>
    </row>
    <row r="1610" spans="1:10" hidden="1" outlineLevel="1">
      <c r="A1610" s="425" t="s">
        <v>499</v>
      </c>
      <c r="B1610" s="220">
        <f t="shared" si="59"/>
        <v>90477.125750000007</v>
      </c>
      <c r="C1610" s="812">
        <v>0</v>
      </c>
      <c r="D1610" s="812">
        <v>0</v>
      </c>
      <c r="E1610" s="812">
        <v>0</v>
      </c>
      <c r="F1610" s="812">
        <v>0</v>
      </c>
      <c r="G1610" s="812">
        <v>0</v>
      </c>
      <c r="H1610" s="812">
        <v>0</v>
      </c>
      <c r="I1610" s="386">
        <f t="shared" si="60"/>
        <v>90477.125750000007</v>
      </c>
      <c r="J1610" s="203" t="s">
        <v>500</v>
      </c>
    </row>
    <row r="1611" spans="1:10" hidden="1" outlineLevel="1">
      <c r="A1611" s="425" t="s">
        <v>1334</v>
      </c>
      <c r="B1611" s="220">
        <f t="shared" si="59"/>
        <v>985988.30825</v>
      </c>
      <c r="C1611" s="812">
        <v>0</v>
      </c>
      <c r="D1611" s="812">
        <v>0</v>
      </c>
      <c r="E1611" s="812">
        <v>0</v>
      </c>
      <c r="F1611" s="812">
        <v>0</v>
      </c>
      <c r="G1611" s="812">
        <v>0</v>
      </c>
      <c r="H1611" s="812">
        <v>0</v>
      </c>
      <c r="I1611" s="386">
        <f t="shared" si="60"/>
        <v>985988.30825</v>
      </c>
      <c r="J1611" s="203" t="s">
        <v>1335</v>
      </c>
    </row>
    <row r="1612" spans="1:10" hidden="1" outlineLevel="1">
      <c r="A1612" s="425" t="s">
        <v>1336</v>
      </c>
      <c r="B1612" s="220">
        <f t="shared" si="59"/>
        <v>180646.18275000004</v>
      </c>
      <c r="C1612" s="812">
        <v>0</v>
      </c>
      <c r="D1612" s="812">
        <v>0</v>
      </c>
      <c r="E1612" s="812">
        <v>0</v>
      </c>
      <c r="F1612" s="812">
        <v>0</v>
      </c>
      <c r="G1612" s="812">
        <v>0</v>
      </c>
      <c r="H1612" s="812">
        <v>0</v>
      </c>
      <c r="I1612" s="386">
        <f t="shared" si="60"/>
        <v>180646.18275000004</v>
      </c>
      <c r="J1612" s="203" t="s">
        <v>1337</v>
      </c>
    </row>
    <row r="1613" spans="1:10" hidden="1" outlineLevel="1">
      <c r="A1613" s="425" t="s">
        <v>1895</v>
      </c>
      <c r="B1613" s="220">
        <f t="shared" si="59"/>
        <v>31158.635750000001</v>
      </c>
      <c r="C1613" s="812">
        <v>0</v>
      </c>
      <c r="D1613" s="812">
        <v>0</v>
      </c>
      <c r="E1613" s="812">
        <v>0</v>
      </c>
      <c r="F1613" s="812">
        <v>0</v>
      </c>
      <c r="G1613" s="812">
        <v>0</v>
      </c>
      <c r="H1613" s="812">
        <v>0</v>
      </c>
      <c r="I1613" s="386">
        <f t="shared" si="60"/>
        <v>31158.635750000001</v>
      </c>
      <c r="J1613" s="203" t="s">
        <v>1896</v>
      </c>
    </row>
    <row r="1614" spans="1:10" hidden="1" outlineLevel="1">
      <c r="A1614" s="425" t="s">
        <v>748</v>
      </c>
      <c r="B1614" s="220">
        <f t="shared" si="59"/>
        <v>197437.54525000002</v>
      </c>
      <c r="C1614" s="812">
        <v>0</v>
      </c>
      <c r="D1614" s="812">
        <v>0</v>
      </c>
      <c r="E1614" s="812">
        <v>0</v>
      </c>
      <c r="F1614" s="812">
        <v>0</v>
      </c>
      <c r="G1614" s="812">
        <v>0</v>
      </c>
      <c r="H1614" s="812">
        <v>0</v>
      </c>
      <c r="I1614" s="386">
        <f t="shared" si="60"/>
        <v>197437.54525000002</v>
      </c>
      <c r="J1614" s="203" t="s">
        <v>1338</v>
      </c>
    </row>
    <row r="1615" spans="1:10" hidden="1" outlineLevel="1">
      <c r="A1615" s="425" t="s">
        <v>1339</v>
      </c>
      <c r="B1615" s="220">
        <f t="shared" si="59"/>
        <v>104157.35550000001</v>
      </c>
      <c r="C1615" s="812">
        <v>0</v>
      </c>
      <c r="D1615" s="812">
        <v>0</v>
      </c>
      <c r="E1615" s="812">
        <v>0</v>
      </c>
      <c r="F1615" s="812">
        <v>0</v>
      </c>
      <c r="G1615" s="812">
        <v>0</v>
      </c>
      <c r="H1615" s="812">
        <v>0</v>
      </c>
      <c r="I1615" s="386">
        <f t="shared" si="60"/>
        <v>104157.35550000001</v>
      </c>
      <c r="J1615" s="203" t="s">
        <v>1340</v>
      </c>
    </row>
    <row r="1616" spans="1:10" hidden="1" outlineLevel="1">
      <c r="A1616" s="425" t="s">
        <v>1341</v>
      </c>
      <c r="B1616" s="220">
        <f t="shared" si="59"/>
        <v>429514.55525000003</v>
      </c>
      <c r="C1616" s="812">
        <v>0</v>
      </c>
      <c r="D1616" s="812">
        <v>0</v>
      </c>
      <c r="E1616" s="812">
        <v>0</v>
      </c>
      <c r="F1616" s="812">
        <v>0</v>
      </c>
      <c r="G1616" s="812">
        <v>0</v>
      </c>
      <c r="H1616" s="812">
        <v>0</v>
      </c>
      <c r="I1616" s="386">
        <f t="shared" si="60"/>
        <v>429514.55525000003</v>
      </c>
      <c r="J1616" s="203" t="s">
        <v>1342</v>
      </c>
    </row>
    <row r="1617" spans="1:10" hidden="1" outlineLevel="1">
      <c r="A1617" s="425" t="s">
        <v>1343</v>
      </c>
      <c r="B1617" s="220">
        <f t="shared" si="59"/>
        <v>164711.05475000001</v>
      </c>
      <c r="C1617" s="812">
        <v>0</v>
      </c>
      <c r="D1617" s="812">
        <v>0</v>
      </c>
      <c r="E1617" s="812">
        <v>0</v>
      </c>
      <c r="F1617" s="812">
        <v>0</v>
      </c>
      <c r="G1617" s="812">
        <v>0</v>
      </c>
      <c r="H1617" s="812">
        <v>0</v>
      </c>
      <c r="I1617" s="386">
        <f t="shared" si="60"/>
        <v>164711.05475000001</v>
      </c>
      <c r="J1617" s="203" t="s">
        <v>1344</v>
      </c>
    </row>
    <row r="1618" spans="1:10" hidden="1" outlineLevel="1">
      <c r="A1618" s="425" t="s">
        <v>1345</v>
      </c>
      <c r="B1618" s="220">
        <f t="shared" si="59"/>
        <v>24495.935750000001</v>
      </c>
      <c r="C1618" s="812">
        <v>0</v>
      </c>
      <c r="D1618" s="812">
        <v>0</v>
      </c>
      <c r="E1618" s="812">
        <v>0</v>
      </c>
      <c r="F1618" s="812">
        <v>0</v>
      </c>
      <c r="G1618" s="812">
        <v>0</v>
      </c>
      <c r="H1618" s="812">
        <v>0</v>
      </c>
      <c r="I1618" s="386">
        <f t="shared" si="60"/>
        <v>24495.935750000001</v>
      </c>
      <c r="J1618" s="203" t="s">
        <v>1346</v>
      </c>
    </row>
    <row r="1619" spans="1:10" hidden="1" outlineLevel="1">
      <c r="A1619" s="425" t="s">
        <v>1347</v>
      </c>
      <c r="B1619" s="220">
        <f t="shared" si="59"/>
        <v>172329.94900000002</v>
      </c>
      <c r="C1619" s="812">
        <v>0</v>
      </c>
      <c r="D1619" s="812">
        <v>0</v>
      </c>
      <c r="E1619" s="812">
        <v>0</v>
      </c>
      <c r="F1619" s="812">
        <v>0</v>
      </c>
      <c r="G1619" s="812">
        <v>0</v>
      </c>
      <c r="H1619" s="812">
        <v>0</v>
      </c>
      <c r="I1619" s="386">
        <f t="shared" si="60"/>
        <v>172329.94900000002</v>
      </c>
      <c r="J1619" s="203" t="s">
        <v>1348</v>
      </c>
    </row>
    <row r="1620" spans="1:10" hidden="1" outlineLevel="1">
      <c r="A1620" s="425" t="s">
        <v>1897</v>
      </c>
      <c r="B1620" s="220">
        <f t="shared" si="59"/>
        <v>15443.584750000002</v>
      </c>
      <c r="C1620" s="812">
        <v>0</v>
      </c>
      <c r="D1620" s="812">
        <v>0</v>
      </c>
      <c r="E1620" s="812">
        <v>0</v>
      </c>
      <c r="F1620" s="812">
        <v>0</v>
      </c>
      <c r="G1620" s="812">
        <v>0</v>
      </c>
      <c r="H1620" s="812">
        <v>0</v>
      </c>
      <c r="I1620" s="386">
        <f t="shared" si="60"/>
        <v>15443.584750000002</v>
      </c>
      <c r="J1620" s="203" t="s">
        <v>1898</v>
      </c>
    </row>
    <row r="1621" spans="1:10" hidden="1" outlineLevel="1">
      <c r="A1621" s="425" t="s">
        <v>1349</v>
      </c>
      <c r="B1621" s="220">
        <f t="shared" si="59"/>
        <v>4321.3940000000002</v>
      </c>
      <c r="C1621" s="812">
        <v>0</v>
      </c>
      <c r="D1621" s="812">
        <v>0</v>
      </c>
      <c r="E1621" s="812">
        <v>0</v>
      </c>
      <c r="F1621" s="812">
        <v>0</v>
      </c>
      <c r="G1621" s="812">
        <v>0</v>
      </c>
      <c r="H1621" s="812">
        <v>0</v>
      </c>
      <c r="I1621" s="386">
        <f t="shared" si="60"/>
        <v>4321.3940000000002</v>
      </c>
      <c r="J1621" s="203" t="s">
        <v>1350</v>
      </c>
    </row>
    <row r="1622" spans="1:10" hidden="1" outlineLevel="1">
      <c r="A1622" s="425" t="s">
        <v>1899</v>
      </c>
      <c r="B1622" s="220">
        <f t="shared" si="59"/>
        <v>12621.11125</v>
      </c>
      <c r="C1622" s="812">
        <v>0</v>
      </c>
      <c r="D1622" s="812">
        <v>0</v>
      </c>
      <c r="E1622" s="812">
        <v>0</v>
      </c>
      <c r="F1622" s="812">
        <v>0</v>
      </c>
      <c r="G1622" s="812">
        <v>0</v>
      </c>
      <c r="H1622" s="812">
        <v>0</v>
      </c>
      <c r="I1622" s="386">
        <f t="shared" si="60"/>
        <v>12621.11125</v>
      </c>
      <c r="J1622" s="203" t="s">
        <v>1900</v>
      </c>
    </row>
    <row r="1623" spans="1:10" hidden="1" outlineLevel="1">
      <c r="A1623" s="425" t="s">
        <v>1351</v>
      </c>
      <c r="B1623" s="220">
        <f t="shared" si="59"/>
        <v>936999.20600000012</v>
      </c>
      <c r="C1623" s="812">
        <v>0</v>
      </c>
      <c r="D1623" s="812">
        <v>0</v>
      </c>
      <c r="E1623" s="812">
        <v>0</v>
      </c>
      <c r="F1623" s="812">
        <v>0</v>
      </c>
      <c r="G1623" s="812">
        <v>0</v>
      </c>
      <c r="H1623" s="812">
        <v>0</v>
      </c>
      <c r="I1623" s="386">
        <f t="shared" si="60"/>
        <v>936999.20600000012</v>
      </c>
      <c r="J1623" s="203" t="s">
        <v>1352</v>
      </c>
    </row>
    <row r="1624" spans="1:10" hidden="1" outlineLevel="1">
      <c r="A1624" s="425" t="s">
        <v>1901</v>
      </c>
      <c r="B1624" s="220">
        <f t="shared" si="59"/>
        <v>0</v>
      </c>
      <c r="C1624" s="812">
        <v>0</v>
      </c>
      <c r="D1624" s="812">
        <v>0</v>
      </c>
      <c r="E1624" s="812">
        <v>0</v>
      </c>
      <c r="F1624" s="812">
        <v>0</v>
      </c>
      <c r="G1624" s="812">
        <v>0</v>
      </c>
      <c r="H1624" s="812">
        <v>0</v>
      </c>
      <c r="I1624" s="386">
        <f t="shared" si="60"/>
        <v>0</v>
      </c>
      <c r="J1624" s="203" t="s">
        <v>1902</v>
      </c>
    </row>
    <row r="1625" spans="1:10" hidden="1" outlineLevel="1">
      <c r="A1625" s="425" t="s">
        <v>1353</v>
      </c>
      <c r="B1625" s="220">
        <f t="shared" si="59"/>
        <v>118353.80975000001</v>
      </c>
      <c r="C1625" s="812">
        <v>0</v>
      </c>
      <c r="D1625" s="812">
        <v>0</v>
      </c>
      <c r="E1625" s="812">
        <v>0</v>
      </c>
      <c r="F1625" s="812">
        <v>0</v>
      </c>
      <c r="G1625" s="812">
        <v>0</v>
      </c>
      <c r="H1625" s="812">
        <v>0</v>
      </c>
      <c r="I1625" s="386">
        <f t="shared" si="60"/>
        <v>118353.80975000001</v>
      </c>
      <c r="J1625" s="203" t="s">
        <v>1354</v>
      </c>
    </row>
    <row r="1626" spans="1:10" hidden="1" outlineLevel="1">
      <c r="A1626" s="425" t="s">
        <v>1355</v>
      </c>
      <c r="B1626" s="220">
        <f t="shared" si="59"/>
        <v>78160.268450000003</v>
      </c>
      <c r="C1626" s="812">
        <v>0</v>
      </c>
      <c r="D1626" s="812">
        <v>0</v>
      </c>
      <c r="E1626" s="812">
        <v>0</v>
      </c>
      <c r="F1626" s="812">
        <v>0</v>
      </c>
      <c r="G1626" s="812">
        <v>0</v>
      </c>
      <c r="H1626" s="812">
        <v>0</v>
      </c>
      <c r="I1626" s="386">
        <f t="shared" si="60"/>
        <v>78160.268450000003</v>
      </c>
      <c r="J1626" s="203" t="s">
        <v>1356</v>
      </c>
    </row>
    <row r="1627" spans="1:10" hidden="1" outlineLevel="1">
      <c r="A1627" s="425" t="s">
        <v>1357</v>
      </c>
      <c r="B1627" s="220">
        <f t="shared" si="59"/>
        <v>268799.36050000001</v>
      </c>
      <c r="C1627" s="812">
        <v>0</v>
      </c>
      <c r="D1627" s="812">
        <v>0</v>
      </c>
      <c r="E1627" s="812">
        <v>0</v>
      </c>
      <c r="F1627" s="812">
        <v>0</v>
      </c>
      <c r="G1627" s="812">
        <v>0</v>
      </c>
      <c r="H1627" s="812">
        <v>0</v>
      </c>
      <c r="I1627" s="386">
        <f t="shared" si="60"/>
        <v>268799.36050000001</v>
      </c>
      <c r="J1627" s="203" t="s">
        <v>1358</v>
      </c>
    </row>
    <row r="1628" spans="1:10" hidden="1" outlineLevel="1">
      <c r="A1628" s="425" t="s">
        <v>1359</v>
      </c>
      <c r="B1628" s="220">
        <f t="shared" si="59"/>
        <v>29010.841750000003</v>
      </c>
      <c r="C1628" s="812">
        <v>0</v>
      </c>
      <c r="D1628" s="812">
        <v>0</v>
      </c>
      <c r="E1628" s="812">
        <v>0</v>
      </c>
      <c r="F1628" s="812">
        <v>0</v>
      </c>
      <c r="G1628" s="812">
        <v>0</v>
      </c>
      <c r="H1628" s="812">
        <v>0</v>
      </c>
      <c r="I1628" s="386">
        <f t="shared" si="60"/>
        <v>29010.841750000003</v>
      </c>
      <c r="J1628" s="203" t="s">
        <v>1360</v>
      </c>
    </row>
    <row r="1629" spans="1:10" hidden="1" outlineLevel="1">
      <c r="A1629" s="425" t="s">
        <v>1903</v>
      </c>
      <c r="B1629" s="220">
        <f t="shared" si="59"/>
        <v>16875.281500000001</v>
      </c>
      <c r="C1629" s="812">
        <v>0</v>
      </c>
      <c r="D1629" s="812">
        <v>0</v>
      </c>
      <c r="E1629" s="812">
        <v>0</v>
      </c>
      <c r="F1629" s="812">
        <v>0</v>
      </c>
      <c r="G1629" s="812">
        <v>0</v>
      </c>
      <c r="H1629" s="812">
        <v>0</v>
      </c>
      <c r="I1629" s="386">
        <f t="shared" si="60"/>
        <v>16875.281500000001</v>
      </c>
      <c r="J1629" s="203" t="s">
        <v>1904</v>
      </c>
    </row>
    <row r="1630" spans="1:10" hidden="1" outlineLevel="1">
      <c r="A1630" s="425" t="s">
        <v>1361</v>
      </c>
      <c r="B1630" s="220">
        <f t="shared" si="59"/>
        <v>300564.83049999998</v>
      </c>
      <c r="C1630" s="812">
        <v>0</v>
      </c>
      <c r="D1630" s="812">
        <v>0</v>
      </c>
      <c r="E1630" s="812">
        <v>0</v>
      </c>
      <c r="F1630" s="812">
        <v>0</v>
      </c>
      <c r="G1630" s="812">
        <v>0</v>
      </c>
      <c r="H1630" s="812">
        <v>0</v>
      </c>
      <c r="I1630" s="386">
        <f t="shared" si="60"/>
        <v>300564.83049999998</v>
      </c>
      <c r="J1630" s="203" t="s">
        <v>1362</v>
      </c>
    </row>
    <row r="1631" spans="1:10" hidden="1" outlineLevel="1">
      <c r="A1631" s="425" t="s">
        <v>1363</v>
      </c>
      <c r="B1631" s="220">
        <f t="shared" si="59"/>
        <v>360651.37349999999</v>
      </c>
      <c r="C1631" s="812">
        <v>0</v>
      </c>
      <c r="D1631" s="812">
        <v>0</v>
      </c>
      <c r="E1631" s="812">
        <v>0</v>
      </c>
      <c r="F1631" s="812">
        <v>0</v>
      </c>
      <c r="G1631" s="812">
        <v>0</v>
      </c>
      <c r="H1631" s="812">
        <v>0</v>
      </c>
      <c r="I1631" s="386">
        <f t="shared" si="60"/>
        <v>360651.37349999999</v>
      </c>
      <c r="J1631" s="203" t="s">
        <v>1364</v>
      </c>
    </row>
    <row r="1632" spans="1:10" hidden="1" outlineLevel="1">
      <c r="A1632" s="425" t="s">
        <v>1365</v>
      </c>
      <c r="B1632" s="220">
        <f t="shared" si="59"/>
        <v>137836.88600000003</v>
      </c>
      <c r="C1632" s="812">
        <v>0</v>
      </c>
      <c r="D1632" s="812">
        <v>0</v>
      </c>
      <c r="E1632" s="812">
        <v>0</v>
      </c>
      <c r="F1632" s="812">
        <v>0</v>
      </c>
      <c r="G1632" s="812">
        <v>0</v>
      </c>
      <c r="H1632" s="812">
        <v>0</v>
      </c>
      <c r="I1632" s="386">
        <f t="shared" si="60"/>
        <v>137836.88600000003</v>
      </c>
      <c r="J1632" s="203" t="s">
        <v>1366</v>
      </c>
    </row>
    <row r="1633" spans="1:10" hidden="1" outlineLevel="1">
      <c r="A1633" s="425" t="s">
        <v>1367</v>
      </c>
      <c r="B1633" s="220">
        <f t="shared" si="59"/>
        <v>22117.26</v>
      </c>
      <c r="C1633" s="812">
        <v>0</v>
      </c>
      <c r="D1633" s="812">
        <v>0</v>
      </c>
      <c r="E1633" s="812">
        <v>0</v>
      </c>
      <c r="F1633" s="812">
        <v>0</v>
      </c>
      <c r="G1633" s="812">
        <v>0</v>
      </c>
      <c r="H1633" s="812">
        <v>0</v>
      </c>
      <c r="I1633" s="386">
        <f t="shared" si="60"/>
        <v>22117.26</v>
      </c>
      <c r="J1633" s="203" t="s">
        <v>1368</v>
      </c>
    </row>
    <row r="1634" spans="1:10" hidden="1" outlineLevel="1">
      <c r="A1634" s="425" t="s">
        <v>1369</v>
      </c>
      <c r="B1634" s="220">
        <f t="shared" si="59"/>
        <v>27513.106500000005</v>
      </c>
      <c r="C1634" s="812">
        <v>0</v>
      </c>
      <c r="D1634" s="812">
        <v>0</v>
      </c>
      <c r="E1634" s="812">
        <v>0</v>
      </c>
      <c r="F1634" s="812">
        <v>0</v>
      </c>
      <c r="G1634" s="812">
        <v>0</v>
      </c>
      <c r="H1634" s="812">
        <v>0</v>
      </c>
      <c r="I1634" s="386">
        <f t="shared" si="60"/>
        <v>27513.106500000005</v>
      </c>
      <c r="J1634" s="203" t="s">
        <v>1370</v>
      </c>
    </row>
    <row r="1635" spans="1:10" hidden="1" outlineLevel="1">
      <c r="A1635" s="425" t="s">
        <v>409</v>
      </c>
      <c r="B1635" s="220">
        <f t="shared" si="59"/>
        <v>146118.742</v>
      </c>
      <c r="C1635" s="812">
        <v>0</v>
      </c>
      <c r="D1635" s="812">
        <v>0</v>
      </c>
      <c r="E1635" s="812">
        <v>0</v>
      </c>
      <c r="F1635" s="812">
        <v>0</v>
      </c>
      <c r="G1635" s="812">
        <v>0</v>
      </c>
      <c r="H1635" s="812">
        <v>0</v>
      </c>
      <c r="I1635" s="386">
        <f t="shared" si="60"/>
        <v>146118.742</v>
      </c>
      <c r="J1635" s="203" t="s">
        <v>410</v>
      </c>
    </row>
    <row r="1636" spans="1:10" hidden="1" outlineLevel="1">
      <c r="A1636" s="425" t="s">
        <v>1371</v>
      </c>
      <c r="B1636" s="220">
        <f t="shared" si="59"/>
        <v>90005.302750000003</v>
      </c>
      <c r="C1636" s="812">
        <v>0</v>
      </c>
      <c r="D1636" s="812">
        <v>0</v>
      </c>
      <c r="E1636" s="812">
        <v>0</v>
      </c>
      <c r="F1636" s="812">
        <v>0</v>
      </c>
      <c r="G1636" s="812">
        <v>0</v>
      </c>
      <c r="H1636" s="812">
        <v>0</v>
      </c>
      <c r="I1636" s="386">
        <f t="shared" si="60"/>
        <v>90005.302750000003</v>
      </c>
      <c r="J1636" s="203" t="s">
        <v>1372</v>
      </c>
    </row>
    <row r="1637" spans="1:10" hidden="1" outlineLevel="1">
      <c r="A1637" s="425" t="s">
        <v>1478</v>
      </c>
      <c r="B1637" s="220">
        <f t="shared" si="59"/>
        <v>277562.68925</v>
      </c>
      <c r="C1637" s="812">
        <v>0</v>
      </c>
      <c r="D1637" s="812">
        <v>0</v>
      </c>
      <c r="E1637" s="812">
        <v>0</v>
      </c>
      <c r="F1637" s="812">
        <v>0</v>
      </c>
      <c r="G1637" s="812">
        <v>0</v>
      </c>
      <c r="H1637" s="812">
        <v>0</v>
      </c>
      <c r="I1637" s="386">
        <f t="shared" si="60"/>
        <v>277562.68925</v>
      </c>
      <c r="J1637" s="203" t="s">
        <v>1479</v>
      </c>
    </row>
    <row r="1638" spans="1:10" hidden="1" outlineLevel="1">
      <c r="A1638" s="425" t="s">
        <v>1373</v>
      </c>
      <c r="B1638" s="220">
        <f t="shared" si="59"/>
        <v>8651.6705000000002</v>
      </c>
      <c r="C1638" s="812">
        <v>0</v>
      </c>
      <c r="D1638" s="812">
        <v>0</v>
      </c>
      <c r="E1638" s="812">
        <v>0</v>
      </c>
      <c r="F1638" s="812">
        <v>0</v>
      </c>
      <c r="G1638" s="812">
        <v>0</v>
      </c>
      <c r="H1638" s="812">
        <v>0</v>
      </c>
      <c r="I1638" s="386">
        <f t="shared" si="60"/>
        <v>8651.6705000000002</v>
      </c>
      <c r="J1638" s="203" t="s">
        <v>1374</v>
      </c>
    </row>
    <row r="1639" spans="1:10" hidden="1" outlineLevel="1">
      <c r="A1639" s="425" t="s">
        <v>1905</v>
      </c>
      <c r="B1639" s="220">
        <f t="shared" si="59"/>
        <v>7967.1982500000004</v>
      </c>
      <c r="C1639" s="812">
        <v>0</v>
      </c>
      <c r="D1639" s="812">
        <v>0</v>
      </c>
      <c r="E1639" s="812">
        <v>0</v>
      </c>
      <c r="F1639" s="812">
        <v>0</v>
      </c>
      <c r="G1639" s="812">
        <v>0</v>
      </c>
      <c r="H1639" s="812">
        <v>0</v>
      </c>
      <c r="I1639" s="386">
        <f t="shared" si="60"/>
        <v>7967.1982500000004</v>
      </c>
      <c r="J1639" s="203" t="s">
        <v>1906</v>
      </c>
    </row>
    <row r="1640" spans="1:10" hidden="1" outlineLevel="1">
      <c r="A1640" s="425" t="s">
        <v>1375</v>
      </c>
      <c r="B1640" s="220">
        <f t="shared" si="59"/>
        <v>1025735.8705000001</v>
      </c>
      <c r="C1640" s="812">
        <v>0</v>
      </c>
      <c r="D1640" s="812">
        <v>0</v>
      </c>
      <c r="E1640" s="812">
        <v>0</v>
      </c>
      <c r="F1640" s="812">
        <v>0</v>
      </c>
      <c r="G1640" s="812">
        <v>0</v>
      </c>
      <c r="H1640" s="812">
        <v>0</v>
      </c>
      <c r="I1640" s="386">
        <f t="shared" si="60"/>
        <v>1025735.8705000001</v>
      </c>
      <c r="J1640" s="203" t="s">
        <v>1376</v>
      </c>
    </row>
    <row r="1641" spans="1:10" hidden="1" outlineLevel="1">
      <c r="A1641" s="425" t="s">
        <v>86</v>
      </c>
      <c r="B1641" s="220">
        <f t="shared" si="59"/>
        <v>520410.80393500009</v>
      </c>
      <c r="C1641" s="812">
        <v>0</v>
      </c>
      <c r="D1641" s="812">
        <v>0</v>
      </c>
      <c r="E1641" s="812">
        <v>0</v>
      </c>
      <c r="F1641" s="812">
        <v>0</v>
      </c>
      <c r="G1641" s="812">
        <v>0</v>
      </c>
      <c r="H1641" s="812">
        <v>0</v>
      </c>
      <c r="I1641" s="386">
        <f t="shared" si="60"/>
        <v>520410.80393500009</v>
      </c>
      <c r="J1641" s="203" t="s">
        <v>87</v>
      </c>
    </row>
    <row r="1642" spans="1:10" hidden="1" outlineLevel="1">
      <c r="A1642" s="425" t="s">
        <v>1377</v>
      </c>
      <c r="B1642" s="220">
        <f t="shared" si="59"/>
        <v>18577.916500000003</v>
      </c>
      <c r="C1642" s="812">
        <v>0</v>
      </c>
      <c r="D1642" s="812">
        <v>0</v>
      </c>
      <c r="E1642" s="812">
        <v>0</v>
      </c>
      <c r="F1642" s="812">
        <v>0</v>
      </c>
      <c r="G1642" s="812">
        <v>0</v>
      </c>
      <c r="H1642" s="812">
        <v>0</v>
      </c>
      <c r="I1642" s="386">
        <f t="shared" si="60"/>
        <v>18577.916500000003</v>
      </c>
      <c r="J1642" s="203" t="s">
        <v>1378</v>
      </c>
    </row>
    <row r="1643" spans="1:10" hidden="1" outlineLevel="1">
      <c r="A1643" s="425" t="s">
        <v>1907</v>
      </c>
      <c r="B1643" s="220">
        <f t="shared" si="59"/>
        <v>13486.64625</v>
      </c>
      <c r="C1643" s="812">
        <v>0</v>
      </c>
      <c r="D1643" s="812">
        <v>0</v>
      </c>
      <c r="E1643" s="812">
        <v>0</v>
      </c>
      <c r="F1643" s="812">
        <v>0</v>
      </c>
      <c r="G1643" s="812">
        <v>0</v>
      </c>
      <c r="H1643" s="812">
        <v>0</v>
      </c>
      <c r="I1643" s="386">
        <f t="shared" si="60"/>
        <v>13486.64625</v>
      </c>
      <c r="J1643" s="203" t="s">
        <v>1908</v>
      </c>
    </row>
    <row r="1644" spans="1:10" hidden="1" outlineLevel="1">
      <c r="A1644" s="425" t="s">
        <v>1379</v>
      </c>
      <c r="B1644" s="220">
        <f t="shared" si="59"/>
        <v>26635.017750000003</v>
      </c>
      <c r="C1644" s="812">
        <v>0</v>
      </c>
      <c r="D1644" s="812">
        <v>0</v>
      </c>
      <c r="E1644" s="812">
        <v>0</v>
      </c>
      <c r="F1644" s="812">
        <v>0</v>
      </c>
      <c r="G1644" s="812">
        <v>0</v>
      </c>
      <c r="H1644" s="812">
        <v>0</v>
      </c>
      <c r="I1644" s="386">
        <f t="shared" si="60"/>
        <v>26635.017750000003</v>
      </c>
      <c r="J1644" s="203" t="s">
        <v>1380</v>
      </c>
    </row>
    <row r="1645" spans="1:10" hidden="1" outlineLevel="1">
      <c r="A1645" s="425" t="s">
        <v>1381</v>
      </c>
      <c r="B1645" s="220">
        <f t="shared" si="59"/>
        <v>24498.376540000005</v>
      </c>
      <c r="C1645" s="812">
        <v>0</v>
      </c>
      <c r="D1645" s="812">
        <v>0</v>
      </c>
      <c r="E1645" s="812">
        <v>0</v>
      </c>
      <c r="F1645" s="812">
        <v>0</v>
      </c>
      <c r="G1645" s="812">
        <v>0</v>
      </c>
      <c r="H1645" s="812">
        <v>0</v>
      </c>
      <c r="I1645" s="386">
        <f t="shared" si="60"/>
        <v>24498.376540000005</v>
      </c>
      <c r="J1645" s="203" t="s">
        <v>1382</v>
      </c>
    </row>
    <row r="1646" spans="1:10" hidden="1" outlineLevel="1">
      <c r="A1646" s="425" t="s">
        <v>1383</v>
      </c>
      <c r="B1646" s="220">
        <f t="shared" si="59"/>
        <v>78093.444000000003</v>
      </c>
      <c r="C1646" s="812">
        <v>0</v>
      </c>
      <c r="D1646" s="812">
        <v>0</v>
      </c>
      <c r="E1646" s="812">
        <v>0</v>
      </c>
      <c r="F1646" s="812">
        <v>0</v>
      </c>
      <c r="G1646" s="812">
        <v>0</v>
      </c>
      <c r="H1646" s="812">
        <v>0</v>
      </c>
      <c r="I1646" s="386">
        <f t="shared" si="60"/>
        <v>78093.444000000003</v>
      </c>
      <c r="J1646" s="203" t="s">
        <v>1384</v>
      </c>
    </row>
    <row r="1647" spans="1:10" hidden="1" outlineLevel="1">
      <c r="A1647" s="425" t="s">
        <v>1909</v>
      </c>
      <c r="B1647" s="220">
        <f t="shared" si="59"/>
        <v>38683.707397500002</v>
      </c>
      <c r="C1647" s="812">
        <v>0</v>
      </c>
      <c r="D1647" s="812">
        <v>0</v>
      </c>
      <c r="E1647" s="812">
        <v>0</v>
      </c>
      <c r="F1647" s="812">
        <v>0</v>
      </c>
      <c r="G1647" s="812">
        <v>0</v>
      </c>
      <c r="H1647" s="812">
        <v>0</v>
      </c>
      <c r="I1647" s="386">
        <f t="shared" si="60"/>
        <v>38683.707397500002</v>
      </c>
      <c r="J1647" s="203" t="s">
        <v>1910</v>
      </c>
    </row>
    <row r="1648" spans="1:10" hidden="1" outlineLevel="1">
      <c r="A1648" s="425" t="s">
        <v>1385</v>
      </c>
      <c r="B1648" s="220">
        <f t="shared" si="59"/>
        <v>131569.6085</v>
      </c>
      <c r="C1648" s="812">
        <v>0</v>
      </c>
      <c r="D1648" s="812">
        <v>0</v>
      </c>
      <c r="E1648" s="812">
        <v>0</v>
      </c>
      <c r="F1648" s="812">
        <v>0</v>
      </c>
      <c r="G1648" s="812">
        <v>0</v>
      </c>
      <c r="H1648" s="812">
        <v>0</v>
      </c>
      <c r="I1648" s="386">
        <f t="shared" si="60"/>
        <v>131569.6085</v>
      </c>
      <c r="J1648" s="203" t="s">
        <v>1386</v>
      </c>
    </row>
    <row r="1649" spans="1:10" hidden="1" outlineLevel="1">
      <c r="A1649" s="425" t="s">
        <v>1387</v>
      </c>
      <c r="B1649" s="220">
        <f t="shared" si="59"/>
        <v>349030.31075</v>
      </c>
      <c r="C1649" s="812">
        <v>0</v>
      </c>
      <c r="D1649" s="812">
        <v>0</v>
      </c>
      <c r="E1649" s="812">
        <v>0</v>
      </c>
      <c r="F1649" s="812">
        <v>0</v>
      </c>
      <c r="G1649" s="812">
        <v>0</v>
      </c>
      <c r="H1649" s="812">
        <v>0</v>
      </c>
      <c r="I1649" s="386">
        <f t="shared" si="60"/>
        <v>349030.31075</v>
      </c>
      <c r="J1649" s="203" t="s">
        <v>1388</v>
      </c>
    </row>
    <row r="1650" spans="1:10" hidden="1" outlineLevel="1">
      <c r="A1650" s="425" t="s">
        <v>1911</v>
      </c>
      <c r="B1650" s="220">
        <f t="shared" si="59"/>
        <v>9808.7907500000001</v>
      </c>
      <c r="C1650" s="812">
        <v>0</v>
      </c>
      <c r="D1650" s="812">
        <v>0</v>
      </c>
      <c r="E1650" s="812">
        <v>0</v>
      </c>
      <c r="F1650" s="812">
        <v>0</v>
      </c>
      <c r="G1650" s="812">
        <v>0</v>
      </c>
      <c r="H1650" s="812">
        <v>0</v>
      </c>
      <c r="I1650" s="386">
        <f t="shared" si="60"/>
        <v>9808.7907500000001</v>
      </c>
      <c r="J1650" s="203" t="s">
        <v>1912</v>
      </c>
    </row>
    <row r="1651" spans="1:10" hidden="1" outlineLevel="1">
      <c r="A1651" s="425" t="s">
        <v>1913</v>
      </c>
      <c r="B1651" s="220">
        <f t="shared" si="59"/>
        <v>20728.785000000003</v>
      </c>
      <c r="C1651" s="812">
        <v>0</v>
      </c>
      <c r="D1651" s="812">
        <v>0</v>
      </c>
      <c r="E1651" s="812">
        <v>0</v>
      </c>
      <c r="F1651" s="812">
        <v>0</v>
      </c>
      <c r="G1651" s="812">
        <v>0</v>
      </c>
      <c r="H1651" s="812">
        <v>0</v>
      </c>
      <c r="I1651" s="386">
        <f t="shared" si="60"/>
        <v>20728.785000000003</v>
      </c>
      <c r="J1651" s="203" t="s">
        <v>1914</v>
      </c>
    </row>
    <row r="1652" spans="1:10" hidden="1" outlineLevel="1">
      <c r="A1652" s="425" t="s">
        <v>1389</v>
      </c>
      <c r="B1652" s="220">
        <f t="shared" si="59"/>
        <v>266653.09646250005</v>
      </c>
      <c r="C1652" s="812">
        <v>0</v>
      </c>
      <c r="D1652" s="812">
        <v>0</v>
      </c>
      <c r="E1652" s="812">
        <v>0</v>
      </c>
      <c r="F1652" s="812">
        <v>0</v>
      </c>
      <c r="G1652" s="812">
        <v>0</v>
      </c>
      <c r="H1652" s="812">
        <v>0</v>
      </c>
      <c r="I1652" s="386">
        <f t="shared" si="60"/>
        <v>266653.09646250005</v>
      </c>
      <c r="J1652" s="203" t="s">
        <v>1390</v>
      </c>
    </row>
    <row r="1653" spans="1:10" hidden="1" outlineLevel="1">
      <c r="A1653" s="425" t="s">
        <v>1915</v>
      </c>
      <c r="B1653" s="220">
        <f t="shared" si="59"/>
        <v>7589.2162500000013</v>
      </c>
      <c r="C1653" s="812">
        <v>0</v>
      </c>
      <c r="D1653" s="812">
        <v>0</v>
      </c>
      <c r="E1653" s="812">
        <v>0</v>
      </c>
      <c r="F1653" s="812">
        <v>0</v>
      </c>
      <c r="G1653" s="812">
        <v>0</v>
      </c>
      <c r="H1653" s="812">
        <v>0</v>
      </c>
      <c r="I1653" s="386">
        <f t="shared" si="60"/>
        <v>7589.2162500000013</v>
      </c>
      <c r="J1653" s="203" t="s">
        <v>1916</v>
      </c>
    </row>
    <row r="1654" spans="1:10" hidden="1" outlineLevel="1">
      <c r="A1654" s="425" t="s">
        <v>1391</v>
      </c>
      <c r="B1654" s="220">
        <f t="shared" si="59"/>
        <v>705800.24624999997</v>
      </c>
      <c r="C1654" s="812">
        <v>0</v>
      </c>
      <c r="D1654" s="812">
        <v>0</v>
      </c>
      <c r="E1654" s="812">
        <v>0</v>
      </c>
      <c r="F1654" s="812">
        <v>0</v>
      </c>
      <c r="G1654" s="812">
        <v>0</v>
      </c>
      <c r="H1654" s="812">
        <v>0</v>
      </c>
      <c r="I1654" s="386">
        <f t="shared" si="60"/>
        <v>705800.24624999997</v>
      </c>
      <c r="J1654" s="203" t="s">
        <v>1392</v>
      </c>
    </row>
    <row r="1655" spans="1:10" hidden="1" outlineLevel="1">
      <c r="A1655" s="425" t="s">
        <v>194</v>
      </c>
      <c r="B1655" s="220">
        <f t="shared" si="59"/>
        <v>2466836.4764999999</v>
      </c>
      <c r="C1655" s="812">
        <v>0</v>
      </c>
      <c r="D1655" s="812">
        <v>0</v>
      </c>
      <c r="E1655" s="812">
        <v>0</v>
      </c>
      <c r="F1655" s="812">
        <v>0</v>
      </c>
      <c r="G1655" s="812">
        <v>0</v>
      </c>
      <c r="H1655" s="812">
        <v>0</v>
      </c>
      <c r="I1655" s="386">
        <f t="shared" si="60"/>
        <v>2466836.4764999999</v>
      </c>
      <c r="J1655" s="203" t="s">
        <v>195</v>
      </c>
    </row>
    <row r="1656" spans="1:10" hidden="1" outlineLevel="1">
      <c r="A1656" s="425" t="s">
        <v>1917</v>
      </c>
      <c r="B1656" s="220">
        <f t="shared" si="59"/>
        <v>10116.730250000001</v>
      </c>
      <c r="C1656" s="812">
        <v>0</v>
      </c>
      <c r="D1656" s="812">
        <v>0</v>
      </c>
      <c r="E1656" s="812">
        <v>0</v>
      </c>
      <c r="F1656" s="812">
        <v>0</v>
      </c>
      <c r="G1656" s="812">
        <v>0</v>
      </c>
      <c r="H1656" s="812">
        <v>0</v>
      </c>
      <c r="I1656" s="386">
        <f t="shared" si="60"/>
        <v>10116.730250000001</v>
      </c>
      <c r="J1656" s="203" t="s">
        <v>1918</v>
      </c>
    </row>
    <row r="1657" spans="1:10" hidden="1" outlineLevel="1">
      <c r="A1657" s="425" t="s">
        <v>1393</v>
      </c>
      <c r="B1657" s="220">
        <f t="shared" si="59"/>
        <v>79042.969500000007</v>
      </c>
      <c r="C1657" s="812">
        <v>0</v>
      </c>
      <c r="D1657" s="812">
        <v>0</v>
      </c>
      <c r="E1657" s="812">
        <v>0</v>
      </c>
      <c r="F1657" s="812">
        <v>0</v>
      </c>
      <c r="G1657" s="812">
        <v>0</v>
      </c>
      <c r="H1657" s="812">
        <v>0</v>
      </c>
      <c r="I1657" s="386">
        <f t="shared" si="60"/>
        <v>79042.969500000007</v>
      </c>
      <c r="J1657" s="203" t="s">
        <v>1394</v>
      </c>
    </row>
    <row r="1658" spans="1:10" hidden="1" outlineLevel="1">
      <c r="A1658" s="425" t="s">
        <v>1395</v>
      </c>
      <c r="B1658" s="220">
        <f t="shared" si="59"/>
        <v>2062557.3402500001</v>
      </c>
      <c r="C1658" s="812">
        <v>0</v>
      </c>
      <c r="D1658" s="812">
        <v>0</v>
      </c>
      <c r="E1658" s="812">
        <v>0</v>
      </c>
      <c r="F1658" s="813">
        <v>1023</v>
      </c>
      <c r="G1658" s="812">
        <v>0</v>
      </c>
      <c r="H1658" s="812">
        <v>0</v>
      </c>
      <c r="I1658" s="386">
        <f t="shared" si="60"/>
        <v>2063580.3402500001</v>
      </c>
      <c r="J1658" s="203" t="s">
        <v>1396</v>
      </c>
    </row>
    <row r="1659" spans="1:10" hidden="1" outlineLevel="1">
      <c r="A1659" s="425" t="s">
        <v>1919</v>
      </c>
      <c r="B1659" s="220">
        <f t="shared" si="59"/>
        <v>7971.7742500000004</v>
      </c>
      <c r="C1659" s="812">
        <v>0</v>
      </c>
      <c r="D1659" s="812">
        <v>0</v>
      </c>
      <c r="E1659" s="812">
        <v>0</v>
      </c>
      <c r="F1659" s="812">
        <v>0</v>
      </c>
      <c r="G1659" s="812">
        <v>0</v>
      </c>
      <c r="H1659" s="812">
        <v>0</v>
      </c>
      <c r="I1659" s="386">
        <f t="shared" si="60"/>
        <v>7971.7742500000004</v>
      </c>
      <c r="J1659" s="203" t="s">
        <v>1920</v>
      </c>
    </row>
    <row r="1660" spans="1:10" hidden="1" outlineLevel="1">
      <c r="A1660" s="425" t="s">
        <v>1397</v>
      </c>
      <c r="B1660" s="220">
        <f t="shared" si="59"/>
        <v>475626.26925000007</v>
      </c>
      <c r="C1660" s="812">
        <v>0</v>
      </c>
      <c r="D1660" s="812">
        <v>0</v>
      </c>
      <c r="E1660" s="812">
        <v>0</v>
      </c>
      <c r="F1660" s="812">
        <v>0</v>
      </c>
      <c r="G1660" s="812">
        <v>0</v>
      </c>
      <c r="H1660" s="812">
        <v>0</v>
      </c>
      <c r="I1660" s="386">
        <f t="shared" si="60"/>
        <v>475626.26925000007</v>
      </c>
      <c r="J1660" s="203" t="s">
        <v>1398</v>
      </c>
    </row>
    <row r="1661" spans="1:10" hidden="1" outlineLevel="1">
      <c r="A1661" s="425" t="s">
        <v>1921</v>
      </c>
      <c r="B1661" s="220">
        <f t="shared" si="59"/>
        <v>193828.56625</v>
      </c>
      <c r="C1661" s="812">
        <v>0</v>
      </c>
      <c r="D1661" s="812">
        <v>0</v>
      </c>
      <c r="E1661" s="812">
        <v>0</v>
      </c>
      <c r="F1661" s="812">
        <v>0</v>
      </c>
      <c r="G1661" s="812">
        <v>0</v>
      </c>
      <c r="H1661" s="812">
        <v>0</v>
      </c>
      <c r="I1661" s="386">
        <f t="shared" si="60"/>
        <v>193828.56625</v>
      </c>
      <c r="J1661" s="203" t="s">
        <v>1922</v>
      </c>
    </row>
    <row r="1662" spans="1:10" hidden="1" outlineLevel="1">
      <c r="A1662" s="425" t="s">
        <v>1923</v>
      </c>
      <c r="B1662" s="220">
        <f t="shared" si="59"/>
        <v>6220.1755000000003</v>
      </c>
      <c r="C1662" s="812">
        <v>0</v>
      </c>
      <c r="D1662" s="812">
        <v>0</v>
      </c>
      <c r="E1662" s="812">
        <v>0</v>
      </c>
      <c r="F1662" s="812">
        <v>0</v>
      </c>
      <c r="G1662" s="812">
        <v>0</v>
      </c>
      <c r="H1662" s="812">
        <v>0</v>
      </c>
      <c r="I1662" s="386">
        <f t="shared" si="60"/>
        <v>6220.1755000000003</v>
      </c>
      <c r="J1662" s="203" t="s">
        <v>1924</v>
      </c>
    </row>
    <row r="1663" spans="1:10" hidden="1" outlineLevel="1">
      <c r="A1663" s="425" t="s">
        <v>1399</v>
      </c>
      <c r="B1663" s="220">
        <f t="shared" si="59"/>
        <v>3432336.6880000001</v>
      </c>
      <c r="C1663" s="812">
        <v>0</v>
      </c>
      <c r="D1663" s="812">
        <v>0</v>
      </c>
      <c r="E1663" s="812">
        <v>0</v>
      </c>
      <c r="F1663" s="812">
        <v>0</v>
      </c>
      <c r="G1663" s="812">
        <v>0</v>
      </c>
      <c r="H1663" s="812">
        <v>0</v>
      </c>
      <c r="I1663" s="386">
        <f t="shared" si="60"/>
        <v>3432336.6880000001</v>
      </c>
      <c r="J1663" s="203" t="s">
        <v>1400</v>
      </c>
    </row>
    <row r="1664" spans="1:10" hidden="1" outlineLevel="1">
      <c r="A1664" s="425" t="s">
        <v>1401</v>
      </c>
      <c r="B1664" s="220">
        <f t="shared" si="59"/>
        <v>20895475.375500001</v>
      </c>
      <c r="C1664" s="812">
        <v>0</v>
      </c>
      <c r="D1664" s="812">
        <v>0</v>
      </c>
      <c r="E1664" s="812">
        <v>0</v>
      </c>
      <c r="F1664" s="812">
        <v>0</v>
      </c>
      <c r="G1664" s="812">
        <v>0</v>
      </c>
      <c r="H1664" s="812">
        <v>0</v>
      </c>
      <c r="I1664" s="386">
        <f t="shared" si="60"/>
        <v>20895475.375500001</v>
      </c>
      <c r="J1664" s="203" t="s">
        <v>1402</v>
      </c>
    </row>
    <row r="1665" spans="1:10" hidden="1" outlineLevel="1">
      <c r="A1665" s="425" t="s">
        <v>1403</v>
      </c>
      <c r="B1665" s="220">
        <f t="shared" si="59"/>
        <v>66457.979500000001</v>
      </c>
      <c r="C1665" s="812">
        <v>0</v>
      </c>
      <c r="D1665" s="812">
        <v>0</v>
      </c>
      <c r="E1665" s="812">
        <v>0</v>
      </c>
      <c r="F1665" s="812">
        <v>0</v>
      </c>
      <c r="G1665" s="812">
        <v>0</v>
      </c>
      <c r="H1665" s="812">
        <v>0</v>
      </c>
      <c r="I1665" s="386">
        <f t="shared" si="60"/>
        <v>66457.979500000001</v>
      </c>
      <c r="J1665" s="203" t="s">
        <v>1404</v>
      </c>
    </row>
    <row r="1666" spans="1:10" hidden="1" outlineLevel="1">
      <c r="A1666" s="425" t="s">
        <v>1405</v>
      </c>
      <c r="B1666" s="220">
        <f t="shared" si="59"/>
        <v>45327768.535500005</v>
      </c>
      <c r="C1666" s="812">
        <v>0</v>
      </c>
      <c r="D1666" s="812">
        <v>0</v>
      </c>
      <c r="E1666" s="812">
        <v>0</v>
      </c>
      <c r="F1666" s="812">
        <v>0</v>
      </c>
      <c r="G1666" s="812">
        <v>0</v>
      </c>
      <c r="H1666" s="812">
        <v>0</v>
      </c>
      <c r="I1666" s="386">
        <f t="shared" si="60"/>
        <v>45327768.535500005</v>
      </c>
      <c r="J1666" s="203" t="s">
        <v>1406</v>
      </c>
    </row>
    <row r="1667" spans="1:10" hidden="1" outlineLevel="1">
      <c r="A1667" s="425" t="s">
        <v>1407</v>
      </c>
      <c r="B1667" s="220">
        <f t="shared" ref="B1667:B1726" si="61">B733*0.275/100</f>
        <v>10017943.430000002</v>
      </c>
      <c r="C1667" s="812">
        <v>0</v>
      </c>
      <c r="D1667" s="812">
        <v>0</v>
      </c>
      <c r="E1667" s="812">
        <v>0</v>
      </c>
      <c r="F1667" s="812">
        <v>0</v>
      </c>
      <c r="G1667" s="812">
        <v>0</v>
      </c>
      <c r="H1667" s="812">
        <v>0</v>
      </c>
      <c r="I1667" s="386">
        <f t="shared" ref="I1667:I1728" si="62">SUM(B1667:H1667)</f>
        <v>10017943.430000002</v>
      </c>
      <c r="J1667" s="203" t="s">
        <v>1408</v>
      </c>
    </row>
    <row r="1668" spans="1:10" hidden="1" outlineLevel="1">
      <c r="A1668" s="425" t="s">
        <v>1409</v>
      </c>
      <c r="B1668" s="220">
        <f t="shared" si="61"/>
        <v>1695856.4975000001</v>
      </c>
      <c r="C1668" s="812">
        <v>0</v>
      </c>
      <c r="D1668" s="812">
        <v>0</v>
      </c>
      <c r="E1668" s="812">
        <v>0</v>
      </c>
      <c r="F1668" s="812">
        <v>0</v>
      </c>
      <c r="G1668" s="812">
        <v>0</v>
      </c>
      <c r="H1668" s="812">
        <v>0</v>
      </c>
      <c r="I1668" s="386">
        <f t="shared" si="62"/>
        <v>1695856.4975000001</v>
      </c>
      <c r="J1668" s="203" t="s">
        <v>1410</v>
      </c>
    </row>
    <row r="1669" spans="1:10" hidden="1" outlineLevel="1">
      <c r="A1669" s="425" t="s">
        <v>1925</v>
      </c>
      <c r="B1669" s="220">
        <f t="shared" si="61"/>
        <v>563489.55575000006</v>
      </c>
      <c r="C1669" s="812">
        <v>0</v>
      </c>
      <c r="D1669" s="812">
        <v>0</v>
      </c>
      <c r="E1669" s="812">
        <v>0</v>
      </c>
      <c r="F1669" s="812">
        <v>0</v>
      </c>
      <c r="G1669" s="812">
        <v>0</v>
      </c>
      <c r="H1669" s="812">
        <v>0</v>
      </c>
      <c r="I1669" s="386">
        <f t="shared" si="62"/>
        <v>563489.55575000006</v>
      </c>
      <c r="J1669" s="203" t="s">
        <v>1926</v>
      </c>
    </row>
    <row r="1670" spans="1:10" hidden="1" outlineLevel="1">
      <c r="A1670" s="425" t="s">
        <v>509</v>
      </c>
      <c r="B1670" s="220">
        <f t="shared" si="61"/>
        <v>10372494.455262501</v>
      </c>
      <c r="C1670" s="812">
        <v>0</v>
      </c>
      <c r="D1670" s="812">
        <v>0</v>
      </c>
      <c r="E1670" s="812">
        <v>0</v>
      </c>
      <c r="F1670" s="812">
        <v>0</v>
      </c>
      <c r="G1670" s="812">
        <v>0</v>
      </c>
      <c r="H1670" s="812">
        <v>0</v>
      </c>
      <c r="I1670" s="386">
        <f t="shared" si="62"/>
        <v>10372494.455262501</v>
      </c>
      <c r="J1670" s="203" t="s">
        <v>510</v>
      </c>
    </row>
    <row r="1671" spans="1:10" hidden="1" outlineLevel="1">
      <c r="A1671" s="425" t="s">
        <v>1411</v>
      </c>
      <c r="B1671" s="220">
        <f t="shared" si="61"/>
        <v>192653.12549999999</v>
      </c>
      <c r="C1671" s="812">
        <v>0</v>
      </c>
      <c r="D1671" s="812">
        <v>0</v>
      </c>
      <c r="E1671" s="812">
        <v>0</v>
      </c>
      <c r="F1671" s="812">
        <v>0</v>
      </c>
      <c r="G1671" s="812">
        <v>0</v>
      </c>
      <c r="H1671" s="812">
        <v>0</v>
      </c>
      <c r="I1671" s="386">
        <f t="shared" si="62"/>
        <v>192653.12549999999</v>
      </c>
      <c r="J1671" s="203" t="s">
        <v>1412</v>
      </c>
    </row>
    <row r="1672" spans="1:10" hidden="1" outlineLevel="1">
      <c r="A1672" s="425" t="s">
        <v>1413</v>
      </c>
      <c r="B1672" s="220">
        <f t="shared" si="61"/>
        <v>11306035.655750001</v>
      </c>
      <c r="C1672" s="812">
        <v>0</v>
      </c>
      <c r="D1672" s="812">
        <v>0</v>
      </c>
      <c r="E1672" s="812">
        <v>0</v>
      </c>
      <c r="F1672" s="813">
        <v>16204</v>
      </c>
      <c r="G1672" s="812">
        <v>0</v>
      </c>
      <c r="H1672" s="812">
        <v>0</v>
      </c>
      <c r="I1672" s="386">
        <f t="shared" si="62"/>
        <v>11322239.655750001</v>
      </c>
      <c r="J1672" s="203" t="s">
        <v>1414</v>
      </c>
    </row>
    <row r="1673" spans="1:10" hidden="1" outlineLevel="1">
      <c r="A1673" s="425" t="s">
        <v>388</v>
      </c>
      <c r="B1673" s="220">
        <f t="shared" si="61"/>
        <v>13158470.60454575</v>
      </c>
      <c r="C1673" s="812">
        <v>0</v>
      </c>
      <c r="D1673" s="812">
        <v>0</v>
      </c>
      <c r="E1673" s="812">
        <v>0</v>
      </c>
      <c r="F1673" s="812">
        <v>0</v>
      </c>
      <c r="G1673" s="812">
        <v>0</v>
      </c>
      <c r="H1673" s="812">
        <v>0</v>
      </c>
      <c r="I1673" s="386">
        <f t="shared" si="62"/>
        <v>13158470.60454575</v>
      </c>
      <c r="J1673" s="203" t="s">
        <v>389</v>
      </c>
    </row>
    <row r="1674" spans="1:10" hidden="1" outlineLevel="1">
      <c r="A1674" s="425" t="s">
        <v>724</v>
      </c>
      <c r="B1674" s="220">
        <f t="shared" si="61"/>
        <v>10303486.82</v>
      </c>
      <c r="C1674" s="812">
        <v>0</v>
      </c>
      <c r="D1674" s="812">
        <v>0</v>
      </c>
      <c r="E1674" s="812">
        <v>0</v>
      </c>
      <c r="F1674" s="812">
        <v>0</v>
      </c>
      <c r="G1674" s="812">
        <v>0</v>
      </c>
      <c r="H1674" s="812">
        <v>0</v>
      </c>
      <c r="I1674" s="386">
        <f t="shared" si="62"/>
        <v>10303486.82</v>
      </c>
      <c r="J1674" s="203" t="s">
        <v>725</v>
      </c>
    </row>
    <row r="1675" spans="1:10" hidden="1" outlineLevel="1">
      <c r="A1675" s="425" t="s">
        <v>1927</v>
      </c>
      <c r="B1675" s="220">
        <f t="shared" si="61"/>
        <v>31481.384000000005</v>
      </c>
      <c r="C1675" s="812">
        <v>0</v>
      </c>
      <c r="D1675" s="812">
        <v>0</v>
      </c>
      <c r="E1675" s="812">
        <v>0</v>
      </c>
      <c r="F1675" s="812">
        <v>0</v>
      </c>
      <c r="G1675" s="812">
        <v>0</v>
      </c>
      <c r="H1675" s="812">
        <v>0</v>
      </c>
      <c r="I1675" s="386">
        <f t="shared" si="62"/>
        <v>31481.384000000005</v>
      </c>
      <c r="J1675" s="203" t="s">
        <v>1928</v>
      </c>
    </row>
    <row r="1676" spans="1:10" hidden="1" outlineLevel="1">
      <c r="A1676" s="425" t="s">
        <v>1415</v>
      </c>
      <c r="B1676" s="220">
        <f t="shared" si="61"/>
        <v>10198.122000000001</v>
      </c>
      <c r="C1676" s="812">
        <v>0</v>
      </c>
      <c r="D1676" s="812">
        <v>0</v>
      </c>
      <c r="E1676" s="812">
        <v>0</v>
      </c>
      <c r="F1676" s="812">
        <v>0</v>
      </c>
      <c r="G1676" s="812">
        <v>0</v>
      </c>
      <c r="H1676" s="812">
        <v>0</v>
      </c>
      <c r="I1676" s="386">
        <f t="shared" si="62"/>
        <v>10198.122000000001</v>
      </c>
      <c r="J1676" s="203" t="s">
        <v>1416</v>
      </c>
    </row>
    <row r="1677" spans="1:10" hidden="1" outlineLevel="1">
      <c r="A1677" s="425" t="s">
        <v>1929</v>
      </c>
      <c r="B1677" s="220">
        <f t="shared" si="61"/>
        <v>18330.892250000001</v>
      </c>
      <c r="C1677" s="812">
        <v>0</v>
      </c>
      <c r="D1677" s="812">
        <v>0</v>
      </c>
      <c r="E1677" s="812">
        <v>0</v>
      </c>
      <c r="F1677" s="812">
        <v>0</v>
      </c>
      <c r="G1677" s="812">
        <v>0</v>
      </c>
      <c r="H1677" s="812">
        <v>0</v>
      </c>
      <c r="I1677" s="386">
        <f t="shared" si="62"/>
        <v>18330.892250000001</v>
      </c>
      <c r="J1677" s="203" t="s">
        <v>1930</v>
      </c>
    </row>
    <row r="1678" spans="1:10" hidden="1" outlineLevel="1">
      <c r="A1678" s="425" t="s">
        <v>1931</v>
      </c>
      <c r="B1678" s="220">
        <f t="shared" si="61"/>
        <v>1096.5295000000001</v>
      </c>
      <c r="C1678" s="812">
        <v>0</v>
      </c>
      <c r="D1678" s="812">
        <v>0</v>
      </c>
      <c r="E1678" s="812">
        <v>0</v>
      </c>
      <c r="F1678" s="812">
        <v>0</v>
      </c>
      <c r="G1678" s="812">
        <v>0</v>
      </c>
      <c r="H1678" s="812">
        <v>0</v>
      </c>
      <c r="I1678" s="386">
        <f t="shared" si="62"/>
        <v>1096.5295000000001</v>
      </c>
      <c r="J1678" s="203" t="s">
        <v>1932</v>
      </c>
    </row>
    <row r="1679" spans="1:10" hidden="1" outlineLevel="1">
      <c r="A1679" s="425" t="s">
        <v>1417</v>
      </c>
      <c r="B1679" s="220">
        <f t="shared" si="61"/>
        <v>325161.99925000005</v>
      </c>
      <c r="C1679" s="812">
        <v>0</v>
      </c>
      <c r="D1679" s="812">
        <v>0</v>
      </c>
      <c r="E1679" s="812">
        <v>0</v>
      </c>
      <c r="F1679" s="812">
        <v>0</v>
      </c>
      <c r="G1679" s="812">
        <v>0</v>
      </c>
      <c r="H1679" s="812">
        <v>0</v>
      </c>
      <c r="I1679" s="386">
        <f t="shared" si="62"/>
        <v>325161.99925000005</v>
      </c>
      <c r="J1679" s="203" t="s">
        <v>1418</v>
      </c>
    </row>
    <row r="1680" spans="1:10" hidden="1" outlineLevel="1">
      <c r="A1680" s="425" t="s">
        <v>1419</v>
      </c>
      <c r="B1680" s="220">
        <f t="shared" si="61"/>
        <v>245898.63650000002</v>
      </c>
      <c r="C1680" s="812">
        <v>0</v>
      </c>
      <c r="D1680" s="812">
        <v>0</v>
      </c>
      <c r="E1680" s="812">
        <v>0</v>
      </c>
      <c r="F1680" s="812">
        <v>0</v>
      </c>
      <c r="G1680" s="812">
        <v>0</v>
      </c>
      <c r="H1680" s="812">
        <v>0</v>
      </c>
      <c r="I1680" s="386">
        <f t="shared" si="62"/>
        <v>245898.63650000002</v>
      </c>
      <c r="J1680" s="203" t="s">
        <v>1420</v>
      </c>
    </row>
    <row r="1681" spans="1:10" hidden="1" outlineLevel="1">
      <c r="A1681" s="425" t="s">
        <v>1421</v>
      </c>
      <c r="B1681" s="220">
        <f t="shared" si="61"/>
        <v>200000.25925</v>
      </c>
      <c r="C1681" s="812">
        <v>0</v>
      </c>
      <c r="D1681" s="812">
        <v>0</v>
      </c>
      <c r="E1681" s="812">
        <v>0</v>
      </c>
      <c r="F1681" s="812">
        <v>0</v>
      </c>
      <c r="G1681" s="812">
        <v>0</v>
      </c>
      <c r="H1681" s="812">
        <v>0</v>
      </c>
      <c r="I1681" s="386">
        <f t="shared" si="62"/>
        <v>200000.25925</v>
      </c>
      <c r="J1681" s="203" t="s">
        <v>1422</v>
      </c>
    </row>
    <row r="1682" spans="1:10" hidden="1" outlineLevel="1">
      <c r="A1682" s="425" t="s">
        <v>1933</v>
      </c>
      <c r="B1682" s="220">
        <f t="shared" si="61"/>
        <v>165</v>
      </c>
      <c r="C1682" s="812">
        <v>0</v>
      </c>
      <c r="D1682" s="812">
        <v>0</v>
      </c>
      <c r="E1682" s="812">
        <v>0</v>
      </c>
      <c r="F1682" s="812">
        <v>0</v>
      </c>
      <c r="G1682" s="812">
        <v>0</v>
      </c>
      <c r="H1682" s="812">
        <v>0</v>
      </c>
      <c r="I1682" s="386">
        <f t="shared" si="62"/>
        <v>165</v>
      </c>
      <c r="J1682" s="203" t="s">
        <v>1934</v>
      </c>
    </row>
    <row r="1683" spans="1:10" hidden="1" outlineLevel="1">
      <c r="A1683" s="425" t="s">
        <v>1423</v>
      </c>
      <c r="B1683" s="220">
        <f t="shared" si="61"/>
        <v>251856.10175</v>
      </c>
      <c r="C1683" s="812">
        <v>0</v>
      </c>
      <c r="D1683" s="812">
        <v>0</v>
      </c>
      <c r="E1683" s="812">
        <v>0</v>
      </c>
      <c r="F1683" s="812">
        <v>0</v>
      </c>
      <c r="G1683" s="812">
        <v>0</v>
      </c>
      <c r="H1683" s="812">
        <v>0</v>
      </c>
      <c r="I1683" s="386">
        <f t="shared" si="62"/>
        <v>251856.10175</v>
      </c>
      <c r="J1683" s="203" t="s">
        <v>1424</v>
      </c>
    </row>
    <row r="1684" spans="1:10" hidden="1" outlineLevel="1">
      <c r="A1684" s="425" t="s">
        <v>1425</v>
      </c>
      <c r="B1684" s="220">
        <f t="shared" si="61"/>
        <v>870126.93350000004</v>
      </c>
      <c r="C1684" s="812">
        <v>0</v>
      </c>
      <c r="D1684" s="812">
        <v>0</v>
      </c>
      <c r="E1684" s="812">
        <v>0</v>
      </c>
      <c r="F1684" s="812">
        <v>0</v>
      </c>
      <c r="G1684" s="812">
        <v>0</v>
      </c>
      <c r="H1684" s="812">
        <v>0</v>
      </c>
      <c r="I1684" s="386">
        <f t="shared" si="62"/>
        <v>870126.93350000004</v>
      </c>
      <c r="J1684" s="203" t="s">
        <v>1426</v>
      </c>
    </row>
    <row r="1685" spans="1:10" hidden="1" outlineLevel="1">
      <c r="A1685" s="425" t="s">
        <v>429</v>
      </c>
      <c r="B1685" s="220">
        <f t="shared" si="61"/>
        <v>57287.994500000001</v>
      </c>
      <c r="C1685" s="812">
        <v>0</v>
      </c>
      <c r="D1685" s="812">
        <v>0</v>
      </c>
      <c r="E1685" s="812">
        <v>0</v>
      </c>
      <c r="F1685" s="812">
        <v>0</v>
      </c>
      <c r="G1685" s="812">
        <v>0</v>
      </c>
      <c r="H1685" s="812">
        <v>0</v>
      </c>
      <c r="I1685" s="386">
        <f t="shared" si="62"/>
        <v>57287.994500000001</v>
      </c>
      <c r="J1685" s="203" t="s">
        <v>430</v>
      </c>
    </row>
    <row r="1686" spans="1:10" hidden="1" outlineLevel="1">
      <c r="A1686" s="425" t="s">
        <v>360</v>
      </c>
      <c r="B1686" s="220">
        <f t="shared" si="61"/>
        <v>35243.672750000005</v>
      </c>
      <c r="C1686" s="812">
        <v>0</v>
      </c>
      <c r="D1686" s="812">
        <v>0</v>
      </c>
      <c r="E1686" s="812">
        <v>0</v>
      </c>
      <c r="F1686" s="812">
        <v>0</v>
      </c>
      <c r="G1686" s="812">
        <v>0</v>
      </c>
      <c r="H1686" s="812">
        <v>0</v>
      </c>
      <c r="I1686" s="386">
        <f t="shared" si="62"/>
        <v>35243.672750000005</v>
      </c>
      <c r="J1686" s="203" t="s">
        <v>361</v>
      </c>
    </row>
    <row r="1687" spans="1:10" hidden="1" outlineLevel="1">
      <c r="A1687" s="425" t="s">
        <v>1427</v>
      </c>
      <c r="B1687" s="220">
        <f t="shared" si="61"/>
        <v>769364.26600000006</v>
      </c>
      <c r="C1687" s="812">
        <v>0</v>
      </c>
      <c r="D1687" s="812">
        <v>0</v>
      </c>
      <c r="E1687" s="812">
        <v>0</v>
      </c>
      <c r="F1687" s="812">
        <v>0</v>
      </c>
      <c r="G1687" s="812">
        <v>0</v>
      </c>
      <c r="H1687" s="812">
        <v>0</v>
      </c>
      <c r="I1687" s="386">
        <f t="shared" si="62"/>
        <v>769364.26600000006</v>
      </c>
      <c r="J1687" s="203" t="s">
        <v>1428</v>
      </c>
    </row>
    <row r="1688" spans="1:10" hidden="1" outlineLevel="1">
      <c r="A1688" s="425" t="s">
        <v>1429</v>
      </c>
      <c r="B1688" s="220">
        <f t="shared" si="61"/>
        <v>80920.078250000006</v>
      </c>
      <c r="C1688" s="812">
        <v>0</v>
      </c>
      <c r="D1688" s="812">
        <v>0</v>
      </c>
      <c r="E1688" s="812">
        <v>0</v>
      </c>
      <c r="F1688" s="812">
        <v>0</v>
      </c>
      <c r="G1688" s="812">
        <v>0</v>
      </c>
      <c r="H1688" s="812">
        <v>0</v>
      </c>
      <c r="I1688" s="386">
        <f t="shared" si="62"/>
        <v>80920.078250000006</v>
      </c>
      <c r="J1688" s="203" t="s">
        <v>1430</v>
      </c>
    </row>
    <row r="1689" spans="1:10" hidden="1" outlineLevel="1">
      <c r="A1689" s="425" t="s">
        <v>1935</v>
      </c>
      <c r="B1689" s="220">
        <f t="shared" si="61"/>
        <v>15475.793388</v>
      </c>
      <c r="C1689" s="812">
        <v>0</v>
      </c>
      <c r="D1689" s="812">
        <v>0</v>
      </c>
      <c r="E1689" s="812">
        <v>0</v>
      </c>
      <c r="F1689" s="812">
        <v>0</v>
      </c>
      <c r="G1689" s="812">
        <v>0</v>
      </c>
      <c r="H1689" s="812">
        <v>0</v>
      </c>
      <c r="I1689" s="386">
        <f t="shared" si="62"/>
        <v>15475.793388</v>
      </c>
      <c r="J1689" s="203" t="s">
        <v>1936</v>
      </c>
    </row>
    <row r="1690" spans="1:10" hidden="1" outlineLevel="1">
      <c r="A1690" s="425" t="s">
        <v>1431</v>
      </c>
      <c r="B1690" s="220">
        <f t="shared" si="61"/>
        <v>247950.79925000001</v>
      </c>
      <c r="C1690" s="812">
        <v>0</v>
      </c>
      <c r="D1690" s="812">
        <v>0</v>
      </c>
      <c r="E1690" s="812">
        <v>0</v>
      </c>
      <c r="F1690" s="812">
        <v>0</v>
      </c>
      <c r="G1690" s="812">
        <v>0</v>
      </c>
      <c r="H1690" s="812">
        <v>51</v>
      </c>
      <c r="I1690" s="386">
        <f t="shared" si="62"/>
        <v>248001.79925000001</v>
      </c>
      <c r="J1690" s="203" t="s">
        <v>1432</v>
      </c>
    </row>
    <row r="1691" spans="1:10" hidden="1" outlineLevel="1">
      <c r="A1691" s="425" t="s">
        <v>1433</v>
      </c>
      <c r="B1691" s="220">
        <f t="shared" si="61"/>
        <v>250816.39000000004</v>
      </c>
      <c r="C1691" s="812">
        <v>0</v>
      </c>
      <c r="D1691" s="812">
        <v>0</v>
      </c>
      <c r="E1691" s="812">
        <v>0</v>
      </c>
      <c r="F1691" s="812">
        <v>0</v>
      </c>
      <c r="G1691" s="812">
        <v>0</v>
      </c>
      <c r="H1691" s="812">
        <v>0</v>
      </c>
      <c r="I1691" s="386">
        <f t="shared" si="62"/>
        <v>250816.39000000004</v>
      </c>
      <c r="J1691" s="203" t="s">
        <v>1434</v>
      </c>
    </row>
    <row r="1692" spans="1:10" hidden="1" outlineLevel="1">
      <c r="A1692" s="425" t="s">
        <v>577</v>
      </c>
      <c r="B1692" s="220">
        <f t="shared" si="61"/>
        <v>1146214.0690000001</v>
      </c>
      <c r="C1692" s="812">
        <v>0</v>
      </c>
      <c r="D1692" s="812">
        <v>0</v>
      </c>
      <c r="E1692" s="812">
        <v>0</v>
      </c>
      <c r="F1692" s="813">
        <v>1293886</v>
      </c>
      <c r="G1692" s="812">
        <v>0</v>
      </c>
      <c r="H1692" s="812">
        <v>0</v>
      </c>
      <c r="I1692" s="386">
        <f t="shared" si="62"/>
        <v>2440100.0690000001</v>
      </c>
      <c r="J1692" s="203" t="s">
        <v>578</v>
      </c>
    </row>
    <row r="1693" spans="1:10" hidden="1" outlineLevel="1">
      <c r="A1693" s="425" t="s">
        <v>680</v>
      </c>
      <c r="B1693" s="220">
        <f t="shared" si="61"/>
        <v>771776.84375</v>
      </c>
      <c r="C1693" s="812">
        <v>0</v>
      </c>
      <c r="D1693" s="812">
        <v>0</v>
      </c>
      <c r="E1693" s="812">
        <v>0</v>
      </c>
      <c r="F1693" s="812">
        <v>0</v>
      </c>
      <c r="G1693" s="812">
        <v>0</v>
      </c>
      <c r="H1693" s="812">
        <v>0</v>
      </c>
      <c r="I1693" s="386">
        <f t="shared" si="62"/>
        <v>771776.84375</v>
      </c>
      <c r="J1693" s="203" t="s">
        <v>681</v>
      </c>
    </row>
    <row r="1694" spans="1:10" hidden="1" outlineLevel="1">
      <c r="A1694" s="425" t="s">
        <v>1435</v>
      </c>
      <c r="B1694" s="220">
        <f t="shared" si="61"/>
        <v>177700.48450000002</v>
      </c>
      <c r="C1694" s="812">
        <v>0</v>
      </c>
      <c r="D1694" s="812">
        <v>0</v>
      </c>
      <c r="E1694" s="812">
        <v>0</v>
      </c>
      <c r="F1694" s="812">
        <v>0</v>
      </c>
      <c r="G1694" s="812">
        <v>0</v>
      </c>
      <c r="H1694" s="812">
        <v>0</v>
      </c>
      <c r="I1694" s="386">
        <f t="shared" si="62"/>
        <v>177700.48450000002</v>
      </c>
      <c r="J1694" s="203" t="s">
        <v>1436</v>
      </c>
    </row>
    <row r="1695" spans="1:10" hidden="1" outlineLevel="1">
      <c r="A1695" s="425" t="s">
        <v>1937</v>
      </c>
      <c r="B1695" s="220">
        <f t="shared" si="61"/>
        <v>20333.456000000002</v>
      </c>
      <c r="C1695" s="812">
        <v>0</v>
      </c>
      <c r="D1695" s="812">
        <v>0</v>
      </c>
      <c r="E1695" s="812">
        <v>0</v>
      </c>
      <c r="F1695" s="812">
        <v>0</v>
      </c>
      <c r="G1695" s="812">
        <v>0</v>
      </c>
      <c r="H1695" s="812">
        <v>0</v>
      </c>
      <c r="I1695" s="386">
        <f t="shared" si="62"/>
        <v>20333.456000000002</v>
      </c>
      <c r="J1695" s="203" t="s">
        <v>1938</v>
      </c>
    </row>
    <row r="1696" spans="1:10" hidden="1" outlineLevel="1">
      <c r="A1696" s="425" t="s">
        <v>664</v>
      </c>
      <c r="B1696" s="220">
        <f t="shared" si="61"/>
        <v>185801.94875000001</v>
      </c>
      <c r="C1696" s="812">
        <v>0</v>
      </c>
      <c r="D1696" s="812">
        <v>0</v>
      </c>
      <c r="E1696" s="812">
        <v>0</v>
      </c>
      <c r="F1696" s="812">
        <v>0</v>
      </c>
      <c r="G1696" s="812">
        <v>0</v>
      </c>
      <c r="H1696" s="812">
        <v>0</v>
      </c>
      <c r="I1696" s="386">
        <f t="shared" si="62"/>
        <v>185801.94875000001</v>
      </c>
      <c r="J1696" s="203" t="s">
        <v>665</v>
      </c>
    </row>
    <row r="1697" spans="1:10" hidden="1" outlineLevel="1">
      <c r="A1697" s="425" t="s">
        <v>1939</v>
      </c>
      <c r="B1697" s="220">
        <f t="shared" si="61"/>
        <v>14346.175250000002</v>
      </c>
      <c r="C1697" s="812">
        <v>0</v>
      </c>
      <c r="D1697" s="812">
        <v>0</v>
      </c>
      <c r="E1697" s="812">
        <v>0</v>
      </c>
      <c r="F1697" s="812">
        <v>0</v>
      </c>
      <c r="G1697" s="812">
        <v>0</v>
      </c>
      <c r="H1697" s="812">
        <v>0</v>
      </c>
      <c r="I1697" s="386">
        <f t="shared" si="62"/>
        <v>14346.175250000002</v>
      </c>
      <c r="J1697" s="203" t="s">
        <v>1940</v>
      </c>
    </row>
    <row r="1698" spans="1:10" hidden="1" outlineLevel="1">
      <c r="A1698" s="425" t="s">
        <v>469</v>
      </c>
      <c r="B1698" s="220">
        <f t="shared" si="61"/>
        <v>566489.60225</v>
      </c>
      <c r="C1698" s="812">
        <v>0</v>
      </c>
      <c r="D1698" s="812">
        <v>0</v>
      </c>
      <c r="E1698" s="812">
        <v>0</v>
      </c>
      <c r="F1698" s="812">
        <v>0</v>
      </c>
      <c r="G1698" s="812">
        <v>0</v>
      </c>
      <c r="H1698" s="812">
        <v>0</v>
      </c>
      <c r="I1698" s="386">
        <f t="shared" si="62"/>
        <v>566489.60225</v>
      </c>
      <c r="J1698" s="203" t="s">
        <v>1437</v>
      </c>
    </row>
    <row r="1699" spans="1:10" hidden="1" outlineLevel="1">
      <c r="A1699" s="425" t="s">
        <v>1438</v>
      </c>
      <c r="B1699" s="220">
        <f t="shared" si="61"/>
        <v>384145.81975000002</v>
      </c>
      <c r="C1699" s="812">
        <v>0</v>
      </c>
      <c r="D1699" s="812">
        <v>0</v>
      </c>
      <c r="E1699" s="812">
        <v>0</v>
      </c>
      <c r="F1699" s="812">
        <v>0</v>
      </c>
      <c r="G1699" s="812">
        <v>0</v>
      </c>
      <c r="H1699" s="812">
        <v>0</v>
      </c>
      <c r="I1699" s="386">
        <f t="shared" si="62"/>
        <v>384145.81975000002</v>
      </c>
      <c r="J1699" s="203" t="s">
        <v>1439</v>
      </c>
    </row>
    <row r="1700" spans="1:10" hidden="1" outlineLevel="1">
      <c r="A1700" s="425" t="s">
        <v>1440</v>
      </c>
      <c r="B1700" s="220">
        <f t="shared" si="61"/>
        <v>32467.044500000004</v>
      </c>
      <c r="C1700" s="812">
        <v>0</v>
      </c>
      <c r="D1700" s="812">
        <v>0</v>
      </c>
      <c r="E1700" s="812">
        <v>0</v>
      </c>
      <c r="F1700" s="812">
        <v>0</v>
      </c>
      <c r="G1700" s="812">
        <v>0</v>
      </c>
      <c r="H1700" s="812">
        <v>0</v>
      </c>
      <c r="I1700" s="386">
        <f t="shared" si="62"/>
        <v>32467.044500000004</v>
      </c>
      <c r="J1700" s="203" t="s">
        <v>1441</v>
      </c>
    </row>
    <row r="1701" spans="1:10" hidden="1" outlineLevel="1">
      <c r="A1701" s="425" t="s">
        <v>1442</v>
      </c>
      <c r="B1701" s="220">
        <f t="shared" si="61"/>
        <v>303002.26</v>
      </c>
      <c r="C1701" s="812">
        <v>0</v>
      </c>
      <c r="D1701" s="812">
        <v>0</v>
      </c>
      <c r="E1701" s="812">
        <v>0</v>
      </c>
      <c r="F1701" s="812">
        <v>0</v>
      </c>
      <c r="G1701" s="812">
        <v>0</v>
      </c>
      <c r="H1701" s="812">
        <v>0</v>
      </c>
      <c r="I1701" s="386">
        <f t="shared" si="62"/>
        <v>303002.26</v>
      </c>
      <c r="J1701" s="203" t="s">
        <v>1443</v>
      </c>
    </row>
    <row r="1702" spans="1:10" hidden="1" outlineLevel="1">
      <c r="A1702" s="425" t="s">
        <v>1444</v>
      </c>
      <c r="B1702" s="220">
        <f t="shared" si="61"/>
        <v>395700.98700000002</v>
      </c>
      <c r="C1702" s="812">
        <v>0</v>
      </c>
      <c r="D1702" s="812">
        <v>0</v>
      </c>
      <c r="E1702" s="812">
        <v>0</v>
      </c>
      <c r="F1702" s="812">
        <v>0</v>
      </c>
      <c r="G1702" s="812">
        <v>0</v>
      </c>
      <c r="H1702" s="812">
        <v>0</v>
      </c>
      <c r="I1702" s="386">
        <f t="shared" si="62"/>
        <v>395700.98700000002</v>
      </c>
      <c r="J1702" s="203" t="s">
        <v>1445</v>
      </c>
    </row>
    <row r="1703" spans="1:10" hidden="1" outlineLevel="1">
      <c r="A1703" s="425" t="s">
        <v>1446</v>
      </c>
      <c r="B1703" s="220">
        <f t="shared" si="61"/>
        <v>464719.14500000008</v>
      </c>
      <c r="C1703" s="812">
        <v>0</v>
      </c>
      <c r="D1703" s="812">
        <v>0</v>
      </c>
      <c r="E1703" s="812">
        <v>0</v>
      </c>
      <c r="F1703" s="812">
        <v>0</v>
      </c>
      <c r="G1703" s="812">
        <v>0</v>
      </c>
      <c r="H1703" s="812">
        <v>0</v>
      </c>
      <c r="I1703" s="386">
        <f t="shared" si="62"/>
        <v>464719.14500000008</v>
      </c>
      <c r="J1703" s="203" t="s">
        <v>1447</v>
      </c>
    </row>
    <row r="1704" spans="1:10" hidden="1" outlineLevel="1">
      <c r="A1704" s="425" t="s">
        <v>1448</v>
      </c>
      <c r="B1704" s="220">
        <f t="shared" si="61"/>
        <v>48225.413500000002</v>
      </c>
      <c r="C1704" s="812">
        <v>0</v>
      </c>
      <c r="D1704" s="812">
        <v>0</v>
      </c>
      <c r="E1704" s="812">
        <v>0</v>
      </c>
      <c r="F1704" s="812">
        <v>0</v>
      </c>
      <c r="G1704" s="812">
        <v>0</v>
      </c>
      <c r="H1704" s="812">
        <v>0</v>
      </c>
      <c r="I1704" s="386">
        <f t="shared" si="62"/>
        <v>48225.413500000002</v>
      </c>
      <c r="J1704" s="203" t="s">
        <v>1449</v>
      </c>
    </row>
    <row r="1705" spans="1:10" hidden="1" outlineLevel="1">
      <c r="A1705" s="425" t="s">
        <v>1450</v>
      </c>
      <c r="B1705" s="220">
        <f t="shared" si="61"/>
        <v>112109.18675000001</v>
      </c>
      <c r="C1705" s="812">
        <v>0</v>
      </c>
      <c r="D1705" s="812">
        <v>0</v>
      </c>
      <c r="E1705" s="812">
        <v>0</v>
      </c>
      <c r="F1705" s="812">
        <v>0</v>
      </c>
      <c r="G1705" s="812">
        <v>0</v>
      </c>
      <c r="H1705" s="812">
        <v>0</v>
      </c>
      <c r="I1705" s="386">
        <f t="shared" si="62"/>
        <v>112109.18675000001</v>
      </c>
      <c r="J1705" s="203" t="s">
        <v>1451</v>
      </c>
    </row>
    <row r="1706" spans="1:10" hidden="1" outlineLevel="1">
      <c r="A1706" s="425" t="s">
        <v>1941</v>
      </c>
      <c r="B1706" s="220">
        <f t="shared" si="61"/>
        <v>45431.185250000002</v>
      </c>
      <c r="C1706" s="812">
        <v>0</v>
      </c>
      <c r="D1706" s="812">
        <v>0</v>
      </c>
      <c r="E1706" s="812">
        <v>0</v>
      </c>
      <c r="F1706" s="812">
        <v>0</v>
      </c>
      <c r="G1706" s="812">
        <v>0</v>
      </c>
      <c r="H1706" s="812">
        <v>0</v>
      </c>
      <c r="I1706" s="386">
        <f t="shared" si="62"/>
        <v>45431.185250000002</v>
      </c>
      <c r="J1706" s="203" t="s">
        <v>1942</v>
      </c>
    </row>
    <row r="1707" spans="1:10" hidden="1" outlineLevel="1">
      <c r="A1707" s="425" t="s">
        <v>1452</v>
      </c>
      <c r="B1707" s="220">
        <f t="shared" si="61"/>
        <v>306419.00575000001</v>
      </c>
      <c r="C1707" s="812">
        <v>0</v>
      </c>
      <c r="D1707" s="812">
        <v>0</v>
      </c>
      <c r="E1707" s="812">
        <v>0</v>
      </c>
      <c r="F1707" s="812">
        <v>0</v>
      </c>
      <c r="G1707" s="812">
        <v>0</v>
      </c>
      <c r="H1707" s="812">
        <v>0</v>
      </c>
      <c r="I1707" s="386">
        <f t="shared" si="62"/>
        <v>306419.00575000001</v>
      </c>
      <c r="J1707" s="203" t="s">
        <v>1453</v>
      </c>
    </row>
    <row r="1708" spans="1:10" hidden="1" outlineLevel="1">
      <c r="A1708" s="425" t="s">
        <v>1943</v>
      </c>
      <c r="B1708" s="220">
        <f t="shared" si="61"/>
        <v>243763.22025000001</v>
      </c>
      <c r="C1708" s="812">
        <v>0</v>
      </c>
      <c r="D1708" s="812">
        <v>0</v>
      </c>
      <c r="E1708" s="812">
        <v>0</v>
      </c>
      <c r="F1708" s="812">
        <v>0</v>
      </c>
      <c r="G1708" s="812">
        <v>0</v>
      </c>
      <c r="H1708" s="812">
        <v>0</v>
      </c>
      <c r="I1708" s="386">
        <f t="shared" si="62"/>
        <v>243763.22025000001</v>
      </c>
      <c r="J1708" s="203" t="s">
        <v>1944</v>
      </c>
    </row>
    <row r="1709" spans="1:10" hidden="1" outlineLevel="1">
      <c r="A1709" s="425" t="s">
        <v>1454</v>
      </c>
      <c r="B1709" s="220">
        <f t="shared" si="61"/>
        <v>15568.630000000003</v>
      </c>
      <c r="C1709" s="812">
        <v>0</v>
      </c>
      <c r="D1709" s="812">
        <v>0</v>
      </c>
      <c r="E1709" s="812">
        <v>0</v>
      </c>
      <c r="F1709" s="812">
        <v>0</v>
      </c>
      <c r="G1709" s="812">
        <v>0</v>
      </c>
      <c r="H1709" s="812">
        <v>0</v>
      </c>
      <c r="I1709" s="386">
        <f t="shared" si="62"/>
        <v>15568.630000000003</v>
      </c>
      <c r="J1709" s="203" t="s">
        <v>1455</v>
      </c>
    </row>
    <row r="1710" spans="1:10" hidden="1" outlineLevel="1">
      <c r="A1710" s="425" t="s">
        <v>1480</v>
      </c>
      <c r="B1710" s="220">
        <f t="shared" si="61"/>
        <v>410797.9535</v>
      </c>
      <c r="C1710" s="812">
        <v>0</v>
      </c>
      <c r="D1710" s="812">
        <v>0</v>
      </c>
      <c r="E1710" s="812">
        <v>0</v>
      </c>
      <c r="F1710" s="812">
        <v>0</v>
      </c>
      <c r="G1710" s="812">
        <v>0</v>
      </c>
      <c r="H1710" s="812">
        <v>0</v>
      </c>
      <c r="I1710" s="386">
        <f t="shared" si="62"/>
        <v>410797.9535</v>
      </c>
      <c r="J1710" s="203" t="s">
        <v>1481</v>
      </c>
    </row>
    <row r="1711" spans="1:10" hidden="1" outlineLevel="1">
      <c r="A1711" s="425" t="s">
        <v>1456</v>
      </c>
      <c r="B1711" s="220">
        <f t="shared" si="61"/>
        <v>801438.08250000002</v>
      </c>
      <c r="C1711" s="812">
        <v>0</v>
      </c>
      <c r="D1711" s="812">
        <v>0</v>
      </c>
      <c r="E1711" s="812">
        <v>0</v>
      </c>
      <c r="F1711" s="812">
        <v>0</v>
      </c>
      <c r="G1711" s="812">
        <v>0</v>
      </c>
      <c r="H1711" s="812">
        <v>0</v>
      </c>
      <c r="I1711" s="386">
        <f t="shared" si="62"/>
        <v>801438.08250000002</v>
      </c>
      <c r="J1711" s="203" t="s">
        <v>1457</v>
      </c>
    </row>
    <row r="1712" spans="1:10" hidden="1" outlineLevel="1">
      <c r="A1712" s="425" t="s">
        <v>1458</v>
      </c>
      <c r="B1712" s="220">
        <f t="shared" si="61"/>
        <v>190285.55700000003</v>
      </c>
      <c r="C1712" s="812">
        <v>0</v>
      </c>
      <c r="D1712" s="812">
        <v>0</v>
      </c>
      <c r="E1712" s="812">
        <v>0</v>
      </c>
      <c r="F1712" s="812">
        <v>0</v>
      </c>
      <c r="G1712" s="812">
        <v>0</v>
      </c>
      <c r="H1712" s="812">
        <v>0</v>
      </c>
      <c r="I1712" s="386">
        <f t="shared" si="62"/>
        <v>190285.55700000003</v>
      </c>
      <c r="J1712" s="203" t="s">
        <v>1459</v>
      </c>
    </row>
    <row r="1713" spans="1:10" hidden="1" outlineLevel="1">
      <c r="A1713" s="425" t="s">
        <v>172</v>
      </c>
      <c r="B1713" s="220">
        <f t="shared" si="61"/>
        <v>0</v>
      </c>
      <c r="C1713" s="812">
        <v>0</v>
      </c>
      <c r="D1713" s="812">
        <v>0</v>
      </c>
      <c r="E1713" s="812">
        <v>0</v>
      </c>
      <c r="F1713" s="812">
        <v>0</v>
      </c>
      <c r="G1713" s="812">
        <v>0</v>
      </c>
      <c r="H1713" s="812">
        <v>0</v>
      </c>
      <c r="I1713" s="386">
        <f t="shared" si="62"/>
        <v>0</v>
      </c>
      <c r="J1713" s="203" t="s">
        <v>173</v>
      </c>
    </row>
    <row r="1714" spans="1:10" hidden="1" outlineLevel="1">
      <c r="A1714" s="425" t="s">
        <v>1945</v>
      </c>
      <c r="B1714" s="220">
        <f t="shared" si="61"/>
        <v>153296.68475000001</v>
      </c>
      <c r="C1714" s="812">
        <v>0</v>
      </c>
      <c r="D1714" s="812">
        <v>0</v>
      </c>
      <c r="E1714" s="812">
        <v>0</v>
      </c>
      <c r="F1714" s="812">
        <v>0</v>
      </c>
      <c r="G1714" s="812">
        <v>0</v>
      </c>
      <c r="H1714" s="812">
        <v>0</v>
      </c>
      <c r="I1714" s="386">
        <f t="shared" si="62"/>
        <v>153296.68475000001</v>
      </c>
      <c r="J1714" s="203" t="s">
        <v>1946</v>
      </c>
    </row>
    <row r="1715" spans="1:10" hidden="1" outlineLevel="1">
      <c r="A1715" s="425" t="s">
        <v>356</v>
      </c>
      <c r="B1715" s="220">
        <f t="shared" si="61"/>
        <v>95337.693000000014</v>
      </c>
      <c r="C1715" s="812">
        <v>0</v>
      </c>
      <c r="D1715" s="812">
        <v>0</v>
      </c>
      <c r="E1715" s="812">
        <v>0</v>
      </c>
      <c r="F1715" s="812">
        <v>0</v>
      </c>
      <c r="G1715" s="812">
        <v>0</v>
      </c>
      <c r="H1715" s="812">
        <v>0</v>
      </c>
      <c r="I1715" s="386">
        <f t="shared" si="62"/>
        <v>95337.693000000014</v>
      </c>
      <c r="J1715" s="203" t="s">
        <v>357</v>
      </c>
    </row>
    <row r="1716" spans="1:10" hidden="1" outlineLevel="1">
      <c r="A1716" s="425" t="s">
        <v>1460</v>
      </c>
      <c r="B1716" s="220">
        <f t="shared" si="61"/>
        <v>62896.457250000007</v>
      </c>
      <c r="C1716" s="812">
        <v>0</v>
      </c>
      <c r="D1716" s="812">
        <v>0</v>
      </c>
      <c r="E1716" s="812">
        <v>0</v>
      </c>
      <c r="F1716" s="812">
        <v>0</v>
      </c>
      <c r="G1716" s="812">
        <v>0</v>
      </c>
      <c r="H1716" s="812">
        <v>0</v>
      </c>
      <c r="I1716" s="386">
        <f t="shared" si="62"/>
        <v>62896.457250000007</v>
      </c>
      <c r="J1716" s="203" t="s">
        <v>1461</v>
      </c>
    </row>
    <row r="1717" spans="1:10" hidden="1" outlineLevel="1">
      <c r="A1717" s="425" t="s">
        <v>1462</v>
      </c>
      <c r="B1717" s="220">
        <f t="shared" si="61"/>
        <v>800354.25525000005</v>
      </c>
      <c r="C1717" s="812">
        <v>0</v>
      </c>
      <c r="D1717" s="812">
        <v>0</v>
      </c>
      <c r="E1717" s="812">
        <v>0</v>
      </c>
      <c r="F1717" s="812">
        <v>0</v>
      </c>
      <c r="G1717" s="812">
        <v>0</v>
      </c>
      <c r="H1717" s="812">
        <v>0</v>
      </c>
      <c r="I1717" s="386">
        <f t="shared" si="62"/>
        <v>800354.25525000005</v>
      </c>
      <c r="J1717" s="203" t="s">
        <v>1463</v>
      </c>
    </row>
    <row r="1718" spans="1:10" hidden="1" outlineLevel="1">
      <c r="A1718" s="425" t="s">
        <v>1464</v>
      </c>
      <c r="B1718" s="220">
        <f t="shared" si="61"/>
        <v>187211.98146200003</v>
      </c>
      <c r="C1718" s="812">
        <v>0</v>
      </c>
      <c r="D1718" s="812">
        <v>0</v>
      </c>
      <c r="E1718" s="812">
        <v>0</v>
      </c>
      <c r="F1718" s="812">
        <v>0</v>
      </c>
      <c r="G1718" s="812">
        <v>0</v>
      </c>
      <c r="H1718" s="812">
        <v>0</v>
      </c>
      <c r="I1718" s="386">
        <f t="shared" si="62"/>
        <v>187211.98146200003</v>
      </c>
      <c r="J1718" s="203" t="s">
        <v>1465</v>
      </c>
    </row>
    <row r="1719" spans="1:10" hidden="1" outlineLevel="1">
      <c r="A1719" s="425" t="s">
        <v>1466</v>
      </c>
      <c r="B1719" s="220">
        <f t="shared" si="61"/>
        <v>187158.52925000002</v>
      </c>
      <c r="C1719" s="812">
        <v>0</v>
      </c>
      <c r="D1719" s="812">
        <v>0</v>
      </c>
      <c r="E1719" s="812">
        <v>0</v>
      </c>
      <c r="F1719" s="812">
        <v>0</v>
      </c>
      <c r="G1719" s="812">
        <v>0</v>
      </c>
      <c r="H1719" s="812">
        <v>0</v>
      </c>
      <c r="I1719" s="386">
        <f t="shared" si="62"/>
        <v>187158.52925000002</v>
      </c>
      <c r="J1719" s="203" t="s">
        <v>1467</v>
      </c>
    </row>
    <row r="1720" spans="1:10" hidden="1" outlineLevel="1">
      <c r="A1720" s="425" t="s">
        <v>1468</v>
      </c>
      <c r="B1720" s="220">
        <f t="shared" si="61"/>
        <v>200495.74377250002</v>
      </c>
      <c r="C1720" s="812">
        <v>0</v>
      </c>
      <c r="D1720" s="812">
        <v>0</v>
      </c>
      <c r="E1720" s="812">
        <v>0</v>
      </c>
      <c r="F1720" s="812">
        <v>0</v>
      </c>
      <c r="G1720" s="812">
        <v>0</v>
      </c>
      <c r="H1720" s="812">
        <v>0</v>
      </c>
      <c r="I1720" s="386">
        <f t="shared" si="62"/>
        <v>200495.74377250002</v>
      </c>
      <c r="J1720" s="203" t="s">
        <v>1469</v>
      </c>
    </row>
    <row r="1721" spans="1:10" hidden="1" outlineLevel="1">
      <c r="A1721" s="425" t="s">
        <v>1470</v>
      </c>
      <c r="B1721" s="220">
        <f t="shared" si="61"/>
        <v>68132.856</v>
      </c>
      <c r="C1721" s="812">
        <v>0</v>
      </c>
      <c r="D1721" s="812">
        <v>0</v>
      </c>
      <c r="E1721" s="812">
        <v>0</v>
      </c>
      <c r="F1721" s="812">
        <v>0</v>
      </c>
      <c r="G1721" s="812">
        <v>0</v>
      </c>
      <c r="H1721" s="812">
        <v>0</v>
      </c>
      <c r="I1721" s="386">
        <f t="shared" si="62"/>
        <v>68132.856</v>
      </c>
      <c r="J1721" s="203" t="s">
        <v>1471</v>
      </c>
    </row>
    <row r="1722" spans="1:10" hidden="1" outlineLevel="1">
      <c r="A1722" s="425" t="s">
        <v>1472</v>
      </c>
      <c r="B1722" s="220">
        <f t="shared" si="61"/>
        <v>154761.33750000002</v>
      </c>
      <c r="C1722" s="812">
        <v>0</v>
      </c>
      <c r="D1722" s="812">
        <v>0</v>
      </c>
      <c r="E1722" s="812">
        <v>0</v>
      </c>
      <c r="F1722" s="812">
        <v>0</v>
      </c>
      <c r="G1722" s="812">
        <v>0</v>
      </c>
      <c r="H1722" s="812">
        <v>0</v>
      </c>
      <c r="I1722" s="386">
        <f t="shared" si="62"/>
        <v>154761.33750000002</v>
      </c>
      <c r="J1722" s="203" t="s">
        <v>1473</v>
      </c>
    </row>
    <row r="1723" spans="1:10" hidden="1" outlineLevel="1">
      <c r="A1723" s="425" t="s">
        <v>398</v>
      </c>
      <c r="B1723" s="220">
        <f t="shared" si="61"/>
        <v>55069.216125000006</v>
      </c>
      <c r="C1723" s="812">
        <v>0</v>
      </c>
      <c r="D1723" s="812">
        <v>0</v>
      </c>
      <c r="E1723" s="812">
        <v>0</v>
      </c>
      <c r="F1723" s="812">
        <v>0</v>
      </c>
      <c r="G1723" s="812">
        <v>0</v>
      </c>
      <c r="H1723" s="812">
        <v>0</v>
      </c>
      <c r="I1723" s="386">
        <f t="shared" si="62"/>
        <v>55069.216125000006</v>
      </c>
      <c r="J1723" s="203" t="s">
        <v>399</v>
      </c>
    </row>
    <row r="1724" spans="1:10" hidden="1" outlineLevel="1">
      <c r="A1724" s="425" t="s">
        <v>1947</v>
      </c>
      <c r="B1724" s="220">
        <f t="shared" si="61"/>
        <v>24070.009837500002</v>
      </c>
      <c r="C1724" s="812">
        <v>0</v>
      </c>
      <c r="D1724" s="812">
        <v>0</v>
      </c>
      <c r="E1724" s="812">
        <v>0</v>
      </c>
      <c r="F1724" s="812">
        <v>0</v>
      </c>
      <c r="G1724" s="812">
        <v>0</v>
      </c>
      <c r="H1724" s="812">
        <v>0</v>
      </c>
      <c r="I1724" s="386">
        <f t="shared" si="62"/>
        <v>24070.009837500002</v>
      </c>
      <c r="J1724" s="203" t="s">
        <v>1948</v>
      </c>
    </row>
    <row r="1725" spans="1:10" hidden="1" outlineLevel="1">
      <c r="A1725" s="425" t="s">
        <v>1949</v>
      </c>
      <c r="B1725" s="220">
        <f t="shared" si="61"/>
        <v>83745.706000000006</v>
      </c>
      <c r="C1725" s="812">
        <v>0</v>
      </c>
      <c r="D1725" s="812">
        <v>0</v>
      </c>
      <c r="E1725" s="812">
        <v>0</v>
      </c>
      <c r="F1725" s="812">
        <v>0</v>
      </c>
      <c r="G1725" s="812">
        <v>0</v>
      </c>
      <c r="H1725" s="812">
        <v>0</v>
      </c>
      <c r="I1725" s="386">
        <f t="shared" si="62"/>
        <v>83745.706000000006</v>
      </c>
      <c r="J1725" s="203" t="s">
        <v>1950</v>
      </c>
    </row>
    <row r="1726" spans="1:10" hidden="1" outlineLevel="1">
      <c r="A1726" s="425" t="s">
        <v>1951</v>
      </c>
      <c r="B1726" s="220">
        <f t="shared" si="61"/>
        <v>9658.886050000001</v>
      </c>
      <c r="C1726" s="812">
        <v>0</v>
      </c>
      <c r="D1726" s="812">
        <v>0</v>
      </c>
      <c r="E1726" s="812">
        <v>0</v>
      </c>
      <c r="F1726" s="812">
        <v>0</v>
      </c>
      <c r="G1726" s="812">
        <v>0</v>
      </c>
      <c r="H1726" s="812">
        <v>0</v>
      </c>
      <c r="I1726" s="386">
        <f t="shared" si="62"/>
        <v>9658.886050000001</v>
      </c>
      <c r="J1726" s="203" t="s">
        <v>1952</v>
      </c>
    </row>
    <row r="1727" spans="1:10" hidden="1" outlineLevel="1">
      <c r="A1727" s="425"/>
      <c r="B1727" s="220">
        <f>B793*0.357/100</f>
        <v>0</v>
      </c>
      <c r="C1727" s="812">
        <v>0</v>
      </c>
      <c r="D1727" s="812">
        <v>0</v>
      </c>
      <c r="E1727" s="812">
        <v>0</v>
      </c>
      <c r="F1727" s="812">
        <v>0</v>
      </c>
      <c r="G1727" s="812">
        <v>0</v>
      </c>
      <c r="H1727" s="812">
        <v>0</v>
      </c>
      <c r="I1727" s="386">
        <f t="shared" si="62"/>
        <v>0</v>
      </c>
      <c r="J1727" s="203" t="e">
        <v>#N/A</v>
      </c>
    </row>
    <row r="1728" spans="1:10" ht="13.5" collapsed="1" thickBot="1">
      <c r="A1728" s="431" t="str">
        <f>A794</f>
        <v>Regelzone TransnetBW (gesamt)</v>
      </c>
      <c r="B1728" s="212">
        <f>SUM(B1729:B1866)</f>
        <v>125734480.12999998</v>
      </c>
      <c r="C1728" s="213">
        <f>SUM(C1729:C1866)</f>
        <v>0</v>
      </c>
      <c r="D1728" s="213">
        <f>SUM(D1729:D1866)</f>
        <v>0</v>
      </c>
      <c r="E1728" s="213">
        <f>SUM(E1729:E1866)</f>
        <v>0</v>
      </c>
      <c r="F1728" s="213">
        <f t="shared" ref="F1728:H1728" si="63">SUM(F1729:F1866)</f>
        <v>537792.06000000006</v>
      </c>
      <c r="G1728" s="213">
        <f t="shared" si="63"/>
        <v>0</v>
      </c>
      <c r="H1728" s="213">
        <f t="shared" si="63"/>
        <v>0</v>
      </c>
      <c r="I1728" s="589">
        <f t="shared" si="62"/>
        <v>126272272.18999998</v>
      </c>
    </row>
    <row r="1729" spans="1:10" hidden="1" outlineLevel="1">
      <c r="A1729" s="425" t="s">
        <v>1487</v>
      </c>
      <c r="B1729" s="220">
        <v>612446.06999999995</v>
      </c>
      <c r="C1729" s="135">
        <v>0</v>
      </c>
      <c r="D1729" s="135">
        <v>0</v>
      </c>
      <c r="E1729" s="135">
        <v>0</v>
      </c>
      <c r="F1729" s="211">
        <v>0</v>
      </c>
      <c r="G1729" s="211">
        <v>0</v>
      </c>
      <c r="H1729" s="211">
        <v>0</v>
      </c>
      <c r="I1729" s="386">
        <f>SUM(B1729:H1729)</f>
        <v>612446.06999999995</v>
      </c>
      <c r="J1729" s="203" t="s">
        <v>1488</v>
      </c>
    </row>
    <row r="1730" spans="1:10" hidden="1" outlineLevel="1">
      <c r="A1730" s="425" t="s">
        <v>1489</v>
      </c>
      <c r="B1730" s="210">
        <v>1243572.3799999999</v>
      </c>
      <c r="C1730" s="211">
        <v>0</v>
      </c>
      <c r="D1730" s="211">
        <v>0</v>
      </c>
      <c r="E1730" s="211">
        <v>0</v>
      </c>
      <c r="F1730" s="211">
        <v>0</v>
      </c>
      <c r="G1730" s="211">
        <v>0</v>
      </c>
      <c r="H1730" s="211">
        <v>0</v>
      </c>
      <c r="I1730" s="386">
        <f>SUM(B1730:H1730)</f>
        <v>1243572.3799999999</v>
      </c>
      <c r="J1730" s="203" t="s">
        <v>1490</v>
      </c>
    </row>
    <row r="1731" spans="1:10" hidden="1" outlineLevel="1">
      <c r="A1731" s="425" t="s">
        <v>1491</v>
      </c>
      <c r="B1731" s="210">
        <v>3382200.41</v>
      </c>
      <c r="C1731" s="211">
        <v>0</v>
      </c>
      <c r="D1731" s="211">
        <v>0</v>
      </c>
      <c r="E1731" s="211">
        <v>0</v>
      </c>
      <c r="F1731" s="211">
        <v>4276.2700000000004</v>
      </c>
      <c r="G1731" s="211">
        <v>0</v>
      </c>
      <c r="H1731" s="211">
        <v>0</v>
      </c>
      <c r="I1731" s="386">
        <f t="shared" ref="I1731:I1794" si="64">SUM(B1731:H1731)</f>
        <v>3386476.68</v>
      </c>
      <c r="J1731" s="203" t="s">
        <v>1492</v>
      </c>
    </row>
    <row r="1732" spans="1:10" hidden="1" outlineLevel="1">
      <c r="A1732" s="425" t="s">
        <v>1953</v>
      </c>
      <c r="B1732" s="210">
        <v>30804.05</v>
      </c>
      <c r="C1732" s="211">
        <v>0</v>
      </c>
      <c r="D1732" s="211">
        <v>0</v>
      </c>
      <c r="E1732" s="211">
        <v>0</v>
      </c>
      <c r="F1732" s="211">
        <v>0</v>
      </c>
      <c r="G1732" s="211">
        <v>0</v>
      </c>
      <c r="H1732" s="211">
        <v>0</v>
      </c>
      <c r="I1732" s="386">
        <f t="shared" si="64"/>
        <v>30804.05</v>
      </c>
      <c r="J1732" s="203" t="s">
        <v>1954</v>
      </c>
    </row>
    <row r="1733" spans="1:10" hidden="1" outlineLevel="1">
      <c r="A1733" s="425" t="s">
        <v>655</v>
      </c>
      <c r="B1733" s="210">
        <v>278653.78000000003</v>
      </c>
      <c r="C1733" s="211">
        <v>0</v>
      </c>
      <c r="D1733" s="211">
        <v>0</v>
      </c>
      <c r="E1733" s="211">
        <v>0</v>
      </c>
      <c r="F1733" s="211">
        <v>496426.82</v>
      </c>
      <c r="G1733" s="211">
        <v>0</v>
      </c>
      <c r="H1733" s="211">
        <v>0</v>
      </c>
      <c r="I1733" s="386">
        <f t="shared" si="64"/>
        <v>775080.60000000009</v>
      </c>
      <c r="J1733" s="203" t="s">
        <v>578</v>
      </c>
    </row>
    <row r="1734" spans="1:10" hidden="1" outlineLevel="1">
      <c r="A1734" s="425" t="s">
        <v>1493</v>
      </c>
      <c r="B1734" s="210">
        <v>358230.83</v>
      </c>
      <c r="C1734" s="211">
        <v>0</v>
      </c>
      <c r="D1734" s="211">
        <v>0</v>
      </c>
      <c r="E1734" s="211">
        <v>0</v>
      </c>
      <c r="F1734" s="211">
        <v>0</v>
      </c>
      <c r="G1734" s="211">
        <v>0</v>
      </c>
      <c r="H1734" s="211">
        <v>0</v>
      </c>
      <c r="I1734" s="386">
        <f t="shared" si="64"/>
        <v>358230.83</v>
      </c>
      <c r="J1734" s="203" t="s">
        <v>1494</v>
      </c>
    </row>
    <row r="1735" spans="1:10" hidden="1" outlineLevel="1">
      <c r="A1735" s="425" t="s">
        <v>429</v>
      </c>
      <c r="B1735" s="210">
        <v>14948.3</v>
      </c>
      <c r="C1735" s="211">
        <v>0</v>
      </c>
      <c r="D1735" s="211">
        <v>0</v>
      </c>
      <c r="E1735" s="211">
        <v>0</v>
      </c>
      <c r="F1735" s="211">
        <v>0</v>
      </c>
      <c r="G1735" s="211">
        <v>0</v>
      </c>
      <c r="H1735" s="211">
        <v>0</v>
      </c>
      <c r="I1735" s="386">
        <f t="shared" si="64"/>
        <v>14948.3</v>
      </c>
      <c r="J1735" s="203" t="s">
        <v>430</v>
      </c>
    </row>
    <row r="1736" spans="1:10" hidden="1" outlineLevel="1">
      <c r="A1736" s="425" t="s">
        <v>172</v>
      </c>
      <c r="B1736" s="210">
        <v>5303.41</v>
      </c>
      <c r="C1736" s="211">
        <v>0</v>
      </c>
      <c r="D1736" s="211">
        <v>0</v>
      </c>
      <c r="E1736" s="211">
        <v>0</v>
      </c>
      <c r="F1736" s="211">
        <v>0</v>
      </c>
      <c r="G1736" s="211">
        <v>0</v>
      </c>
      <c r="H1736" s="211">
        <v>0</v>
      </c>
      <c r="I1736" s="386">
        <f t="shared" si="64"/>
        <v>5303.41</v>
      </c>
      <c r="J1736" s="203" t="s">
        <v>173</v>
      </c>
    </row>
    <row r="1737" spans="1:10" hidden="1" outlineLevel="1">
      <c r="A1737" s="425" t="s">
        <v>1495</v>
      </c>
      <c r="B1737" s="210">
        <v>423445.38</v>
      </c>
      <c r="C1737" s="211">
        <v>0</v>
      </c>
      <c r="D1737" s="211">
        <v>0</v>
      </c>
      <c r="E1737" s="211">
        <v>0</v>
      </c>
      <c r="F1737" s="211">
        <v>0</v>
      </c>
      <c r="G1737" s="211">
        <v>0</v>
      </c>
      <c r="H1737" s="211">
        <v>0</v>
      </c>
      <c r="I1737" s="386">
        <f t="shared" si="64"/>
        <v>423445.38</v>
      </c>
      <c r="J1737" s="203" t="s">
        <v>1496</v>
      </c>
    </row>
    <row r="1738" spans="1:10" hidden="1" outlineLevel="1">
      <c r="A1738" s="425" t="s">
        <v>1497</v>
      </c>
      <c r="B1738" s="210">
        <v>221925.62</v>
      </c>
      <c r="C1738" s="211">
        <v>0</v>
      </c>
      <c r="D1738" s="211">
        <v>0</v>
      </c>
      <c r="E1738" s="211">
        <v>0</v>
      </c>
      <c r="F1738" s="211">
        <v>0</v>
      </c>
      <c r="G1738" s="211">
        <v>0</v>
      </c>
      <c r="H1738" s="211">
        <v>0</v>
      </c>
      <c r="I1738" s="386">
        <f t="shared" si="64"/>
        <v>221925.62</v>
      </c>
      <c r="J1738" s="203" t="s">
        <v>1498</v>
      </c>
    </row>
    <row r="1739" spans="1:10" hidden="1" outlineLevel="1">
      <c r="A1739" s="425" t="s">
        <v>1499</v>
      </c>
      <c r="B1739" s="210">
        <v>47328.480000000003</v>
      </c>
      <c r="C1739" s="211">
        <v>0</v>
      </c>
      <c r="D1739" s="211">
        <v>0</v>
      </c>
      <c r="E1739" s="211">
        <v>0</v>
      </c>
      <c r="F1739" s="211">
        <v>0</v>
      </c>
      <c r="G1739" s="211">
        <v>0</v>
      </c>
      <c r="H1739" s="211">
        <v>0</v>
      </c>
      <c r="I1739" s="386">
        <f t="shared" si="64"/>
        <v>47328.480000000003</v>
      </c>
      <c r="J1739" s="203" t="s">
        <v>1500</v>
      </c>
    </row>
    <row r="1740" spans="1:10" hidden="1" outlineLevel="1">
      <c r="A1740" s="425" t="s">
        <v>1501</v>
      </c>
      <c r="B1740" s="210">
        <v>99537.23</v>
      </c>
      <c r="C1740" s="211">
        <v>0</v>
      </c>
      <c r="D1740" s="211">
        <v>0</v>
      </c>
      <c r="E1740" s="211">
        <v>0</v>
      </c>
      <c r="F1740" s="211">
        <v>0</v>
      </c>
      <c r="G1740" s="211">
        <v>0</v>
      </c>
      <c r="H1740" s="211">
        <v>0</v>
      </c>
      <c r="I1740" s="386">
        <f t="shared" si="64"/>
        <v>99537.23</v>
      </c>
      <c r="J1740" s="203" t="s">
        <v>1502</v>
      </c>
    </row>
    <row r="1741" spans="1:10" hidden="1" outlineLevel="1">
      <c r="A1741" s="425" t="s">
        <v>1503</v>
      </c>
      <c r="B1741" s="210">
        <v>418909.71</v>
      </c>
      <c r="C1741" s="211">
        <v>0</v>
      </c>
      <c r="D1741" s="211">
        <v>0</v>
      </c>
      <c r="E1741" s="211">
        <v>0</v>
      </c>
      <c r="F1741" s="211">
        <v>0</v>
      </c>
      <c r="G1741" s="211">
        <v>0</v>
      </c>
      <c r="H1741" s="211">
        <v>0</v>
      </c>
      <c r="I1741" s="386">
        <f t="shared" si="64"/>
        <v>418909.71</v>
      </c>
      <c r="J1741" s="203" t="s">
        <v>1504</v>
      </c>
    </row>
    <row r="1742" spans="1:10" hidden="1" outlineLevel="1">
      <c r="A1742" s="425" t="s">
        <v>1505</v>
      </c>
      <c r="B1742" s="210">
        <v>111257.19</v>
      </c>
      <c r="C1742" s="211">
        <v>0</v>
      </c>
      <c r="D1742" s="211">
        <v>0</v>
      </c>
      <c r="E1742" s="211">
        <v>0</v>
      </c>
      <c r="F1742" s="211">
        <v>0</v>
      </c>
      <c r="G1742" s="211">
        <v>0</v>
      </c>
      <c r="H1742" s="211">
        <v>0</v>
      </c>
      <c r="I1742" s="386">
        <f t="shared" si="64"/>
        <v>111257.19</v>
      </c>
      <c r="J1742" s="203" t="s">
        <v>1506</v>
      </c>
    </row>
    <row r="1743" spans="1:10" hidden="1" outlineLevel="1">
      <c r="A1743" s="425" t="s">
        <v>1955</v>
      </c>
      <c r="B1743" s="210">
        <v>26268.06</v>
      </c>
      <c r="C1743" s="211">
        <v>0</v>
      </c>
      <c r="D1743" s="211">
        <v>0</v>
      </c>
      <c r="E1743" s="211">
        <v>0</v>
      </c>
      <c r="F1743" s="211">
        <v>0</v>
      </c>
      <c r="G1743" s="211">
        <v>0</v>
      </c>
      <c r="H1743" s="211">
        <v>0</v>
      </c>
      <c r="I1743" s="386">
        <f t="shared" si="64"/>
        <v>26268.06</v>
      </c>
      <c r="J1743" s="203" t="s">
        <v>1956</v>
      </c>
    </row>
    <row r="1744" spans="1:10" hidden="1" outlineLevel="1">
      <c r="A1744" s="425" t="s">
        <v>1507</v>
      </c>
      <c r="B1744" s="210">
        <v>112724.95</v>
      </c>
      <c r="C1744" s="211">
        <v>0</v>
      </c>
      <c r="D1744" s="211">
        <v>0</v>
      </c>
      <c r="E1744" s="211">
        <v>0</v>
      </c>
      <c r="F1744" s="211">
        <v>0</v>
      </c>
      <c r="G1744" s="211">
        <v>0</v>
      </c>
      <c r="H1744" s="211">
        <v>0</v>
      </c>
      <c r="I1744" s="386">
        <f t="shared" si="64"/>
        <v>112724.95</v>
      </c>
      <c r="J1744" s="203" t="s">
        <v>1508</v>
      </c>
    </row>
    <row r="1745" spans="1:10" hidden="1" outlineLevel="1">
      <c r="A1745" s="425" t="s">
        <v>1509</v>
      </c>
      <c r="B1745" s="210">
        <v>97289</v>
      </c>
      <c r="C1745" s="211">
        <v>0</v>
      </c>
      <c r="D1745" s="211">
        <v>0</v>
      </c>
      <c r="E1745" s="211">
        <v>0</v>
      </c>
      <c r="F1745" s="211">
        <v>0</v>
      </c>
      <c r="G1745" s="211">
        <v>0</v>
      </c>
      <c r="H1745" s="211">
        <v>0</v>
      </c>
      <c r="I1745" s="386">
        <f t="shared" si="64"/>
        <v>97289</v>
      </c>
      <c r="J1745" s="203" t="s">
        <v>1510</v>
      </c>
    </row>
    <row r="1746" spans="1:10" hidden="1" outlineLevel="1">
      <c r="A1746" s="425" t="s">
        <v>1511</v>
      </c>
      <c r="B1746" s="210">
        <v>222658.51</v>
      </c>
      <c r="C1746" s="211">
        <v>0</v>
      </c>
      <c r="D1746" s="211">
        <v>0</v>
      </c>
      <c r="E1746" s="211">
        <v>0</v>
      </c>
      <c r="F1746" s="211">
        <v>0</v>
      </c>
      <c r="G1746" s="211">
        <v>0</v>
      </c>
      <c r="H1746" s="211">
        <v>0</v>
      </c>
      <c r="I1746" s="386">
        <f t="shared" si="64"/>
        <v>222658.51</v>
      </c>
      <c r="J1746" s="203" t="s">
        <v>1512</v>
      </c>
    </row>
    <row r="1747" spans="1:10" hidden="1" outlineLevel="1">
      <c r="A1747" s="425" t="s">
        <v>1513</v>
      </c>
      <c r="B1747" s="210">
        <v>685105.71</v>
      </c>
      <c r="C1747" s="211">
        <v>0</v>
      </c>
      <c r="D1747" s="211">
        <v>0</v>
      </c>
      <c r="E1747" s="211">
        <v>0</v>
      </c>
      <c r="F1747" s="211">
        <v>0</v>
      </c>
      <c r="G1747" s="211">
        <v>0</v>
      </c>
      <c r="H1747" s="211">
        <v>0</v>
      </c>
      <c r="I1747" s="386">
        <f t="shared" si="64"/>
        <v>685105.71</v>
      </c>
      <c r="J1747" s="203" t="s">
        <v>1514</v>
      </c>
    </row>
    <row r="1748" spans="1:10" hidden="1" outlineLevel="1">
      <c r="A1748" s="425" t="s">
        <v>1515</v>
      </c>
      <c r="B1748" s="210">
        <v>67729.34</v>
      </c>
      <c r="C1748" s="211">
        <v>0</v>
      </c>
      <c r="D1748" s="211">
        <v>0</v>
      </c>
      <c r="E1748" s="211">
        <v>0</v>
      </c>
      <c r="F1748" s="211">
        <v>0</v>
      </c>
      <c r="G1748" s="211">
        <v>0</v>
      </c>
      <c r="H1748" s="211">
        <v>0</v>
      </c>
      <c r="I1748" s="386">
        <f t="shared" si="64"/>
        <v>67729.34</v>
      </c>
      <c r="J1748" s="203" t="s">
        <v>1516</v>
      </c>
    </row>
    <row r="1749" spans="1:10" hidden="1" outlineLevel="1">
      <c r="A1749" s="425" t="s">
        <v>1517</v>
      </c>
      <c r="B1749" s="210">
        <v>611511.02</v>
      </c>
      <c r="C1749" s="211">
        <v>0</v>
      </c>
      <c r="D1749" s="211">
        <v>0</v>
      </c>
      <c r="E1749" s="211">
        <v>0</v>
      </c>
      <c r="F1749" s="211">
        <v>0</v>
      </c>
      <c r="G1749" s="211">
        <v>0</v>
      </c>
      <c r="H1749" s="211">
        <v>0</v>
      </c>
      <c r="I1749" s="386">
        <f t="shared" si="64"/>
        <v>611511.02</v>
      </c>
      <c r="J1749" s="203" t="s">
        <v>1518</v>
      </c>
    </row>
    <row r="1750" spans="1:10" hidden="1" outlineLevel="1">
      <c r="A1750" s="425" t="s">
        <v>1519</v>
      </c>
      <c r="B1750" s="210">
        <v>171618.82</v>
      </c>
      <c r="C1750" s="211">
        <v>0</v>
      </c>
      <c r="D1750" s="211">
        <v>0</v>
      </c>
      <c r="E1750" s="211">
        <v>0</v>
      </c>
      <c r="F1750" s="211">
        <v>0</v>
      </c>
      <c r="G1750" s="211">
        <v>0</v>
      </c>
      <c r="H1750" s="211">
        <v>0</v>
      </c>
      <c r="I1750" s="386">
        <f t="shared" si="64"/>
        <v>171618.82</v>
      </c>
      <c r="J1750" s="203" t="s">
        <v>1520</v>
      </c>
    </row>
    <row r="1751" spans="1:10" hidden="1" outlineLevel="1">
      <c r="A1751" s="425" t="s">
        <v>1521</v>
      </c>
      <c r="B1751" s="210">
        <v>330985.75</v>
      </c>
      <c r="C1751" s="211">
        <v>0</v>
      </c>
      <c r="D1751" s="211">
        <v>0</v>
      </c>
      <c r="E1751" s="211">
        <v>0</v>
      </c>
      <c r="F1751" s="211">
        <v>0</v>
      </c>
      <c r="G1751" s="211">
        <v>0</v>
      </c>
      <c r="H1751" s="211">
        <v>0</v>
      </c>
      <c r="I1751" s="386">
        <f t="shared" si="64"/>
        <v>330985.75</v>
      </c>
      <c r="J1751" s="203" t="s">
        <v>1522</v>
      </c>
    </row>
    <row r="1752" spans="1:10" hidden="1" outlineLevel="1">
      <c r="A1752" s="425" t="s">
        <v>1523</v>
      </c>
      <c r="B1752" s="210">
        <v>348408.91</v>
      </c>
      <c r="C1752" s="211">
        <v>0</v>
      </c>
      <c r="D1752" s="211">
        <v>0</v>
      </c>
      <c r="E1752" s="211">
        <v>0</v>
      </c>
      <c r="F1752" s="211">
        <v>0</v>
      </c>
      <c r="G1752" s="211">
        <v>0</v>
      </c>
      <c r="H1752" s="211">
        <v>0</v>
      </c>
      <c r="I1752" s="386">
        <f t="shared" si="64"/>
        <v>348408.91</v>
      </c>
      <c r="J1752" s="203" t="s">
        <v>1524</v>
      </c>
    </row>
    <row r="1753" spans="1:10" hidden="1" outlineLevel="1">
      <c r="A1753" s="425" t="s">
        <v>1525</v>
      </c>
      <c r="B1753" s="210">
        <v>111602.63</v>
      </c>
      <c r="C1753" s="211">
        <v>0</v>
      </c>
      <c r="D1753" s="211">
        <v>0</v>
      </c>
      <c r="E1753" s="211">
        <v>0</v>
      </c>
      <c r="F1753" s="211">
        <v>0</v>
      </c>
      <c r="G1753" s="211">
        <v>0</v>
      </c>
      <c r="H1753" s="211">
        <v>0</v>
      </c>
      <c r="I1753" s="386">
        <f t="shared" si="64"/>
        <v>111602.63</v>
      </c>
      <c r="J1753" s="203" t="s">
        <v>1526</v>
      </c>
    </row>
    <row r="1754" spans="1:10" hidden="1" outlineLevel="1">
      <c r="A1754" s="425" t="s">
        <v>1527</v>
      </c>
      <c r="B1754" s="210">
        <v>147590.99</v>
      </c>
      <c r="C1754" s="211">
        <v>0</v>
      </c>
      <c r="D1754" s="211">
        <v>0</v>
      </c>
      <c r="E1754" s="211">
        <v>0</v>
      </c>
      <c r="F1754" s="211">
        <v>0</v>
      </c>
      <c r="G1754" s="211">
        <v>0</v>
      </c>
      <c r="H1754" s="211">
        <v>0</v>
      </c>
      <c r="I1754" s="386">
        <f t="shared" si="64"/>
        <v>147590.99</v>
      </c>
      <c r="J1754" s="203" t="s">
        <v>1528</v>
      </c>
    </row>
    <row r="1755" spans="1:10" hidden="1" outlineLevel="1">
      <c r="A1755" s="425" t="s">
        <v>1529</v>
      </c>
      <c r="B1755" s="210">
        <v>540260.66</v>
      </c>
      <c r="C1755" s="211">
        <v>0</v>
      </c>
      <c r="D1755" s="211">
        <v>0</v>
      </c>
      <c r="E1755" s="211">
        <v>0</v>
      </c>
      <c r="F1755" s="211">
        <v>0</v>
      </c>
      <c r="G1755" s="211">
        <v>0</v>
      </c>
      <c r="H1755" s="211">
        <v>0</v>
      </c>
      <c r="I1755" s="386">
        <f t="shared" si="64"/>
        <v>540260.66</v>
      </c>
      <c r="J1755" s="203" t="s">
        <v>1530</v>
      </c>
    </row>
    <row r="1756" spans="1:10" hidden="1" outlineLevel="1">
      <c r="A1756" s="425" t="s">
        <v>1531</v>
      </c>
      <c r="B1756" s="210">
        <v>48144.27</v>
      </c>
      <c r="C1756" s="211">
        <v>0</v>
      </c>
      <c r="D1756" s="211">
        <v>0</v>
      </c>
      <c r="E1756" s="211">
        <v>0</v>
      </c>
      <c r="F1756" s="211">
        <v>0</v>
      </c>
      <c r="G1756" s="211">
        <v>0</v>
      </c>
      <c r="H1756" s="211">
        <v>0</v>
      </c>
      <c r="I1756" s="386">
        <f t="shared" si="64"/>
        <v>48144.27</v>
      </c>
      <c r="J1756" s="203" t="s">
        <v>1532</v>
      </c>
    </row>
    <row r="1757" spans="1:10" hidden="1" outlineLevel="1">
      <c r="A1757" s="425" t="s">
        <v>1533</v>
      </c>
      <c r="B1757" s="210">
        <v>2541738.5099999998</v>
      </c>
      <c r="C1757" s="211">
        <v>0</v>
      </c>
      <c r="D1757" s="211">
        <v>0</v>
      </c>
      <c r="E1757" s="211">
        <v>0</v>
      </c>
      <c r="F1757" s="211">
        <v>0</v>
      </c>
      <c r="G1757" s="211">
        <v>0</v>
      </c>
      <c r="H1757" s="211">
        <v>0</v>
      </c>
      <c r="I1757" s="386">
        <f t="shared" si="64"/>
        <v>2541738.5099999998</v>
      </c>
      <c r="J1757" s="203" t="s">
        <v>1534</v>
      </c>
    </row>
    <row r="1758" spans="1:10" hidden="1" outlineLevel="1">
      <c r="A1758" s="425" t="s">
        <v>1957</v>
      </c>
      <c r="B1758" s="210">
        <v>142053.71</v>
      </c>
      <c r="C1758" s="211">
        <v>0</v>
      </c>
      <c r="D1758" s="211">
        <v>0</v>
      </c>
      <c r="E1758" s="211">
        <v>0</v>
      </c>
      <c r="F1758" s="211">
        <v>0</v>
      </c>
      <c r="G1758" s="211">
        <v>0</v>
      </c>
      <c r="H1758" s="211">
        <v>0</v>
      </c>
      <c r="I1758" s="386">
        <f t="shared" si="64"/>
        <v>142053.71</v>
      </c>
      <c r="J1758" s="203" t="s">
        <v>1958</v>
      </c>
    </row>
    <row r="1759" spans="1:10" hidden="1" outlineLevel="1">
      <c r="A1759" s="425" t="s">
        <v>1959</v>
      </c>
      <c r="B1759" s="210">
        <v>134580.13</v>
      </c>
      <c r="C1759" s="211">
        <v>0</v>
      </c>
      <c r="D1759" s="211">
        <v>0</v>
      </c>
      <c r="E1759" s="211">
        <v>0</v>
      </c>
      <c r="F1759" s="211">
        <v>0</v>
      </c>
      <c r="G1759" s="211">
        <v>0</v>
      </c>
      <c r="H1759" s="211">
        <v>0</v>
      </c>
      <c r="I1759" s="386">
        <f t="shared" si="64"/>
        <v>134580.13</v>
      </c>
      <c r="J1759" s="203" t="s">
        <v>1960</v>
      </c>
    </row>
    <row r="1760" spans="1:10" hidden="1" outlineLevel="1">
      <c r="A1760" s="425" t="s">
        <v>1961</v>
      </c>
      <c r="B1760" s="210">
        <v>64587.64</v>
      </c>
      <c r="C1760" s="211">
        <v>0</v>
      </c>
      <c r="D1760" s="211">
        <v>0</v>
      </c>
      <c r="E1760" s="211">
        <v>0</v>
      </c>
      <c r="F1760" s="211">
        <v>0</v>
      </c>
      <c r="G1760" s="211">
        <v>0</v>
      </c>
      <c r="H1760" s="211">
        <v>0</v>
      </c>
      <c r="I1760" s="386">
        <f t="shared" si="64"/>
        <v>64587.64</v>
      </c>
      <c r="J1760" s="203" t="s">
        <v>1962</v>
      </c>
    </row>
    <row r="1761" spans="1:10" hidden="1" outlineLevel="1">
      <c r="A1761" s="425" t="s">
        <v>1535</v>
      </c>
      <c r="B1761" s="210">
        <v>29752.45</v>
      </c>
      <c r="C1761" s="211">
        <v>0</v>
      </c>
      <c r="D1761" s="211">
        <v>0</v>
      </c>
      <c r="E1761" s="211">
        <v>0</v>
      </c>
      <c r="F1761" s="211">
        <v>0</v>
      </c>
      <c r="G1761" s="211">
        <v>0</v>
      </c>
      <c r="H1761" s="211">
        <v>0</v>
      </c>
      <c r="I1761" s="386">
        <f t="shared" si="64"/>
        <v>29752.45</v>
      </c>
      <c r="J1761" s="203" t="s">
        <v>1536</v>
      </c>
    </row>
    <row r="1762" spans="1:10" hidden="1" outlineLevel="1">
      <c r="A1762" s="425" t="s">
        <v>1537</v>
      </c>
      <c r="B1762" s="210">
        <v>120527.91</v>
      </c>
      <c r="C1762" s="211">
        <v>0</v>
      </c>
      <c r="D1762" s="211">
        <v>0</v>
      </c>
      <c r="E1762" s="211">
        <v>0</v>
      </c>
      <c r="F1762" s="211">
        <v>0</v>
      </c>
      <c r="G1762" s="211">
        <v>0</v>
      </c>
      <c r="H1762" s="211">
        <v>0</v>
      </c>
      <c r="I1762" s="386">
        <f t="shared" si="64"/>
        <v>120527.91</v>
      </c>
      <c r="J1762" s="203" t="s">
        <v>1538</v>
      </c>
    </row>
    <row r="1763" spans="1:10" hidden="1" outlineLevel="1">
      <c r="A1763" s="425" t="s">
        <v>1539</v>
      </c>
      <c r="B1763" s="210">
        <v>73149.08</v>
      </c>
      <c r="C1763" s="211">
        <v>0</v>
      </c>
      <c r="D1763" s="211">
        <v>0</v>
      </c>
      <c r="E1763" s="211">
        <v>0</v>
      </c>
      <c r="F1763" s="211">
        <v>0</v>
      </c>
      <c r="G1763" s="211">
        <v>0</v>
      </c>
      <c r="H1763" s="211">
        <v>0</v>
      </c>
      <c r="I1763" s="386">
        <f t="shared" si="64"/>
        <v>73149.08</v>
      </c>
      <c r="J1763" s="203" t="s">
        <v>1540</v>
      </c>
    </row>
    <row r="1764" spans="1:10" hidden="1" outlineLevel="1">
      <c r="A1764" s="425" t="s">
        <v>1541</v>
      </c>
      <c r="B1764" s="210">
        <v>140020.07999999999</v>
      </c>
      <c r="C1764" s="211">
        <v>0</v>
      </c>
      <c r="D1764" s="211">
        <v>0</v>
      </c>
      <c r="E1764" s="211">
        <v>0</v>
      </c>
      <c r="F1764" s="211">
        <v>0</v>
      </c>
      <c r="G1764" s="211">
        <v>0</v>
      </c>
      <c r="H1764" s="211">
        <v>0</v>
      </c>
      <c r="I1764" s="386">
        <f t="shared" si="64"/>
        <v>140020.07999999999</v>
      </c>
      <c r="J1764" s="203" t="s">
        <v>1542</v>
      </c>
    </row>
    <row r="1765" spans="1:10" hidden="1" outlineLevel="1">
      <c r="A1765" s="425" t="s">
        <v>1543</v>
      </c>
      <c r="B1765" s="210">
        <v>62242.97</v>
      </c>
      <c r="C1765" s="211">
        <v>0</v>
      </c>
      <c r="D1765" s="211">
        <v>0</v>
      </c>
      <c r="E1765" s="211">
        <v>0</v>
      </c>
      <c r="F1765" s="211">
        <v>0</v>
      </c>
      <c r="G1765" s="211">
        <v>0</v>
      </c>
      <c r="H1765" s="211">
        <v>0</v>
      </c>
      <c r="I1765" s="386">
        <f t="shared" si="64"/>
        <v>62242.97</v>
      </c>
      <c r="J1765" s="203" t="s">
        <v>1544</v>
      </c>
    </row>
    <row r="1766" spans="1:10" hidden="1" outlineLevel="1">
      <c r="A1766" s="425" t="s">
        <v>1545</v>
      </c>
      <c r="B1766" s="210">
        <v>52417.51</v>
      </c>
      <c r="C1766" s="211">
        <v>0</v>
      </c>
      <c r="D1766" s="211">
        <v>0</v>
      </c>
      <c r="E1766" s="211">
        <v>0</v>
      </c>
      <c r="F1766" s="211">
        <v>0</v>
      </c>
      <c r="G1766" s="211">
        <v>0</v>
      </c>
      <c r="H1766" s="211">
        <v>0</v>
      </c>
      <c r="I1766" s="386">
        <f t="shared" si="64"/>
        <v>52417.51</v>
      </c>
      <c r="J1766" s="203" t="s">
        <v>1546</v>
      </c>
    </row>
    <row r="1767" spans="1:10" hidden="1" outlineLevel="1">
      <c r="A1767" s="425" t="s">
        <v>86</v>
      </c>
      <c r="B1767" s="210">
        <v>113717.13</v>
      </c>
      <c r="C1767" s="211">
        <v>0</v>
      </c>
      <c r="D1767" s="211">
        <v>0</v>
      </c>
      <c r="E1767" s="211">
        <v>0</v>
      </c>
      <c r="F1767" s="211">
        <v>0</v>
      </c>
      <c r="G1767" s="211">
        <v>0</v>
      </c>
      <c r="H1767" s="211">
        <v>0</v>
      </c>
      <c r="I1767" s="386">
        <f t="shared" si="64"/>
        <v>113717.13</v>
      </c>
      <c r="J1767" s="203" t="s">
        <v>87</v>
      </c>
    </row>
    <row r="1768" spans="1:10" hidden="1" outlineLevel="1">
      <c r="A1768" s="425" t="s">
        <v>398</v>
      </c>
      <c r="B1768" s="210">
        <v>19893.71</v>
      </c>
      <c r="C1768" s="211">
        <v>0</v>
      </c>
      <c r="D1768" s="211">
        <v>0</v>
      </c>
      <c r="E1768" s="211">
        <v>0</v>
      </c>
      <c r="F1768" s="211">
        <v>0</v>
      </c>
      <c r="G1768" s="211">
        <v>0</v>
      </c>
      <c r="H1768" s="211">
        <v>0</v>
      </c>
      <c r="I1768" s="386">
        <f t="shared" si="64"/>
        <v>19893.71</v>
      </c>
      <c r="J1768" s="203" t="s">
        <v>399</v>
      </c>
    </row>
    <row r="1769" spans="1:10" hidden="1" outlineLevel="1">
      <c r="A1769" s="425" t="s">
        <v>1547</v>
      </c>
      <c r="B1769" s="210">
        <v>13272.6</v>
      </c>
      <c r="C1769" s="211">
        <v>0</v>
      </c>
      <c r="D1769" s="211">
        <v>0</v>
      </c>
      <c r="E1769" s="211">
        <v>0</v>
      </c>
      <c r="F1769" s="211">
        <v>0</v>
      </c>
      <c r="G1769" s="211">
        <v>0</v>
      </c>
      <c r="H1769" s="211">
        <v>0</v>
      </c>
      <c r="I1769" s="386">
        <f t="shared" si="64"/>
        <v>13272.6</v>
      </c>
      <c r="J1769" s="203" t="s">
        <v>1548</v>
      </c>
    </row>
    <row r="1770" spans="1:10" hidden="1" outlineLevel="1">
      <c r="A1770" s="425" t="s">
        <v>1549</v>
      </c>
      <c r="B1770" s="210">
        <v>69384.73</v>
      </c>
      <c r="C1770" s="211">
        <v>0</v>
      </c>
      <c r="D1770" s="211">
        <v>0</v>
      </c>
      <c r="E1770" s="211">
        <v>0</v>
      </c>
      <c r="F1770" s="211">
        <v>0</v>
      </c>
      <c r="G1770" s="211">
        <v>0</v>
      </c>
      <c r="H1770" s="211">
        <v>0</v>
      </c>
      <c r="I1770" s="386">
        <f t="shared" si="64"/>
        <v>69384.73</v>
      </c>
      <c r="J1770" s="203" t="s">
        <v>1550</v>
      </c>
    </row>
    <row r="1771" spans="1:10" hidden="1" outlineLevel="1">
      <c r="A1771" s="425" t="s">
        <v>1963</v>
      </c>
      <c r="B1771" s="210">
        <v>4678</v>
      </c>
      <c r="C1771" s="211">
        <v>0</v>
      </c>
      <c r="D1771" s="211">
        <v>0</v>
      </c>
      <c r="E1771" s="211">
        <v>0</v>
      </c>
      <c r="F1771" s="211">
        <v>0</v>
      </c>
      <c r="G1771" s="211">
        <v>0</v>
      </c>
      <c r="H1771" s="211">
        <v>0</v>
      </c>
      <c r="I1771" s="386">
        <f t="shared" si="64"/>
        <v>4678</v>
      </c>
      <c r="J1771" s="203" t="s">
        <v>1964</v>
      </c>
    </row>
    <row r="1772" spans="1:10" hidden="1" outlineLevel="1">
      <c r="A1772" s="425" t="s">
        <v>1551</v>
      </c>
      <c r="B1772" s="210">
        <v>478094.94</v>
      </c>
      <c r="C1772" s="211">
        <v>0</v>
      </c>
      <c r="D1772" s="211">
        <v>0</v>
      </c>
      <c r="E1772" s="211">
        <v>0</v>
      </c>
      <c r="F1772" s="211">
        <v>0</v>
      </c>
      <c r="G1772" s="211">
        <v>0</v>
      </c>
      <c r="H1772" s="211">
        <v>0</v>
      </c>
      <c r="I1772" s="386">
        <f t="shared" si="64"/>
        <v>478094.94</v>
      </c>
      <c r="J1772" s="203" t="s">
        <v>1552</v>
      </c>
    </row>
    <row r="1773" spans="1:10" hidden="1" outlineLevel="1">
      <c r="A1773" s="425" t="s">
        <v>1965</v>
      </c>
      <c r="B1773" s="210">
        <v>3784.08</v>
      </c>
      <c r="C1773" s="211">
        <v>0</v>
      </c>
      <c r="D1773" s="211">
        <v>0</v>
      </c>
      <c r="E1773" s="211">
        <v>0</v>
      </c>
      <c r="F1773" s="211">
        <v>0</v>
      </c>
      <c r="G1773" s="211">
        <v>0</v>
      </c>
      <c r="H1773" s="211">
        <v>0</v>
      </c>
      <c r="I1773" s="386">
        <f t="shared" si="64"/>
        <v>3784.08</v>
      </c>
      <c r="J1773" s="203" t="s">
        <v>1966</v>
      </c>
    </row>
    <row r="1774" spans="1:10" hidden="1" outlineLevel="1">
      <c r="A1774" s="425" t="s">
        <v>1967</v>
      </c>
      <c r="B1774" s="210">
        <v>5864.58</v>
      </c>
      <c r="C1774" s="211">
        <v>0</v>
      </c>
      <c r="D1774" s="211">
        <v>0</v>
      </c>
      <c r="E1774" s="211">
        <v>0</v>
      </c>
      <c r="F1774" s="211">
        <v>0</v>
      </c>
      <c r="G1774" s="211">
        <v>0</v>
      </c>
      <c r="H1774" s="211">
        <v>0</v>
      </c>
      <c r="I1774" s="386">
        <f t="shared" si="64"/>
        <v>5864.58</v>
      </c>
      <c r="J1774" s="203" t="s">
        <v>1968</v>
      </c>
    </row>
    <row r="1775" spans="1:10" hidden="1" outlineLevel="1">
      <c r="A1775" s="425" t="s">
        <v>1553</v>
      </c>
      <c r="B1775" s="210">
        <v>298946.39</v>
      </c>
      <c r="C1775" s="211">
        <v>0</v>
      </c>
      <c r="D1775" s="211">
        <v>0</v>
      </c>
      <c r="E1775" s="211">
        <v>0</v>
      </c>
      <c r="F1775" s="211">
        <v>0</v>
      </c>
      <c r="G1775" s="211">
        <v>0</v>
      </c>
      <c r="H1775" s="211">
        <v>0</v>
      </c>
      <c r="I1775" s="386">
        <f t="shared" si="64"/>
        <v>298946.39</v>
      </c>
      <c r="J1775" s="203" t="s">
        <v>1554</v>
      </c>
    </row>
    <row r="1776" spans="1:10" hidden="1" outlineLevel="1">
      <c r="A1776" s="425" t="s">
        <v>1555</v>
      </c>
      <c r="B1776" s="210">
        <v>15180.62</v>
      </c>
      <c r="C1776" s="211">
        <v>0</v>
      </c>
      <c r="D1776" s="211">
        <v>0</v>
      </c>
      <c r="E1776" s="211">
        <v>0</v>
      </c>
      <c r="F1776" s="211">
        <v>0</v>
      </c>
      <c r="G1776" s="211">
        <v>0</v>
      </c>
      <c r="H1776" s="211">
        <v>0</v>
      </c>
      <c r="I1776" s="386">
        <f t="shared" si="64"/>
        <v>15180.62</v>
      </c>
      <c r="J1776" s="203" t="s">
        <v>1556</v>
      </c>
    </row>
    <row r="1777" spans="1:10" hidden="1" outlineLevel="1">
      <c r="A1777" s="425" t="s">
        <v>1557</v>
      </c>
      <c r="B1777" s="210">
        <v>3503.07</v>
      </c>
      <c r="C1777" s="211">
        <v>0</v>
      </c>
      <c r="D1777" s="211">
        <v>0</v>
      </c>
      <c r="E1777" s="211">
        <v>0</v>
      </c>
      <c r="F1777" s="211">
        <v>0</v>
      </c>
      <c r="G1777" s="211">
        <v>0</v>
      </c>
      <c r="H1777" s="211">
        <v>0</v>
      </c>
      <c r="I1777" s="386">
        <f t="shared" si="64"/>
        <v>3503.07</v>
      </c>
      <c r="J1777" s="203" t="s">
        <v>1558</v>
      </c>
    </row>
    <row r="1778" spans="1:10" hidden="1" outlineLevel="1">
      <c r="A1778" s="425" t="s">
        <v>585</v>
      </c>
      <c r="B1778" s="210">
        <v>1128.71</v>
      </c>
      <c r="C1778" s="211">
        <v>0</v>
      </c>
      <c r="D1778" s="211">
        <v>0</v>
      </c>
      <c r="E1778" s="211">
        <v>0</v>
      </c>
      <c r="F1778" s="211">
        <v>0</v>
      </c>
      <c r="G1778" s="211">
        <v>0</v>
      </c>
      <c r="H1778" s="211">
        <v>0</v>
      </c>
      <c r="I1778" s="386">
        <f t="shared" si="64"/>
        <v>1128.71</v>
      </c>
      <c r="J1778" s="203" t="s">
        <v>1969</v>
      </c>
    </row>
    <row r="1779" spans="1:10" hidden="1" outlineLevel="1">
      <c r="A1779" s="425" t="s">
        <v>1559</v>
      </c>
      <c r="B1779" s="210">
        <v>4260058.59</v>
      </c>
      <c r="C1779" s="211">
        <v>0</v>
      </c>
      <c r="D1779" s="211">
        <v>0</v>
      </c>
      <c r="E1779" s="211">
        <v>0</v>
      </c>
      <c r="F1779" s="211">
        <v>0</v>
      </c>
      <c r="G1779" s="211">
        <v>0</v>
      </c>
      <c r="H1779" s="211">
        <v>0</v>
      </c>
      <c r="I1779" s="386">
        <f t="shared" si="64"/>
        <v>4260058.59</v>
      </c>
      <c r="J1779" s="203" t="s">
        <v>1560</v>
      </c>
    </row>
    <row r="1780" spans="1:10" hidden="1" outlineLevel="1">
      <c r="A1780" s="425" t="s">
        <v>1561</v>
      </c>
      <c r="B1780" s="210">
        <v>4615776.7699999996</v>
      </c>
      <c r="C1780" s="211">
        <v>0</v>
      </c>
      <c r="D1780" s="211">
        <v>0</v>
      </c>
      <c r="E1780" s="211">
        <v>0</v>
      </c>
      <c r="F1780" s="211">
        <v>0</v>
      </c>
      <c r="G1780" s="211">
        <v>0</v>
      </c>
      <c r="H1780" s="211">
        <v>0</v>
      </c>
      <c r="I1780" s="386">
        <f t="shared" si="64"/>
        <v>4615776.7699999996</v>
      </c>
      <c r="J1780" s="203" t="s">
        <v>1562</v>
      </c>
    </row>
    <row r="1781" spans="1:10" hidden="1" outlineLevel="1">
      <c r="A1781" s="425" t="s">
        <v>1413</v>
      </c>
      <c r="B1781" s="210">
        <v>484156.25</v>
      </c>
      <c r="C1781" s="211">
        <v>0</v>
      </c>
      <c r="D1781" s="211">
        <v>0</v>
      </c>
      <c r="E1781" s="211">
        <v>0</v>
      </c>
      <c r="F1781" s="211">
        <v>0</v>
      </c>
      <c r="G1781" s="211">
        <v>0</v>
      </c>
      <c r="H1781" s="211">
        <v>0</v>
      </c>
      <c r="I1781" s="386">
        <f t="shared" si="64"/>
        <v>484156.25</v>
      </c>
      <c r="J1781" s="203" t="s">
        <v>1414</v>
      </c>
    </row>
    <row r="1782" spans="1:10" hidden="1" outlineLevel="1">
      <c r="A1782" s="425" t="s">
        <v>1563</v>
      </c>
      <c r="B1782" s="210">
        <v>82854.2</v>
      </c>
      <c r="C1782" s="211">
        <v>0</v>
      </c>
      <c r="D1782" s="211">
        <v>0</v>
      </c>
      <c r="E1782" s="211">
        <v>0</v>
      </c>
      <c r="F1782" s="211">
        <v>0</v>
      </c>
      <c r="G1782" s="211">
        <v>0</v>
      </c>
      <c r="H1782" s="211">
        <v>0</v>
      </c>
      <c r="I1782" s="386">
        <f t="shared" si="64"/>
        <v>82854.2</v>
      </c>
      <c r="J1782" s="203" t="s">
        <v>1564</v>
      </c>
    </row>
    <row r="1783" spans="1:10" hidden="1" outlineLevel="1">
      <c r="A1783" s="425" t="s">
        <v>613</v>
      </c>
      <c r="B1783" s="210">
        <v>44027246.460000001</v>
      </c>
      <c r="C1783" s="211">
        <v>0</v>
      </c>
      <c r="D1783" s="211">
        <v>0</v>
      </c>
      <c r="E1783" s="211">
        <v>0</v>
      </c>
      <c r="F1783" s="211">
        <v>2843.75</v>
      </c>
      <c r="G1783" s="211">
        <v>0</v>
      </c>
      <c r="H1783" s="211">
        <v>0</v>
      </c>
      <c r="I1783" s="386">
        <f t="shared" si="64"/>
        <v>44030090.210000001</v>
      </c>
      <c r="J1783" s="203" t="s">
        <v>614</v>
      </c>
    </row>
    <row r="1784" spans="1:10" hidden="1" outlineLevel="1">
      <c r="A1784" s="425" t="s">
        <v>1565</v>
      </c>
      <c r="B1784" s="210">
        <v>235170.2</v>
      </c>
      <c r="C1784" s="211">
        <v>0</v>
      </c>
      <c r="D1784" s="211">
        <v>0</v>
      </c>
      <c r="E1784" s="211">
        <v>0</v>
      </c>
      <c r="F1784" s="211">
        <v>0</v>
      </c>
      <c r="G1784" s="211">
        <v>0</v>
      </c>
      <c r="H1784" s="211">
        <v>0</v>
      </c>
      <c r="I1784" s="386">
        <f t="shared" si="64"/>
        <v>235170.2</v>
      </c>
      <c r="J1784" s="203" t="s">
        <v>1566</v>
      </c>
    </row>
    <row r="1785" spans="1:10" hidden="1" outlineLevel="1">
      <c r="A1785" s="425" t="s">
        <v>1567</v>
      </c>
      <c r="B1785" s="210">
        <v>305623.74</v>
      </c>
      <c r="C1785" s="211">
        <v>0</v>
      </c>
      <c r="D1785" s="211">
        <v>0</v>
      </c>
      <c r="E1785" s="211">
        <v>0</v>
      </c>
      <c r="F1785" s="211">
        <v>0</v>
      </c>
      <c r="G1785" s="211">
        <v>0</v>
      </c>
      <c r="H1785" s="211">
        <v>0</v>
      </c>
      <c r="I1785" s="386">
        <f t="shared" si="64"/>
        <v>305623.74</v>
      </c>
      <c r="J1785" s="203" t="s">
        <v>1568</v>
      </c>
    </row>
    <row r="1786" spans="1:10" hidden="1" outlineLevel="1">
      <c r="A1786" s="425" t="s">
        <v>1569</v>
      </c>
      <c r="B1786" s="210">
        <v>5147952.8499999996</v>
      </c>
      <c r="C1786" s="211">
        <v>0</v>
      </c>
      <c r="D1786" s="211">
        <v>0</v>
      </c>
      <c r="E1786" s="211">
        <v>0</v>
      </c>
      <c r="F1786" s="211">
        <v>0</v>
      </c>
      <c r="G1786" s="211">
        <v>0</v>
      </c>
      <c r="H1786" s="211">
        <v>0</v>
      </c>
      <c r="I1786" s="386">
        <f t="shared" si="64"/>
        <v>5147952.8499999996</v>
      </c>
      <c r="J1786" s="203" t="s">
        <v>1570</v>
      </c>
    </row>
    <row r="1787" spans="1:10" hidden="1" outlineLevel="1">
      <c r="A1787" s="425" t="s">
        <v>1571</v>
      </c>
      <c r="B1787" s="210">
        <v>1695266.51</v>
      </c>
      <c r="C1787" s="211">
        <v>0</v>
      </c>
      <c r="D1787" s="211">
        <v>0</v>
      </c>
      <c r="E1787" s="211">
        <v>0</v>
      </c>
      <c r="F1787" s="211">
        <v>0</v>
      </c>
      <c r="G1787" s="211">
        <v>0</v>
      </c>
      <c r="H1787" s="211">
        <v>0</v>
      </c>
      <c r="I1787" s="386">
        <f t="shared" si="64"/>
        <v>1695266.51</v>
      </c>
      <c r="J1787" s="203" t="s">
        <v>1572</v>
      </c>
    </row>
    <row r="1788" spans="1:10" hidden="1" outlineLevel="1">
      <c r="A1788" s="425" t="s">
        <v>1573</v>
      </c>
      <c r="B1788" s="210">
        <v>40492.339999999997</v>
      </c>
      <c r="C1788" s="211">
        <v>0</v>
      </c>
      <c r="D1788" s="211">
        <v>0</v>
      </c>
      <c r="E1788" s="211">
        <v>0</v>
      </c>
      <c r="F1788" s="211">
        <v>0</v>
      </c>
      <c r="G1788" s="211">
        <v>0</v>
      </c>
      <c r="H1788" s="211">
        <v>0</v>
      </c>
      <c r="I1788" s="386">
        <f t="shared" si="64"/>
        <v>40492.339999999997</v>
      </c>
      <c r="J1788" s="203" t="s">
        <v>1574</v>
      </c>
    </row>
    <row r="1789" spans="1:10" hidden="1" outlineLevel="1">
      <c r="A1789" s="425" t="s">
        <v>1970</v>
      </c>
      <c r="B1789" s="210">
        <v>283330.61</v>
      </c>
      <c r="C1789" s="211">
        <v>0</v>
      </c>
      <c r="D1789" s="211">
        <v>0</v>
      </c>
      <c r="E1789" s="211">
        <v>0</v>
      </c>
      <c r="F1789" s="211">
        <v>0</v>
      </c>
      <c r="G1789" s="211">
        <v>0</v>
      </c>
      <c r="H1789" s="211">
        <v>0</v>
      </c>
      <c r="I1789" s="386">
        <f t="shared" si="64"/>
        <v>283330.61</v>
      </c>
      <c r="J1789" s="203" t="s">
        <v>1971</v>
      </c>
    </row>
    <row r="1790" spans="1:10" hidden="1" outlineLevel="1">
      <c r="A1790" s="425" t="s">
        <v>1575</v>
      </c>
      <c r="B1790" s="210">
        <v>201359.11</v>
      </c>
      <c r="C1790" s="211">
        <v>0</v>
      </c>
      <c r="D1790" s="211">
        <v>0</v>
      </c>
      <c r="E1790" s="211">
        <v>0</v>
      </c>
      <c r="F1790" s="211">
        <v>0</v>
      </c>
      <c r="G1790" s="211">
        <v>0</v>
      </c>
      <c r="H1790" s="211">
        <v>0</v>
      </c>
      <c r="I1790" s="386">
        <f t="shared" si="64"/>
        <v>201359.11</v>
      </c>
      <c r="J1790" s="203" t="s">
        <v>1576</v>
      </c>
    </row>
    <row r="1791" spans="1:10" hidden="1" outlineLevel="1">
      <c r="A1791" s="425" t="s">
        <v>1577</v>
      </c>
      <c r="B1791" s="210">
        <v>587877.82999999996</v>
      </c>
      <c r="C1791" s="211">
        <v>0</v>
      </c>
      <c r="D1791" s="211">
        <v>0</v>
      </c>
      <c r="E1791" s="211">
        <v>0</v>
      </c>
      <c r="F1791" s="211">
        <v>0</v>
      </c>
      <c r="G1791" s="211">
        <v>0</v>
      </c>
      <c r="H1791" s="211">
        <v>0</v>
      </c>
      <c r="I1791" s="386">
        <f t="shared" si="64"/>
        <v>587877.82999999996</v>
      </c>
      <c r="J1791" s="203" t="s">
        <v>1578</v>
      </c>
    </row>
    <row r="1792" spans="1:10" hidden="1" outlineLevel="1">
      <c r="A1792" s="425" t="s">
        <v>1579</v>
      </c>
      <c r="B1792" s="210">
        <v>402848.14</v>
      </c>
      <c r="C1792" s="211">
        <v>0</v>
      </c>
      <c r="D1792" s="211">
        <v>0</v>
      </c>
      <c r="E1792" s="211">
        <v>0</v>
      </c>
      <c r="F1792" s="211">
        <v>0</v>
      </c>
      <c r="G1792" s="211">
        <v>0</v>
      </c>
      <c r="H1792" s="211">
        <v>0</v>
      </c>
      <c r="I1792" s="386">
        <f t="shared" si="64"/>
        <v>402848.14</v>
      </c>
      <c r="J1792" s="203" t="s">
        <v>1580</v>
      </c>
    </row>
    <row r="1793" spans="1:10" hidden="1" outlineLevel="1">
      <c r="A1793" s="425" t="s">
        <v>1581</v>
      </c>
      <c r="B1793" s="210">
        <v>1157953.26</v>
      </c>
      <c r="C1793" s="211">
        <v>0</v>
      </c>
      <c r="D1793" s="211">
        <v>0</v>
      </c>
      <c r="E1793" s="211">
        <v>0</v>
      </c>
      <c r="F1793" s="211">
        <v>0</v>
      </c>
      <c r="G1793" s="211">
        <v>0</v>
      </c>
      <c r="H1793" s="211">
        <v>0</v>
      </c>
      <c r="I1793" s="386">
        <f t="shared" si="64"/>
        <v>1157953.26</v>
      </c>
      <c r="J1793" s="203" t="s">
        <v>1582</v>
      </c>
    </row>
    <row r="1794" spans="1:10" hidden="1" outlineLevel="1">
      <c r="A1794" s="425" t="s">
        <v>1583</v>
      </c>
      <c r="B1794" s="210">
        <v>251910.66</v>
      </c>
      <c r="C1794" s="211">
        <v>0</v>
      </c>
      <c r="D1794" s="211">
        <v>0</v>
      </c>
      <c r="E1794" s="211">
        <v>0</v>
      </c>
      <c r="F1794" s="211">
        <v>0</v>
      </c>
      <c r="G1794" s="211">
        <v>0</v>
      </c>
      <c r="H1794" s="211">
        <v>0</v>
      </c>
      <c r="I1794" s="386">
        <f t="shared" si="64"/>
        <v>251910.66</v>
      </c>
      <c r="J1794" s="203" t="s">
        <v>1584</v>
      </c>
    </row>
    <row r="1795" spans="1:10" hidden="1" outlineLevel="1">
      <c r="A1795" s="425" t="s">
        <v>1585</v>
      </c>
      <c r="B1795" s="210">
        <v>498093.18</v>
      </c>
      <c r="C1795" s="211">
        <v>0</v>
      </c>
      <c r="D1795" s="211">
        <v>0</v>
      </c>
      <c r="E1795" s="211">
        <v>0</v>
      </c>
      <c r="F1795" s="211">
        <v>0</v>
      </c>
      <c r="G1795" s="211">
        <v>0</v>
      </c>
      <c r="H1795" s="211">
        <v>0</v>
      </c>
      <c r="I1795" s="386">
        <f t="shared" ref="I1795:I1858" si="65">SUM(B1795:H1795)</f>
        <v>498093.18</v>
      </c>
      <c r="J1795" s="203" t="s">
        <v>1586</v>
      </c>
    </row>
    <row r="1796" spans="1:10" hidden="1" outlineLevel="1">
      <c r="A1796" s="425" t="s">
        <v>1587</v>
      </c>
      <c r="B1796" s="210">
        <v>113864.44</v>
      </c>
      <c r="C1796" s="211">
        <v>0</v>
      </c>
      <c r="D1796" s="211">
        <v>0</v>
      </c>
      <c r="E1796" s="211">
        <v>0</v>
      </c>
      <c r="F1796" s="211">
        <v>0</v>
      </c>
      <c r="G1796" s="211">
        <v>0</v>
      </c>
      <c r="H1796" s="211">
        <v>0</v>
      </c>
      <c r="I1796" s="386">
        <f t="shared" si="65"/>
        <v>113864.44</v>
      </c>
      <c r="J1796" s="203" t="s">
        <v>1588</v>
      </c>
    </row>
    <row r="1797" spans="1:10" hidden="1" outlineLevel="1">
      <c r="A1797" s="425" t="s">
        <v>1589</v>
      </c>
      <c r="B1797" s="210">
        <v>54317.23</v>
      </c>
      <c r="C1797" s="211">
        <v>0</v>
      </c>
      <c r="D1797" s="211">
        <v>0</v>
      </c>
      <c r="E1797" s="211">
        <v>0</v>
      </c>
      <c r="F1797" s="211">
        <v>0</v>
      </c>
      <c r="G1797" s="211">
        <v>0</v>
      </c>
      <c r="H1797" s="211">
        <v>0</v>
      </c>
      <c r="I1797" s="386">
        <f t="shared" si="65"/>
        <v>54317.23</v>
      </c>
      <c r="J1797" s="203" t="s">
        <v>1590</v>
      </c>
    </row>
    <row r="1798" spans="1:10" hidden="1" outlineLevel="1">
      <c r="A1798" s="425" t="s">
        <v>1591</v>
      </c>
      <c r="B1798" s="210">
        <v>203325.75</v>
      </c>
      <c r="C1798" s="211">
        <v>0</v>
      </c>
      <c r="D1798" s="211">
        <v>0</v>
      </c>
      <c r="E1798" s="211">
        <v>0</v>
      </c>
      <c r="F1798" s="211">
        <v>0</v>
      </c>
      <c r="G1798" s="211">
        <v>0</v>
      </c>
      <c r="H1798" s="211">
        <v>0</v>
      </c>
      <c r="I1798" s="386">
        <f t="shared" si="65"/>
        <v>203325.75</v>
      </c>
      <c r="J1798" s="203" t="s">
        <v>1592</v>
      </c>
    </row>
    <row r="1799" spans="1:10" hidden="1" outlineLevel="1">
      <c r="A1799" s="425" t="s">
        <v>1593</v>
      </c>
      <c r="B1799" s="210">
        <v>160640.29999999999</v>
      </c>
      <c r="C1799" s="211">
        <v>0</v>
      </c>
      <c r="D1799" s="211">
        <v>0</v>
      </c>
      <c r="E1799" s="211">
        <v>0</v>
      </c>
      <c r="F1799" s="211">
        <v>0</v>
      </c>
      <c r="G1799" s="211">
        <v>0</v>
      </c>
      <c r="H1799" s="211">
        <v>0</v>
      </c>
      <c r="I1799" s="386">
        <f t="shared" si="65"/>
        <v>160640.29999999999</v>
      </c>
      <c r="J1799" s="203" t="s">
        <v>1594</v>
      </c>
    </row>
    <row r="1800" spans="1:10" hidden="1" outlineLevel="1">
      <c r="A1800" s="425" t="s">
        <v>1595</v>
      </c>
      <c r="B1800" s="210">
        <v>101885.39</v>
      </c>
      <c r="C1800" s="211">
        <v>0</v>
      </c>
      <c r="D1800" s="211">
        <v>0</v>
      </c>
      <c r="E1800" s="211">
        <v>0</v>
      </c>
      <c r="F1800" s="211">
        <v>0</v>
      </c>
      <c r="G1800" s="211">
        <v>0</v>
      </c>
      <c r="H1800" s="211">
        <v>0</v>
      </c>
      <c r="I1800" s="386">
        <f t="shared" si="65"/>
        <v>101885.39</v>
      </c>
      <c r="J1800" s="203" t="s">
        <v>1596</v>
      </c>
    </row>
    <row r="1801" spans="1:10" hidden="1" outlineLevel="1">
      <c r="A1801" s="425" t="s">
        <v>1597</v>
      </c>
      <c r="B1801" s="210">
        <v>600748.67000000004</v>
      </c>
      <c r="C1801" s="211">
        <v>0</v>
      </c>
      <c r="D1801" s="211">
        <v>0</v>
      </c>
      <c r="E1801" s="211">
        <v>0</v>
      </c>
      <c r="F1801" s="211">
        <v>0</v>
      </c>
      <c r="G1801" s="211">
        <v>0</v>
      </c>
      <c r="H1801" s="211">
        <v>0</v>
      </c>
      <c r="I1801" s="386">
        <f t="shared" si="65"/>
        <v>600748.67000000004</v>
      </c>
      <c r="J1801" s="203" t="s">
        <v>1598</v>
      </c>
    </row>
    <row r="1802" spans="1:10" hidden="1" outlineLevel="1">
      <c r="A1802" s="425" t="s">
        <v>1599</v>
      </c>
      <c r="B1802" s="210">
        <v>358336.21</v>
      </c>
      <c r="C1802" s="211">
        <v>0</v>
      </c>
      <c r="D1802" s="211">
        <v>0</v>
      </c>
      <c r="E1802" s="211">
        <v>0</v>
      </c>
      <c r="F1802" s="211">
        <v>0</v>
      </c>
      <c r="G1802" s="211">
        <v>0</v>
      </c>
      <c r="H1802" s="211">
        <v>0</v>
      </c>
      <c r="I1802" s="386">
        <f t="shared" si="65"/>
        <v>358336.21</v>
      </c>
      <c r="J1802" s="203" t="s">
        <v>1600</v>
      </c>
    </row>
    <row r="1803" spans="1:10" hidden="1" outlineLevel="1">
      <c r="A1803" s="425" t="s">
        <v>1601</v>
      </c>
      <c r="B1803" s="210">
        <v>539207.28</v>
      </c>
      <c r="C1803" s="211">
        <v>0</v>
      </c>
      <c r="D1803" s="211">
        <v>0</v>
      </c>
      <c r="E1803" s="211">
        <v>0</v>
      </c>
      <c r="F1803" s="211">
        <v>0</v>
      </c>
      <c r="G1803" s="211">
        <v>0</v>
      </c>
      <c r="H1803" s="211">
        <v>0</v>
      </c>
      <c r="I1803" s="386">
        <f t="shared" si="65"/>
        <v>539207.28</v>
      </c>
      <c r="J1803" s="203" t="s">
        <v>1602</v>
      </c>
    </row>
    <row r="1804" spans="1:10" hidden="1" outlineLevel="1">
      <c r="A1804" s="425" t="s">
        <v>1603</v>
      </c>
      <c r="B1804" s="210">
        <v>373943.59</v>
      </c>
      <c r="C1804" s="211">
        <v>0</v>
      </c>
      <c r="D1804" s="211">
        <v>0</v>
      </c>
      <c r="E1804" s="211">
        <v>0</v>
      </c>
      <c r="F1804" s="211">
        <v>0</v>
      </c>
      <c r="G1804" s="211">
        <v>0</v>
      </c>
      <c r="H1804" s="211">
        <v>0</v>
      </c>
      <c r="I1804" s="386">
        <f t="shared" si="65"/>
        <v>373943.59</v>
      </c>
      <c r="J1804" s="203" t="s">
        <v>1604</v>
      </c>
    </row>
    <row r="1805" spans="1:10" hidden="1" outlineLevel="1">
      <c r="A1805" s="425" t="s">
        <v>1605</v>
      </c>
      <c r="B1805" s="210">
        <v>147544.54999999999</v>
      </c>
      <c r="C1805" s="211">
        <v>0</v>
      </c>
      <c r="D1805" s="211">
        <v>0</v>
      </c>
      <c r="E1805" s="211">
        <v>0</v>
      </c>
      <c r="F1805" s="211">
        <v>0</v>
      </c>
      <c r="G1805" s="211">
        <v>0</v>
      </c>
      <c r="H1805" s="211">
        <v>0</v>
      </c>
      <c r="I1805" s="386">
        <f t="shared" si="65"/>
        <v>147544.54999999999</v>
      </c>
      <c r="J1805" s="203" t="s">
        <v>1606</v>
      </c>
    </row>
    <row r="1806" spans="1:10" hidden="1" outlineLevel="1">
      <c r="A1806" s="425" t="s">
        <v>1607</v>
      </c>
      <c r="B1806" s="210">
        <v>558506.80000000005</v>
      </c>
      <c r="C1806" s="211">
        <v>0</v>
      </c>
      <c r="D1806" s="211">
        <v>0</v>
      </c>
      <c r="E1806" s="211">
        <v>0</v>
      </c>
      <c r="F1806" s="211">
        <v>0</v>
      </c>
      <c r="G1806" s="211">
        <v>0</v>
      </c>
      <c r="H1806" s="211">
        <v>0</v>
      </c>
      <c r="I1806" s="386">
        <f t="shared" si="65"/>
        <v>558506.80000000005</v>
      </c>
      <c r="J1806" s="203" t="s">
        <v>1608</v>
      </c>
    </row>
    <row r="1807" spans="1:10" hidden="1" outlineLevel="1">
      <c r="A1807" s="425" t="s">
        <v>1609</v>
      </c>
      <c r="B1807" s="210">
        <v>594861.96</v>
      </c>
      <c r="C1807" s="211">
        <v>0</v>
      </c>
      <c r="D1807" s="211">
        <v>0</v>
      </c>
      <c r="E1807" s="211">
        <v>0</v>
      </c>
      <c r="F1807" s="211">
        <v>0</v>
      </c>
      <c r="G1807" s="211">
        <v>0</v>
      </c>
      <c r="H1807" s="211">
        <v>0</v>
      </c>
      <c r="I1807" s="386">
        <f t="shared" si="65"/>
        <v>594861.96</v>
      </c>
      <c r="J1807" s="203" t="s">
        <v>1610</v>
      </c>
    </row>
    <row r="1808" spans="1:10" hidden="1" outlineLevel="1">
      <c r="A1808" s="425" t="s">
        <v>1611</v>
      </c>
      <c r="B1808" s="210">
        <v>385086.07</v>
      </c>
      <c r="C1808" s="211">
        <v>0</v>
      </c>
      <c r="D1808" s="211">
        <v>0</v>
      </c>
      <c r="E1808" s="211">
        <v>0</v>
      </c>
      <c r="F1808" s="211">
        <v>0</v>
      </c>
      <c r="G1808" s="211">
        <v>0</v>
      </c>
      <c r="H1808" s="211">
        <v>0</v>
      </c>
      <c r="I1808" s="386">
        <f t="shared" si="65"/>
        <v>385086.07</v>
      </c>
      <c r="J1808" s="203" t="s">
        <v>1612</v>
      </c>
    </row>
    <row r="1809" spans="1:10" hidden="1" outlineLevel="1">
      <c r="A1809" s="425" t="s">
        <v>1613</v>
      </c>
      <c r="B1809" s="210">
        <v>153364.39000000001</v>
      </c>
      <c r="C1809" s="211">
        <v>0</v>
      </c>
      <c r="D1809" s="211">
        <v>0</v>
      </c>
      <c r="E1809" s="211">
        <v>0</v>
      </c>
      <c r="F1809" s="211">
        <v>0</v>
      </c>
      <c r="G1809" s="211">
        <v>0</v>
      </c>
      <c r="H1809" s="211">
        <v>0</v>
      </c>
      <c r="I1809" s="386">
        <f t="shared" si="65"/>
        <v>153364.39000000001</v>
      </c>
      <c r="J1809" s="203" t="s">
        <v>1614</v>
      </c>
    </row>
    <row r="1810" spans="1:10" hidden="1" outlineLevel="1">
      <c r="A1810" s="425" t="s">
        <v>1615</v>
      </c>
      <c r="B1810" s="210">
        <v>304207.59000000003</v>
      </c>
      <c r="C1810" s="211">
        <v>0</v>
      </c>
      <c r="D1810" s="211">
        <v>0</v>
      </c>
      <c r="E1810" s="211">
        <v>0</v>
      </c>
      <c r="F1810" s="211">
        <v>0</v>
      </c>
      <c r="G1810" s="211">
        <v>0</v>
      </c>
      <c r="H1810" s="211">
        <v>0</v>
      </c>
      <c r="I1810" s="386">
        <f t="shared" si="65"/>
        <v>304207.59000000003</v>
      </c>
      <c r="J1810" s="203" t="s">
        <v>1616</v>
      </c>
    </row>
    <row r="1811" spans="1:10" hidden="1" outlineLevel="1">
      <c r="A1811" s="425" t="s">
        <v>1617</v>
      </c>
      <c r="B1811" s="210">
        <v>92531.37</v>
      </c>
      <c r="C1811" s="211">
        <v>0</v>
      </c>
      <c r="D1811" s="211">
        <v>0</v>
      </c>
      <c r="E1811" s="211">
        <v>0</v>
      </c>
      <c r="F1811" s="211">
        <v>0</v>
      </c>
      <c r="G1811" s="211">
        <v>0</v>
      </c>
      <c r="H1811" s="211">
        <v>0</v>
      </c>
      <c r="I1811" s="386">
        <f t="shared" si="65"/>
        <v>92531.37</v>
      </c>
      <c r="J1811" s="203" t="s">
        <v>1618</v>
      </c>
    </row>
    <row r="1812" spans="1:10" hidden="1" outlineLevel="1">
      <c r="A1812" s="425" t="s">
        <v>1619</v>
      </c>
      <c r="B1812" s="210">
        <v>446208.24</v>
      </c>
      <c r="C1812" s="211">
        <v>0</v>
      </c>
      <c r="D1812" s="211">
        <v>0</v>
      </c>
      <c r="E1812" s="211">
        <v>0</v>
      </c>
      <c r="F1812" s="211">
        <v>146.6</v>
      </c>
      <c r="G1812" s="211">
        <v>0</v>
      </c>
      <c r="H1812" s="211">
        <v>0</v>
      </c>
      <c r="I1812" s="386">
        <f t="shared" si="65"/>
        <v>446354.83999999997</v>
      </c>
      <c r="J1812" s="203" t="s">
        <v>1620</v>
      </c>
    </row>
    <row r="1813" spans="1:10" hidden="1" outlineLevel="1">
      <c r="A1813" s="425" t="s">
        <v>1621</v>
      </c>
      <c r="B1813" s="210">
        <v>348783.44</v>
      </c>
      <c r="C1813" s="211">
        <v>0</v>
      </c>
      <c r="D1813" s="211">
        <v>0</v>
      </c>
      <c r="E1813" s="211">
        <v>0</v>
      </c>
      <c r="F1813" s="211">
        <v>0</v>
      </c>
      <c r="G1813" s="211">
        <v>0</v>
      </c>
      <c r="H1813" s="211">
        <v>0</v>
      </c>
      <c r="I1813" s="386">
        <f t="shared" si="65"/>
        <v>348783.44</v>
      </c>
      <c r="J1813" s="203" t="s">
        <v>1622</v>
      </c>
    </row>
    <row r="1814" spans="1:10" hidden="1" outlineLevel="1">
      <c r="A1814" s="425" t="s">
        <v>1623</v>
      </c>
      <c r="B1814" s="210">
        <v>263792.51</v>
      </c>
      <c r="C1814" s="211">
        <v>0</v>
      </c>
      <c r="D1814" s="211">
        <v>0</v>
      </c>
      <c r="E1814" s="211">
        <v>0</v>
      </c>
      <c r="F1814" s="211">
        <v>0</v>
      </c>
      <c r="G1814" s="211">
        <v>0</v>
      </c>
      <c r="H1814" s="211">
        <v>0</v>
      </c>
      <c r="I1814" s="386">
        <f t="shared" si="65"/>
        <v>263792.51</v>
      </c>
      <c r="J1814" s="203" t="s">
        <v>1624</v>
      </c>
    </row>
    <row r="1815" spans="1:10" hidden="1" outlineLevel="1">
      <c r="A1815" s="425" t="s">
        <v>1625</v>
      </c>
      <c r="B1815" s="210">
        <v>65095.89</v>
      </c>
      <c r="C1815" s="211">
        <v>0</v>
      </c>
      <c r="D1815" s="211">
        <v>0</v>
      </c>
      <c r="E1815" s="211">
        <v>0</v>
      </c>
      <c r="F1815" s="211">
        <v>0</v>
      </c>
      <c r="G1815" s="211">
        <v>0</v>
      </c>
      <c r="H1815" s="211">
        <v>0</v>
      </c>
      <c r="I1815" s="386">
        <f t="shared" si="65"/>
        <v>65095.89</v>
      </c>
      <c r="J1815" s="203" t="s">
        <v>1626</v>
      </c>
    </row>
    <row r="1816" spans="1:10" hidden="1" outlineLevel="1">
      <c r="A1816" s="425" t="s">
        <v>1627</v>
      </c>
      <c r="B1816" s="210">
        <v>101193.64</v>
      </c>
      <c r="C1816" s="211">
        <v>0</v>
      </c>
      <c r="D1816" s="211">
        <v>0</v>
      </c>
      <c r="E1816" s="211">
        <v>0</v>
      </c>
      <c r="F1816" s="211">
        <v>0</v>
      </c>
      <c r="G1816" s="211">
        <v>0</v>
      </c>
      <c r="H1816" s="211">
        <v>0</v>
      </c>
      <c r="I1816" s="386">
        <f t="shared" si="65"/>
        <v>101193.64</v>
      </c>
      <c r="J1816" s="203" t="s">
        <v>1628</v>
      </c>
    </row>
    <row r="1817" spans="1:10" hidden="1" outlineLevel="1">
      <c r="A1817" s="425" t="s">
        <v>1629</v>
      </c>
      <c r="B1817" s="210">
        <v>2121215.83</v>
      </c>
      <c r="C1817" s="211">
        <v>0</v>
      </c>
      <c r="D1817" s="211">
        <v>0</v>
      </c>
      <c r="E1817" s="211">
        <v>0</v>
      </c>
      <c r="F1817" s="211">
        <v>0</v>
      </c>
      <c r="G1817" s="211">
        <v>0</v>
      </c>
      <c r="H1817" s="211">
        <v>0</v>
      </c>
      <c r="I1817" s="386">
        <f t="shared" si="65"/>
        <v>2121215.83</v>
      </c>
      <c r="J1817" s="203" t="s">
        <v>1630</v>
      </c>
    </row>
    <row r="1818" spans="1:10" hidden="1" outlineLevel="1">
      <c r="A1818" s="425" t="s">
        <v>1631</v>
      </c>
      <c r="B1818" s="210">
        <v>218875.84</v>
      </c>
      <c r="C1818" s="211">
        <v>0</v>
      </c>
      <c r="D1818" s="211">
        <v>0</v>
      </c>
      <c r="E1818" s="211">
        <v>0</v>
      </c>
      <c r="F1818" s="211">
        <v>0</v>
      </c>
      <c r="G1818" s="211">
        <v>0</v>
      </c>
      <c r="H1818" s="211">
        <v>0</v>
      </c>
      <c r="I1818" s="386">
        <f t="shared" si="65"/>
        <v>218875.84</v>
      </c>
      <c r="J1818" s="203" t="s">
        <v>1632</v>
      </c>
    </row>
    <row r="1819" spans="1:10" hidden="1" outlineLevel="1">
      <c r="A1819" s="425" t="s">
        <v>1633</v>
      </c>
      <c r="B1819" s="210">
        <v>3481815.7</v>
      </c>
      <c r="C1819" s="211">
        <v>0</v>
      </c>
      <c r="D1819" s="211">
        <v>0</v>
      </c>
      <c r="E1819" s="211">
        <v>0</v>
      </c>
      <c r="F1819" s="211">
        <v>8052.7</v>
      </c>
      <c r="G1819" s="211">
        <v>0</v>
      </c>
      <c r="H1819" s="211">
        <v>0</v>
      </c>
      <c r="I1819" s="386">
        <f t="shared" si="65"/>
        <v>3489868.4000000004</v>
      </c>
      <c r="J1819" s="203" t="s">
        <v>1634</v>
      </c>
    </row>
    <row r="1820" spans="1:10" hidden="1" outlineLevel="1">
      <c r="A1820" s="425" t="s">
        <v>1635</v>
      </c>
      <c r="B1820" s="210">
        <v>702179.24</v>
      </c>
      <c r="C1820" s="211">
        <v>0</v>
      </c>
      <c r="D1820" s="211">
        <v>0</v>
      </c>
      <c r="E1820" s="211">
        <v>0</v>
      </c>
      <c r="F1820" s="211">
        <v>0</v>
      </c>
      <c r="G1820" s="211">
        <v>0</v>
      </c>
      <c r="H1820" s="211">
        <v>0</v>
      </c>
      <c r="I1820" s="386">
        <f t="shared" si="65"/>
        <v>702179.24</v>
      </c>
      <c r="J1820" s="203" t="s">
        <v>1636</v>
      </c>
    </row>
    <row r="1821" spans="1:10" hidden="1" outlineLevel="1">
      <c r="A1821" s="425" t="s">
        <v>1637</v>
      </c>
      <c r="B1821" s="210">
        <v>383536.76</v>
      </c>
      <c r="C1821" s="211">
        <v>0</v>
      </c>
      <c r="D1821" s="211">
        <v>0</v>
      </c>
      <c r="E1821" s="211">
        <v>0</v>
      </c>
      <c r="F1821" s="211">
        <v>0</v>
      </c>
      <c r="G1821" s="211">
        <v>0</v>
      </c>
      <c r="H1821" s="211">
        <v>0</v>
      </c>
      <c r="I1821" s="386">
        <f t="shared" si="65"/>
        <v>383536.76</v>
      </c>
      <c r="J1821" s="203" t="s">
        <v>1638</v>
      </c>
    </row>
    <row r="1822" spans="1:10" hidden="1" outlineLevel="1">
      <c r="A1822" s="425" t="s">
        <v>767</v>
      </c>
      <c r="B1822" s="210">
        <v>1052340</v>
      </c>
      <c r="C1822" s="211">
        <v>0</v>
      </c>
      <c r="D1822" s="211">
        <v>0</v>
      </c>
      <c r="E1822" s="211">
        <v>0</v>
      </c>
      <c r="F1822" s="211">
        <v>0</v>
      </c>
      <c r="G1822" s="211">
        <v>0</v>
      </c>
      <c r="H1822" s="211">
        <v>0</v>
      </c>
      <c r="I1822" s="386">
        <f t="shared" si="65"/>
        <v>1052340</v>
      </c>
      <c r="J1822" s="203" t="s">
        <v>768</v>
      </c>
    </row>
    <row r="1823" spans="1:10" hidden="1" outlineLevel="1">
      <c r="A1823" s="425" t="s">
        <v>1639</v>
      </c>
      <c r="B1823" s="210">
        <v>105757.15</v>
      </c>
      <c r="C1823" s="211">
        <v>0</v>
      </c>
      <c r="D1823" s="211">
        <v>0</v>
      </c>
      <c r="E1823" s="211">
        <v>0</v>
      </c>
      <c r="F1823" s="211">
        <v>0</v>
      </c>
      <c r="G1823" s="211">
        <v>0</v>
      </c>
      <c r="H1823" s="211">
        <v>0</v>
      </c>
      <c r="I1823" s="386">
        <f t="shared" si="65"/>
        <v>105757.15</v>
      </c>
      <c r="J1823" s="203" t="s">
        <v>1640</v>
      </c>
    </row>
    <row r="1824" spans="1:10" hidden="1" outlineLevel="1">
      <c r="A1824" s="425" t="s">
        <v>1641</v>
      </c>
      <c r="B1824" s="210">
        <v>233083.57</v>
      </c>
      <c r="C1824" s="211">
        <v>0</v>
      </c>
      <c r="D1824" s="211">
        <v>0</v>
      </c>
      <c r="E1824" s="211">
        <v>0</v>
      </c>
      <c r="F1824" s="211">
        <v>0</v>
      </c>
      <c r="G1824" s="211">
        <v>0</v>
      </c>
      <c r="H1824" s="211">
        <v>0</v>
      </c>
      <c r="I1824" s="386">
        <f t="shared" si="65"/>
        <v>233083.57</v>
      </c>
      <c r="J1824" s="203" t="s">
        <v>1642</v>
      </c>
    </row>
    <row r="1825" spans="1:10" hidden="1" outlineLevel="1">
      <c r="A1825" s="425" t="s">
        <v>1643</v>
      </c>
      <c r="B1825" s="210">
        <v>315353.52</v>
      </c>
      <c r="C1825" s="211">
        <v>0</v>
      </c>
      <c r="D1825" s="211">
        <v>0</v>
      </c>
      <c r="E1825" s="211">
        <v>0</v>
      </c>
      <c r="F1825" s="211">
        <v>0</v>
      </c>
      <c r="G1825" s="211">
        <v>0</v>
      </c>
      <c r="H1825" s="211">
        <v>0</v>
      </c>
      <c r="I1825" s="386">
        <f t="shared" si="65"/>
        <v>315353.52</v>
      </c>
      <c r="J1825" s="203" t="s">
        <v>1644</v>
      </c>
    </row>
    <row r="1826" spans="1:10" hidden="1" outlineLevel="1">
      <c r="A1826" s="425" t="s">
        <v>1645</v>
      </c>
      <c r="B1826" s="210">
        <v>145548.79</v>
      </c>
      <c r="C1826" s="211">
        <v>0</v>
      </c>
      <c r="D1826" s="211">
        <v>0</v>
      </c>
      <c r="E1826" s="211">
        <v>0</v>
      </c>
      <c r="F1826" s="211">
        <v>0</v>
      </c>
      <c r="G1826" s="211">
        <v>0</v>
      </c>
      <c r="H1826" s="211">
        <v>0</v>
      </c>
      <c r="I1826" s="386">
        <f t="shared" si="65"/>
        <v>145548.79</v>
      </c>
      <c r="J1826" s="203" t="s">
        <v>1646</v>
      </c>
    </row>
    <row r="1827" spans="1:10" hidden="1" outlineLevel="1">
      <c r="A1827" s="425" t="s">
        <v>1647</v>
      </c>
      <c r="B1827" s="210">
        <v>224584.57</v>
      </c>
      <c r="C1827" s="211">
        <v>0</v>
      </c>
      <c r="D1827" s="211">
        <v>0</v>
      </c>
      <c r="E1827" s="211">
        <v>0</v>
      </c>
      <c r="F1827" s="211">
        <v>0</v>
      </c>
      <c r="G1827" s="211">
        <v>0</v>
      </c>
      <c r="H1827" s="211">
        <v>0</v>
      </c>
      <c r="I1827" s="386">
        <f t="shared" si="65"/>
        <v>224584.57</v>
      </c>
      <c r="J1827" s="203" t="s">
        <v>1648</v>
      </c>
    </row>
    <row r="1828" spans="1:10" hidden="1" outlineLevel="1">
      <c r="A1828" s="425" t="s">
        <v>1649</v>
      </c>
      <c r="B1828" s="210">
        <v>71308.7</v>
      </c>
      <c r="C1828" s="211">
        <v>0</v>
      </c>
      <c r="D1828" s="211">
        <v>0</v>
      </c>
      <c r="E1828" s="211">
        <v>0</v>
      </c>
      <c r="F1828" s="211">
        <v>0</v>
      </c>
      <c r="G1828" s="211">
        <v>0</v>
      </c>
      <c r="H1828" s="211">
        <v>0</v>
      </c>
      <c r="I1828" s="386">
        <f t="shared" si="65"/>
        <v>71308.7</v>
      </c>
      <c r="J1828" s="203" t="s">
        <v>1650</v>
      </c>
    </row>
    <row r="1829" spans="1:10" hidden="1" outlineLevel="1">
      <c r="A1829" s="425" t="s">
        <v>1651</v>
      </c>
      <c r="B1829" s="210">
        <v>353624.28</v>
      </c>
      <c r="C1829" s="211">
        <v>0</v>
      </c>
      <c r="D1829" s="211">
        <v>0</v>
      </c>
      <c r="E1829" s="211">
        <v>0</v>
      </c>
      <c r="F1829" s="211">
        <v>0</v>
      </c>
      <c r="G1829" s="211">
        <v>0</v>
      </c>
      <c r="H1829" s="211">
        <v>0</v>
      </c>
      <c r="I1829" s="386">
        <f t="shared" si="65"/>
        <v>353624.28</v>
      </c>
      <c r="J1829" s="203" t="s">
        <v>1652</v>
      </c>
    </row>
    <row r="1830" spans="1:10" hidden="1" outlineLevel="1">
      <c r="A1830" s="425" t="s">
        <v>1653</v>
      </c>
      <c r="B1830" s="210">
        <v>149463.22</v>
      </c>
      <c r="C1830" s="211">
        <v>0</v>
      </c>
      <c r="D1830" s="211">
        <v>0</v>
      </c>
      <c r="E1830" s="211">
        <v>0</v>
      </c>
      <c r="F1830" s="211">
        <v>0</v>
      </c>
      <c r="G1830" s="211">
        <v>0</v>
      </c>
      <c r="H1830" s="211">
        <v>0</v>
      </c>
      <c r="I1830" s="386">
        <f t="shared" si="65"/>
        <v>149463.22</v>
      </c>
      <c r="J1830" s="203" t="s">
        <v>1654</v>
      </c>
    </row>
    <row r="1831" spans="1:10" hidden="1" outlineLevel="1">
      <c r="A1831" s="425" t="s">
        <v>1655</v>
      </c>
      <c r="B1831" s="210">
        <v>294227.74</v>
      </c>
      <c r="C1831" s="211">
        <v>0</v>
      </c>
      <c r="D1831" s="211">
        <v>0</v>
      </c>
      <c r="E1831" s="211">
        <v>0</v>
      </c>
      <c r="F1831" s="211">
        <v>0</v>
      </c>
      <c r="G1831" s="211">
        <v>0</v>
      </c>
      <c r="H1831" s="211">
        <v>0</v>
      </c>
      <c r="I1831" s="386">
        <f t="shared" si="65"/>
        <v>294227.74</v>
      </c>
      <c r="J1831" s="203" t="s">
        <v>1656</v>
      </c>
    </row>
    <row r="1832" spans="1:10" hidden="1" outlineLevel="1">
      <c r="A1832" s="425" t="s">
        <v>1657</v>
      </c>
      <c r="B1832" s="210">
        <v>424265.94</v>
      </c>
      <c r="C1832" s="211">
        <v>0</v>
      </c>
      <c r="D1832" s="211">
        <v>0</v>
      </c>
      <c r="E1832" s="211">
        <v>0</v>
      </c>
      <c r="F1832" s="211">
        <v>0</v>
      </c>
      <c r="G1832" s="211">
        <v>0</v>
      </c>
      <c r="H1832" s="211">
        <v>0</v>
      </c>
      <c r="I1832" s="386">
        <f t="shared" si="65"/>
        <v>424265.94</v>
      </c>
      <c r="J1832" s="203" t="s">
        <v>1658</v>
      </c>
    </row>
    <row r="1833" spans="1:10" hidden="1" outlineLevel="1">
      <c r="A1833" s="425" t="s">
        <v>1659</v>
      </c>
      <c r="B1833" s="210">
        <v>254914.75</v>
      </c>
      <c r="C1833" s="211">
        <v>0</v>
      </c>
      <c r="D1833" s="211">
        <v>0</v>
      </c>
      <c r="E1833" s="211">
        <v>0</v>
      </c>
      <c r="F1833" s="211">
        <v>0</v>
      </c>
      <c r="G1833" s="211">
        <v>0</v>
      </c>
      <c r="H1833" s="211">
        <v>0</v>
      </c>
      <c r="I1833" s="386">
        <f t="shared" si="65"/>
        <v>254914.75</v>
      </c>
      <c r="J1833" s="203" t="s">
        <v>1660</v>
      </c>
    </row>
    <row r="1834" spans="1:10" hidden="1" outlineLevel="1">
      <c r="A1834" s="425" t="s">
        <v>1661</v>
      </c>
      <c r="B1834" s="210">
        <v>403607.48</v>
      </c>
      <c r="C1834" s="211">
        <v>0</v>
      </c>
      <c r="D1834" s="211">
        <v>0</v>
      </c>
      <c r="E1834" s="211">
        <v>0</v>
      </c>
      <c r="F1834" s="211">
        <v>0</v>
      </c>
      <c r="G1834" s="211">
        <v>0</v>
      </c>
      <c r="H1834" s="211">
        <v>0</v>
      </c>
      <c r="I1834" s="386">
        <f t="shared" si="65"/>
        <v>403607.48</v>
      </c>
      <c r="J1834" s="203" t="s">
        <v>1662</v>
      </c>
    </row>
    <row r="1835" spans="1:10" hidden="1" outlineLevel="1">
      <c r="A1835" s="425" t="s">
        <v>1663</v>
      </c>
      <c r="B1835" s="210">
        <v>846869.63</v>
      </c>
      <c r="C1835" s="211">
        <v>0</v>
      </c>
      <c r="D1835" s="211">
        <v>0</v>
      </c>
      <c r="E1835" s="211">
        <v>0</v>
      </c>
      <c r="F1835" s="211">
        <v>0</v>
      </c>
      <c r="G1835" s="211">
        <v>0</v>
      </c>
      <c r="H1835" s="211">
        <v>0</v>
      </c>
      <c r="I1835" s="386">
        <f t="shared" si="65"/>
        <v>846869.63</v>
      </c>
      <c r="J1835" s="203" t="s">
        <v>1664</v>
      </c>
    </row>
    <row r="1836" spans="1:10" hidden="1" outlineLevel="1">
      <c r="A1836" s="425" t="s">
        <v>789</v>
      </c>
      <c r="B1836" s="210">
        <v>669895.92000000004</v>
      </c>
      <c r="C1836" s="211">
        <v>0</v>
      </c>
      <c r="D1836" s="211">
        <v>0</v>
      </c>
      <c r="E1836" s="211">
        <v>0</v>
      </c>
      <c r="F1836" s="211">
        <v>0</v>
      </c>
      <c r="G1836" s="211">
        <v>0</v>
      </c>
      <c r="H1836" s="211">
        <v>0</v>
      </c>
      <c r="I1836" s="386">
        <f t="shared" si="65"/>
        <v>669895.92000000004</v>
      </c>
      <c r="J1836" s="203" t="s">
        <v>790</v>
      </c>
    </row>
    <row r="1837" spans="1:10" hidden="1" outlineLevel="1">
      <c r="A1837" s="425" t="s">
        <v>1665</v>
      </c>
      <c r="B1837" s="210">
        <v>199387.45</v>
      </c>
      <c r="C1837" s="211">
        <v>0</v>
      </c>
      <c r="D1837" s="211">
        <v>0</v>
      </c>
      <c r="E1837" s="211">
        <v>0</v>
      </c>
      <c r="F1837" s="211">
        <v>0</v>
      </c>
      <c r="G1837" s="211">
        <v>0</v>
      </c>
      <c r="H1837" s="211">
        <v>0</v>
      </c>
      <c r="I1837" s="386">
        <f t="shared" si="65"/>
        <v>199387.45</v>
      </c>
      <c r="J1837" s="203" t="s">
        <v>1666</v>
      </c>
    </row>
    <row r="1838" spans="1:10" hidden="1" outlineLevel="1">
      <c r="A1838" s="425" t="s">
        <v>1667</v>
      </c>
      <c r="B1838" s="210">
        <v>582251.51</v>
      </c>
      <c r="C1838" s="211">
        <v>0</v>
      </c>
      <c r="D1838" s="211">
        <v>0</v>
      </c>
      <c r="E1838" s="211">
        <v>0</v>
      </c>
      <c r="F1838" s="211">
        <v>0</v>
      </c>
      <c r="G1838" s="211">
        <v>0</v>
      </c>
      <c r="H1838" s="211">
        <v>0</v>
      </c>
      <c r="I1838" s="386">
        <f t="shared" si="65"/>
        <v>582251.51</v>
      </c>
      <c r="J1838" s="203" t="s">
        <v>1668</v>
      </c>
    </row>
    <row r="1839" spans="1:10" hidden="1" outlineLevel="1">
      <c r="A1839" s="425" t="s">
        <v>1669</v>
      </c>
      <c r="B1839" s="210">
        <v>178842.05</v>
      </c>
      <c r="C1839" s="211">
        <v>0</v>
      </c>
      <c r="D1839" s="211">
        <v>0</v>
      </c>
      <c r="E1839" s="211">
        <v>0</v>
      </c>
      <c r="F1839" s="211">
        <v>0</v>
      </c>
      <c r="G1839" s="211">
        <v>0</v>
      </c>
      <c r="H1839" s="211">
        <v>0</v>
      </c>
      <c r="I1839" s="386">
        <f t="shared" si="65"/>
        <v>178842.05</v>
      </c>
      <c r="J1839" s="203" t="s">
        <v>1670</v>
      </c>
    </row>
    <row r="1840" spans="1:10" hidden="1" outlineLevel="1">
      <c r="A1840" s="425" t="s">
        <v>1671</v>
      </c>
      <c r="B1840" s="210">
        <v>1193082.28</v>
      </c>
      <c r="C1840" s="211">
        <v>0</v>
      </c>
      <c r="D1840" s="211">
        <v>0</v>
      </c>
      <c r="E1840" s="211">
        <v>0</v>
      </c>
      <c r="F1840" s="211">
        <v>0</v>
      </c>
      <c r="G1840" s="211">
        <v>0</v>
      </c>
      <c r="H1840" s="211">
        <v>0</v>
      </c>
      <c r="I1840" s="386">
        <f t="shared" si="65"/>
        <v>1193082.28</v>
      </c>
      <c r="J1840" s="203" t="s">
        <v>1672</v>
      </c>
    </row>
    <row r="1841" spans="1:10" hidden="1" outlineLevel="1">
      <c r="A1841" s="425" t="s">
        <v>1673</v>
      </c>
      <c r="B1841" s="210">
        <v>578261.13</v>
      </c>
      <c r="C1841" s="211">
        <v>0</v>
      </c>
      <c r="D1841" s="211">
        <v>0</v>
      </c>
      <c r="E1841" s="211">
        <v>0</v>
      </c>
      <c r="F1841" s="211">
        <v>0</v>
      </c>
      <c r="G1841" s="211">
        <v>0</v>
      </c>
      <c r="H1841" s="211">
        <v>0</v>
      </c>
      <c r="I1841" s="386">
        <f t="shared" si="65"/>
        <v>578261.13</v>
      </c>
      <c r="J1841" s="203" t="s">
        <v>1674</v>
      </c>
    </row>
    <row r="1842" spans="1:10" hidden="1" outlineLevel="1">
      <c r="A1842" s="425" t="s">
        <v>543</v>
      </c>
      <c r="B1842" s="210">
        <v>2290280.7200000002</v>
      </c>
      <c r="C1842" s="211">
        <v>0</v>
      </c>
      <c r="D1842" s="211">
        <v>0</v>
      </c>
      <c r="E1842" s="211">
        <v>0</v>
      </c>
      <c r="F1842" s="211">
        <v>1251.8900000000001</v>
      </c>
      <c r="G1842" s="211">
        <v>0</v>
      </c>
      <c r="H1842" s="211">
        <v>0</v>
      </c>
      <c r="I1842" s="386">
        <f t="shared" si="65"/>
        <v>2291532.6100000003</v>
      </c>
      <c r="J1842" s="203" t="s">
        <v>544</v>
      </c>
    </row>
    <row r="1843" spans="1:10" hidden="1" outlineLevel="1">
      <c r="A1843" s="425" t="s">
        <v>1675</v>
      </c>
      <c r="B1843" s="210">
        <v>262999.59000000003</v>
      </c>
      <c r="C1843" s="211">
        <v>0</v>
      </c>
      <c r="D1843" s="211">
        <v>0</v>
      </c>
      <c r="E1843" s="211">
        <v>0</v>
      </c>
      <c r="F1843" s="211">
        <v>0</v>
      </c>
      <c r="G1843" s="211">
        <v>0</v>
      </c>
      <c r="H1843" s="211">
        <v>0</v>
      </c>
      <c r="I1843" s="386">
        <f t="shared" si="65"/>
        <v>262999.59000000003</v>
      </c>
      <c r="J1843" s="203" t="s">
        <v>1676</v>
      </c>
    </row>
    <row r="1844" spans="1:10" hidden="1" outlineLevel="1">
      <c r="A1844" s="425" t="s">
        <v>1677</v>
      </c>
      <c r="B1844" s="210">
        <v>990856.37</v>
      </c>
      <c r="C1844" s="211">
        <v>0</v>
      </c>
      <c r="D1844" s="211">
        <v>0</v>
      </c>
      <c r="E1844" s="211">
        <v>0</v>
      </c>
      <c r="F1844" s="211">
        <v>0</v>
      </c>
      <c r="G1844" s="211">
        <v>0</v>
      </c>
      <c r="H1844" s="211">
        <v>0</v>
      </c>
      <c r="I1844" s="386">
        <f t="shared" si="65"/>
        <v>990856.37</v>
      </c>
      <c r="J1844" s="203" t="s">
        <v>1678</v>
      </c>
    </row>
    <row r="1845" spans="1:10" hidden="1" outlineLevel="1">
      <c r="A1845" s="425" t="s">
        <v>1679</v>
      </c>
      <c r="B1845" s="210">
        <v>236182.83</v>
      </c>
      <c r="C1845" s="211">
        <v>0</v>
      </c>
      <c r="D1845" s="211">
        <v>0</v>
      </c>
      <c r="E1845" s="211">
        <v>0</v>
      </c>
      <c r="F1845" s="211">
        <v>0</v>
      </c>
      <c r="G1845" s="211">
        <v>0</v>
      </c>
      <c r="H1845" s="211">
        <v>0</v>
      </c>
      <c r="I1845" s="386">
        <f t="shared" si="65"/>
        <v>236182.83</v>
      </c>
      <c r="J1845" s="203" t="s">
        <v>1680</v>
      </c>
    </row>
    <row r="1846" spans="1:10" hidden="1" outlineLevel="1">
      <c r="A1846" s="425" t="s">
        <v>1681</v>
      </c>
      <c r="B1846" s="210">
        <v>232082.85</v>
      </c>
      <c r="C1846" s="211">
        <v>0</v>
      </c>
      <c r="D1846" s="211">
        <v>0</v>
      </c>
      <c r="E1846" s="211">
        <v>0</v>
      </c>
      <c r="F1846" s="211">
        <v>0</v>
      </c>
      <c r="G1846" s="211">
        <v>0</v>
      </c>
      <c r="H1846" s="211">
        <v>0</v>
      </c>
      <c r="I1846" s="386">
        <f t="shared" si="65"/>
        <v>232082.85</v>
      </c>
      <c r="J1846" s="203" t="s">
        <v>1682</v>
      </c>
    </row>
    <row r="1847" spans="1:10" hidden="1" outlineLevel="1">
      <c r="A1847" s="425" t="s">
        <v>1683</v>
      </c>
      <c r="B1847" s="210">
        <v>163297.44</v>
      </c>
      <c r="C1847" s="211">
        <v>0</v>
      </c>
      <c r="D1847" s="211">
        <v>0</v>
      </c>
      <c r="E1847" s="211">
        <v>0</v>
      </c>
      <c r="F1847" s="211">
        <v>0</v>
      </c>
      <c r="G1847" s="211">
        <v>0</v>
      </c>
      <c r="H1847" s="211">
        <v>0</v>
      </c>
      <c r="I1847" s="386">
        <f t="shared" si="65"/>
        <v>163297.44</v>
      </c>
      <c r="J1847" s="203" t="s">
        <v>1684</v>
      </c>
    </row>
    <row r="1848" spans="1:10" hidden="1" outlineLevel="1">
      <c r="A1848" s="425" t="s">
        <v>1685</v>
      </c>
      <c r="B1848" s="210">
        <v>159785.07</v>
      </c>
      <c r="C1848" s="211">
        <v>0</v>
      </c>
      <c r="D1848" s="211">
        <v>0</v>
      </c>
      <c r="E1848" s="211">
        <v>0</v>
      </c>
      <c r="F1848" s="211">
        <v>0</v>
      </c>
      <c r="G1848" s="211">
        <v>0</v>
      </c>
      <c r="H1848" s="211">
        <v>0</v>
      </c>
      <c r="I1848" s="386">
        <f t="shared" si="65"/>
        <v>159785.07</v>
      </c>
      <c r="J1848" s="203" t="s">
        <v>1686</v>
      </c>
    </row>
    <row r="1849" spans="1:10" hidden="1" outlineLevel="1">
      <c r="A1849" s="425" t="s">
        <v>1687</v>
      </c>
      <c r="B1849" s="210">
        <v>497233.72</v>
      </c>
      <c r="C1849" s="211">
        <v>0</v>
      </c>
      <c r="D1849" s="211">
        <v>0</v>
      </c>
      <c r="E1849" s="211">
        <v>0</v>
      </c>
      <c r="F1849" s="211">
        <v>0</v>
      </c>
      <c r="G1849" s="211">
        <v>0</v>
      </c>
      <c r="H1849" s="211">
        <v>0</v>
      </c>
      <c r="I1849" s="386">
        <f t="shared" si="65"/>
        <v>497233.72</v>
      </c>
      <c r="J1849" s="203" t="s">
        <v>1688</v>
      </c>
    </row>
    <row r="1850" spans="1:10" hidden="1" outlineLevel="1">
      <c r="A1850" s="425" t="s">
        <v>1132</v>
      </c>
      <c r="B1850" s="210">
        <v>372727.18</v>
      </c>
      <c r="C1850" s="211">
        <v>0</v>
      </c>
      <c r="D1850" s="211">
        <v>0</v>
      </c>
      <c r="E1850" s="211">
        <v>0</v>
      </c>
      <c r="F1850" s="211">
        <v>0</v>
      </c>
      <c r="G1850" s="211">
        <v>0</v>
      </c>
      <c r="H1850" s="211">
        <v>0</v>
      </c>
      <c r="I1850" s="386">
        <f t="shared" si="65"/>
        <v>372727.18</v>
      </c>
      <c r="J1850" s="203" t="s">
        <v>1133</v>
      </c>
    </row>
    <row r="1851" spans="1:10" hidden="1" outlineLevel="1">
      <c r="A1851" s="425" t="s">
        <v>1689</v>
      </c>
      <c r="B1851" s="210">
        <v>263899.95</v>
      </c>
      <c r="C1851" s="211">
        <v>0</v>
      </c>
      <c r="D1851" s="211">
        <v>0</v>
      </c>
      <c r="E1851" s="211">
        <v>0</v>
      </c>
      <c r="F1851" s="211">
        <v>0</v>
      </c>
      <c r="G1851" s="211">
        <v>0</v>
      </c>
      <c r="H1851" s="211">
        <v>0</v>
      </c>
      <c r="I1851" s="386">
        <f t="shared" si="65"/>
        <v>263899.95</v>
      </c>
      <c r="J1851" s="203" t="s">
        <v>1690</v>
      </c>
    </row>
    <row r="1852" spans="1:10" hidden="1" outlineLevel="1">
      <c r="A1852" s="425" t="s">
        <v>1691</v>
      </c>
      <c r="B1852" s="210">
        <v>275927.32</v>
      </c>
      <c r="C1852" s="211">
        <v>0</v>
      </c>
      <c r="D1852" s="211">
        <v>0</v>
      </c>
      <c r="E1852" s="211">
        <v>0</v>
      </c>
      <c r="F1852" s="211">
        <v>0</v>
      </c>
      <c r="G1852" s="211">
        <v>0</v>
      </c>
      <c r="H1852" s="211">
        <v>0</v>
      </c>
      <c r="I1852" s="386">
        <f t="shared" si="65"/>
        <v>275927.32</v>
      </c>
      <c r="J1852" s="203" t="s">
        <v>1692</v>
      </c>
    </row>
    <row r="1853" spans="1:10" hidden="1" outlineLevel="1">
      <c r="A1853" s="425" t="s">
        <v>1693</v>
      </c>
      <c r="B1853" s="210">
        <v>100684.47</v>
      </c>
      <c r="C1853" s="211">
        <v>0</v>
      </c>
      <c r="D1853" s="211">
        <v>0</v>
      </c>
      <c r="E1853" s="211">
        <v>0</v>
      </c>
      <c r="F1853" s="211">
        <v>0</v>
      </c>
      <c r="G1853" s="211">
        <v>0</v>
      </c>
      <c r="H1853" s="211">
        <v>0</v>
      </c>
      <c r="I1853" s="386">
        <f t="shared" si="65"/>
        <v>100684.47</v>
      </c>
      <c r="J1853" s="203" t="s">
        <v>1694</v>
      </c>
    </row>
    <row r="1854" spans="1:10" hidden="1" outlineLevel="1">
      <c r="A1854" s="425" t="s">
        <v>1695</v>
      </c>
      <c r="B1854" s="210">
        <v>7742674.5599999996</v>
      </c>
      <c r="C1854" s="211">
        <v>0</v>
      </c>
      <c r="D1854" s="211">
        <v>0</v>
      </c>
      <c r="E1854" s="211">
        <v>0</v>
      </c>
      <c r="F1854" s="211">
        <v>24535.78</v>
      </c>
      <c r="G1854" s="211">
        <v>0</v>
      </c>
      <c r="H1854" s="211">
        <v>0</v>
      </c>
      <c r="I1854" s="386">
        <f t="shared" si="65"/>
        <v>7767210.3399999999</v>
      </c>
      <c r="J1854" s="203" t="s">
        <v>1696</v>
      </c>
    </row>
    <row r="1855" spans="1:10" hidden="1" outlineLevel="1">
      <c r="A1855" s="425" t="s">
        <v>1697</v>
      </c>
      <c r="B1855" s="210">
        <v>392574.18</v>
      </c>
      <c r="C1855" s="211">
        <v>0</v>
      </c>
      <c r="D1855" s="211">
        <v>0</v>
      </c>
      <c r="E1855" s="211">
        <v>0</v>
      </c>
      <c r="F1855" s="211">
        <v>258.25</v>
      </c>
      <c r="G1855" s="211">
        <v>0</v>
      </c>
      <c r="H1855" s="211">
        <v>0</v>
      </c>
      <c r="I1855" s="386">
        <f t="shared" si="65"/>
        <v>392832.43</v>
      </c>
      <c r="J1855" s="203" t="s">
        <v>1698</v>
      </c>
    </row>
    <row r="1856" spans="1:10" hidden="1" outlineLevel="1">
      <c r="A1856" s="425" t="s">
        <v>1699</v>
      </c>
      <c r="B1856" s="210">
        <v>1576501.61</v>
      </c>
      <c r="C1856" s="211">
        <v>0</v>
      </c>
      <c r="D1856" s="211">
        <v>0</v>
      </c>
      <c r="E1856" s="211">
        <v>0</v>
      </c>
      <c r="F1856" s="211">
        <v>0</v>
      </c>
      <c r="G1856" s="211">
        <v>0</v>
      </c>
      <c r="H1856" s="211">
        <v>0</v>
      </c>
      <c r="I1856" s="386">
        <f t="shared" si="65"/>
        <v>1576501.61</v>
      </c>
      <c r="J1856" s="203" t="s">
        <v>1700</v>
      </c>
    </row>
    <row r="1857" spans="1:10" hidden="1" outlineLevel="1">
      <c r="A1857" s="425" t="s">
        <v>449</v>
      </c>
      <c r="B1857" s="210">
        <v>777942.02</v>
      </c>
      <c r="C1857" s="211">
        <v>0</v>
      </c>
      <c r="D1857" s="211">
        <v>0</v>
      </c>
      <c r="E1857" s="211">
        <v>0</v>
      </c>
      <c r="F1857" s="211">
        <v>0</v>
      </c>
      <c r="G1857" s="211">
        <v>0</v>
      </c>
      <c r="H1857" s="211">
        <v>0</v>
      </c>
      <c r="I1857" s="386">
        <f t="shared" si="65"/>
        <v>777942.02</v>
      </c>
      <c r="J1857" s="203" t="s">
        <v>450</v>
      </c>
    </row>
    <row r="1858" spans="1:10" hidden="1" outlineLevel="1">
      <c r="A1858" s="425" t="s">
        <v>1701</v>
      </c>
      <c r="B1858" s="210">
        <v>11807.22</v>
      </c>
      <c r="C1858" s="211">
        <v>0</v>
      </c>
      <c r="D1858" s="211">
        <v>0</v>
      </c>
      <c r="E1858" s="211">
        <v>0</v>
      </c>
      <c r="F1858" s="211">
        <v>0</v>
      </c>
      <c r="G1858" s="211">
        <v>0</v>
      </c>
      <c r="H1858" s="211">
        <v>0</v>
      </c>
      <c r="I1858" s="386">
        <f t="shared" si="65"/>
        <v>11807.22</v>
      </c>
      <c r="J1858" s="203" t="s">
        <v>1702</v>
      </c>
    </row>
    <row r="1859" spans="1:10" hidden="1" outlineLevel="1">
      <c r="A1859" s="425" t="s">
        <v>837</v>
      </c>
      <c r="B1859" s="210">
        <v>663075.80000000005</v>
      </c>
      <c r="C1859" s="211">
        <v>0</v>
      </c>
      <c r="D1859" s="211">
        <v>0</v>
      </c>
      <c r="E1859" s="211">
        <v>0</v>
      </c>
      <c r="F1859" s="211">
        <v>0</v>
      </c>
      <c r="G1859" s="211">
        <v>0</v>
      </c>
      <c r="H1859" s="211">
        <v>0</v>
      </c>
      <c r="I1859" s="386">
        <f t="shared" ref="I1859:I1866" si="66">SUM(B1859:H1859)</f>
        <v>663075.80000000005</v>
      </c>
      <c r="J1859" s="203" t="s">
        <v>838</v>
      </c>
    </row>
    <row r="1860" spans="1:10" hidden="1" outlineLevel="1">
      <c r="A1860" s="425" t="s">
        <v>1703</v>
      </c>
      <c r="B1860" s="210">
        <v>2456620.17</v>
      </c>
      <c r="C1860" s="211">
        <v>0</v>
      </c>
      <c r="D1860" s="211">
        <v>0</v>
      </c>
      <c r="E1860" s="211">
        <v>0</v>
      </c>
      <c r="F1860" s="211">
        <v>0</v>
      </c>
      <c r="G1860" s="211">
        <v>0</v>
      </c>
      <c r="H1860" s="211">
        <v>0</v>
      </c>
      <c r="I1860" s="386">
        <f t="shared" si="66"/>
        <v>2456620.17</v>
      </c>
      <c r="J1860" s="203" t="s">
        <v>1704</v>
      </c>
    </row>
    <row r="1861" spans="1:10" hidden="1" outlineLevel="1">
      <c r="A1861" s="425" t="s">
        <v>1705</v>
      </c>
      <c r="B1861" s="210">
        <v>881912.69</v>
      </c>
      <c r="C1861" s="211">
        <v>0</v>
      </c>
      <c r="D1861" s="211">
        <v>0</v>
      </c>
      <c r="E1861" s="211">
        <v>0</v>
      </c>
      <c r="F1861" s="211">
        <v>0</v>
      </c>
      <c r="G1861" s="211">
        <v>0</v>
      </c>
      <c r="H1861" s="211">
        <v>0</v>
      </c>
      <c r="I1861" s="386">
        <f t="shared" si="66"/>
        <v>881912.69</v>
      </c>
      <c r="J1861" s="203" t="s">
        <v>1706</v>
      </c>
    </row>
    <row r="1862" spans="1:10" hidden="1" outlineLevel="1">
      <c r="A1862" s="425" t="s">
        <v>1707</v>
      </c>
      <c r="B1862" s="210">
        <v>105140.55</v>
      </c>
      <c r="C1862" s="211">
        <v>0</v>
      </c>
      <c r="D1862" s="211">
        <v>0</v>
      </c>
      <c r="E1862" s="211">
        <v>0</v>
      </c>
      <c r="F1862" s="211">
        <v>0</v>
      </c>
      <c r="G1862" s="211">
        <v>0</v>
      </c>
      <c r="H1862" s="211">
        <v>0</v>
      </c>
      <c r="I1862" s="386">
        <f t="shared" si="66"/>
        <v>105140.55</v>
      </c>
      <c r="J1862" s="203" t="s">
        <v>1708</v>
      </c>
    </row>
    <row r="1863" spans="1:10" hidden="1" outlineLevel="1">
      <c r="A1863" s="425" t="s">
        <v>1709</v>
      </c>
      <c r="B1863" s="210">
        <v>4550280.49</v>
      </c>
      <c r="C1863" s="211">
        <v>0</v>
      </c>
      <c r="D1863" s="211">
        <v>0</v>
      </c>
      <c r="E1863" s="211">
        <v>0</v>
      </c>
      <c r="F1863" s="211">
        <v>0</v>
      </c>
      <c r="G1863" s="211">
        <v>0</v>
      </c>
      <c r="H1863" s="211">
        <v>0</v>
      </c>
      <c r="I1863" s="386">
        <f t="shared" si="66"/>
        <v>4550280.49</v>
      </c>
      <c r="J1863" s="203" t="s">
        <v>1710</v>
      </c>
    </row>
    <row r="1864" spans="1:10" hidden="1" outlineLevel="1">
      <c r="A1864" s="425" t="s">
        <v>1972</v>
      </c>
      <c r="B1864" s="210">
        <v>12100.76</v>
      </c>
      <c r="C1864" s="211">
        <v>0</v>
      </c>
      <c r="D1864" s="211">
        <v>0</v>
      </c>
      <c r="E1864" s="211">
        <v>0</v>
      </c>
      <c r="F1864" s="211">
        <v>0</v>
      </c>
      <c r="G1864" s="211">
        <v>0</v>
      </c>
      <c r="H1864" s="211">
        <v>0</v>
      </c>
      <c r="I1864" s="386">
        <f t="shared" si="66"/>
        <v>12100.76</v>
      </c>
      <c r="J1864" s="203" t="s">
        <v>1973</v>
      </c>
    </row>
    <row r="1865" spans="1:10" hidden="1" outlineLevel="1">
      <c r="A1865" s="425" t="s">
        <v>1711</v>
      </c>
      <c r="B1865" s="210">
        <v>117515.28</v>
      </c>
      <c r="C1865" s="211">
        <v>0</v>
      </c>
      <c r="D1865" s="211">
        <v>0</v>
      </c>
      <c r="E1865" s="211">
        <v>0</v>
      </c>
      <c r="F1865" s="211">
        <v>0</v>
      </c>
      <c r="G1865" s="211">
        <v>0</v>
      </c>
      <c r="H1865" s="211">
        <v>0</v>
      </c>
      <c r="I1865" s="386">
        <f t="shared" si="66"/>
        <v>117515.28</v>
      </c>
      <c r="J1865" s="203" t="s">
        <v>1712</v>
      </c>
    </row>
    <row r="1866" spans="1:10" hidden="1" outlineLevel="1">
      <c r="A1866" s="425" t="s">
        <v>1713</v>
      </c>
      <c r="B1866" s="220">
        <v>11688.22</v>
      </c>
      <c r="C1866" s="135">
        <v>0</v>
      </c>
      <c r="D1866" s="135">
        <v>0</v>
      </c>
      <c r="E1866" s="135">
        <v>0</v>
      </c>
      <c r="F1866" s="211">
        <v>0</v>
      </c>
      <c r="G1866" s="211">
        <v>0</v>
      </c>
      <c r="H1866" s="211">
        <v>0</v>
      </c>
      <c r="I1866" s="386">
        <f t="shared" si="66"/>
        <v>11688.22</v>
      </c>
      <c r="J1866" s="203" t="s">
        <v>1714</v>
      </c>
    </row>
    <row r="1867" spans="1:10" ht="13.5" collapsed="1" thickBot="1">
      <c r="A1867" s="427" t="s">
        <v>1715</v>
      </c>
      <c r="B1867" s="214">
        <f t="shared" ref="B1867:I1867" si="67">B941+B1111+B1346+B1728</f>
        <v>874284830.91012466</v>
      </c>
      <c r="C1867" s="215">
        <f t="shared" si="67"/>
        <v>0</v>
      </c>
      <c r="D1867" s="215">
        <f t="shared" si="67"/>
        <v>345912.66435000004</v>
      </c>
      <c r="E1867" s="232">
        <f t="shared" si="67"/>
        <v>0</v>
      </c>
      <c r="F1867" s="232">
        <f t="shared" si="67"/>
        <v>3942294.8042000001</v>
      </c>
      <c r="G1867" s="232">
        <f t="shared" si="67"/>
        <v>21182.965199999999</v>
      </c>
      <c r="H1867" s="232">
        <f t="shared" si="67"/>
        <v>3858.11</v>
      </c>
      <c r="I1867" s="216">
        <f t="shared" si="67"/>
        <v>878598079.45387471</v>
      </c>
    </row>
    <row r="1868" spans="1:10" ht="12" customHeight="1">
      <c r="A1868" s="6"/>
      <c r="B1868" s="187"/>
      <c r="C1868" s="187"/>
      <c r="D1868" s="187"/>
      <c r="E1868" s="187"/>
      <c r="F1868" s="187"/>
    </row>
    <row r="1869" spans="1:10" ht="12" hidden="1" customHeight="1">
      <c r="D1869" s="25"/>
    </row>
    <row r="1870" spans="1:10">
      <c r="D1870" s="25"/>
    </row>
    <row r="1871" spans="1:10">
      <c r="A1871" s="35" t="s">
        <v>1983</v>
      </c>
      <c r="D1871" s="25"/>
    </row>
    <row r="1872" spans="1:10" ht="13.5" thickBot="1">
      <c r="D1872" s="25"/>
    </row>
    <row r="1873" spans="1:10" ht="63.75">
      <c r="A1873" s="542"/>
      <c r="B1873" s="887" t="s">
        <v>1975</v>
      </c>
      <c r="C1873" s="888" t="s">
        <v>1976</v>
      </c>
      <c r="D1873" s="888" t="s">
        <v>1977</v>
      </c>
      <c r="E1873" s="888" t="s">
        <v>1978</v>
      </c>
      <c r="F1873" s="888" t="s">
        <v>1979</v>
      </c>
      <c r="G1873" s="888" t="s">
        <v>1980</v>
      </c>
      <c r="H1873" s="888" t="s">
        <v>1981</v>
      </c>
      <c r="I1873" s="889" t="s">
        <v>1982</v>
      </c>
    </row>
    <row r="1874" spans="1:10" s="597" customFormat="1" ht="20.25" customHeight="1" thickBot="1">
      <c r="A1874" s="606"/>
      <c r="B1874" s="890" t="s">
        <v>1722</v>
      </c>
      <c r="C1874" s="592" t="s">
        <v>1722</v>
      </c>
      <c r="D1874" s="592" t="s">
        <v>1722</v>
      </c>
      <c r="E1874" s="592" t="s">
        <v>1722</v>
      </c>
      <c r="F1874" s="592" t="s">
        <v>1722</v>
      </c>
      <c r="G1874" s="607" t="s">
        <v>1722</v>
      </c>
      <c r="H1874" s="607" t="s">
        <v>1722</v>
      </c>
      <c r="I1874" s="891" t="s">
        <v>1722</v>
      </c>
      <c r="J1874" s="596"/>
    </row>
    <row r="1875" spans="1:10">
      <c r="A1875" s="872" t="str">
        <f>A7</f>
        <v>Regelzone 50Hertz (gesamt)</v>
      </c>
      <c r="B1875" s="892">
        <f>+SUM(B1876:B2044)</f>
        <v>422678297.00999981</v>
      </c>
      <c r="C1875" s="884">
        <f t="shared" ref="C1875:I1875" si="68">+SUM(C1876:C2044)</f>
        <v>0</v>
      </c>
      <c r="D1875" s="884">
        <f t="shared" si="68"/>
        <v>0</v>
      </c>
      <c r="E1875" s="884">
        <f t="shared" si="68"/>
        <v>0</v>
      </c>
      <c r="F1875" s="884">
        <f t="shared" si="68"/>
        <v>2345778.2400000002</v>
      </c>
      <c r="G1875" s="884">
        <f t="shared" si="68"/>
        <v>10764.92</v>
      </c>
      <c r="H1875" s="884">
        <f t="shared" si="68"/>
        <v>8876.5499999999993</v>
      </c>
      <c r="I1875" s="893">
        <f t="shared" si="68"/>
        <v>425043716.71999991</v>
      </c>
    </row>
    <row r="1876" spans="1:10" hidden="1" outlineLevel="1">
      <c r="A1876" s="873" t="s">
        <v>86</v>
      </c>
      <c r="B1876" s="894">
        <f t="shared" ref="B1876:B1907" si="69">+IF(B942=0,0,ROUND(B8*0.656/100,2))</f>
        <v>479802.53</v>
      </c>
      <c r="C1876" s="877">
        <v>0</v>
      </c>
      <c r="D1876" s="877">
        <v>0</v>
      </c>
      <c r="E1876" s="877">
        <v>0</v>
      </c>
      <c r="F1876" s="878">
        <f t="shared" ref="F1876:F1907" si="70">+IF(F942=0,0,ROUND(F8*0.0656/100,2))</f>
        <v>0</v>
      </c>
      <c r="G1876" s="811">
        <f t="shared" ref="G1876:H1895" si="71">+IF(G942=0,0,ROUND(G8*0.1312/100,2))</f>
        <v>0</v>
      </c>
      <c r="H1876" s="811">
        <f t="shared" si="71"/>
        <v>0</v>
      </c>
      <c r="I1876" s="895">
        <f t="shared" ref="I1876:I1907" si="72">+SUM(B1876:H1876)</f>
        <v>479802.53</v>
      </c>
    </row>
    <row r="1877" spans="1:10" hidden="1" outlineLevel="1">
      <c r="A1877" s="874" t="s">
        <v>88</v>
      </c>
      <c r="B1877" s="896">
        <f t="shared" si="69"/>
        <v>506315.19</v>
      </c>
      <c r="C1877" s="877">
        <v>0</v>
      </c>
      <c r="D1877" s="877">
        <v>0</v>
      </c>
      <c r="E1877" s="877">
        <v>0</v>
      </c>
      <c r="F1877" s="878">
        <f t="shared" si="70"/>
        <v>0</v>
      </c>
      <c r="G1877" s="811">
        <f t="shared" si="71"/>
        <v>0</v>
      </c>
      <c r="H1877" s="811">
        <f t="shared" si="71"/>
        <v>0</v>
      </c>
      <c r="I1877" s="895">
        <f t="shared" si="72"/>
        <v>506315.19</v>
      </c>
    </row>
    <row r="1878" spans="1:10" hidden="1" outlineLevel="1">
      <c r="A1878" s="874" t="s">
        <v>90</v>
      </c>
      <c r="B1878" s="896">
        <f t="shared" si="69"/>
        <v>1303588.44</v>
      </c>
      <c r="C1878" s="877">
        <v>0</v>
      </c>
      <c r="D1878" s="877">
        <v>0</v>
      </c>
      <c r="E1878" s="877">
        <v>0</v>
      </c>
      <c r="F1878" s="878">
        <f t="shared" si="70"/>
        <v>0</v>
      </c>
      <c r="G1878" s="811">
        <f t="shared" si="71"/>
        <v>0</v>
      </c>
      <c r="H1878" s="811">
        <f t="shared" si="71"/>
        <v>0</v>
      </c>
      <c r="I1878" s="895">
        <f t="shared" si="72"/>
        <v>1303588.44</v>
      </c>
    </row>
    <row r="1879" spans="1:10" hidden="1" outlineLevel="1">
      <c r="A1879" s="873" t="s">
        <v>92</v>
      </c>
      <c r="B1879" s="896">
        <f t="shared" si="69"/>
        <v>378730.42</v>
      </c>
      <c r="C1879" s="877">
        <v>0</v>
      </c>
      <c r="D1879" s="877">
        <v>0</v>
      </c>
      <c r="E1879" s="877">
        <v>0</v>
      </c>
      <c r="F1879" s="878">
        <f t="shared" si="70"/>
        <v>0</v>
      </c>
      <c r="G1879" s="811">
        <f t="shared" si="71"/>
        <v>0</v>
      </c>
      <c r="H1879" s="811">
        <f t="shared" si="71"/>
        <v>0</v>
      </c>
      <c r="I1879" s="895">
        <f t="shared" si="72"/>
        <v>378730.42</v>
      </c>
    </row>
    <row r="1880" spans="1:10" hidden="1" outlineLevel="1">
      <c r="A1880" s="874" t="s">
        <v>94</v>
      </c>
      <c r="B1880" s="896">
        <f t="shared" si="69"/>
        <v>529221.89</v>
      </c>
      <c r="C1880" s="877">
        <v>0</v>
      </c>
      <c r="D1880" s="877">
        <v>0</v>
      </c>
      <c r="E1880" s="877">
        <v>0</v>
      </c>
      <c r="F1880" s="878">
        <f t="shared" si="70"/>
        <v>0</v>
      </c>
      <c r="G1880" s="811">
        <f t="shared" si="71"/>
        <v>0</v>
      </c>
      <c r="H1880" s="811">
        <f t="shared" si="71"/>
        <v>0</v>
      </c>
      <c r="I1880" s="895">
        <f t="shared" si="72"/>
        <v>529221.89</v>
      </c>
    </row>
    <row r="1881" spans="1:10" hidden="1" outlineLevel="1">
      <c r="A1881" s="874" t="s">
        <v>96</v>
      </c>
      <c r="B1881" s="896">
        <f t="shared" si="69"/>
        <v>1966857.44</v>
      </c>
      <c r="C1881" s="877">
        <v>0</v>
      </c>
      <c r="D1881" s="877">
        <v>0</v>
      </c>
      <c r="E1881" s="877">
        <v>0</v>
      </c>
      <c r="F1881" s="878">
        <f t="shared" si="70"/>
        <v>0</v>
      </c>
      <c r="G1881" s="811">
        <f t="shared" si="71"/>
        <v>0</v>
      </c>
      <c r="H1881" s="811">
        <f t="shared" si="71"/>
        <v>0</v>
      </c>
      <c r="I1881" s="895">
        <f t="shared" si="72"/>
        <v>1966857.44</v>
      </c>
    </row>
    <row r="1882" spans="1:10" hidden="1" outlineLevel="1">
      <c r="A1882" s="873" t="s">
        <v>98</v>
      </c>
      <c r="B1882" s="896">
        <f t="shared" si="69"/>
        <v>529103.31000000006</v>
      </c>
      <c r="C1882" s="877">
        <v>0</v>
      </c>
      <c r="D1882" s="877">
        <v>0</v>
      </c>
      <c r="E1882" s="877">
        <v>0</v>
      </c>
      <c r="F1882" s="878">
        <f t="shared" si="70"/>
        <v>0</v>
      </c>
      <c r="G1882" s="811">
        <f t="shared" si="71"/>
        <v>0</v>
      </c>
      <c r="H1882" s="811">
        <f t="shared" si="71"/>
        <v>0</v>
      </c>
      <c r="I1882" s="895">
        <f t="shared" si="72"/>
        <v>529103.31000000006</v>
      </c>
    </row>
    <row r="1883" spans="1:10" hidden="1" outlineLevel="1">
      <c r="A1883" s="874" t="s">
        <v>100</v>
      </c>
      <c r="B1883" s="896">
        <f t="shared" si="69"/>
        <v>617055.48</v>
      </c>
      <c r="C1883" s="877">
        <v>0</v>
      </c>
      <c r="D1883" s="877">
        <v>0</v>
      </c>
      <c r="E1883" s="877">
        <v>0</v>
      </c>
      <c r="F1883" s="878">
        <f t="shared" si="70"/>
        <v>0</v>
      </c>
      <c r="G1883" s="811">
        <f t="shared" si="71"/>
        <v>0</v>
      </c>
      <c r="H1883" s="811">
        <f t="shared" si="71"/>
        <v>0</v>
      </c>
      <c r="I1883" s="895">
        <f t="shared" si="72"/>
        <v>617055.48</v>
      </c>
    </row>
    <row r="1884" spans="1:10" hidden="1" outlineLevel="1">
      <c r="A1884" s="874" t="s">
        <v>429</v>
      </c>
      <c r="B1884" s="896">
        <f t="shared" si="69"/>
        <v>44520.57</v>
      </c>
      <c r="C1884" s="877">
        <v>0</v>
      </c>
      <c r="D1884" s="877">
        <v>0</v>
      </c>
      <c r="E1884" s="877">
        <v>0</v>
      </c>
      <c r="F1884" s="878">
        <f t="shared" si="70"/>
        <v>0</v>
      </c>
      <c r="G1884" s="811">
        <f t="shared" si="71"/>
        <v>0</v>
      </c>
      <c r="H1884" s="811">
        <f t="shared" si="71"/>
        <v>0</v>
      </c>
      <c r="I1884" s="895">
        <f t="shared" si="72"/>
        <v>44520.57</v>
      </c>
    </row>
    <row r="1885" spans="1:10" hidden="1" outlineLevel="1">
      <c r="A1885" s="873" t="s">
        <v>102</v>
      </c>
      <c r="B1885" s="896">
        <f t="shared" si="69"/>
        <v>540868.81000000006</v>
      </c>
      <c r="C1885" s="877">
        <v>0</v>
      </c>
      <c r="D1885" s="877">
        <v>0</v>
      </c>
      <c r="E1885" s="877">
        <v>0</v>
      </c>
      <c r="F1885" s="878">
        <f t="shared" si="70"/>
        <v>0</v>
      </c>
      <c r="G1885" s="811">
        <f t="shared" si="71"/>
        <v>0</v>
      </c>
      <c r="H1885" s="811">
        <f t="shared" si="71"/>
        <v>0</v>
      </c>
      <c r="I1885" s="895">
        <f t="shared" si="72"/>
        <v>540868.81000000006</v>
      </c>
    </row>
    <row r="1886" spans="1:10" hidden="1" outlineLevel="1">
      <c r="A1886" s="874" t="s">
        <v>104</v>
      </c>
      <c r="B1886" s="896">
        <f t="shared" si="69"/>
        <v>354519.74</v>
      </c>
      <c r="C1886" s="877">
        <v>0</v>
      </c>
      <c r="D1886" s="877">
        <v>0</v>
      </c>
      <c r="E1886" s="877">
        <v>0</v>
      </c>
      <c r="F1886" s="878">
        <f t="shared" si="70"/>
        <v>0</v>
      </c>
      <c r="G1886" s="811">
        <f t="shared" si="71"/>
        <v>0</v>
      </c>
      <c r="H1886" s="811">
        <f t="shared" si="71"/>
        <v>0</v>
      </c>
      <c r="I1886" s="895">
        <f t="shared" si="72"/>
        <v>354519.74</v>
      </c>
    </row>
    <row r="1887" spans="1:10" hidden="1" outlineLevel="1">
      <c r="A1887" s="874" t="s">
        <v>106</v>
      </c>
      <c r="B1887" s="896">
        <f t="shared" si="69"/>
        <v>953547.52</v>
      </c>
      <c r="C1887" s="877">
        <v>0</v>
      </c>
      <c r="D1887" s="877">
        <v>0</v>
      </c>
      <c r="E1887" s="877">
        <v>0</v>
      </c>
      <c r="F1887" s="878">
        <f t="shared" si="70"/>
        <v>0</v>
      </c>
      <c r="G1887" s="811">
        <f t="shared" si="71"/>
        <v>0</v>
      </c>
      <c r="H1887" s="811">
        <f t="shared" si="71"/>
        <v>0</v>
      </c>
      <c r="I1887" s="895">
        <f t="shared" si="72"/>
        <v>953547.52</v>
      </c>
    </row>
    <row r="1888" spans="1:10" hidden="1" outlineLevel="1">
      <c r="A1888" s="873" t="s">
        <v>108</v>
      </c>
      <c r="B1888" s="896">
        <f t="shared" si="69"/>
        <v>264679.26</v>
      </c>
      <c r="C1888" s="877">
        <v>0</v>
      </c>
      <c r="D1888" s="877">
        <v>0</v>
      </c>
      <c r="E1888" s="877">
        <v>0</v>
      </c>
      <c r="F1888" s="878">
        <f t="shared" si="70"/>
        <v>0</v>
      </c>
      <c r="G1888" s="811">
        <f t="shared" si="71"/>
        <v>0</v>
      </c>
      <c r="H1888" s="811">
        <f t="shared" si="71"/>
        <v>0</v>
      </c>
      <c r="I1888" s="895">
        <f t="shared" si="72"/>
        <v>264679.26</v>
      </c>
    </row>
    <row r="1889" spans="1:9" hidden="1" outlineLevel="1">
      <c r="A1889" s="874" t="s">
        <v>110</v>
      </c>
      <c r="B1889" s="896">
        <f t="shared" si="69"/>
        <v>160220.57999999999</v>
      </c>
      <c r="C1889" s="877">
        <v>0</v>
      </c>
      <c r="D1889" s="877">
        <v>0</v>
      </c>
      <c r="E1889" s="877">
        <v>0</v>
      </c>
      <c r="F1889" s="878">
        <f t="shared" si="70"/>
        <v>0</v>
      </c>
      <c r="G1889" s="811">
        <f t="shared" si="71"/>
        <v>0</v>
      </c>
      <c r="H1889" s="811">
        <f t="shared" si="71"/>
        <v>0</v>
      </c>
      <c r="I1889" s="895">
        <f t="shared" si="72"/>
        <v>160220.57999999999</v>
      </c>
    </row>
    <row r="1890" spans="1:9" hidden="1" outlineLevel="1">
      <c r="A1890" s="874" t="s">
        <v>112</v>
      </c>
      <c r="B1890" s="896">
        <f t="shared" si="69"/>
        <v>1163520.8899999999</v>
      </c>
      <c r="C1890" s="877">
        <v>0</v>
      </c>
      <c r="D1890" s="877">
        <v>0</v>
      </c>
      <c r="E1890" s="877">
        <v>0</v>
      </c>
      <c r="F1890" s="878">
        <f t="shared" si="70"/>
        <v>0</v>
      </c>
      <c r="G1890" s="811">
        <f t="shared" si="71"/>
        <v>0</v>
      </c>
      <c r="H1890" s="811">
        <f t="shared" si="71"/>
        <v>0</v>
      </c>
      <c r="I1890" s="895">
        <f t="shared" si="72"/>
        <v>1163520.8899999999</v>
      </c>
    </row>
    <row r="1891" spans="1:9" hidden="1" outlineLevel="1">
      <c r="A1891" s="873" t="s">
        <v>114</v>
      </c>
      <c r="B1891" s="896">
        <f t="shared" si="69"/>
        <v>50874740.399999999</v>
      </c>
      <c r="C1891" s="877">
        <v>0</v>
      </c>
      <c r="D1891" s="877">
        <v>0</v>
      </c>
      <c r="E1891" s="877">
        <v>0</v>
      </c>
      <c r="F1891" s="878">
        <f t="shared" si="70"/>
        <v>0</v>
      </c>
      <c r="G1891" s="811">
        <f t="shared" si="71"/>
        <v>0</v>
      </c>
      <c r="H1891" s="811">
        <f t="shared" si="71"/>
        <v>0</v>
      </c>
      <c r="I1891" s="895">
        <f t="shared" si="72"/>
        <v>50874740.399999999</v>
      </c>
    </row>
    <row r="1892" spans="1:9" hidden="1" outlineLevel="1">
      <c r="A1892" s="874" t="s">
        <v>116</v>
      </c>
      <c r="B1892" s="896">
        <f t="shared" si="69"/>
        <v>4336637.5199999996</v>
      </c>
      <c r="C1892" s="877">
        <v>0</v>
      </c>
      <c r="D1892" s="877">
        <v>0</v>
      </c>
      <c r="E1892" s="877">
        <v>0</v>
      </c>
      <c r="F1892" s="878">
        <f t="shared" si="70"/>
        <v>6750.62</v>
      </c>
      <c r="G1892" s="811">
        <f t="shared" si="71"/>
        <v>0</v>
      </c>
      <c r="H1892" s="811">
        <f t="shared" si="71"/>
        <v>0</v>
      </c>
      <c r="I1892" s="895">
        <f t="shared" si="72"/>
        <v>4343388.1399999997</v>
      </c>
    </row>
    <row r="1893" spans="1:9" hidden="1" outlineLevel="1">
      <c r="A1893" s="874" t="s">
        <v>118</v>
      </c>
      <c r="B1893" s="896">
        <f t="shared" si="69"/>
        <v>670174.13</v>
      </c>
      <c r="C1893" s="877">
        <v>0</v>
      </c>
      <c r="D1893" s="877">
        <v>0</v>
      </c>
      <c r="E1893" s="877">
        <v>0</v>
      </c>
      <c r="F1893" s="878">
        <f t="shared" si="70"/>
        <v>0</v>
      </c>
      <c r="G1893" s="811">
        <f t="shared" si="71"/>
        <v>0</v>
      </c>
      <c r="H1893" s="811">
        <f t="shared" si="71"/>
        <v>0</v>
      </c>
      <c r="I1893" s="895">
        <f t="shared" si="72"/>
        <v>670174.13</v>
      </c>
    </row>
    <row r="1894" spans="1:9" hidden="1" outlineLevel="1">
      <c r="A1894" s="873" t="s">
        <v>120</v>
      </c>
      <c r="B1894" s="896">
        <f t="shared" si="69"/>
        <v>221855.72</v>
      </c>
      <c r="C1894" s="877">
        <v>0</v>
      </c>
      <c r="D1894" s="877">
        <v>0</v>
      </c>
      <c r="E1894" s="877">
        <v>0</v>
      </c>
      <c r="F1894" s="878">
        <f t="shared" si="70"/>
        <v>0</v>
      </c>
      <c r="G1894" s="811">
        <f t="shared" si="71"/>
        <v>0</v>
      </c>
      <c r="H1894" s="811">
        <f t="shared" si="71"/>
        <v>0</v>
      </c>
      <c r="I1894" s="895">
        <f t="shared" si="72"/>
        <v>221855.72</v>
      </c>
    </row>
    <row r="1895" spans="1:9" hidden="1" outlineLevel="1">
      <c r="A1895" s="874" t="s">
        <v>122</v>
      </c>
      <c r="B1895" s="896">
        <f t="shared" si="69"/>
        <v>418024.66</v>
      </c>
      <c r="C1895" s="877">
        <v>0</v>
      </c>
      <c r="D1895" s="877">
        <v>0</v>
      </c>
      <c r="E1895" s="877">
        <v>0</v>
      </c>
      <c r="F1895" s="878">
        <f t="shared" si="70"/>
        <v>0</v>
      </c>
      <c r="G1895" s="811">
        <f t="shared" si="71"/>
        <v>0</v>
      </c>
      <c r="H1895" s="811">
        <f t="shared" si="71"/>
        <v>0</v>
      </c>
      <c r="I1895" s="895">
        <f t="shared" si="72"/>
        <v>418024.66</v>
      </c>
    </row>
    <row r="1896" spans="1:9" hidden="1" outlineLevel="1">
      <c r="A1896" s="874" t="s">
        <v>124</v>
      </c>
      <c r="B1896" s="896">
        <f t="shared" si="69"/>
        <v>223745.03</v>
      </c>
      <c r="C1896" s="877">
        <v>0</v>
      </c>
      <c r="D1896" s="877">
        <v>0</v>
      </c>
      <c r="E1896" s="877">
        <v>0</v>
      </c>
      <c r="F1896" s="878">
        <f t="shared" si="70"/>
        <v>0</v>
      </c>
      <c r="G1896" s="811">
        <f t="shared" ref="G1896:H1915" si="73">+IF(G962=0,0,ROUND(G28*0.1312/100,2))</f>
        <v>0</v>
      </c>
      <c r="H1896" s="811">
        <f t="shared" si="73"/>
        <v>0</v>
      </c>
      <c r="I1896" s="895">
        <f t="shared" si="72"/>
        <v>223745.03</v>
      </c>
    </row>
    <row r="1897" spans="1:9" hidden="1" outlineLevel="1">
      <c r="A1897" s="873" t="s">
        <v>1854</v>
      </c>
      <c r="B1897" s="896">
        <f t="shared" si="69"/>
        <v>116375.03999999999</v>
      </c>
      <c r="C1897" s="877">
        <v>0</v>
      </c>
      <c r="D1897" s="877">
        <v>0</v>
      </c>
      <c r="E1897" s="877">
        <v>0</v>
      </c>
      <c r="F1897" s="878">
        <f t="shared" si="70"/>
        <v>0</v>
      </c>
      <c r="G1897" s="811">
        <f t="shared" si="73"/>
        <v>0</v>
      </c>
      <c r="H1897" s="811">
        <f t="shared" si="73"/>
        <v>0</v>
      </c>
      <c r="I1897" s="895">
        <f t="shared" si="72"/>
        <v>116375.03999999999</v>
      </c>
    </row>
    <row r="1898" spans="1:9" hidden="1" outlineLevel="1">
      <c r="A1898" s="874" t="s">
        <v>126</v>
      </c>
      <c r="B1898" s="896">
        <f t="shared" si="69"/>
        <v>348394.04</v>
      </c>
      <c r="C1898" s="877">
        <v>0</v>
      </c>
      <c r="D1898" s="877">
        <v>0</v>
      </c>
      <c r="E1898" s="877">
        <v>0</v>
      </c>
      <c r="F1898" s="878">
        <f t="shared" si="70"/>
        <v>0</v>
      </c>
      <c r="G1898" s="811">
        <f t="shared" si="73"/>
        <v>0</v>
      </c>
      <c r="H1898" s="811">
        <f t="shared" si="73"/>
        <v>0</v>
      </c>
      <c r="I1898" s="895">
        <f t="shared" si="72"/>
        <v>348394.04</v>
      </c>
    </row>
    <row r="1899" spans="1:9" hidden="1" outlineLevel="1">
      <c r="A1899" s="874" t="s">
        <v>128</v>
      </c>
      <c r="B1899" s="896">
        <f t="shared" si="69"/>
        <v>399577.22</v>
      </c>
      <c r="C1899" s="877">
        <v>0</v>
      </c>
      <c r="D1899" s="877">
        <v>0</v>
      </c>
      <c r="E1899" s="877">
        <v>0</v>
      </c>
      <c r="F1899" s="878">
        <f t="shared" si="70"/>
        <v>0</v>
      </c>
      <c r="G1899" s="811">
        <f t="shared" si="73"/>
        <v>0</v>
      </c>
      <c r="H1899" s="811">
        <f t="shared" si="73"/>
        <v>0</v>
      </c>
      <c r="I1899" s="895">
        <f t="shared" si="72"/>
        <v>399577.22</v>
      </c>
    </row>
    <row r="1900" spans="1:9" hidden="1" outlineLevel="1">
      <c r="A1900" s="873" t="s">
        <v>130</v>
      </c>
      <c r="B1900" s="896">
        <f t="shared" si="69"/>
        <v>210112.8</v>
      </c>
      <c r="C1900" s="877">
        <v>0</v>
      </c>
      <c r="D1900" s="877">
        <v>0</v>
      </c>
      <c r="E1900" s="877">
        <v>0</v>
      </c>
      <c r="F1900" s="878">
        <f t="shared" si="70"/>
        <v>0</v>
      </c>
      <c r="G1900" s="811">
        <f t="shared" si="73"/>
        <v>0</v>
      </c>
      <c r="H1900" s="811">
        <f t="shared" si="73"/>
        <v>0</v>
      </c>
      <c r="I1900" s="895">
        <f t="shared" si="72"/>
        <v>210112.8</v>
      </c>
    </row>
    <row r="1901" spans="1:9" hidden="1" outlineLevel="1">
      <c r="A1901" s="874" t="s">
        <v>132</v>
      </c>
      <c r="B1901" s="896">
        <f t="shared" si="69"/>
        <v>573397.35</v>
      </c>
      <c r="C1901" s="877">
        <v>0</v>
      </c>
      <c r="D1901" s="877">
        <v>0</v>
      </c>
      <c r="E1901" s="877">
        <v>0</v>
      </c>
      <c r="F1901" s="878">
        <f t="shared" si="70"/>
        <v>0</v>
      </c>
      <c r="G1901" s="811">
        <f t="shared" si="73"/>
        <v>0</v>
      </c>
      <c r="H1901" s="811">
        <f t="shared" si="73"/>
        <v>0</v>
      </c>
      <c r="I1901" s="895">
        <f t="shared" si="72"/>
        <v>573397.35</v>
      </c>
    </row>
    <row r="1902" spans="1:9" hidden="1" outlineLevel="1">
      <c r="A1902" s="874" t="s">
        <v>1855</v>
      </c>
      <c r="B1902" s="896">
        <f t="shared" si="69"/>
        <v>126164.92</v>
      </c>
      <c r="C1902" s="877">
        <v>0</v>
      </c>
      <c r="D1902" s="877">
        <v>0</v>
      </c>
      <c r="E1902" s="877">
        <v>0</v>
      </c>
      <c r="F1902" s="878">
        <f t="shared" si="70"/>
        <v>0</v>
      </c>
      <c r="G1902" s="811">
        <f t="shared" si="73"/>
        <v>0</v>
      </c>
      <c r="H1902" s="811">
        <f t="shared" si="73"/>
        <v>0</v>
      </c>
      <c r="I1902" s="895">
        <f t="shared" si="72"/>
        <v>126164.92</v>
      </c>
    </row>
    <row r="1903" spans="1:9" hidden="1" outlineLevel="1">
      <c r="A1903" s="873" t="s">
        <v>134</v>
      </c>
      <c r="B1903" s="896">
        <f t="shared" si="69"/>
        <v>592884.02</v>
      </c>
      <c r="C1903" s="877">
        <v>0</v>
      </c>
      <c r="D1903" s="877">
        <v>0</v>
      </c>
      <c r="E1903" s="877">
        <v>0</v>
      </c>
      <c r="F1903" s="878">
        <f t="shared" si="70"/>
        <v>0</v>
      </c>
      <c r="G1903" s="811">
        <f t="shared" si="73"/>
        <v>0</v>
      </c>
      <c r="H1903" s="811">
        <f t="shared" si="73"/>
        <v>0</v>
      </c>
      <c r="I1903" s="895">
        <f t="shared" si="72"/>
        <v>592884.02</v>
      </c>
    </row>
    <row r="1904" spans="1:9" hidden="1" outlineLevel="1">
      <c r="A1904" s="874" t="s">
        <v>136</v>
      </c>
      <c r="B1904" s="896">
        <f t="shared" si="69"/>
        <v>1104136.92</v>
      </c>
      <c r="C1904" s="877">
        <v>0</v>
      </c>
      <c r="D1904" s="877">
        <v>0</v>
      </c>
      <c r="E1904" s="877">
        <v>0</v>
      </c>
      <c r="F1904" s="878">
        <f t="shared" si="70"/>
        <v>0</v>
      </c>
      <c r="G1904" s="811">
        <f t="shared" si="73"/>
        <v>0</v>
      </c>
      <c r="H1904" s="811">
        <f t="shared" si="73"/>
        <v>0</v>
      </c>
      <c r="I1904" s="895">
        <f t="shared" si="72"/>
        <v>1104136.92</v>
      </c>
    </row>
    <row r="1905" spans="1:9" hidden="1" outlineLevel="1">
      <c r="A1905" s="874" t="s">
        <v>138</v>
      </c>
      <c r="B1905" s="896">
        <f t="shared" si="69"/>
        <v>39459.58</v>
      </c>
      <c r="C1905" s="877">
        <v>0</v>
      </c>
      <c r="D1905" s="877">
        <v>0</v>
      </c>
      <c r="E1905" s="877">
        <v>0</v>
      </c>
      <c r="F1905" s="878">
        <f t="shared" si="70"/>
        <v>0</v>
      </c>
      <c r="G1905" s="811">
        <f t="shared" si="73"/>
        <v>0</v>
      </c>
      <c r="H1905" s="811">
        <f t="shared" si="73"/>
        <v>0</v>
      </c>
      <c r="I1905" s="895">
        <f t="shared" si="72"/>
        <v>39459.58</v>
      </c>
    </row>
    <row r="1906" spans="1:9" hidden="1" outlineLevel="1">
      <c r="A1906" s="873" t="s">
        <v>140</v>
      </c>
      <c r="B1906" s="896">
        <f t="shared" si="69"/>
        <v>274288.28999999998</v>
      </c>
      <c r="C1906" s="877">
        <v>0</v>
      </c>
      <c r="D1906" s="877">
        <v>0</v>
      </c>
      <c r="E1906" s="877">
        <v>0</v>
      </c>
      <c r="F1906" s="878">
        <f t="shared" si="70"/>
        <v>0</v>
      </c>
      <c r="G1906" s="811">
        <f t="shared" si="73"/>
        <v>0</v>
      </c>
      <c r="H1906" s="811">
        <f t="shared" si="73"/>
        <v>0</v>
      </c>
      <c r="I1906" s="895">
        <f t="shared" si="72"/>
        <v>274288.28999999998</v>
      </c>
    </row>
    <row r="1907" spans="1:9" hidden="1" outlineLevel="1">
      <c r="A1907" s="874" t="s">
        <v>142</v>
      </c>
      <c r="B1907" s="896">
        <f t="shared" si="69"/>
        <v>180830.95</v>
      </c>
      <c r="C1907" s="877">
        <v>0</v>
      </c>
      <c r="D1907" s="877">
        <v>0</v>
      </c>
      <c r="E1907" s="877">
        <v>0</v>
      </c>
      <c r="F1907" s="878">
        <f t="shared" si="70"/>
        <v>0</v>
      </c>
      <c r="G1907" s="811">
        <f t="shared" si="73"/>
        <v>0</v>
      </c>
      <c r="H1907" s="811">
        <f t="shared" si="73"/>
        <v>0</v>
      </c>
      <c r="I1907" s="895">
        <f t="shared" si="72"/>
        <v>180830.95</v>
      </c>
    </row>
    <row r="1908" spans="1:9" hidden="1" outlineLevel="1">
      <c r="A1908" s="874" t="s">
        <v>144</v>
      </c>
      <c r="B1908" s="896">
        <f t="shared" ref="B1908:B1939" si="74">+IF(B974=0,0,ROUND(B40*0.656/100,2))</f>
        <v>651568.35</v>
      </c>
      <c r="C1908" s="877">
        <v>0</v>
      </c>
      <c r="D1908" s="877">
        <v>0</v>
      </c>
      <c r="E1908" s="877">
        <v>0</v>
      </c>
      <c r="F1908" s="878">
        <f t="shared" ref="F1908:F1939" si="75">+IF(F974=0,0,ROUND(F40*0.0656/100,2))</f>
        <v>0</v>
      </c>
      <c r="G1908" s="811">
        <f t="shared" si="73"/>
        <v>0</v>
      </c>
      <c r="H1908" s="811">
        <f t="shared" si="73"/>
        <v>0</v>
      </c>
      <c r="I1908" s="895">
        <f t="shared" ref="I1908:I1939" si="76">+SUM(B1908:H1908)</f>
        <v>651568.35</v>
      </c>
    </row>
    <row r="1909" spans="1:9" hidden="1" outlineLevel="1">
      <c r="A1909" s="873" t="s">
        <v>146</v>
      </c>
      <c r="B1909" s="896">
        <f t="shared" si="74"/>
        <v>511515.34</v>
      </c>
      <c r="C1909" s="877">
        <v>0</v>
      </c>
      <c r="D1909" s="877">
        <v>0</v>
      </c>
      <c r="E1909" s="877">
        <v>0</v>
      </c>
      <c r="F1909" s="878">
        <f t="shared" si="75"/>
        <v>0</v>
      </c>
      <c r="G1909" s="811">
        <f t="shared" si="73"/>
        <v>0</v>
      </c>
      <c r="H1909" s="811">
        <f t="shared" si="73"/>
        <v>0</v>
      </c>
      <c r="I1909" s="895">
        <f t="shared" si="76"/>
        <v>511515.34</v>
      </c>
    </row>
    <row r="1910" spans="1:9" hidden="1" outlineLevel="1">
      <c r="A1910" s="874" t="s">
        <v>148</v>
      </c>
      <c r="B1910" s="896">
        <f t="shared" si="74"/>
        <v>1662533.43</v>
      </c>
      <c r="C1910" s="877">
        <v>0</v>
      </c>
      <c r="D1910" s="877">
        <v>0</v>
      </c>
      <c r="E1910" s="877">
        <v>0</v>
      </c>
      <c r="F1910" s="878">
        <f t="shared" si="75"/>
        <v>1866</v>
      </c>
      <c r="G1910" s="811">
        <f t="shared" si="73"/>
        <v>0</v>
      </c>
      <c r="H1910" s="811">
        <f t="shared" si="73"/>
        <v>0</v>
      </c>
      <c r="I1910" s="895">
        <f t="shared" si="76"/>
        <v>1664399.43</v>
      </c>
    </row>
    <row r="1911" spans="1:9" hidden="1" outlineLevel="1">
      <c r="A1911" s="874" t="s">
        <v>150</v>
      </c>
      <c r="B1911" s="896">
        <f t="shared" si="74"/>
        <v>515790.83</v>
      </c>
      <c r="C1911" s="877">
        <v>0</v>
      </c>
      <c r="D1911" s="877">
        <v>0</v>
      </c>
      <c r="E1911" s="877">
        <v>0</v>
      </c>
      <c r="F1911" s="878">
        <f t="shared" si="75"/>
        <v>0</v>
      </c>
      <c r="G1911" s="811">
        <f t="shared" si="73"/>
        <v>0</v>
      </c>
      <c r="H1911" s="811">
        <f t="shared" si="73"/>
        <v>0</v>
      </c>
      <c r="I1911" s="895">
        <f t="shared" si="76"/>
        <v>515790.83</v>
      </c>
    </row>
    <row r="1912" spans="1:9" hidden="1" outlineLevel="1">
      <c r="A1912" s="873" t="s">
        <v>152</v>
      </c>
      <c r="B1912" s="896">
        <f t="shared" si="74"/>
        <v>384857.74</v>
      </c>
      <c r="C1912" s="877">
        <v>0</v>
      </c>
      <c r="D1912" s="877">
        <v>0</v>
      </c>
      <c r="E1912" s="877">
        <v>0</v>
      </c>
      <c r="F1912" s="878">
        <f t="shared" si="75"/>
        <v>0</v>
      </c>
      <c r="G1912" s="811">
        <f t="shared" si="73"/>
        <v>0</v>
      </c>
      <c r="H1912" s="811">
        <f t="shared" si="73"/>
        <v>0</v>
      </c>
      <c r="I1912" s="895">
        <f t="shared" si="76"/>
        <v>384857.74</v>
      </c>
    </row>
    <row r="1913" spans="1:9" hidden="1" outlineLevel="1">
      <c r="A1913" s="874" t="s">
        <v>154</v>
      </c>
      <c r="B1913" s="896">
        <f t="shared" si="74"/>
        <v>1240278.8</v>
      </c>
      <c r="C1913" s="877">
        <v>0</v>
      </c>
      <c r="D1913" s="877">
        <v>0</v>
      </c>
      <c r="E1913" s="877">
        <v>0</v>
      </c>
      <c r="F1913" s="878">
        <f t="shared" si="75"/>
        <v>0</v>
      </c>
      <c r="G1913" s="811">
        <f t="shared" si="73"/>
        <v>0</v>
      </c>
      <c r="H1913" s="811">
        <f t="shared" si="73"/>
        <v>0</v>
      </c>
      <c r="I1913" s="895">
        <f t="shared" si="76"/>
        <v>1240278.8</v>
      </c>
    </row>
    <row r="1914" spans="1:9" hidden="1" outlineLevel="1">
      <c r="A1914" s="874" t="s">
        <v>156</v>
      </c>
      <c r="B1914" s="896">
        <f t="shared" si="74"/>
        <v>265224.25</v>
      </c>
      <c r="C1914" s="877">
        <v>0</v>
      </c>
      <c r="D1914" s="877">
        <v>0</v>
      </c>
      <c r="E1914" s="877">
        <v>0</v>
      </c>
      <c r="F1914" s="878">
        <f t="shared" si="75"/>
        <v>0</v>
      </c>
      <c r="G1914" s="811">
        <f t="shared" si="73"/>
        <v>0</v>
      </c>
      <c r="H1914" s="811">
        <f t="shared" si="73"/>
        <v>0</v>
      </c>
      <c r="I1914" s="895">
        <f t="shared" si="76"/>
        <v>265224.25</v>
      </c>
    </row>
    <row r="1915" spans="1:9" hidden="1" outlineLevel="1">
      <c r="A1915" s="873" t="s">
        <v>158</v>
      </c>
      <c r="B1915" s="896">
        <f t="shared" si="74"/>
        <v>541846.78</v>
      </c>
      <c r="C1915" s="877">
        <v>0</v>
      </c>
      <c r="D1915" s="877">
        <v>0</v>
      </c>
      <c r="E1915" s="877">
        <v>0</v>
      </c>
      <c r="F1915" s="878">
        <f t="shared" si="75"/>
        <v>0</v>
      </c>
      <c r="G1915" s="811">
        <f t="shared" si="73"/>
        <v>0</v>
      </c>
      <c r="H1915" s="811">
        <f t="shared" si="73"/>
        <v>0</v>
      </c>
      <c r="I1915" s="895">
        <f t="shared" si="76"/>
        <v>541846.78</v>
      </c>
    </row>
    <row r="1916" spans="1:9" hidden="1" outlineLevel="1">
      <c r="A1916" s="874" t="s">
        <v>160</v>
      </c>
      <c r="B1916" s="896">
        <f t="shared" si="74"/>
        <v>747538.75</v>
      </c>
      <c r="C1916" s="877">
        <v>0</v>
      </c>
      <c r="D1916" s="877">
        <v>0</v>
      </c>
      <c r="E1916" s="877">
        <v>0</v>
      </c>
      <c r="F1916" s="878">
        <f t="shared" si="75"/>
        <v>0</v>
      </c>
      <c r="G1916" s="811">
        <f t="shared" ref="G1916:H1935" si="77">+IF(G982=0,0,ROUND(G48*0.1312/100,2))</f>
        <v>0</v>
      </c>
      <c r="H1916" s="811">
        <f t="shared" si="77"/>
        <v>0</v>
      </c>
      <c r="I1916" s="895">
        <f t="shared" si="76"/>
        <v>747538.75</v>
      </c>
    </row>
    <row r="1917" spans="1:9" hidden="1" outlineLevel="1">
      <c r="A1917" s="874" t="s">
        <v>162</v>
      </c>
      <c r="B1917" s="896">
        <f t="shared" si="74"/>
        <v>240699.47</v>
      </c>
      <c r="C1917" s="877">
        <v>0</v>
      </c>
      <c r="D1917" s="877">
        <v>0</v>
      </c>
      <c r="E1917" s="877">
        <v>0</v>
      </c>
      <c r="F1917" s="878">
        <f t="shared" si="75"/>
        <v>0</v>
      </c>
      <c r="G1917" s="811">
        <f t="shared" si="77"/>
        <v>0</v>
      </c>
      <c r="H1917" s="811">
        <f t="shared" si="77"/>
        <v>0</v>
      </c>
      <c r="I1917" s="895">
        <f t="shared" si="76"/>
        <v>240699.47</v>
      </c>
    </row>
    <row r="1918" spans="1:9" hidden="1" outlineLevel="1">
      <c r="A1918" s="873" t="s">
        <v>164</v>
      </c>
      <c r="B1918" s="896">
        <f t="shared" si="74"/>
        <v>222198.86</v>
      </c>
      <c r="C1918" s="877">
        <v>0</v>
      </c>
      <c r="D1918" s="877">
        <v>0</v>
      </c>
      <c r="E1918" s="877">
        <v>0</v>
      </c>
      <c r="F1918" s="878">
        <f t="shared" si="75"/>
        <v>0</v>
      </c>
      <c r="G1918" s="811">
        <f t="shared" si="77"/>
        <v>0</v>
      </c>
      <c r="H1918" s="811">
        <f t="shared" si="77"/>
        <v>0</v>
      </c>
      <c r="I1918" s="895">
        <f t="shared" si="76"/>
        <v>222198.86</v>
      </c>
    </row>
    <row r="1919" spans="1:9" hidden="1" outlineLevel="1">
      <c r="A1919" s="874" t="s">
        <v>166</v>
      </c>
      <c r="B1919" s="896">
        <f t="shared" si="74"/>
        <v>5971457.1699999999</v>
      </c>
      <c r="C1919" s="877">
        <v>0</v>
      </c>
      <c r="D1919" s="877">
        <v>0</v>
      </c>
      <c r="E1919" s="877">
        <v>0</v>
      </c>
      <c r="F1919" s="878">
        <f t="shared" si="75"/>
        <v>0</v>
      </c>
      <c r="G1919" s="811">
        <f t="shared" si="77"/>
        <v>0</v>
      </c>
      <c r="H1919" s="811">
        <f t="shared" si="77"/>
        <v>0</v>
      </c>
      <c r="I1919" s="895">
        <f t="shared" si="76"/>
        <v>5971457.1699999999</v>
      </c>
    </row>
    <row r="1920" spans="1:9" hidden="1" outlineLevel="1">
      <c r="A1920" s="874" t="s">
        <v>168</v>
      </c>
      <c r="B1920" s="896">
        <f t="shared" si="74"/>
        <v>3353109.95</v>
      </c>
      <c r="C1920" s="877">
        <v>0</v>
      </c>
      <c r="D1920" s="877">
        <v>0</v>
      </c>
      <c r="E1920" s="877">
        <v>0</v>
      </c>
      <c r="F1920" s="878">
        <f t="shared" si="75"/>
        <v>6434.13</v>
      </c>
      <c r="G1920" s="811">
        <f t="shared" si="77"/>
        <v>0</v>
      </c>
      <c r="H1920" s="811">
        <f t="shared" si="77"/>
        <v>0</v>
      </c>
      <c r="I1920" s="895">
        <f t="shared" si="76"/>
        <v>3359544.08</v>
      </c>
    </row>
    <row r="1921" spans="1:9" hidden="1" outlineLevel="1">
      <c r="A1921" s="873" t="s">
        <v>170</v>
      </c>
      <c r="B1921" s="896">
        <f t="shared" si="74"/>
        <v>340749.75</v>
      </c>
      <c r="C1921" s="877">
        <v>0</v>
      </c>
      <c r="D1921" s="877">
        <v>0</v>
      </c>
      <c r="E1921" s="877">
        <v>0</v>
      </c>
      <c r="F1921" s="878">
        <f t="shared" si="75"/>
        <v>0</v>
      </c>
      <c r="G1921" s="811">
        <f t="shared" si="77"/>
        <v>0</v>
      </c>
      <c r="H1921" s="811">
        <f t="shared" si="77"/>
        <v>0</v>
      </c>
      <c r="I1921" s="895">
        <f t="shared" si="76"/>
        <v>340749.75</v>
      </c>
    </row>
    <row r="1922" spans="1:9" hidden="1" outlineLevel="1">
      <c r="A1922" s="874" t="s">
        <v>172</v>
      </c>
      <c r="B1922" s="896">
        <f t="shared" si="74"/>
        <v>12072.26</v>
      </c>
      <c r="C1922" s="877">
        <v>0</v>
      </c>
      <c r="D1922" s="877">
        <v>0</v>
      </c>
      <c r="E1922" s="877">
        <v>0</v>
      </c>
      <c r="F1922" s="878">
        <f t="shared" si="75"/>
        <v>0</v>
      </c>
      <c r="G1922" s="811">
        <f t="shared" si="77"/>
        <v>0</v>
      </c>
      <c r="H1922" s="811">
        <f t="shared" si="77"/>
        <v>0</v>
      </c>
      <c r="I1922" s="895">
        <f t="shared" si="76"/>
        <v>12072.26</v>
      </c>
    </row>
    <row r="1923" spans="1:9" hidden="1" outlineLevel="1">
      <c r="A1923" s="874" t="s">
        <v>174</v>
      </c>
      <c r="B1923" s="896">
        <f t="shared" si="74"/>
        <v>203722.87</v>
      </c>
      <c r="C1923" s="877">
        <v>0</v>
      </c>
      <c r="D1923" s="877">
        <v>0</v>
      </c>
      <c r="E1923" s="877">
        <v>0</v>
      </c>
      <c r="F1923" s="878">
        <f t="shared" si="75"/>
        <v>0</v>
      </c>
      <c r="G1923" s="811">
        <f t="shared" si="77"/>
        <v>0</v>
      </c>
      <c r="H1923" s="811">
        <f t="shared" si="77"/>
        <v>0</v>
      </c>
      <c r="I1923" s="895">
        <f t="shared" si="76"/>
        <v>203722.87</v>
      </c>
    </row>
    <row r="1924" spans="1:9" hidden="1" outlineLevel="1">
      <c r="A1924" s="873" t="s">
        <v>176</v>
      </c>
      <c r="B1924" s="896">
        <f t="shared" si="74"/>
        <v>1501623.99</v>
      </c>
      <c r="C1924" s="877">
        <v>0</v>
      </c>
      <c r="D1924" s="877">
        <v>0</v>
      </c>
      <c r="E1924" s="877">
        <v>0</v>
      </c>
      <c r="F1924" s="878">
        <f t="shared" si="75"/>
        <v>1971.1</v>
      </c>
      <c r="G1924" s="811">
        <f t="shared" si="77"/>
        <v>0</v>
      </c>
      <c r="H1924" s="811">
        <f t="shared" si="77"/>
        <v>0</v>
      </c>
      <c r="I1924" s="895">
        <f t="shared" si="76"/>
        <v>1503595.09</v>
      </c>
    </row>
    <row r="1925" spans="1:9" hidden="1" outlineLevel="1">
      <c r="A1925" s="874" t="s">
        <v>178</v>
      </c>
      <c r="B1925" s="896">
        <f t="shared" si="74"/>
        <v>643013.02</v>
      </c>
      <c r="C1925" s="877">
        <v>0</v>
      </c>
      <c r="D1925" s="877">
        <v>0</v>
      </c>
      <c r="E1925" s="877">
        <v>0</v>
      </c>
      <c r="F1925" s="878">
        <f t="shared" si="75"/>
        <v>0</v>
      </c>
      <c r="G1925" s="811">
        <f t="shared" si="77"/>
        <v>0</v>
      </c>
      <c r="H1925" s="811">
        <f t="shared" si="77"/>
        <v>0</v>
      </c>
      <c r="I1925" s="895">
        <f t="shared" si="76"/>
        <v>643013.02</v>
      </c>
    </row>
    <row r="1926" spans="1:9" hidden="1" outlineLevel="1">
      <c r="A1926" s="874" t="s">
        <v>180</v>
      </c>
      <c r="B1926" s="896">
        <f t="shared" si="74"/>
        <v>282850.46999999997</v>
      </c>
      <c r="C1926" s="877">
        <v>0</v>
      </c>
      <c r="D1926" s="877">
        <v>0</v>
      </c>
      <c r="E1926" s="877">
        <v>0</v>
      </c>
      <c r="F1926" s="878">
        <f t="shared" si="75"/>
        <v>0</v>
      </c>
      <c r="G1926" s="811">
        <f t="shared" si="77"/>
        <v>0</v>
      </c>
      <c r="H1926" s="811">
        <f t="shared" si="77"/>
        <v>0</v>
      </c>
      <c r="I1926" s="895">
        <f t="shared" si="76"/>
        <v>282850.46999999997</v>
      </c>
    </row>
    <row r="1927" spans="1:9" hidden="1" outlineLevel="1">
      <c r="A1927" s="873" t="s">
        <v>182</v>
      </c>
      <c r="B1927" s="896">
        <f t="shared" si="74"/>
        <v>1451506.28</v>
      </c>
      <c r="C1927" s="877">
        <v>0</v>
      </c>
      <c r="D1927" s="877">
        <v>0</v>
      </c>
      <c r="E1927" s="877">
        <v>0</v>
      </c>
      <c r="F1927" s="878">
        <f t="shared" si="75"/>
        <v>0</v>
      </c>
      <c r="G1927" s="811">
        <f t="shared" si="77"/>
        <v>0</v>
      </c>
      <c r="H1927" s="811">
        <f t="shared" si="77"/>
        <v>0</v>
      </c>
      <c r="I1927" s="895">
        <f t="shared" si="76"/>
        <v>1451506.28</v>
      </c>
    </row>
    <row r="1928" spans="1:9" hidden="1" outlineLevel="1">
      <c r="A1928" s="874" t="s">
        <v>184</v>
      </c>
      <c r="B1928" s="896">
        <f t="shared" si="74"/>
        <v>228426.68</v>
      </c>
      <c r="C1928" s="877">
        <v>0</v>
      </c>
      <c r="D1928" s="877">
        <v>0</v>
      </c>
      <c r="E1928" s="877">
        <v>0</v>
      </c>
      <c r="F1928" s="878">
        <f t="shared" si="75"/>
        <v>0</v>
      </c>
      <c r="G1928" s="811">
        <f t="shared" si="77"/>
        <v>0</v>
      </c>
      <c r="H1928" s="811">
        <f t="shared" si="77"/>
        <v>0</v>
      </c>
      <c r="I1928" s="895">
        <f t="shared" si="76"/>
        <v>228426.68</v>
      </c>
    </row>
    <row r="1929" spans="1:9" hidden="1" outlineLevel="1">
      <c r="A1929" s="874" t="s">
        <v>186</v>
      </c>
      <c r="B1929" s="896">
        <f t="shared" si="74"/>
        <v>408309.9</v>
      </c>
      <c r="C1929" s="877">
        <v>0</v>
      </c>
      <c r="D1929" s="877">
        <v>0</v>
      </c>
      <c r="E1929" s="877">
        <v>0</v>
      </c>
      <c r="F1929" s="878">
        <f t="shared" si="75"/>
        <v>0</v>
      </c>
      <c r="G1929" s="811">
        <f t="shared" si="77"/>
        <v>0</v>
      </c>
      <c r="H1929" s="811">
        <f t="shared" si="77"/>
        <v>0</v>
      </c>
      <c r="I1929" s="895">
        <f t="shared" si="76"/>
        <v>408309.9</v>
      </c>
    </row>
    <row r="1930" spans="1:9" hidden="1" outlineLevel="1">
      <c r="A1930" s="873" t="s">
        <v>188</v>
      </c>
      <c r="B1930" s="896">
        <f t="shared" si="74"/>
        <v>595574.67000000004</v>
      </c>
      <c r="C1930" s="877">
        <v>0</v>
      </c>
      <c r="D1930" s="877">
        <v>0</v>
      </c>
      <c r="E1930" s="877">
        <v>0</v>
      </c>
      <c r="F1930" s="878">
        <f t="shared" si="75"/>
        <v>0</v>
      </c>
      <c r="G1930" s="811">
        <f t="shared" si="77"/>
        <v>0</v>
      </c>
      <c r="H1930" s="811">
        <f t="shared" si="77"/>
        <v>0</v>
      </c>
      <c r="I1930" s="895">
        <f t="shared" si="76"/>
        <v>595574.67000000004</v>
      </c>
    </row>
    <row r="1931" spans="1:9" hidden="1" outlineLevel="1">
      <c r="A1931" s="874" t="s">
        <v>190</v>
      </c>
      <c r="B1931" s="896">
        <f t="shared" si="74"/>
        <v>4826997.6100000003</v>
      </c>
      <c r="C1931" s="877">
        <v>0</v>
      </c>
      <c r="D1931" s="877">
        <v>0</v>
      </c>
      <c r="E1931" s="877">
        <v>0</v>
      </c>
      <c r="F1931" s="878">
        <f t="shared" si="75"/>
        <v>13549.43</v>
      </c>
      <c r="G1931" s="811">
        <f t="shared" si="77"/>
        <v>0</v>
      </c>
      <c r="H1931" s="811">
        <f t="shared" si="77"/>
        <v>0</v>
      </c>
      <c r="I1931" s="895">
        <f t="shared" si="76"/>
        <v>4840547.04</v>
      </c>
    </row>
    <row r="1932" spans="1:9" hidden="1" outlineLevel="1">
      <c r="A1932" s="874" t="s">
        <v>192</v>
      </c>
      <c r="B1932" s="896">
        <f t="shared" si="74"/>
        <v>339767.75</v>
      </c>
      <c r="C1932" s="877">
        <v>0</v>
      </c>
      <c r="D1932" s="877">
        <v>0</v>
      </c>
      <c r="E1932" s="877">
        <v>0</v>
      </c>
      <c r="F1932" s="878">
        <f t="shared" si="75"/>
        <v>0</v>
      </c>
      <c r="G1932" s="811">
        <f t="shared" si="77"/>
        <v>0</v>
      </c>
      <c r="H1932" s="811">
        <f t="shared" si="77"/>
        <v>0</v>
      </c>
      <c r="I1932" s="895">
        <f t="shared" si="76"/>
        <v>339767.75</v>
      </c>
    </row>
    <row r="1933" spans="1:9" hidden="1" outlineLevel="1">
      <c r="A1933" s="873" t="s">
        <v>194</v>
      </c>
      <c r="B1933" s="896">
        <f t="shared" si="74"/>
        <v>108858.57</v>
      </c>
      <c r="C1933" s="877">
        <v>0</v>
      </c>
      <c r="D1933" s="877">
        <v>0</v>
      </c>
      <c r="E1933" s="877">
        <v>0</v>
      </c>
      <c r="F1933" s="878">
        <f t="shared" si="75"/>
        <v>0</v>
      </c>
      <c r="G1933" s="811">
        <f t="shared" si="77"/>
        <v>0</v>
      </c>
      <c r="H1933" s="811">
        <f t="shared" si="77"/>
        <v>0</v>
      </c>
      <c r="I1933" s="895">
        <f t="shared" si="76"/>
        <v>108858.57</v>
      </c>
    </row>
    <row r="1934" spans="1:9" hidden="1" outlineLevel="1">
      <c r="A1934" s="874" t="s">
        <v>196</v>
      </c>
      <c r="B1934" s="896">
        <f t="shared" si="74"/>
        <v>169799.43</v>
      </c>
      <c r="C1934" s="877">
        <v>0</v>
      </c>
      <c r="D1934" s="877">
        <v>0</v>
      </c>
      <c r="E1934" s="877">
        <v>0</v>
      </c>
      <c r="F1934" s="878">
        <f t="shared" si="75"/>
        <v>0</v>
      </c>
      <c r="G1934" s="811">
        <f t="shared" si="77"/>
        <v>0</v>
      </c>
      <c r="H1934" s="811">
        <f t="shared" si="77"/>
        <v>0</v>
      </c>
      <c r="I1934" s="895">
        <f t="shared" si="76"/>
        <v>169799.43</v>
      </c>
    </row>
    <row r="1935" spans="1:9" hidden="1" outlineLevel="1">
      <c r="A1935" s="874" t="s">
        <v>198</v>
      </c>
      <c r="B1935" s="896">
        <f t="shared" si="74"/>
        <v>551993.21</v>
      </c>
      <c r="C1935" s="877">
        <v>0</v>
      </c>
      <c r="D1935" s="877">
        <v>0</v>
      </c>
      <c r="E1935" s="877">
        <v>0</v>
      </c>
      <c r="F1935" s="878">
        <f t="shared" si="75"/>
        <v>0</v>
      </c>
      <c r="G1935" s="811">
        <f t="shared" si="77"/>
        <v>0</v>
      </c>
      <c r="H1935" s="811">
        <f t="shared" si="77"/>
        <v>0</v>
      </c>
      <c r="I1935" s="895">
        <f t="shared" si="76"/>
        <v>551993.21</v>
      </c>
    </row>
    <row r="1936" spans="1:9" hidden="1" outlineLevel="1">
      <c r="A1936" s="873" t="s">
        <v>200</v>
      </c>
      <c r="B1936" s="896">
        <f t="shared" si="74"/>
        <v>260413.11</v>
      </c>
      <c r="C1936" s="877">
        <v>0</v>
      </c>
      <c r="D1936" s="877">
        <v>0</v>
      </c>
      <c r="E1936" s="877">
        <v>0</v>
      </c>
      <c r="F1936" s="878">
        <f t="shared" si="75"/>
        <v>0</v>
      </c>
      <c r="G1936" s="811">
        <f t="shared" ref="G1936:H1955" si="78">+IF(G1002=0,0,ROUND(G68*0.1312/100,2))</f>
        <v>0</v>
      </c>
      <c r="H1936" s="811">
        <f t="shared" si="78"/>
        <v>0</v>
      </c>
      <c r="I1936" s="895">
        <f t="shared" si="76"/>
        <v>260413.11</v>
      </c>
    </row>
    <row r="1937" spans="1:9" hidden="1" outlineLevel="1">
      <c r="A1937" s="874" t="s">
        <v>202</v>
      </c>
      <c r="B1937" s="896">
        <f t="shared" si="74"/>
        <v>1077191.81</v>
      </c>
      <c r="C1937" s="877">
        <v>0</v>
      </c>
      <c r="D1937" s="877">
        <v>0</v>
      </c>
      <c r="E1937" s="877">
        <v>0</v>
      </c>
      <c r="F1937" s="878">
        <f t="shared" si="75"/>
        <v>0</v>
      </c>
      <c r="G1937" s="811">
        <f t="shared" si="78"/>
        <v>0</v>
      </c>
      <c r="H1937" s="811">
        <f t="shared" si="78"/>
        <v>0</v>
      </c>
      <c r="I1937" s="895">
        <f t="shared" si="76"/>
        <v>1077191.81</v>
      </c>
    </row>
    <row r="1938" spans="1:9" hidden="1" outlineLevel="1">
      <c r="A1938" s="874" t="s">
        <v>204</v>
      </c>
      <c r="B1938" s="896">
        <f t="shared" si="74"/>
        <v>796212.19</v>
      </c>
      <c r="C1938" s="877">
        <v>0</v>
      </c>
      <c r="D1938" s="877">
        <v>0</v>
      </c>
      <c r="E1938" s="877">
        <v>0</v>
      </c>
      <c r="F1938" s="878">
        <f t="shared" si="75"/>
        <v>0</v>
      </c>
      <c r="G1938" s="811">
        <f t="shared" si="78"/>
        <v>0</v>
      </c>
      <c r="H1938" s="811">
        <f t="shared" si="78"/>
        <v>0</v>
      </c>
      <c r="I1938" s="895">
        <f t="shared" si="76"/>
        <v>796212.19</v>
      </c>
    </row>
    <row r="1939" spans="1:9" hidden="1" outlineLevel="1">
      <c r="A1939" s="873" t="s">
        <v>206</v>
      </c>
      <c r="B1939" s="896">
        <f t="shared" si="74"/>
        <v>5086.99</v>
      </c>
      <c r="C1939" s="877">
        <v>0</v>
      </c>
      <c r="D1939" s="877">
        <v>0</v>
      </c>
      <c r="E1939" s="877">
        <v>0</v>
      </c>
      <c r="F1939" s="878">
        <f t="shared" si="75"/>
        <v>0</v>
      </c>
      <c r="G1939" s="811">
        <f t="shared" si="78"/>
        <v>0</v>
      </c>
      <c r="H1939" s="811">
        <f t="shared" si="78"/>
        <v>0</v>
      </c>
      <c r="I1939" s="895">
        <f t="shared" si="76"/>
        <v>5086.99</v>
      </c>
    </row>
    <row r="1940" spans="1:9" hidden="1" outlineLevel="1">
      <c r="A1940" s="874" t="s">
        <v>208</v>
      </c>
      <c r="B1940" s="896">
        <f t="shared" ref="B1940:B1971" si="79">+IF(B1006=0,0,ROUND(B72*0.656/100,2))</f>
        <v>609392.22</v>
      </c>
      <c r="C1940" s="877">
        <v>0</v>
      </c>
      <c r="D1940" s="877">
        <v>0</v>
      </c>
      <c r="E1940" s="877">
        <v>0</v>
      </c>
      <c r="F1940" s="878">
        <f t="shared" ref="F1940:F1971" si="80">+IF(F1006=0,0,ROUND(F72*0.0656/100,2))</f>
        <v>0</v>
      </c>
      <c r="G1940" s="811">
        <f t="shared" si="78"/>
        <v>0</v>
      </c>
      <c r="H1940" s="811">
        <f t="shared" si="78"/>
        <v>0</v>
      </c>
      <c r="I1940" s="895">
        <f t="shared" ref="I1940:I1971" si="81">+SUM(B1940:H1940)</f>
        <v>609392.22</v>
      </c>
    </row>
    <row r="1941" spans="1:9" hidden="1" outlineLevel="1">
      <c r="A1941" s="874" t="s">
        <v>210</v>
      </c>
      <c r="B1941" s="896">
        <f t="shared" si="79"/>
        <v>380833.17</v>
      </c>
      <c r="C1941" s="877">
        <v>0</v>
      </c>
      <c r="D1941" s="877">
        <v>0</v>
      </c>
      <c r="E1941" s="877">
        <v>0</v>
      </c>
      <c r="F1941" s="878">
        <f t="shared" si="80"/>
        <v>0</v>
      </c>
      <c r="G1941" s="811">
        <f t="shared" si="78"/>
        <v>0</v>
      </c>
      <c r="H1941" s="811">
        <f t="shared" si="78"/>
        <v>0</v>
      </c>
      <c r="I1941" s="895">
        <f t="shared" si="81"/>
        <v>380833.17</v>
      </c>
    </row>
    <row r="1942" spans="1:9" hidden="1" outlineLevel="1">
      <c r="A1942" s="873" t="s">
        <v>212</v>
      </c>
      <c r="B1942" s="896">
        <f t="shared" si="79"/>
        <v>416193.93</v>
      </c>
      <c r="C1942" s="877">
        <v>0</v>
      </c>
      <c r="D1942" s="877">
        <v>0</v>
      </c>
      <c r="E1942" s="877">
        <v>0</v>
      </c>
      <c r="F1942" s="878">
        <f t="shared" si="80"/>
        <v>0</v>
      </c>
      <c r="G1942" s="811">
        <f t="shared" si="78"/>
        <v>0</v>
      </c>
      <c r="H1942" s="811">
        <f t="shared" si="78"/>
        <v>0</v>
      </c>
      <c r="I1942" s="895">
        <f t="shared" si="81"/>
        <v>416193.93</v>
      </c>
    </row>
    <row r="1943" spans="1:9" hidden="1" outlineLevel="1">
      <c r="A1943" s="874" t="s">
        <v>214</v>
      </c>
      <c r="B1943" s="896">
        <f t="shared" si="79"/>
        <v>762402.66</v>
      </c>
      <c r="C1943" s="877">
        <v>0</v>
      </c>
      <c r="D1943" s="877">
        <v>0</v>
      </c>
      <c r="E1943" s="877">
        <v>0</v>
      </c>
      <c r="F1943" s="878">
        <f t="shared" si="80"/>
        <v>0</v>
      </c>
      <c r="G1943" s="811">
        <f t="shared" si="78"/>
        <v>0</v>
      </c>
      <c r="H1943" s="811">
        <f t="shared" si="78"/>
        <v>0</v>
      </c>
      <c r="I1943" s="895">
        <f t="shared" si="81"/>
        <v>762402.66</v>
      </c>
    </row>
    <row r="1944" spans="1:9" hidden="1" outlineLevel="1">
      <c r="A1944" s="874" t="s">
        <v>216</v>
      </c>
      <c r="B1944" s="896">
        <f t="shared" si="79"/>
        <v>338877.57</v>
      </c>
      <c r="C1944" s="877">
        <v>0</v>
      </c>
      <c r="D1944" s="877">
        <v>0</v>
      </c>
      <c r="E1944" s="877">
        <v>0</v>
      </c>
      <c r="F1944" s="878">
        <f t="shared" si="80"/>
        <v>0</v>
      </c>
      <c r="G1944" s="811">
        <f t="shared" si="78"/>
        <v>0</v>
      </c>
      <c r="H1944" s="811">
        <f t="shared" si="78"/>
        <v>0</v>
      </c>
      <c r="I1944" s="895">
        <f t="shared" si="81"/>
        <v>338877.57</v>
      </c>
    </row>
    <row r="1945" spans="1:9" hidden="1" outlineLevel="1">
      <c r="A1945" s="873" t="s">
        <v>1856</v>
      </c>
      <c r="B1945" s="896">
        <f t="shared" si="79"/>
        <v>680246.19</v>
      </c>
      <c r="C1945" s="877">
        <v>0</v>
      </c>
      <c r="D1945" s="877">
        <v>0</v>
      </c>
      <c r="E1945" s="877">
        <v>0</v>
      </c>
      <c r="F1945" s="878">
        <f t="shared" si="80"/>
        <v>0</v>
      </c>
      <c r="G1945" s="811">
        <f t="shared" si="78"/>
        <v>0</v>
      </c>
      <c r="H1945" s="811">
        <f t="shared" si="78"/>
        <v>0</v>
      </c>
      <c r="I1945" s="895">
        <f t="shared" si="81"/>
        <v>680246.19</v>
      </c>
    </row>
    <row r="1946" spans="1:9" hidden="1" outlineLevel="1">
      <c r="A1946" s="874" t="s">
        <v>218</v>
      </c>
      <c r="B1946" s="896">
        <f t="shared" si="79"/>
        <v>1222212.43</v>
      </c>
      <c r="C1946" s="877">
        <v>0</v>
      </c>
      <c r="D1946" s="877">
        <v>0</v>
      </c>
      <c r="E1946" s="877">
        <v>0</v>
      </c>
      <c r="F1946" s="878">
        <f t="shared" si="80"/>
        <v>0</v>
      </c>
      <c r="G1946" s="811">
        <f t="shared" si="78"/>
        <v>0</v>
      </c>
      <c r="H1946" s="811">
        <f t="shared" si="78"/>
        <v>0</v>
      </c>
      <c r="I1946" s="895">
        <f t="shared" si="81"/>
        <v>1222212.43</v>
      </c>
    </row>
    <row r="1947" spans="1:9" hidden="1" outlineLevel="1">
      <c r="A1947" s="874" t="s">
        <v>220</v>
      </c>
      <c r="B1947" s="896">
        <f t="shared" si="79"/>
        <v>4249349.22</v>
      </c>
      <c r="C1947" s="877">
        <v>0</v>
      </c>
      <c r="D1947" s="877">
        <v>0</v>
      </c>
      <c r="E1947" s="877">
        <v>0</v>
      </c>
      <c r="F1947" s="878">
        <f t="shared" si="80"/>
        <v>0</v>
      </c>
      <c r="G1947" s="811">
        <f t="shared" si="78"/>
        <v>0</v>
      </c>
      <c r="H1947" s="811">
        <f t="shared" si="78"/>
        <v>0</v>
      </c>
      <c r="I1947" s="895">
        <f t="shared" si="81"/>
        <v>4249349.22</v>
      </c>
    </row>
    <row r="1948" spans="1:9" hidden="1" outlineLevel="1">
      <c r="A1948" s="873" t="s">
        <v>222</v>
      </c>
      <c r="B1948" s="896">
        <f t="shared" si="79"/>
        <v>338297.13</v>
      </c>
      <c r="C1948" s="877">
        <v>0</v>
      </c>
      <c r="D1948" s="877">
        <v>0</v>
      </c>
      <c r="E1948" s="877">
        <v>0</v>
      </c>
      <c r="F1948" s="878">
        <f t="shared" si="80"/>
        <v>0</v>
      </c>
      <c r="G1948" s="811">
        <f t="shared" si="78"/>
        <v>0</v>
      </c>
      <c r="H1948" s="811">
        <f t="shared" si="78"/>
        <v>0</v>
      </c>
      <c r="I1948" s="895">
        <f t="shared" si="81"/>
        <v>338297.13</v>
      </c>
    </row>
    <row r="1949" spans="1:9" hidden="1" outlineLevel="1">
      <c r="A1949" s="874" t="s">
        <v>224</v>
      </c>
      <c r="B1949" s="896">
        <f t="shared" si="79"/>
        <v>373282</v>
      </c>
      <c r="C1949" s="877">
        <v>0</v>
      </c>
      <c r="D1949" s="877">
        <v>0</v>
      </c>
      <c r="E1949" s="877">
        <v>0</v>
      </c>
      <c r="F1949" s="878">
        <f t="shared" si="80"/>
        <v>0</v>
      </c>
      <c r="G1949" s="811">
        <f t="shared" si="78"/>
        <v>0</v>
      </c>
      <c r="H1949" s="811">
        <f t="shared" si="78"/>
        <v>0</v>
      </c>
      <c r="I1949" s="895">
        <f t="shared" si="81"/>
        <v>373282</v>
      </c>
    </row>
    <row r="1950" spans="1:9" hidden="1" outlineLevel="1">
      <c r="A1950" s="874" t="s">
        <v>226</v>
      </c>
      <c r="B1950" s="896">
        <f t="shared" si="79"/>
        <v>218307.37</v>
      </c>
      <c r="C1950" s="877">
        <v>0</v>
      </c>
      <c r="D1950" s="877">
        <v>0</v>
      </c>
      <c r="E1950" s="877">
        <v>0</v>
      </c>
      <c r="F1950" s="878">
        <f t="shared" si="80"/>
        <v>0</v>
      </c>
      <c r="G1950" s="811">
        <f t="shared" si="78"/>
        <v>0</v>
      </c>
      <c r="H1950" s="811">
        <f t="shared" si="78"/>
        <v>0</v>
      </c>
      <c r="I1950" s="895">
        <f t="shared" si="81"/>
        <v>218307.37</v>
      </c>
    </row>
    <row r="1951" spans="1:9" hidden="1" outlineLevel="1">
      <c r="A1951" s="873" t="s">
        <v>228</v>
      </c>
      <c r="B1951" s="896">
        <f t="shared" si="79"/>
        <v>45038042.479999997</v>
      </c>
      <c r="C1951" s="877">
        <v>0</v>
      </c>
      <c r="D1951" s="877">
        <v>0</v>
      </c>
      <c r="E1951" s="877">
        <v>0</v>
      </c>
      <c r="F1951" s="878">
        <f t="shared" si="80"/>
        <v>0</v>
      </c>
      <c r="G1951" s="811">
        <f t="shared" si="78"/>
        <v>2559.66</v>
      </c>
      <c r="H1951" s="811">
        <f t="shared" si="78"/>
        <v>0</v>
      </c>
      <c r="I1951" s="895">
        <f t="shared" si="81"/>
        <v>45040602.139999993</v>
      </c>
    </row>
    <row r="1952" spans="1:9" hidden="1" outlineLevel="1">
      <c r="A1952" s="874" t="s">
        <v>230</v>
      </c>
      <c r="B1952" s="896">
        <f t="shared" si="79"/>
        <v>580596.44999999995</v>
      </c>
      <c r="C1952" s="877">
        <v>0</v>
      </c>
      <c r="D1952" s="877">
        <v>0</v>
      </c>
      <c r="E1952" s="877">
        <v>0</v>
      </c>
      <c r="F1952" s="878">
        <f t="shared" si="80"/>
        <v>0</v>
      </c>
      <c r="G1952" s="811">
        <f t="shared" si="78"/>
        <v>0</v>
      </c>
      <c r="H1952" s="811">
        <f t="shared" si="78"/>
        <v>0</v>
      </c>
      <c r="I1952" s="895">
        <f t="shared" si="81"/>
        <v>580596.44999999995</v>
      </c>
    </row>
    <row r="1953" spans="1:9" hidden="1" outlineLevel="1">
      <c r="A1953" s="874" t="s">
        <v>577</v>
      </c>
      <c r="B1953" s="896">
        <f t="shared" si="79"/>
        <v>1704411.53</v>
      </c>
      <c r="C1953" s="877">
        <v>0</v>
      </c>
      <c r="D1953" s="877">
        <v>0</v>
      </c>
      <c r="E1953" s="877">
        <v>0</v>
      </c>
      <c r="F1953" s="878">
        <f t="shared" si="80"/>
        <v>1624632.9</v>
      </c>
      <c r="G1953" s="811">
        <f t="shared" si="78"/>
        <v>0</v>
      </c>
      <c r="H1953" s="811">
        <f t="shared" si="78"/>
        <v>0</v>
      </c>
      <c r="I1953" s="895">
        <f t="shared" si="81"/>
        <v>3329044.4299999997</v>
      </c>
    </row>
    <row r="1954" spans="1:9" hidden="1" outlineLevel="1">
      <c r="A1954" s="873" t="s">
        <v>232</v>
      </c>
      <c r="B1954" s="896">
        <f t="shared" si="79"/>
        <v>403112.87</v>
      </c>
      <c r="C1954" s="877">
        <v>0</v>
      </c>
      <c r="D1954" s="877">
        <v>0</v>
      </c>
      <c r="E1954" s="877">
        <v>0</v>
      </c>
      <c r="F1954" s="878">
        <f t="shared" si="80"/>
        <v>0</v>
      </c>
      <c r="G1954" s="811">
        <f t="shared" si="78"/>
        <v>0</v>
      </c>
      <c r="H1954" s="811">
        <f t="shared" si="78"/>
        <v>0</v>
      </c>
      <c r="I1954" s="895">
        <f t="shared" si="81"/>
        <v>403112.87</v>
      </c>
    </row>
    <row r="1955" spans="1:9" hidden="1" outlineLevel="1">
      <c r="A1955" s="874" t="s">
        <v>234</v>
      </c>
      <c r="B1955" s="896">
        <f t="shared" si="79"/>
        <v>799327.07</v>
      </c>
      <c r="C1955" s="877">
        <v>0</v>
      </c>
      <c r="D1955" s="877">
        <v>0</v>
      </c>
      <c r="E1955" s="877">
        <v>0</v>
      </c>
      <c r="F1955" s="878">
        <f t="shared" si="80"/>
        <v>0</v>
      </c>
      <c r="G1955" s="811">
        <f t="shared" si="78"/>
        <v>0</v>
      </c>
      <c r="H1955" s="811">
        <f t="shared" si="78"/>
        <v>0</v>
      </c>
      <c r="I1955" s="895">
        <f t="shared" si="81"/>
        <v>799327.07</v>
      </c>
    </row>
    <row r="1956" spans="1:9" hidden="1" outlineLevel="1">
      <c r="A1956" s="874" t="s">
        <v>236</v>
      </c>
      <c r="B1956" s="896">
        <f t="shared" si="79"/>
        <v>180866.17</v>
      </c>
      <c r="C1956" s="877">
        <v>0</v>
      </c>
      <c r="D1956" s="877">
        <v>0</v>
      </c>
      <c r="E1956" s="877">
        <v>0</v>
      </c>
      <c r="F1956" s="878">
        <f t="shared" si="80"/>
        <v>0</v>
      </c>
      <c r="G1956" s="811">
        <f t="shared" ref="G1956:H1975" si="82">+IF(G1022=0,0,ROUND(G88*0.1312/100,2))</f>
        <v>0</v>
      </c>
      <c r="H1956" s="811">
        <f t="shared" si="82"/>
        <v>0</v>
      </c>
      <c r="I1956" s="895">
        <f t="shared" si="81"/>
        <v>180866.17</v>
      </c>
    </row>
    <row r="1957" spans="1:9" hidden="1" outlineLevel="1">
      <c r="A1957" s="873" t="s">
        <v>238</v>
      </c>
      <c r="B1957" s="896">
        <f t="shared" si="79"/>
        <v>3978308.94</v>
      </c>
      <c r="C1957" s="877">
        <v>0</v>
      </c>
      <c r="D1957" s="877">
        <v>0</v>
      </c>
      <c r="E1957" s="877">
        <v>0</v>
      </c>
      <c r="F1957" s="878">
        <f t="shared" si="80"/>
        <v>5108.25</v>
      </c>
      <c r="G1957" s="811">
        <f t="shared" si="82"/>
        <v>0</v>
      </c>
      <c r="H1957" s="811">
        <f t="shared" si="82"/>
        <v>0</v>
      </c>
      <c r="I1957" s="895">
        <f t="shared" si="81"/>
        <v>3983417.19</v>
      </c>
    </row>
    <row r="1958" spans="1:9" hidden="1" outlineLevel="1">
      <c r="A1958" s="874" t="s">
        <v>240</v>
      </c>
      <c r="B1958" s="896">
        <f t="shared" si="79"/>
        <v>260440.17</v>
      </c>
      <c r="C1958" s="877">
        <v>0</v>
      </c>
      <c r="D1958" s="877">
        <v>0</v>
      </c>
      <c r="E1958" s="877">
        <v>0</v>
      </c>
      <c r="F1958" s="878">
        <f t="shared" si="80"/>
        <v>0</v>
      </c>
      <c r="G1958" s="811">
        <f t="shared" si="82"/>
        <v>0</v>
      </c>
      <c r="H1958" s="811">
        <f t="shared" si="82"/>
        <v>0</v>
      </c>
      <c r="I1958" s="895">
        <f t="shared" si="81"/>
        <v>260440.17</v>
      </c>
    </row>
    <row r="1959" spans="1:9" hidden="1" outlineLevel="1">
      <c r="A1959" s="874" t="s">
        <v>242</v>
      </c>
      <c r="B1959" s="896">
        <f t="shared" si="79"/>
        <v>773800.83</v>
      </c>
      <c r="C1959" s="877">
        <v>0</v>
      </c>
      <c r="D1959" s="877">
        <v>0</v>
      </c>
      <c r="E1959" s="877">
        <v>0</v>
      </c>
      <c r="F1959" s="878">
        <f t="shared" si="80"/>
        <v>0</v>
      </c>
      <c r="G1959" s="811">
        <f t="shared" si="82"/>
        <v>0</v>
      </c>
      <c r="H1959" s="811">
        <f t="shared" si="82"/>
        <v>0</v>
      </c>
      <c r="I1959" s="895">
        <f t="shared" si="81"/>
        <v>773800.83</v>
      </c>
    </row>
    <row r="1960" spans="1:9" hidden="1" outlineLevel="1">
      <c r="A1960" s="873" t="s">
        <v>244</v>
      </c>
      <c r="B1960" s="896">
        <f t="shared" si="79"/>
        <v>530585.81999999995</v>
      </c>
      <c r="C1960" s="877">
        <v>0</v>
      </c>
      <c r="D1960" s="877">
        <v>0</v>
      </c>
      <c r="E1960" s="877">
        <v>0</v>
      </c>
      <c r="F1960" s="878">
        <f t="shared" si="80"/>
        <v>0</v>
      </c>
      <c r="G1960" s="811">
        <f t="shared" si="82"/>
        <v>0</v>
      </c>
      <c r="H1960" s="811">
        <f t="shared" si="82"/>
        <v>0</v>
      </c>
      <c r="I1960" s="895">
        <f t="shared" si="81"/>
        <v>530585.81999999995</v>
      </c>
    </row>
    <row r="1961" spans="1:9" hidden="1" outlineLevel="1">
      <c r="A1961" s="874" t="s">
        <v>246</v>
      </c>
      <c r="B1961" s="896">
        <f t="shared" si="79"/>
        <v>127860.59</v>
      </c>
      <c r="C1961" s="877">
        <v>0</v>
      </c>
      <c r="D1961" s="877">
        <v>0</v>
      </c>
      <c r="E1961" s="877">
        <v>0</v>
      </c>
      <c r="F1961" s="878">
        <f t="shared" si="80"/>
        <v>0</v>
      </c>
      <c r="G1961" s="811">
        <f t="shared" si="82"/>
        <v>0</v>
      </c>
      <c r="H1961" s="811">
        <f t="shared" si="82"/>
        <v>0</v>
      </c>
      <c r="I1961" s="895">
        <f t="shared" si="81"/>
        <v>127860.59</v>
      </c>
    </row>
    <row r="1962" spans="1:9" hidden="1" outlineLevel="1">
      <c r="A1962" s="874" t="s">
        <v>248</v>
      </c>
      <c r="B1962" s="896">
        <f t="shared" si="79"/>
        <v>1745925.36</v>
      </c>
      <c r="C1962" s="877">
        <v>0</v>
      </c>
      <c r="D1962" s="877">
        <v>0</v>
      </c>
      <c r="E1962" s="877">
        <v>0</v>
      </c>
      <c r="F1962" s="878">
        <f t="shared" si="80"/>
        <v>2988.71</v>
      </c>
      <c r="G1962" s="811">
        <f t="shared" si="82"/>
        <v>154.12</v>
      </c>
      <c r="H1962" s="811">
        <f t="shared" si="82"/>
        <v>0</v>
      </c>
      <c r="I1962" s="895">
        <f t="shared" si="81"/>
        <v>1749068.1900000002</v>
      </c>
    </row>
    <row r="1963" spans="1:9" hidden="1" outlineLevel="1">
      <c r="A1963" s="873" t="s">
        <v>250</v>
      </c>
      <c r="B1963" s="896">
        <f t="shared" si="79"/>
        <v>10604519.58</v>
      </c>
      <c r="C1963" s="877">
        <v>0</v>
      </c>
      <c r="D1963" s="877">
        <v>0</v>
      </c>
      <c r="E1963" s="877">
        <v>0</v>
      </c>
      <c r="F1963" s="878">
        <f t="shared" si="80"/>
        <v>36555.360000000001</v>
      </c>
      <c r="G1963" s="811">
        <f t="shared" si="82"/>
        <v>0</v>
      </c>
      <c r="H1963" s="811">
        <f t="shared" si="82"/>
        <v>0</v>
      </c>
      <c r="I1963" s="895">
        <f t="shared" si="81"/>
        <v>10641074.939999999</v>
      </c>
    </row>
    <row r="1964" spans="1:9" hidden="1" outlineLevel="1">
      <c r="A1964" s="874" t="s">
        <v>252</v>
      </c>
      <c r="B1964" s="896">
        <f t="shared" si="79"/>
        <v>4097886.03</v>
      </c>
      <c r="C1964" s="877">
        <v>0</v>
      </c>
      <c r="D1964" s="877">
        <v>0</v>
      </c>
      <c r="E1964" s="877">
        <v>0</v>
      </c>
      <c r="F1964" s="878">
        <f t="shared" si="80"/>
        <v>10339.74</v>
      </c>
      <c r="G1964" s="811">
        <f t="shared" si="82"/>
        <v>0</v>
      </c>
      <c r="H1964" s="811">
        <f t="shared" si="82"/>
        <v>0</v>
      </c>
      <c r="I1964" s="895">
        <f t="shared" si="81"/>
        <v>4108225.77</v>
      </c>
    </row>
    <row r="1965" spans="1:9" hidden="1" outlineLevel="1">
      <c r="A1965" s="874" t="s">
        <v>254</v>
      </c>
      <c r="B1965" s="896">
        <f t="shared" si="79"/>
        <v>1271387.27</v>
      </c>
      <c r="C1965" s="877">
        <v>0</v>
      </c>
      <c r="D1965" s="877">
        <v>0</v>
      </c>
      <c r="E1965" s="877">
        <v>0</v>
      </c>
      <c r="F1965" s="878">
        <f t="shared" si="80"/>
        <v>0</v>
      </c>
      <c r="G1965" s="811">
        <f t="shared" si="82"/>
        <v>0</v>
      </c>
      <c r="H1965" s="811">
        <f t="shared" si="82"/>
        <v>0</v>
      </c>
      <c r="I1965" s="895">
        <f t="shared" si="81"/>
        <v>1271387.27</v>
      </c>
    </row>
    <row r="1966" spans="1:9" hidden="1" outlineLevel="1">
      <c r="A1966" s="873" t="s">
        <v>256</v>
      </c>
      <c r="B1966" s="896">
        <f t="shared" si="79"/>
        <v>541221.12</v>
      </c>
      <c r="C1966" s="877">
        <v>0</v>
      </c>
      <c r="D1966" s="877">
        <v>0</v>
      </c>
      <c r="E1966" s="877">
        <v>0</v>
      </c>
      <c r="F1966" s="878">
        <f t="shared" si="80"/>
        <v>0</v>
      </c>
      <c r="G1966" s="811">
        <f t="shared" si="82"/>
        <v>0</v>
      </c>
      <c r="H1966" s="811">
        <f t="shared" si="82"/>
        <v>0</v>
      </c>
      <c r="I1966" s="895">
        <f t="shared" si="81"/>
        <v>541221.12</v>
      </c>
    </row>
    <row r="1967" spans="1:9" hidden="1" outlineLevel="1">
      <c r="A1967" s="874" t="s">
        <v>258</v>
      </c>
      <c r="B1967" s="896">
        <f t="shared" si="79"/>
        <v>598000.19999999995</v>
      </c>
      <c r="C1967" s="877">
        <v>0</v>
      </c>
      <c r="D1967" s="877">
        <v>0</v>
      </c>
      <c r="E1967" s="877">
        <v>0</v>
      </c>
      <c r="F1967" s="878">
        <f t="shared" si="80"/>
        <v>0</v>
      </c>
      <c r="G1967" s="811">
        <f t="shared" si="82"/>
        <v>0</v>
      </c>
      <c r="H1967" s="811">
        <f t="shared" si="82"/>
        <v>0</v>
      </c>
      <c r="I1967" s="895">
        <f t="shared" si="81"/>
        <v>598000.19999999995</v>
      </c>
    </row>
    <row r="1968" spans="1:9" hidden="1" outlineLevel="1">
      <c r="A1968" s="874" t="s">
        <v>260</v>
      </c>
      <c r="B1968" s="896">
        <f t="shared" si="79"/>
        <v>496424.76</v>
      </c>
      <c r="C1968" s="877">
        <v>0</v>
      </c>
      <c r="D1968" s="877">
        <v>0</v>
      </c>
      <c r="E1968" s="877">
        <v>0</v>
      </c>
      <c r="F1968" s="878">
        <f t="shared" si="80"/>
        <v>0</v>
      </c>
      <c r="G1968" s="811">
        <f t="shared" si="82"/>
        <v>0</v>
      </c>
      <c r="H1968" s="811">
        <f t="shared" si="82"/>
        <v>0</v>
      </c>
      <c r="I1968" s="895">
        <f t="shared" si="81"/>
        <v>496424.76</v>
      </c>
    </row>
    <row r="1969" spans="1:9" hidden="1" outlineLevel="1">
      <c r="A1969" s="873" t="s">
        <v>262</v>
      </c>
      <c r="B1969" s="896">
        <f t="shared" si="79"/>
        <v>763884.86</v>
      </c>
      <c r="C1969" s="877">
        <v>0</v>
      </c>
      <c r="D1969" s="877">
        <v>0</v>
      </c>
      <c r="E1969" s="877">
        <v>0</v>
      </c>
      <c r="F1969" s="878">
        <f t="shared" si="80"/>
        <v>0</v>
      </c>
      <c r="G1969" s="811">
        <f t="shared" si="82"/>
        <v>0</v>
      </c>
      <c r="H1969" s="811">
        <f t="shared" si="82"/>
        <v>0</v>
      </c>
      <c r="I1969" s="895">
        <f t="shared" si="81"/>
        <v>763884.86</v>
      </c>
    </row>
    <row r="1970" spans="1:9" hidden="1" outlineLevel="1">
      <c r="A1970" s="874" t="s">
        <v>264</v>
      </c>
      <c r="B1970" s="896">
        <f t="shared" si="79"/>
        <v>1662279.85</v>
      </c>
      <c r="C1970" s="877">
        <v>0</v>
      </c>
      <c r="D1970" s="877">
        <v>0</v>
      </c>
      <c r="E1970" s="877">
        <v>0</v>
      </c>
      <c r="F1970" s="878">
        <f t="shared" si="80"/>
        <v>0</v>
      </c>
      <c r="G1970" s="811">
        <f t="shared" si="82"/>
        <v>0</v>
      </c>
      <c r="H1970" s="811">
        <f t="shared" si="82"/>
        <v>0</v>
      </c>
      <c r="I1970" s="895">
        <f t="shared" si="81"/>
        <v>1662279.85</v>
      </c>
    </row>
    <row r="1971" spans="1:9" hidden="1" outlineLevel="1">
      <c r="A1971" s="874" t="s">
        <v>266</v>
      </c>
      <c r="B1971" s="896">
        <f t="shared" si="79"/>
        <v>1301056.3500000001</v>
      </c>
      <c r="C1971" s="877">
        <v>0</v>
      </c>
      <c r="D1971" s="877">
        <v>0</v>
      </c>
      <c r="E1971" s="877">
        <v>0</v>
      </c>
      <c r="F1971" s="878">
        <f t="shared" si="80"/>
        <v>2209.19</v>
      </c>
      <c r="G1971" s="811">
        <f t="shared" si="82"/>
        <v>0</v>
      </c>
      <c r="H1971" s="811">
        <f t="shared" si="82"/>
        <v>0</v>
      </c>
      <c r="I1971" s="895">
        <f t="shared" si="81"/>
        <v>1303265.54</v>
      </c>
    </row>
    <row r="1972" spans="1:9" hidden="1" outlineLevel="1">
      <c r="A1972" s="873" t="s">
        <v>268</v>
      </c>
      <c r="B1972" s="896">
        <f t="shared" ref="B1972:B2003" si="83">+IF(B1038=0,0,ROUND(B104*0.656/100,2))</f>
        <v>567615.81000000006</v>
      </c>
      <c r="C1972" s="877">
        <v>0</v>
      </c>
      <c r="D1972" s="877">
        <v>0</v>
      </c>
      <c r="E1972" s="877">
        <v>0</v>
      </c>
      <c r="F1972" s="878">
        <f t="shared" ref="F1972:F2003" si="84">+IF(F1038=0,0,ROUND(F104*0.0656/100,2))</f>
        <v>0</v>
      </c>
      <c r="G1972" s="811">
        <f t="shared" si="82"/>
        <v>0</v>
      </c>
      <c r="H1972" s="811">
        <f t="shared" si="82"/>
        <v>0</v>
      </c>
      <c r="I1972" s="895">
        <f t="shared" ref="I1972:I2003" si="85">+SUM(B1972:H1972)</f>
        <v>567615.81000000006</v>
      </c>
    </row>
    <row r="1973" spans="1:9" hidden="1" outlineLevel="1">
      <c r="A1973" s="874" t="s">
        <v>270</v>
      </c>
      <c r="B1973" s="896">
        <f t="shared" si="83"/>
        <v>301583.63</v>
      </c>
      <c r="C1973" s="877">
        <v>0</v>
      </c>
      <c r="D1973" s="877">
        <v>0</v>
      </c>
      <c r="E1973" s="877">
        <v>0</v>
      </c>
      <c r="F1973" s="878">
        <f t="shared" si="84"/>
        <v>0</v>
      </c>
      <c r="G1973" s="811">
        <f t="shared" si="82"/>
        <v>0</v>
      </c>
      <c r="H1973" s="811">
        <f t="shared" si="82"/>
        <v>0</v>
      </c>
      <c r="I1973" s="895">
        <f t="shared" si="85"/>
        <v>301583.63</v>
      </c>
    </row>
    <row r="1974" spans="1:9" hidden="1" outlineLevel="1">
      <c r="A1974" s="874" t="s">
        <v>272</v>
      </c>
      <c r="B1974" s="896">
        <f t="shared" si="83"/>
        <v>258064.66</v>
      </c>
      <c r="C1974" s="877">
        <v>0</v>
      </c>
      <c r="D1974" s="877">
        <v>0</v>
      </c>
      <c r="E1974" s="877">
        <v>0</v>
      </c>
      <c r="F1974" s="878">
        <f t="shared" si="84"/>
        <v>0</v>
      </c>
      <c r="G1974" s="811">
        <f t="shared" si="82"/>
        <v>0</v>
      </c>
      <c r="H1974" s="811">
        <f t="shared" si="82"/>
        <v>0</v>
      </c>
      <c r="I1974" s="895">
        <f t="shared" si="85"/>
        <v>258064.66</v>
      </c>
    </row>
    <row r="1975" spans="1:9" hidden="1" outlineLevel="1">
      <c r="A1975" s="873" t="s">
        <v>274</v>
      </c>
      <c r="B1975" s="896">
        <f t="shared" si="83"/>
        <v>345229.37</v>
      </c>
      <c r="C1975" s="877">
        <v>0</v>
      </c>
      <c r="D1975" s="877">
        <v>0</v>
      </c>
      <c r="E1975" s="877">
        <v>0</v>
      </c>
      <c r="F1975" s="878">
        <f t="shared" si="84"/>
        <v>0</v>
      </c>
      <c r="G1975" s="811">
        <f t="shared" si="82"/>
        <v>0</v>
      </c>
      <c r="H1975" s="811">
        <f t="shared" si="82"/>
        <v>0</v>
      </c>
      <c r="I1975" s="895">
        <f t="shared" si="85"/>
        <v>345229.37</v>
      </c>
    </row>
    <row r="1976" spans="1:9" hidden="1" outlineLevel="1">
      <c r="A1976" s="874" t="s">
        <v>276</v>
      </c>
      <c r="B1976" s="896">
        <f t="shared" si="83"/>
        <v>488105.93</v>
      </c>
      <c r="C1976" s="877">
        <v>0</v>
      </c>
      <c r="D1976" s="877">
        <v>0</v>
      </c>
      <c r="E1976" s="877">
        <v>0</v>
      </c>
      <c r="F1976" s="878">
        <f t="shared" si="84"/>
        <v>0</v>
      </c>
      <c r="G1976" s="811">
        <f t="shared" ref="G1976:H1995" si="86">+IF(G1042=0,0,ROUND(G108*0.1312/100,2))</f>
        <v>0</v>
      </c>
      <c r="H1976" s="811">
        <f t="shared" si="86"/>
        <v>0</v>
      </c>
      <c r="I1976" s="895">
        <f t="shared" si="85"/>
        <v>488105.93</v>
      </c>
    </row>
    <row r="1977" spans="1:9" hidden="1" outlineLevel="1">
      <c r="A1977" s="874" t="s">
        <v>278</v>
      </c>
      <c r="B1977" s="896">
        <f t="shared" si="83"/>
        <v>711418.38</v>
      </c>
      <c r="C1977" s="877">
        <v>0</v>
      </c>
      <c r="D1977" s="877">
        <v>0</v>
      </c>
      <c r="E1977" s="877">
        <v>0</v>
      </c>
      <c r="F1977" s="878">
        <f t="shared" si="84"/>
        <v>0</v>
      </c>
      <c r="G1977" s="811">
        <f t="shared" si="86"/>
        <v>0</v>
      </c>
      <c r="H1977" s="811">
        <f t="shared" si="86"/>
        <v>0</v>
      </c>
      <c r="I1977" s="895">
        <f t="shared" si="85"/>
        <v>711418.38</v>
      </c>
    </row>
    <row r="1978" spans="1:9" hidden="1" outlineLevel="1">
      <c r="A1978" s="873" t="s">
        <v>280</v>
      </c>
      <c r="B1978" s="896">
        <f t="shared" si="83"/>
        <v>1352526.92</v>
      </c>
      <c r="C1978" s="877">
        <v>0</v>
      </c>
      <c r="D1978" s="877">
        <v>0</v>
      </c>
      <c r="E1978" s="877">
        <v>0</v>
      </c>
      <c r="F1978" s="878">
        <f t="shared" si="84"/>
        <v>0</v>
      </c>
      <c r="G1978" s="811">
        <f t="shared" si="86"/>
        <v>0</v>
      </c>
      <c r="H1978" s="811">
        <f t="shared" si="86"/>
        <v>0</v>
      </c>
      <c r="I1978" s="895">
        <f t="shared" si="85"/>
        <v>1352526.92</v>
      </c>
    </row>
    <row r="1979" spans="1:9" hidden="1" outlineLevel="1">
      <c r="A1979" s="874" t="s">
        <v>1857</v>
      </c>
      <c r="B1979" s="896">
        <f t="shared" si="83"/>
        <v>217277.22</v>
      </c>
      <c r="C1979" s="877">
        <v>0</v>
      </c>
      <c r="D1979" s="877">
        <v>0</v>
      </c>
      <c r="E1979" s="877">
        <v>0</v>
      </c>
      <c r="F1979" s="878">
        <f t="shared" si="84"/>
        <v>0</v>
      </c>
      <c r="G1979" s="811">
        <f t="shared" si="86"/>
        <v>0</v>
      </c>
      <c r="H1979" s="811">
        <f t="shared" si="86"/>
        <v>0</v>
      </c>
      <c r="I1979" s="895">
        <f t="shared" si="85"/>
        <v>217277.22</v>
      </c>
    </row>
    <row r="1980" spans="1:9" hidden="1" outlineLevel="1">
      <c r="A1980" s="874" t="s">
        <v>282</v>
      </c>
      <c r="B1980" s="896">
        <f t="shared" si="83"/>
        <v>342184.33</v>
      </c>
      <c r="C1980" s="877">
        <v>0</v>
      </c>
      <c r="D1980" s="877">
        <v>0</v>
      </c>
      <c r="E1980" s="877">
        <v>0</v>
      </c>
      <c r="F1980" s="878">
        <f t="shared" si="84"/>
        <v>0</v>
      </c>
      <c r="G1980" s="811">
        <f t="shared" si="86"/>
        <v>0</v>
      </c>
      <c r="H1980" s="811">
        <f t="shared" si="86"/>
        <v>0</v>
      </c>
      <c r="I1980" s="895">
        <f t="shared" si="85"/>
        <v>342184.33</v>
      </c>
    </row>
    <row r="1981" spans="1:9" hidden="1" outlineLevel="1">
      <c r="A1981" s="873" t="s">
        <v>284</v>
      </c>
      <c r="B1981" s="896">
        <f t="shared" si="83"/>
        <v>428022.92</v>
      </c>
      <c r="C1981" s="877">
        <v>0</v>
      </c>
      <c r="D1981" s="877">
        <v>0</v>
      </c>
      <c r="E1981" s="877">
        <v>0</v>
      </c>
      <c r="F1981" s="878">
        <f t="shared" si="84"/>
        <v>0</v>
      </c>
      <c r="G1981" s="811">
        <f t="shared" si="86"/>
        <v>0</v>
      </c>
      <c r="H1981" s="811">
        <f t="shared" si="86"/>
        <v>0</v>
      </c>
      <c r="I1981" s="895">
        <f t="shared" si="85"/>
        <v>428022.92</v>
      </c>
    </row>
    <row r="1982" spans="1:9" hidden="1" outlineLevel="1">
      <c r="A1982" s="874" t="s">
        <v>286</v>
      </c>
      <c r="B1982" s="896">
        <f t="shared" si="83"/>
        <v>93415.06</v>
      </c>
      <c r="C1982" s="877">
        <v>0</v>
      </c>
      <c r="D1982" s="877">
        <v>0</v>
      </c>
      <c r="E1982" s="877">
        <v>0</v>
      </c>
      <c r="F1982" s="878">
        <f t="shared" si="84"/>
        <v>0</v>
      </c>
      <c r="G1982" s="811">
        <f t="shared" si="86"/>
        <v>0</v>
      </c>
      <c r="H1982" s="811">
        <f t="shared" si="86"/>
        <v>0</v>
      </c>
      <c r="I1982" s="895">
        <f t="shared" si="85"/>
        <v>93415.06</v>
      </c>
    </row>
    <row r="1983" spans="1:9" hidden="1" outlineLevel="1">
      <c r="A1983" s="874" t="s">
        <v>288</v>
      </c>
      <c r="B1983" s="896">
        <f t="shared" si="83"/>
        <v>949293.26</v>
      </c>
      <c r="C1983" s="877">
        <v>0</v>
      </c>
      <c r="D1983" s="877">
        <v>0</v>
      </c>
      <c r="E1983" s="877">
        <v>0</v>
      </c>
      <c r="F1983" s="878">
        <f t="shared" si="84"/>
        <v>0</v>
      </c>
      <c r="G1983" s="811">
        <f t="shared" si="86"/>
        <v>0</v>
      </c>
      <c r="H1983" s="811">
        <f t="shared" si="86"/>
        <v>0</v>
      </c>
      <c r="I1983" s="895">
        <f t="shared" si="85"/>
        <v>949293.26</v>
      </c>
    </row>
    <row r="1984" spans="1:9" hidden="1" outlineLevel="1">
      <c r="A1984" s="873" t="s">
        <v>290</v>
      </c>
      <c r="B1984" s="896">
        <f t="shared" si="83"/>
        <v>217861.59</v>
      </c>
      <c r="C1984" s="877">
        <v>0</v>
      </c>
      <c r="D1984" s="877">
        <v>0</v>
      </c>
      <c r="E1984" s="877">
        <v>0</v>
      </c>
      <c r="F1984" s="878">
        <f t="shared" si="84"/>
        <v>0</v>
      </c>
      <c r="G1984" s="811">
        <f t="shared" si="86"/>
        <v>0</v>
      </c>
      <c r="H1984" s="811">
        <f t="shared" si="86"/>
        <v>0</v>
      </c>
      <c r="I1984" s="895">
        <f t="shared" si="85"/>
        <v>217861.59</v>
      </c>
    </row>
    <row r="1985" spans="1:9" hidden="1" outlineLevel="1">
      <c r="A1985" s="874" t="s">
        <v>292</v>
      </c>
      <c r="B1985" s="896">
        <f t="shared" si="83"/>
        <v>177362.37</v>
      </c>
      <c r="C1985" s="877">
        <v>0</v>
      </c>
      <c r="D1985" s="877">
        <v>0</v>
      </c>
      <c r="E1985" s="877">
        <v>0</v>
      </c>
      <c r="F1985" s="878">
        <f t="shared" si="84"/>
        <v>0</v>
      </c>
      <c r="G1985" s="811">
        <f t="shared" si="86"/>
        <v>0</v>
      </c>
      <c r="H1985" s="811">
        <f t="shared" si="86"/>
        <v>0</v>
      </c>
      <c r="I1985" s="895">
        <f t="shared" si="85"/>
        <v>177362.37</v>
      </c>
    </row>
    <row r="1986" spans="1:9" hidden="1" outlineLevel="1">
      <c r="A1986" s="874" t="s">
        <v>294</v>
      </c>
      <c r="B1986" s="896">
        <f t="shared" si="83"/>
        <v>320821.94</v>
      </c>
      <c r="C1986" s="877">
        <v>0</v>
      </c>
      <c r="D1986" s="877">
        <v>0</v>
      </c>
      <c r="E1986" s="877">
        <v>0</v>
      </c>
      <c r="F1986" s="878">
        <f t="shared" si="84"/>
        <v>0</v>
      </c>
      <c r="G1986" s="811">
        <f t="shared" si="86"/>
        <v>0</v>
      </c>
      <c r="H1986" s="811">
        <f t="shared" si="86"/>
        <v>0</v>
      </c>
      <c r="I1986" s="895">
        <f t="shared" si="85"/>
        <v>320821.94</v>
      </c>
    </row>
    <row r="1987" spans="1:9" hidden="1" outlineLevel="1">
      <c r="A1987" s="873" t="s">
        <v>296</v>
      </c>
      <c r="B1987" s="896">
        <f t="shared" si="83"/>
        <v>606586.68000000005</v>
      </c>
      <c r="C1987" s="877">
        <v>0</v>
      </c>
      <c r="D1987" s="877">
        <v>0</v>
      </c>
      <c r="E1987" s="877">
        <v>0</v>
      </c>
      <c r="F1987" s="878">
        <f t="shared" si="84"/>
        <v>0</v>
      </c>
      <c r="G1987" s="811">
        <f t="shared" si="86"/>
        <v>0</v>
      </c>
      <c r="H1987" s="811">
        <f t="shared" si="86"/>
        <v>0</v>
      </c>
      <c r="I1987" s="895">
        <f t="shared" si="85"/>
        <v>606586.68000000005</v>
      </c>
    </row>
    <row r="1988" spans="1:9" hidden="1" outlineLevel="1">
      <c r="A1988" s="874" t="s">
        <v>298</v>
      </c>
      <c r="B1988" s="896">
        <f t="shared" si="83"/>
        <v>411618.67</v>
      </c>
      <c r="C1988" s="877">
        <v>0</v>
      </c>
      <c r="D1988" s="877">
        <v>0</v>
      </c>
      <c r="E1988" s="877">
        <v>0</v>
      </c>
      <c r="F1988" s="878">
        <f t="shared" si="84"/>
        <v>0</v>
      </c>
      <c r="G1988" s="811">
        <f t="shared" si="86"/>
        <v>0</v>
      </c>
      <c r="H1988" s="811">
        <f t="shared" si="86"/>
        <v>0</v>
      </c>
      <c r="I1988" s="895">
        <f t="shared" si="85"/>
        <v>411618.67</v>
      </c>
    </row>
    <row r="1989" spans="1:9" hidden="1" outlineLevel="1">
      <c r="A1989" s="874" t="s">
        <v>300</v>
      </c>
      <c r="B1989" s="896">
        <f t="shared" si="83"/>
        <v>1144594.1499999999</v>
      </c>
      <c r="C1989" s="877">
        <v>0</v>
      </c>
      <c r="D1989" s="877">
        <v>0</v>
      </c>
      <c r="E1989" s="877">
        <v>0</v>
      </c>
      <c r="F1989" s="878">
        <f t="shared" si="84"/>
        <v>0</v>
      </c>
      <c r="G1989" s="811">
        <f t="shared" si="86"/>
        <v>0</v>
      </c>
      <c r="H1989" s="811">
        <f t="shared" si="86"/>
        <v>0</v>
      </c>
      <c r="I1989" s="895">
        <f t="shared" si="85"/>
        <v>1144594.1499999999</v>
      </c>
    </row>
    <row r="1990" spans="1:9" hidden="1" outlineLevel="1">
      <c r="A1990" s="873" t="s">
        <v>302</v>
      </c>
      <c r="B1990" s="896">
        <f t="shared" si="83"/>
        <v>379531.67</v>
      </c>
      <c r="C1990" s="877">
        <v>0</v>
      </c>
      <c r="D1990" s="877">
        <v>0</v>
      </c>
      <c r="E1990" s="877">
        <v>0</v>
      </c>
      <c r="F1990" s="878">
        <f t="shared" si="84"/>
        <v>0</v>
      </c>
      <c r="G1990" s="811">
        <f t="shared" si="86"/>
        <v>0</v>
      </c>
      <c r="H1990" s="811">
        <f t="shared" si="86"/>
        <v>0</v>
      </c>
      <c r="I1990" s="895">
        <f t="shared" si="85"/>
        <v>379531.67</v>
      </c>
    </row>
    <row r="1991" spans="1:9" hidden="1" outlineLevel="1">
      <c r="A1991" s="874" t="s">
        <v>304</v>
      </c>
      <c r="B1991" s="896">
        <f t="shared" si="83"/>
        <v>887203.82</v>
      </c>
      <c r="C1991" s="877">
        <v>0</v>
      </c>
      <c r="D1991" s="877">
        <v>0</v>
      </c>
      <c r="E1991" s="877">
        <v>0</v>
      </c>
      <c r="F1991" s="878">
        <f t="shared" si="84"/>
        <v>0</v>
      </c>
      <c r="G1991" s="811">
        <f t="shared" si="86"/>
        <v>0</v>
      </c>
      <c r="H1991" s="811">
        <f t="shared" si="86"/>
        <v>0</v>
      </c>
      <c r="I1991" s="895">
        <f t="shared" si="85"/>
        <v>887203.82</v>
      </c>
    </row>
    <row r="1992" spans="1:9" hidden="1" outlineLevel="1">
      <c r="A1992" s="874" t="s">
        <v>306</v>
      </c>
      <c r="B1992" s="896">
        <f t="shared" si="83"/>
        <v>271530.58</v>
      </c>
      <c r="C1992" s="877">
        <v>0</v>
      </c>
      <c r="D1992" s="877">
        <v>0</v>
      </c>
      <c r="E1992" s="877">
        <v>0</v>
      </c>
      <c r="F1992" s="878">
        <f t="shared" si="84"/>
        <v>0</v>
      </c>
      <c r="G1992" s="811">
        <f t="shared" si="86"/>
        <v>0</v>
      </c>
      <c r="H1992" s="811">
        <f t="shared" si="86"/>
        <v>0</v>
      </c>
      <c r="I1992" s="895">
        <f t="shared" si="85"/>
        <v>271530.58</v>
      </c>
    </row>
    <row r="1993" spans="1:9" hidden="1" outlineLevel="1">
      <c r="A1993" s="873" t="s">
        <v>308</v>
      </c>
      <c r="B1993" s="896">
        <f t="shared" si="83"/>
        <v>562729.93999999994</v>
      </c>
      <c r="C1993" s="877">
        <v>0</v>
      </c>
      <c r="D1993" s="877">
        <v>0</v>
      </c>
      <c r="E1993" s="877">
        <v>0</v>
      </c>
      <c r="F1993" s="878">
        <f t="shared" si="84"/>
        <v>0</v>
      </c>
      <c r="G1993" s="811">
        <f t="shared" si="86"/>
        <v>0</v>
      </c>
      <c r="H1993" s="811">
        <f t="shared" si="86"/>
        <v>0</v>
      </c>
      <c r="I1993" s="895">
        <f t="shared" si="85"/>
        <v>562729.93999999994</v>
      </c>
    </row>
    <row r="1994" spans="1:9" hidden="1" outlineLevel="1">
      <c r="A1994" s="874" t="s">
        <v>310</v>
      </c>
      <c r="B1994" s="896">
        <f t="shared" si="83"/>
        <v>44346517.630000003</v>
      </c>
      <c r="C1994" s="877">
        <v>0</v>
      </c>
      <c r="D1994" s="877">
        <v>0</v>
      </c>
      <c r="E1994" s="877">
        <v>0</v>
      </c>
      <c r="F1994" s="878">
        <f t="shared" si="84"/>
        <v>93782.6</v>
      </c>
      <c r="G1994" s="811">
        <f t="shared" si="86"/>
        <v>0</v>
      </c>
      <c r="H1994" s="811">
        <f t="shared" si="86"/>
        <v>8876.5499999999993</v>
      </c>
      <c r="I1994" s="895">
        <f t="shared" si="85"/>
        <v>44449176.780000001</v>
      </c>
    </row>
    <row r="1995" spans="1:9" hidden="1" outlineLevel="1">
      <c r="A1995" s="874" t="s">
        <v>312</v>
      </c>
      <c r="B1995" s="896">
        <f t="shared" si="83"/>
        <v>13465817.01</v>
      </c>
      <c r="C1995" s="877">
        <v>0</v>
      </c>
      <c r="D1995" s="877">
        <v>0</v>
      </c>
      <c r="E1995" s="877">
        <v>0</v>
      </c>
      <c r="F1995" s="878">
        <f t="shared" si="84"/>
        <v>0</v>
      </c>
      <c r="G1995" s="811">
        <f t="shared" si="86"/>
        <v>0</v>
      </c>
      <c r="H1995" s="811">
        <f t="shared" si="86"/>
        <v>0</v>
      </c>
      <c r="I1995" s="895">
        <f t="shared" si="85"/>
        <v>13465817.01</v>
      </c>
    </row>
    <row r="1996" spans="1:9" hidden="1" outlineLevel="1">
      <c r="A1996" s="873" t="s">
        <v>314</v>
      </c>
      <c r="B1996" s="896">
        <f t="shared" si="83"/>
        <v>520049.48</v>
      </c>
      <c r="C1996" s="877">
        <v>0</v>
      </c>
      <c r="D1996" s="877">
        <v>0</v>
      </c>
      <c r="E1996" s="877">
        <v>0</v>
      </c>
      <c r="F1996" s="878">
        <f t="shared" si="84"/>
        <v>0</v>
      </c>
      <c r="G1996" s="811">
        <f t="shared" ref="G1996:H2015" si="87">+IF(G1062=0,0,ROUND(G128*0.1312/100,2))</f>
        <v>0</v>
      </c>
      <c r="H1996" s="811">
        <f t="shared" si="87"/>
        <v>0</v>
      </c>
      <c r="I1996" s="895">
        <f t="shared" si="85"/>
        <v>520049.48</v>
      </c>
    </row>
    <row r="1997" spans="1:9" hidden="1" outlineLevel="1">
      <c r="A1997" s="874" t="s">
        <v>316</v>
      </c>
      <c r="B1997" s="896">
        <f t="shared" si="83"/>
        <v>19519644.870000001</v>
      </c>
      <c r="C1997" s="877">
        <v>0</v>
      </c>
      <c r="D1997" s="877">
        <v>0</v>
      </c>
      <c r="E1997" s="877">
        <v>0</v>
      </c>
      <c r="F1997" s="878">
        <f t="shared" si="84"/>
        <v>0</v>
      </c>
      <c r="G1997" s="811">
        <f t="shared" si="87"/>
        <v>0</v>
      </c>
      <c r="H1997" s="811">
        <f t="shared" si="87"/>
        <v>0</v>
      </c>
      <c r="I1997" s="895">
        <f t="shared" si="85"/>
        <v>19519644.870000001</v>
      </c>
    </row>
    <row r="1998" spans="1:9" hidden="1" outlineLevel="1">
      <c r="A1998" s="874" t="s">
        <v>318</v>
      </c>
      <c r="B1998" s="896">
        <f t="shared" si="83"/>
        <v>1414388.28</v>
      </c>
      <c r="C1998" s="877">
        <v>0</v>
      </c>
      <c r="D1998" s="877">
        <v>0</v>
      </c>
      <c r="E1998" s="877">
        <v>0</v>
      </c>
      <c r="F1998" s="878">
        <f t="shared" si="84"/>
        <v>1183.8399999999999</v>
      </c>
      <c r="G1998" s="811">
        <f t="shared" si="87"/>
        <v>0</v>
      </c>
      <c r="H1998" s="811">
        <f t="shared" si="87"/>
        <v>0</v>
      </c>
      <c r="I1998" s="895">
        <f t="shared" si="85"/>
        <v>1415572.12</v>
      </c>
    </row>
    <row r="1999" spans="1:9" hidden="1" outlineLevel="1">
      <c r="A1999" s="873" t="s">
        <v>320</v>
      </c>
      <c r="B1999" s="896">
        <f t="shared" si="83"/>
        <v>242043.15</v>
      </c>
      <c r="C1999" s="877">
        <v>0</v>
      </c>
      <c r="D1999" s="877">
        <v>0</v>
      </c>
      <c r="E1999" s="877">
        <v>0</v>
      </c>
      <c r="F1999" s="878">
        <f t="shared" si="84"/>
        <v>0</v>
      </c>
      <c r="G1999" s="811">
        <f t="shared" si="87"/>
        <v>0</v>
      </c>
      <c r="H1999" s="811">
        <f t="shared" si="87"/>
        <v>0</v>
      </c>
      <c r="I1999" s="895">
        <f t="shared" si="85"/>
        <v>242043.15</v>
      </c>
    </row>
    <row r="2000" spans="1:9" hidden="1" outlineLevel="1">
      <c r="A2000" s="874" t="s">
        <v>322</v>
      </c>
      <c r="B2000" s="896">
        <f t="shared" si="83"/>
        <v>171288.81</v>
      </c>
      <c r="C2000" s="877">
        <v>0</v>
      </c>
      <c r="D2000" s="877">
        <v>0</v>
      </c>
      <c r="E2000" s="877">
        <v>0</v>
      </c>
      <c r="F2000" s="878">
        <f t="shared" si="84"/>
        <v>0</v>
      </c>
      <c r="G2000" s="811">
        <f t="shared" si="87"/>
        <v>0</v>
      </c>
      <c r="H2000" s="811">
        <f t="shared" si="87"/>
        <v>0</v>
      </c>
      <c r="I2000" s="895">
        <f t="shared" si="85"/>
        <v>171288.81</v>
      </c>
    </row>
    <row r="2001" spans="1:9" hidden="1" outlineLevel="1">
      <c r="A2001" s="874" t="s">
        <v>324</v>
      </c>
      <c r="B2001" s="896">
        <f t="shared" si="83"/>
        <v>35360.699999999997</v>
      </c>
      <c r="C2001" s="877">
        <v>0</v>
      </c>
      <c r="D2001" s="877">
        <v>0</v>
      </c>
      <c r="E2001" s="877">
        <v>0</v>
      </c>
      <c r="F2001" s="878">
        <f t="shared" si="84"/>
        <v>0</v>
      </c>
      <c r="G2001" s="811">
        <f t="shared" si="87"/>
        <v>0</v>
      </c>
      <c r="H2001" s="811">
        <f t="shared" si="87"/>
        <v>0</v>
      </c>
      <c r="I2001" s="895">
        <f t="shared" si="85"/>
        <v>35360.699999999997</v>
      </c>
    </row>
    <row r="2002" spans="1:9" hidden="1" outlineLevel="1">
      <c r="A2002" s="873" t="s">
        <v>326</v>
      </c>
      <c r="B2002" s="896">
        <f t="shared" si="83"/>
        <v>632779.81000000006</v>
      </c>
      <c r="C2002" s="877">
        <v>0</v>
      </c>
      <c r="D2002" s="877">
        <v>0</v>
      </c>
      <c r="E2002" s="877">
        <v>0</v>
      </c>
      <c r="F2002" s="878">
        <f t="shared" si="84"/>
        <v>0</v>
      </c>
      <c r="G2002" s="811">
        <f t="shared" si="87"/>
        <v>0</v>
      </c>
      <c r="H2002" s="811">
        <f t="shared" si="87"/>
        <v>0</v>
      </c>
      <c r="I2002" s="895">
        <f t="shared" si="85"/>
        <v>632779.81000000006</v>
      </c>
    </row>
    <row r="2003" spans="1:9" hidden="1" outlineLevel="1">
      <c r="A2003" s="874" t="s">
        <v>328</v>
      </c>
      <c r="B2003" s="896">
        <f t="shared" si="83"/>
        <v>464232.86</v>
      </c>
      <c r="C2003" s="877">
        <v>0</v>
      </c>
      <c r="D2003" s="877">
        <v>0</v>
      </c>
      <c r="E2003" s="877">
        <v>0</v>
      </c>
      <c r="F2003" s="878">
        <f t="shared" si="84"/>
        <v>0</v>
      </c>
      <c r="G2003" s="811">
        <f t="shared" si="87"/>
        <v>0</v>
      </c>
      <c r="H2003" s="811">
        <f t="shared" si="87"/>
        <v>0</v>
      </c>
      <c r="I2003" s="895">
        <f t="shared" si="85"/>
        <v>464232.86</v>
      </c>
    </row>
    <row r="2004" spans="1:9" hidden="1" outlineLevel="1">
      <c r="A2004" s="874" t="s">
        <v>330</v>
      </c>
      <c r="B2004" s="896">
        <f t="shared" ref="B2004:B2035" si="88">+IF(B1070=0,0,ROUND(B136*0.656/100,2))</f>
        <v>285573.8</v>
      </c>
      <c r="C2004" s="877">
        <v>0</v>
      </c>
      <c r="D2004" s="877">
        <v>0</v>
      </c>
      <c r="E2004" s="877">
        <v>0</v>
      </c>
      <c r="F2004" s="878">
        <f t="shared" ref="F2004:F2035" si="89">+IF(F1070=0,0,ROUND(F136*0.0656/100,2))</f>
        <v>0</v>
      </c>
      <c r="G2004" s="811">
        <f t="shared" si="87"/>
        <v>0</v>
      </c>
      <c r="H2004" s="811">
        <f t="shared" si="87"/>
        <v>0</v>
      </c>
      <c r="I2004" s="895">
        <f t="shared" ref="I2004:I2035" si="90">+SUM(B2004:H2004)</f>
        <v>285573.8</v>
      </c>
    </row>
    <row r="2005" spans="1:9" hidden="1" outlineLevel="1">
      <c r="A2005" s="873" t="s">
        <v>1858</v>
      </c>
      <c r="B2005" s="896">
        <f t="shared" si="88"/>
        <v>1260361.67</v>
      </c>
      <c r="C2005" s="877">
        <v>0</v>
      </c>
      <c r="D2005" s="877">
        <v>0</v>
      </c>
      <c r="E2005" s="877">
        <v>0</v>
      </c>
      <c r="F2005" s="878">
        <f t="shared" si="89"/>
        <v>0</v>
      </c>
      <c r="G2005" s="811">
        <f t="shared" si="87"/>
        <v>0</v>
      </c>
      <c r="H2005" s="811">
        <f t="shared" si="87"/>
        <v>0</v>
      </c>
      <c r="I2005" s="895">
        <f t="shared" si="90"/>
        <v>1260361.67</v>
      </c>
    </row>
    <row r="2006" spans="1:9" hidden="1" outlineLevel="1">
      <c r="A2006" s="874" t="s">
        <v>332</v>
      </c>
      <c r="B2006" s="896">
        <f t="shared" si="88"/>
        <v>223530.19</v>
      </c>
      <c r="C2006" s="877">
        <v>0</v>
      </c>
      <c r="D2006" s="877">
        <v>0</v>
      </c>
      <c r="E2006" s="877">
        <v>0</v>
      </c>
      <c r="F2006" s="878">
        <f t="shared" si="89"/>
        <v>0</v>
      </c>
      <c r="G2006" s="811">
        <f t="shared" si="87"/>
        <v>0</v>
      </c>
      <c r="H2006" s="811">
        <f t="shared" si="87"/>
        <v>0</v>
      </c>
      <c r="I2006" s="895">
        <f t="shared" si="90"/>
        <v>223530.19</v>
      </c>
    </row>
    <row r="2007" spans="1:9" hidden="1" outlineLevel="1">
      <c r="A2007" s="874" t="s">
        <v>334</v>
      </c>
      <c r="B2007" s="896">
        <f t="shared" si="88"/>
        <v>8660.9699999999993</v>
      </c>
      <c r="C2007" s="877">
        <v>0</v>
      </c>
      <c r="D2007" s="877">
        <v>0</v>
      </c>
      <c r="E2007" s="877">
        <v>0</v>
      </c>
      <c r="F2007" s="878">
        <f t="shared" si="89"/>
        <v>0</v>
      </c>
      <c r="G2007" s="811">
        <f t="shared" si="87"/>
        <v>0</v>
      </c>
      <c r="H2007" s="811">
        <f t="shared" si="87"/>
        <v>0</v>
      </c>
      <c r="I2007" s="895">
        <f t="shared" si="90"/>
        <v>8660.9699999999993</v>
      </c>
    </row>
    <row r="2008" spans="1:9" hidden="1" outlineLevel="1">
      <c r="A2008" s="873" t="s">
        <v>336</v>
      </c>
      <c r="B2008" s="896">
        <f t="shared" si="88"/>
        <v>449078.46</v>
      </c>
      <c r="C2008" s="877">
        <v>0</v>
      </c>
      <c r="D2008" s="877">
        <v>0</v>
      </c>
      <c r="E2008" s="877">
        <v>0</v>
      </c>
      <c r="F2008" s="878">
        <f t="shared" si="89"/>
        <v>0</v>
      </c>
      <c r="G2008" s="811">
        <f t="shared" si="87"/>
        <v>0</v>
      </c>
      <c r="H2008" s="811">
        <f t="shared" si="87"/>
        <v>0</v>
      </c>
      <c r="I2008" s="895">
        <f t="shared" si="90"/>
        <v>449078.46</v>
      </c>
    </row>
    <row r="2009" spans="1:9" hidden="1" outlineLevel="1">
      <c r="A2009" s="874" t="s">
        <v>338</v>
      </c>
      <c r="B2009" s="896">
        <f t="shared" si="88"/>
        <v>135269.70000000001</v>
      </c>
      <c r="C2009" s="877">
        <v>0</v>
      </c>
      <c r="D2009" s="877">
        <v>0</v>
      </c>
      <c r="E2009" s="877">
        <v>0</v>
      </c>
      <c r="F2009" s="878">
        <f t="shared" si="89"/>
        <v>0</v>
      </c>
      <c r="G2009" s="811">
        <f t="shared" si="87"/>
        <v>0</v>
      </c>
      <c r="H2009" s="811">
        <f t="shared" si="87"/>
        <v>0</v>
      </c>
      <c r="I2009" s="895">
        <f t="shared" si="90"/>
        <v>135269.70000000001</v>
      </c>
    </row>
    <row r="2010" spans="1:9" hidden="1" outlineLevel="1">
      <c r="A2010" s="874" t="s">
        <v>340</v>
      </c>
      <c r="B2010" s="896">
        <f t="shared" si="88"/>
        <v>564010.51</v>
      </c>
      <c r="C2010" s="877">
        <v>0</v>
      </c>
      <c r="D2010" s="877">
        <v>0</v>
      </c>
      <c r="E2010" s="877">
        <v>0</v>
      </c>
      <c r="F2010" s="878">
        <f t="shared" si="89"/>
        <v>0</v>
      </c>
      <c r="G2010" s="811">
        <f t="shared" si="87"/>
        <v>0</v>
      </c>
      <c r="H2010" s="811">
        <f t="shared" si="87"/>
        <v>0</v>
      </c>
      <c r="I2010" s="895">
        <f t="shared" si="90"/>
        <v>564010.51</v>
      </c>
    </row>
    <row r="2011" spans="1:9" hidden="1" outlineLevel="1">
      <c r="A2011" s="873" t="s">
        <v>342</v>
      </c>
      <c r="B2011" s="896">
        <f t="shared" si="88"/>
        <v>263134.8</v>
      </c>
      <c r="C2011" s="877">
        <v>0</v>
      </c>
      <c r="D2011" s="877">
        <v>0</v>
      </c>
      <c r="E2011" s="877">
        <v>0</v>
      </c>
      <c r="F2011" s="878">
        <f t="shared" si="89"/>
        <v>0</v>
      </c>
      <c r="G2011" s="811">
        <f t="shared" si="87"/>
        <v>0</v>
      </c>
      <c r="H2011" s="811">
        <f t="shared" si="87"/>
        <v>0</v>
      </c>
      <c r="I2011" s="895">
        <f t="shared" si="90"/>
        <v>263134.8</v>
      </c>
    </row>
    <row r="2012" spans="1:9" hidden="1" outlineLevel="1">
      <c r="A2012" s="874" t="s">
        <v>344</v>
      </c>
      <c r="B2012" s="896">
        <f t="shared" si="88"/>
        <v>808075</v>
      </c>
      <c r="C2012" s="877">
        <v>0</v>
      </c>
      <c r="D2012" s="877">
        <v>0</v>
      </c>
      <c r="E2012" s="877">
        <v>0</v>
      </c>
      <c r="F2012" s="878">
        <f t="shared" si="89"/>
        <v>0</v>
      </c>
      <c r="G2012" s="811">
        <f t="shared" si="87"/>
        <v>0</v>
      </c>
      <c r="H2012" s="811">
        <f t="shared" si="87"/>
        <v>0</v>
      </c>
      <c r="I2012" s="895">
        <f t="shared" si="90"/>
        <v>808075</v>
      </c>
    </row>
    <row r="2013" spans="1:9" hidden="1" outlineLevel="1">
      <c r="A2013" s="874" t="s">
        <v>346</v>
      </c>
      <c r="B2013" s="896">
        <f t="shared" si="88"/>
        <v>1332625.05</v>
      </c>
      <c r="C2013" s="877">
        <v>0</v>
      </c>
      <c r="D2013" s="877">
        <v>0</v>
      </c>
      <c r="E2013" s="877">
        <v>0</v>
      </c>
      <c r="F2013" s="878">
        <f t="shared" si="89"/>
        <v>748.05</v>
      </c>
      <c r="G2013" s="811">
        <f t="shared" si="87"/>
        <v>0</v>
      </c>
      <c r="H2013" s="811">
        <f t="shared" si="87"/>
        <v>0</v>
      </c>
      <c r="I2013" s="895">
        <f t="shared" si="90"/>
        <v>1333373.1000000001</v>
      </c>
    </row>
    <row r="2014" spans="1:9" hidden="1" outlineLevel="1">
      <c r="A2014" s="873" t="s">
        <v>348</v>
      </c>
      <c r="B2014" s="896">
        <f t="shared" si="88"/>
        <v>174394.6</v>
      </c>
      <c r="C2014" s="877">
        <v>0</v>
      </c>
      <c r="D2014" s="877">
        <v>0</v>
      </c>
      <c r="E2014" s="877">
        <v>0</v>
      </c>
      <c r="F2014" s="878">
        <f t="shared" si="89"/>
        <v>0</v>
      </c>
      <c r="G2014" s="811">
        <f t="shared" si="87"/>
        <v>0</v>
      </c>
      <c r="H2014" s="811">
        <f t="shared" si="87"/>
        <v>0</v>
      </c>
      <c r="I2014" s="895">
        <f t="shared" si="90"/>
        <v>174394.6</v>
      </c>
    </row>
    <row r="2015" spans="1:9" hidden="1" outlineLevel="1">
      <c r="A2015" s="874" t="s">
        <v>350</v>
      </c>
      <c r="B2015" s="896">
        <f t="shared" si="88"/>
        <v>439284.86</v>
      </c>
      <c r="C2015" s="877">
        <v>0</v>
      </c>
      <c r="D2015" s="877">
        <v>0</v>
      </c>
      <c r="E2015" s="877">
        <v>0</v>
      </c>
      <c r="F2015" s="878">
        <f t="shared" si="89"/>
        <v>0</v>
      </c>
      <c r="G2015" s="811">
        <f t="shared" si="87"/>
        <v>0</v>
      </c>
      <c r="H2015" s="811">
        <f t="shared" si="87"/>
        <v>0</v>
      </c>
      <c r="I2015" s="895">
        <f t="shared" si="90"/>
        <v>439284.86</v>
      </c>
    </row>
    <row r="2016" spans="1:9" hidden="1" outlineLevel="1">
      <c r="A2016" s="874" t="s">
        <v>352</v>
      </c>
      <c r="B2016" s="896">
        <f t="shared" si="88"/>
        <v>69084955.950000003</v>
      </c>
      <c r="C2016" s="877">
        <v>0</v>
      </c>
      <c r="D2016" s="877">
        <v>0</v>
      </c>
      <c r="E2016" s="877">
        <v>0</v>
      </c>
      <c r="F2016" s="878">
        <f t="shared" si="89"/>
        <v>510151.38</v>
      </c>
      <c r="G2016" s="811">
        <f t="shared" ref="G2016:H2035" si="91">+IF(G1082=0,0,ROUND(G148*0.1312/100,2))</f>
        <v>4546.6099999999997</v>
      </c>
      <c r="H2016" s="811">
        <f t="shared" si="91"/>
        <v>0</v>
      </c>
      <c r="I2016" s="895">
        <f t="shared" si="90"/>
        <v>69599653.939999998</v>
      </c>
    </row>
    <row r="2017" spans="1:9" hidden="1" outlineLevel="1">
      <c r="A2017" s="873" t="s">
        <v>354</v>
      </c>
      <c r="B2017" s="896">
        <f t="shared" si="88"/>
        <v>390296.78</v>
      </c>
      <c r="C2017" s="877">
        <v>0</v>
      </c>
      <c r="D2017" s="877">
        <v>0</v>
      </c>
      <c r="E2017" s="877">
        <v>0</v>
      </c>
      <c r="F2017" s="878">
        <f t="shared" si="89"/>
        <v>0</v>
      </c>
      <c r="G2017" s="811">
        <f t="shared" si="91"/>
        <v>0</v>
      </c>
      <c r="H2017" s="811">
        <f t="shared" si="91"/>
        <v>0</v>
      </c>
      <c r="I2017" s="895">
        <f t="shared" si="90"/>
        <v>390296.78</v>
      </c>
    </row>
    <row r="2018" spans="1:9" hidden="1" outlineLevel="1">
      <c r="A2018" s="874" t="s">
        <v>356</v>
      </c>
      <c r="B2018" s="896">
        <f t="shared" si="88"/>
        <v>55005.34</v>
      </c>
      <c r="C2018" s="877">
        <v>0</v>
      </c>
      <c r="D2018" s="877">
        <v>0</v>
      </c>
      <c r="E2018" s="877">
        <v>0</v>
      </c>
      <c r="F2018" s="878">
        <f t="shared" si="89"/>
        <v>0</v>
      </c>
      <c r="G2018" s="811">
        <f t="shared" si="91"/>
        <v>0</v>
      </c>
      <c r="H2018" s="811">
        <f t="shared" si="91"/>
        <v>0</v>
      </c>
      <c r="I2018" s="895">
        <f t="shared" si="90"/>
        <v>55005.34</v>
      </c>
    </row>
    <row r="2019" spans="1:9" hidden="1" outlineLevel="1">
      <c r="A2019" s="874" t="s">
        <v>358</v>
      </c>
      <c r="B2019" s="896">
        <f t="shared" si="88"/>
        <v>12846336.65</v>
      </c>
      <c r="C2019" s="877">
        <v>0</v>
      </c>
      <c r="D2019" s="877">
        <v>0</v>
      </c>
      <c r="E2019" s="877">
        <v>0</v>
      </c>
      <c r="F2019" s="878">
        <f t="shared" si="89"/>
        <v>27506.94</v>
      </c>
      <c r="G2019" s="811">
        <f t="shared" si="91"/>
        <v>3504.53</v>
      </c>
      <c r="H2019" s="811">
        <f t="shared" si="91"/>
        <v>0</v>
      </c>
      <c r="I2019" s="895">
        <f t="shared" si="90"/>
        <v>12877348.119999999</v>
      </c>
    </row>
    <row r="2020" spans="1:9" hidden="1" outlineLevel="1">
      <c r="A2020" s="873" t="s">
        <v>360</v>
      </c>
      <c r="B2020" s="896">
        <f t="shared" si="88"/>
        <v>5995.47</v>
      </c>
      <c r="C2020" s="877">
        <v>0</v>
      </c>
      <c r="D2020" s="877">
        <v>0</v>
      </c>
      <c r="E2020" s="877">
        <v>0</v>
      </c>
      <c r="F2020" s="878">
        <f t="shared" si="89"/>
        <v>0</v>
      </c>
      <c r="G2020" s="811">
        <f t="shared" si="91"/>
        <v>0</v>
      </c>
      <c r="H2020" s="811">
        <f t="shared" si="91"/>
        <v>0</v>
      </c>
      <c r="I2020" s="895">
        <f t="shared" si="90"/>
        <v>5995.47</v>
      </c>
    </row>
    <row r="2021" spans="1:9" hidden="1" outlineLevel="1">
      <c r="A2021" s="874" t="s">
        <v>362</v>
      </c>
      <c r="B2021" s="896">
        <f t="shared" si="88"/>
        <v>154716.79</v>
      </c>
      <c r="C2021" s="877">
        <v>0</v>
      </c>
      <c r="D2021" s="877">
        <v>0</v>
      </c>
      <c r="E2021" s="877">
        <v>0</v>
      </c>
      <c r="F2021" s="878">
        <f t="shared" si="89"/>
        <v>0</v>
      </c>
      <c r="G2021" s="811">
        <f t="shared" si="91"/>
        <v>0</v>
      </c>
      <c r="H2021" s="811">
        <f t="shared" si="91"/>
        <v>0</v>
      </c>
      <c r="I2021" s="895">
        <f t="shared" si="90"/>
        <v>154716.79</v>
      </c>
    </row>
    <row r="2022" spans="1:9" hidden="1" outlineLevel="1">
      <c r="A2022" s="874" t="s">
        <v>364</v>
      </c>
      <c r="B2022" s="896">
        <f t="shared" si="88"/>
        <v>35791.31</v>
      </c>
      <c r="C2022" s="877">
        <v>0</v>
      </c>
      <c r="D2022" s="877">
        <v>0</v>
      </c>
      <c r="E2022" s="877">
        <v>0</v>
      </c>
      <c r="F2022" s="878">
        <f t="shared" si="89"/>
        <v>0</v>
      </c>
      <c r="G2022" s="811">
        <f t="shared" si="91"/>
        <v>0</v>
      </c>
      <c r="H2022" s="811">
        <f t="shared" si="91"/>
        <v>0</v>
      </c>
      <c r="I2022" s="895">
        <f t="shared" si="90"/>
        <v>35791.31</v>
      </c>
    </row>
    <row r="2023" spans="1:9" hidden="1" outlineLevel="1">
      <c r="A2023" s="873" t="s">
        <v>402</v>
      </c>
      <c r="B2023" s="896">
        <f t="shared" si="88"/>
        <v>28830074.34</v>
      </c>
      <c r="C2023" s="877">
        <v>0</v>
      </c>
      <c r="D2023" s="877">
        <v>0</v>
      </c>
      <c r="E2023" s="877">
        <v>0</v>
      </c>
      <c r="F2023" s="878">
        <f t="shared" si="89"/>
        <v>0</v>
      </c>
      <c r="G2023" s="811">
        <f t="shared" si="91"/>
        <v>0</v>
      </c>
      <c r="H2023" s="811">
        <f t="shared" si="91"/>
        <v>0</v>
      </c>
      <c r="I2023" s="895">
        <f t="shared" si="90"/>
        <v>28830074.34</v>
      </c>
    </row>
    <row r="2024" spans="1:9" hidden="1" outlineLevel="1">
      <c r="A2024" s="874" t="s">
        <v>366</v>
      </c>
      <c r="B2024" s="896">
        <f t="shared" si="88"/>
        <v>494705.61</v>
      </c>
      <c r="C2024" s="877">
        <v>0</v>
      </c>
      <c r="D2024" s="877">
        <v>0</v>
      </c>
      <c r="E2024" s="877">
        <v>0</v>
      </c>
      <c r="F2024" s="878">
        <f t="shared" si="89"/>
        <v>0</v>
      </c>
      <c r="G2024" s="811">
        <f t="shared" si="91"/>
        <v>0</v>
      </c>
      <c r="H2024" s="811">
        <f t="shared" si="91"/>
        <v>0</v>
      </c>
      <c r="I2024" s="895">
        <f t="shared" si="90"/>
        <v>494705.61</v>
      </c>
    </row>
    <row r="2025" spans="1:9" hidden="1" outlineLevel="1">
      <c r="A2025" s="874" t="s">
        <v>368</v>
      </c>
      <c r="B2025" s="896">
        <f t="shared" si="88"/>
        <v>1794283.64</v>
      </c>
      <c r="C2025" s="877">
        <v>0</v>
      </c>
      <c r="D2025" s="877">
        <v>0</v>
      </c>
      <c r="E2025" s="877">
        <v>0</v>
      </c>
      <c r="F2025" s="878">
        <f t="shared" si="89"/>
        <v>0</v>
      </c>
      <c r="G2025" s="811">
        <f t="shared" si="91"/>
        <v>0</v>
      </c>
      <c r="H2025" s="811">
        <f t="shared" si="91"/>
        <v>0</v>
      </c>
      <c r="I2025" s="895">
        <f t="shared" si="90"/>
        <v>1794283.64</v>
      </c>
    </row>
    <row r="2026" spans="1:9" hidden="1" outlineLevel="1">
      <c r="A2026" s="873" t="s">
        <v>370</v>
      </c>
      <c r="B2026" s="896">
        <f t="shared" si="88"/>
        <v>4256030.6399999997</v>
      </c>
      <c r="C2026" s="877">
        <v>0</v>
      </c>
      <c r="D2026" s="877">
        <v>0</v>
      </c>
      <c r="E2026" s="877">
        <v>0</v>
      </c>
      <c r="F2026" s="878">
        <f t="shared" si="89"/>
        <v>0</v>
      </c>
      <c r="G2026" s="811">
        <f t="shared" si="91"/>
        <v>0</v>
      </c>
      <c r="H2026" s="811">
        <f t="shared" si="91"/>
        <v>0</v>
      </c>
      <c r="I2026" s="895">
        <f t="shared" si="90"/>
        <v>4256030.6399999997</v>
      </c>
    </row>
    <row r="2027" spans="1:9" hidden="1" outlineLevel="1">
      <c r="A2027" s="874" t="s">
        <v>372</v>
      </c>
      <c r="B2027" s="896">
        <f t="shared" si="88"/>
        <v>547064.21</v>
      </c>
      <c r="C2027" s="877">
        <v>0</v>
      </c>
      <c r="D2027" s="877">
        <v>0</v>
      </c>
      <c r="E2027" s="877">
        <v>0</v>
      </c>
      <c r="F2027" s="878">
        <f t="shared" si="89"/>
        <v>0</v>
      </c>
      <c r="G2027" s="811">
        <f t="shared" si="91"/>
        <v>0</v>
      </c>
      <c r="H2027" s="811">
        <f t="shared" si="91"/>
        <v>0</v>
      </c>
      <c r="I2027" s="895">
        <f t="shared" si="90"/>
        <v>547064.21</v>
      </c>
    </row>
    <row r="2028" spans="1:9" hidden="1" outlineLevel="1">
      <c r="A2028" s="874" t="s">
        <v>374</v>
      </c>
      <c r="B2028" s="896">
        <f t="shared" si="88"/>
        <v>336077.18</v>
      </c>
      <c r="C2028" s="877">
        <v>0</v>
      </c>
      <c r="D2028" s="877">
        <v>0</v>
      </c>
      <c r="E2028" s="877">
        <v>0</v>
      </c>
      <c r="F2028" s="878">
        <f t="shared" si="89"/>
        <v>0</v>
      </c>
      <c r="G2028" s="811">
        <f t="shared" si="91"/>
        <v>0</v>
      </c>
      <c r="H2028" s="811">
        <f t="shared" si="91"/>
        <v>0</v>
      </c>
      <c r="I2028" s="895">
        <f t="shared" si="90"/>
        <v>336077.18</v>
      </c>
    </row>
    <row r="2029" spans="1:9" hidden="1" outlineLevel="1">
      <c r="A2029" s="873" t="s">
        <v>376</v>
      </c>
      <c r="B2029" s="896">
        <f t="shared" si="88"/>
        <v>281572.37</v>
      </c>
      <c r="C2029" s="877">
        <v>0</v>
      </c>
      <c r="D2029" s="877">
        <v>0</v>
      </c>
      <c r="E2029" s="877">
        <v>0</v>
      </c>
      <c r="F2029" s="878">
        <f t="shared" si="89"/>
        <v>0</v>
      </c>
      <c r="G2029" s="811">
        <f t="shared" si="91"/>
        <v>0</v>
      </c>
      <c r="H2029" s="811">
        <f t="shared" si="91"/>
        <v>0</v>
      </c>
      <c r="I2029" s="895">
        <f t="shared" si="90"/>
        <v>281572.37</v>
      </c>
    </row>
    <row r="2030" spans="1:9" hidden="1" outlineLevel="1">
      <c r="A2030" s="874" t="s">
        <v>1859</v>
      </c>
      <c r="B2030" s="896">
        <f t="shared" si="88"/>
        <v>63667.63</v>
      </c>
      <c r="C2030" s="877">
        <v>0</v>
      </c>
      <c r="D2030" s="877">
        <v>0</v>
      </c>
      <c r="E2030" s="877">
        <v>0</v>
      </c>
      <c r="F2030" s="878">
        <f t="shared" si="89"/>
        <v>0</v>
      </c>
      <c r="G2030" s="811">
        <f t="shared" si="91"/>
        <v>0</v>
      </c>
      <c r="H2030" s="811">
        <f t="shared" si="91"/>
        <v>0</v>
      </c>
      <c r="I2030" s="895">
        <f t="shared" si="90"/>
        <v>63667.63</v>
      </c>
    </row>
    <row r="2031" spans="1:9" hidden="1" outlineLevel="1">
      <c r="A2031" s="874" t="s">
        <v>378</v>
      </c>
      <c r="B2031" s="896">
        <f t="shared" si="88"/>
        <v>857027.51</v>
      </c>
      <c r="C2031" s="877">
        <v>0</v>
      </c>
      <c r="D2031" s="877">
        <v>0</v>
      </c>
      <c r="E2031" s="877">
        <v>0</v>
      </c>
      <c r="F2031" s="878">
        <f t="shared" si="89"/>
        <v>0</v>
      </c>
      <c r="G2031" s="811">
        <f t="shared" si="91"/>
        <v>0</v>
      </c>
      <c r="H2031" s="811">
        <f t="shared" si="91"/>
        <v>0</v>
      </c>
      <c r="I2031" s="895">
        <f t="shared" si="90"/>
        <v>857027.51</v>
      </c>
    </row>
    <row r="2032" spans="1:9" hidden="1" outlineLevel="1">
      <c r="A2032" s="873" t="s">
        <v>380</v>
      </c>
      <c r="B2032" s="896">
        <f t="shared" si="88"/>
        <v>271859.01</v>
      </c>
      <c r="C2032" s="877">
        <v>0</v>
      </c>
      <c r="D2032" s="877">
        <v>0</v>
      </c>
      <c r="E2032" s="877">
        <v>0</v>
      </c>
      <c r="F2032" s="878">
        <f t="shared" si="89"/>
        <v>0</v>
      </c>
      <c r="G2032" s="811">
        <f t="shared" si="91"/>
        <v>0</v>
      </c>
      <c r="H2032" s="811">
        <f t="shared" si="91"/>
        <v>0</v>
      </c>
      <c r="I2032" s="895">
        <f t="shared" si="90"/>
        <v>271859.01</v>
      </c>
    </row>
    <row r="2033" spans="1:10" hidden="1" outlineLevel="1">
      <c r="A2033" s="874" t="s">
        <v>382</v>
      </c>
      <c r="B2033" s="896">
        <f t="shared" si="88"/>
        <v>467020.49</v>
      </c>
      <c r="C2033" s="877">
        <v>0</v>
      </c>
      <c r="D2033" s="877">
        <v>0</v>
      </c>
      <c r="E2033" s="877">
        <v>0</v>
      </c>
      <c r="F2033" s="878">
        <f t="shared" si="89"/>
        <v>0</v>
      </c>
      <c r="G2033" s="811">
        <f t="shared" si="91"/>
        <v>0</v>
      </c>
      <c r="H2033" s="811">
        <f t="shared" si="91"/>
        <v>0</v>
      </c>
      <c r="I2033" s="895">
        <f t="shared" si="90"/>
        <v>467020.49</v>
      </c>
    </row>
    <row r="2034" spans="1:10" hidden="1" outlineLevel="1">
      <c r="A2034" s="874" t="s">
        <v>384</v>
      </c>
      <c r="B2034" s="896">
        <f t="shared" si="88"/>
        <v>197900.26</v>
      </c>
      <c r="C2034" s="877">
        <v>0</v>
      </c>
      <c r="D2034" s="877">
        <v>0</v>
      </c>
      <c r="E2034" s="877">
        <v>0</v>
      </c>
      <c r="F2034" s="878">
        <f t="shared" si="89"/>
        <v>0</v>
      </c>
      <c r="G2034" s="811">
        <f t="shared" si="91"/>
        <v>0</v>
      </c>
      <c r="H2034" s="811">
        <f t="shared" si="91"/>
        <v>0</v>
      </c>
      <c r="I2034" s="895">
        <f t="shared" si="90"/>
        <v>197900.26</v>
      </c>
    </row>
    <row r="2035" spans="1:10" hidden="1" outlineLevel="1">
      <c r="A2035" s="873" t="s">
        <v>386</v>
      </c>
      <c r="B2035" s="896">
        <f t="shared" si="88"/>
        <v>1022239.73</v>
      </c>
      <c r="C2035" s="877">
        <v>0</v>
      </c>
      <c r="D2035" s="877">
        <v>0</v>
      </c>
      <c r="E2035" s="877">
        <v>0</v>
      </c>
      <c r="F2035" s="878">
        <f t="shared" si="89"/>
        <v>0</v>
      </c>
      <c r="G2035" s="811">
        <f t="shared" si="91"/>
        <v>0</v>
      </c>
      <c r="H2035" s="811">
        <f t="shared" si="91"/>
        <v>0</v>
      </c>
      <c r="I2035" s="895">
        <f t="shared" si="90"/>
        <v>1022239.73</v>
      </c>
    </row>
    <row r="2036" spans="1:10" hidden="1" outlineLevel="1">
      <c r="A2036" s="874" t="s">
        <v>388</v>
      </c>
      <c r="B2036" s="896">
        <f t="shared" ref="B2036:B2044" si="92">+IF(B1102=0,0,ROUND(B168*0.656/100,2))</f>
        <v>12313603.58</v>
      </c>
      <c r="C2036" s="877">
        <v>0</v>
      </c>
      <c r="D2036" s="877">
        <v>0</v>
      </c>
      <c r="E2036" s="877">
        <v>0</v>
      </c>
      <c r="F2036" s="878">
        <f t="shared" ref="F2036:F2044" si="93">+IF(F1102=0,0,ROUND(F168*0.0656/100,2))</f>
        <v>0</v>
      </c>
      <c r="G2036" s="811">
        <f t="shared" ref="G2036:H2044" si="94">+IF(G1102=0,0,ROUND(G168*0.1312/100,2))</f>
        <v>0</v>
      </c>
      <c r="H2036" s="811">
        <f t="shared" si="94"/>
        <v>0</v>
      </c>
      <c r="I2036" s="895">
        <f t="shared" ref="I2036:I2044" si="95">+SUM(B2036:H2036)</f>
        <v>12313603.58</v>
      </c>
    </row>
    <row r="2037" spans="1:10" hidden="1" outlineLevel="1">
      <c r="A2037" s="874" t="s">
        <v>1860</v>
      </c>
      <c r="B2037" s="896">
        <f t="shared" si="92"/>
        <v>410312.31</v>
      </c>
      <c r="C2037" s="877">
        <v>0</v>
      </c>
      <c r="D2037" s="877">
        <v>0</v>
      </c>
      <c r="E2037" s="877">
        <v>0</v>
      </c>
      <c r="F2037" s="878">
        <f t="shared" si="93"/>
        <v>0</v>
      </c>
      <c r="G2037" s="811">
        <f t="shared" si="94"/>
        <v>0</v>
      </c>
      <c r="H2037" s="811">
        <f t="shared" si="94"/>
        <v>0</v>
      </c>
      <c r="I2037" s="895">
        <f t="shared" si="95"/>
        <v>410312.31</v>
      </c>
    </row>
    <row r="2038" spans="1:10" hidden="1" outlineLevel="1">
      <c r="A2038" s="873" t="s">
        <v>390</v>
      </c>
      <c r="B2038" s="896">
        <f t="shared" si="92"/>
        <v>933354.32</v>
      </c>
      <c r="C2038" s="877">
        <v>0</v>
      </c>
      <c r="D2038" s="877">
        <v>0</v>
      </c>
      <c r="E2038" s="877">
        <v>0</v>
      </c>
      <c r="F2038" s="878">
        <f t="shared" si="93"/>
        <v>0</v>
      </c>
      <c r="G2038" s="811">
        <f t="shared" si="94"/>
        <v>0</v>
      </c>
      <c r="H2038" s="811">
        <f t="shared" si="94"/>
        <v>0</v>
      </c>
      <c r="I2038" s="895">
        <f t="shared" si="95"/>
        <v>933354.32</v>
      </c>
    </row>
    <row r="2039" spans="1:10" hidden="1" outlineLevel="1">
      <c r="A2039" s="874" t="s">
        <v>392</v>
      </c>
      <c r="B2039" s="896">
        <f t="shared" si="92"/>
        <v>174338.64</v>
      </c>
      <c r="C2039" s="877">
        <v>0</v>
      </c>
      <c r="D2039" s="877">
        <v>0</v>
      </c>
      <c r="E2039" s="877">
        <v>0</v>
      </c>
      <c r="F2039" s="878">
        <f t="shared" si="93"/>
        <v>0</v>
      </c>
      <c r="G2039" s="811">
        <f t="shared" si="94"/>
        <v>0</v>
      </c>
      <c r="H2039" s="811">
        <f t="shared" si="94"/>
        <v>0</v>
      </c>
      <c r="I2039" s="895">
        <f t="shared" si="95"/>
        <v>174338.64</v>
      </c>
    </row>
    <row r="2040" spans="1:10" hidden="1" outlineLevel="1">
      <c r="A2040" s="874" t="s">
        <v>394</v>
      </c>
      <c r="B2040" s="896">
        <f t="shared" si="92"/>
        <v>211594.66</v>
      </c>
      <c r="C2040" s="877">
        <v>0</v>
      </c>
      <c r="D2040" s="877">
        <v>0</v>
      </c>
      <c r="E2040" s="877">
        <v>0</v>
      </c>
      <c r="F2040" s="878">
        <f t="shared" si="93"/>
        <v>0</v>
      </c>
      <c r="G2040" s="811">
        <f t="shared" si="94"/>
        <v>0</v>
      </c>
      <c r="H2040" s="811">
        <f t="shared" si="94"/>
        <v>0</v>
      </c>
      <c r="I2040" s="895">
        <f t="shared" si="95"/>
        <v>211594.66</v>
      </c>
    </row>
    <row r="2041" spans="1:10" hidden="1" outlineLevel="1">
      <c r="A2041" s="873" t="s">
        <v>396</v>
      </c>
      <c r="B2041" s="896">
        <f t="shared" si="92"/>
        <v>456482.04</v>
      </c>
      <c r="C2041" s="877">
        <v>0</v>
      </c>
      <c r="D2041" s="877">
        <v>0</v>
      </c>
      <c r="E2041" s="877">
        <v>0</v>
      </c>
      <c r="F2041" s="878">
        <f t="shared" si="93"/>
        <v>0</v>
      </c>
      <c r="G2041" s="811">
        <f t="shared" si="94"/>
        <v>0</v>
      </c>
      <c r="H2041" s="811">
        <f t="shared" si="94"/>
        <v>0</v>
      </c>
      <c r="I2041" s="895">
        <f t="shared" si="95"/>
        <v>456482.04</v>
      </c>
    </row>
    <row r="2042" spans="1:10" hidden="1" outlineLevel="1">
      <c r="A2042" s="874" t="s">
        <v>398</v>
      </c>
      <c r="B2042" s="896">
        <f t="shared" si="92"/>
        <v>287143.96000000002</v>
      </c>
      <c r="C2042" s="877">
        <v>0</v>
      </c>
      <c r="D2042" s="877">
        <v>0</v>
      </c>
      <c r="E2042" s="877">
        <v>0</v>
      </c>
      <c r="F2042" s="878">
        <f t="shared" si="93"/>
        <v>0</v>
      </c>
      <c r="G2042" s="811">
        <f t="shared" si="94"/>
        <v>0</v>
      </c>
      <c r="H2042" s="811">
        <f t="shared" si="94"/>
        <v>0</v>
      </c>
      <c r="I2042" s="895">
        <f t="shared" si="95"/>
        <v>287143.96000000002</v>
      </c>
    </row>
    <row r="2043" spans="1:10" hidden="1" outlineLevel="1">
      <c r="A2043" s="874" t="s">
        <v>831</v>
      </c>
      <c r="B2043" s="896">
        <f t="shared" si="92"/>
        <v>101090.51</v>
      </c>
      <c r="C2043" s="877">
        <v>0</v>
      </c>
      <c r="D2043" s="877">
        <v>0</v>
      </c>
      <c r="E2043" s="877">
        <v>0</v>
      </c>
      <c r="F2043" s="878">
        <f t="shared" si="93"/>
        <v>0</v>
      </c>
      <c r="G2043" s="811">
        <f t="shared" si="94"/>
        <v>0</v>
      </c>
      <c r="H2043" s="811">
        <f t="shared" si="94"/>
        <v>0</v>
      </c>
      <c r="I2043" s="895">
        <f t="shared" si="95"/>
        <v>101090.51</v>
      </c>
    </row>
    <row r="2044" spans="1:10" hidden="1" outlineLevel="1">
      <c r="A2044" s="874" t="s">
        <v>400</v>
      </c>
      <c r="B2044" s="896">
        <f t="shared" si="92"/>
        <v>341581.84</v>
      </c>
      <c r="C2044" s="877">
        <v>0</v>
      </c>
      <c r="D2044" s="877">
        <v>0</v>
      </c>
      <c r="E2044" s="877">
        <v>0</v>
      </c>
      <c r="F2044" s="878">
        <f t="shared" si="93"/>
        <v>0</v>
      </c>
      <c r="G2044" s="811">
        <f t="shared" si="94"/>
        <v>0</v>
      </c>
      <c r="H2044" s="811">
        <f t="shared" si="94"/>
        <v>0</v>
      </c>
      <c r="I2044" s="895">
        <f t="shared" si="95"/>
        <v>341581.84</v>
      </c>
    </row>
    <row r="2045" spans="1:10" collapsed="1">
      <c r="A2045" s="856" t="str">
        <f>A177</f>
        <v>Regelzone Amprion (gesamt)</v>
      </c>
      <c r="B2045" s="897">
        <f>SUM(B2046:B2279)</f>
        <v>691359027.28687978</v>
      </c>
      <c r="C2045" s="881">
        <f t="shared" ref="C2045:H2045" si="96">SUM(C2046:C2279)</f>
        <v>0</v>
      </c>
      <c r="D2045" s="881">
        <f t="shared" si="96"/>
        <v>816962.63373599993</v>
      </c>
      <c r="E2045" s="881">
        <f t="shared" si="96"/>
        <v>0</v>
      </c>
      <c r="F2045" s="885">
        <f>SUM(F2046:F2279)</f>
        <v>2309540.684928</v>
      </c>
      <c r="G2045" s="206">
        <f t="shared" si="96"/>
        <v>23805.011968000003</v>
      </c>
      <c r="H2045" s="206">
        <f t="shared" si="96"/>
        <v>0</v>
      </c>
      <c r="I2045" s="898">
        <f>SUM(B2045:H2045)</f>
        <v>694509335.61751187</v>
      </c>
    </row>
    <row r="2046" spans="1:10" hidden="1" outlineLevel="2">
      <c r="A2046" s="856" t="s">
        <v>405</v>
      </c>
      <c r="B2046" s="899">
        <f t="shared" ref="B2046:B2109" si="97">B178*0.656/100</f>
        <v>597495.50592000003</v>
      </c>
      <c r="C2046" s="880">
        <f t="shared" ref="C2046:C2109" si="98">C178*0/100</f>
        <v>0</v>
      </c>
      <c r="D2046" s="210">
        <f t="shared" ref="D2046:D2109" si="99">D178*0.0984/100</f>
        <v>0</v>
      </c>
      <c r="E2046" s="210">
        <f t="shared" ref="E2046:E2109" si="100">E178*0/100</f>
        <v>0</v>
      </c>
      <c r="F2046" s="882">
        <f t="shared" ref="F2046:F2109" si="101">F178*0.0656/100</f>
        <v>0</v>
      </c>
      <c r="G2046" s="210">
        <f t="shared" ref="G2046:H2065" si="102">G178*0.1312/100</f>
        <v>0</v>
      </c>
      <c r="H2046" s="210">
        <f t="shared" si="102"/>
        <v>0</v>
      </c>
      <c r="I2046" s="898">
        <f t="shared" ref="I2046:I2066" si="103">SUM(B2046:H2046)</f>
        <v>597495.50592000003</v>
      </c>
      <c r="J2046" s="203" t="s">
        <v>406</v>
      </c>
    </row>
    <row r="2047" spans="1:10" hidden="1" outlineLevel="2">
      <c r="A2047" s="856" t="s">
        <v>86</v>
      </c>
      <c r="B2047" s="899">
        <f t="shared" si="97"/>
        <v>684735.2403200001</v>
      </c>
      <c r="C2047" s="880">
        <f t="shared" si="98"/>
        <v>0</v>
      </c>
      <c r="D2047" s="210">
        <f t="shared" si="99"/>
        <v>0</v>
      </c>
      <c r="E2047" s="210">
        <f t="shared" si="100"/>
        <v>0</v>
      </c>
      <c r="F2047" s="882">
        <f t="shared" si="101"/>
        <v>0</v>
      </c>
      <c r="G2047" s="210">
        <f t="shared" si="102"/>
        <v>0</v>
      </c>
      <c r="H2047" s="210">
        <f t="shared" si="102"/>
        <v>0</v>
      </c>
      <c r="I2047" s="898">
        <f t="shared" si="103"/>
        <v>684735.2403200001</v>
      </c>
      <c r="J2047" s="203" t="s">
        <v>87</v>
      </c>
    </row>
    <row r="2048" spans="1:10" hidden="1" outlineLevel="2">
      <c r="A2048" s="856" t="s">
        <v>407</v>
      </c>
      <c r="B2048" s="899">
        <f t="shared" si="97"/>
        <v>785665.68160000001</v>
      </c>
      <c r="C2048" s="880">
        <f t="shared" si="98"/>
        <v>0</v>
      </c>
      <c r="D2048" s="210">
        <f t="shared" si="99"/>
        <v>0</v>
      </c>
      <c r="E2048" s="210">
        <f t="shared" si="100"/>
        <v>0</v>
      </c>
      <c r="F2048" s="882">
        <f t="shared" si="101"/>
        <v>0</v>
      </c>
      <c r="G2048" s="210">
        <f t="shared" si="102"/>
        <v>559.11011200000007</v>
      </c>
      <c r="H2048" s="210">
        <f t="shared" si="102"/>
        <v>0</v>
      </c>
      <c r="I2048" s="898">
        <f t="shared" si="103"/>
        <v>786224.79171200003</v>
      </c>
      <c r="J2048" s="203" t="s">
        <v>408</v>
      </c>
    </row>
    <row r="2049" spans="1:10" hidden="1" outlineLevel="2">
      <c r="A2049" s="856" t="s">
        <v>409</v>
      </c>
      <c r="B2049" s="899">
        <f t="shared" si="97"/>
        <v>1997879.9143999999</v>
      </c>
      <c r="C2049" s="880">
        <f t="shared" si="98"/>
        <v>0</v>
      </c>
      <c r="D2049" s="210">
        <f t="shared" si="99"/>
        <v>0</v>
      </c>
      <c r="E2049" s="210">
        <f t="shared" si="100"/>
        <v>0</v>
      </c>
      <c r="F2049" s="882">
        <f t="shared" si="101"/>
        <v>0</v>
      </c>
      <c r="G2049" s="210">
        <f t="shared" si="102"/>
        <v>0</v>
      </c>
      <c r="H2049" s="210">
        <f t="shared" si="102"/>
        <v>0</v>
      </c>
      <c r="I2049" s="898">
        <f t="shared" si="103"/>
        <v>1997879.9143999999</v>
      </c>
      <c r="J2049" s="203" t="s">
        <v>410</v>
      </c>
    </row>
    <row r="2050" spans="1:10" hidden="1" outlineLevel="2">
      <c r="A2050" s="856" t="s">
        <v>411</v>
      </c>
      <c r="B2050" s="899">
        <f t="shared" si="97"/>
        <v>5856919.3588800002</v>
      </c>
      <c r="C2050" s="880">
        <f t="shared" si="98"/>
        <v>0</v>
      </c>
      <c r="D2050" s="210">
        <f t="shared" si="99"/>
        <v>0</v>
      </c>
      <c r="E2050" s="210">
        <f t="shared" si="100"/>
        <v>0</v>
      </c>
      <c r="F2050" s="882">
        <f t="shared" si="101"/>
        <v>5025.1535199999998</v>
      </c>
      <c r="G2050" s="210">
        <f t="shared" si="102"/>
        <v>0</v>
      </c>
      <c r="H2050" s="210">
        <f t="shared" si="102"/>
        <v>0</v>
      </c>
      <c r="I2050" s="898">
        <f t="shared" si="103"/>
        <v>5861944.5124000004</v>
      </c>
      <c r="J2050" s="203" t="s">
        <v>412</v>
      </c>
    </row>
    <row r="2051" spans="1:10" hidden="1" outlineLevel="2">
      <c r="A2051" s="856" t="s">
        <v>413</v>
      </c>
      <c r="B2051" s="899">
        <f t="shared" si="97"/>
        <v>1109106.9342400001</v>
      </c>
      <c r="C2051" s="880">
        <f t="shared" si="98"/>
        <v>0</v>
      </c>
      <c r="D2051" s="210">
        <f t="shared" si="99"/>
        <v>0</v>
      </c>
      <c r="E2051" s="210">
        <f t="shared" si="100"/>
        <v>0</v>
      </c>
      <c r="F2051" s="882">
        <f t="shared" si="101"/>
        <v>0</v>
      </c>
      <c r="G2051" s="210">
        <f t="shared" si="102"/>
        <v>0</v>
      </c>
      <c r="H2051" s="210">
        <f t="shared" si="102"/>
        <v>0</v>
      </c>
      <c r="I2051" s="898">
        <f t="shared" si="103"/>
        <v>1109106.9342400001</v>
      </c>
      <c r="J2051" s="203" t="s">
        <v>414</v>
      </c>
    </row>
    <row r="2052" spans="1:10" hidden="1" outlineLevel="2">
      <c r="A2052" s="856" t="s">
        <v>415</v>
      </c>
      <c r="B2052" s="899">
        <f t="shared" si="97"/>
        <v>781478.89936000004</v>
      </c>
      <c r="C2052" s="880">
        <f t="shared" si="98"/>
        <v>0</v>
      </c>
      <c r="D2052" s="210">
        <f t="shared" si="99"/>
        <v>0</v>
      </c>
      <c r="E2052" s="210">
        <f t="shared" si="100"/>
        <v>0</v>
      </c>
      <c r="F2052" s="882">
        <f t="shared" si="101"/>
        <v>0</v>
      </c>
      <c r="G2052" s="210">
        <f t="shared" si="102"/>
        <v>0</v>
      </c>
      <c r="H2052" s="210">
        <f t="shared" si="102"/>
        <v>0</v>
      </c>
      <c r="I2052" s="898">
        <f t="shared" si="103"/>
        <v>781478.89936000004</v>
      </c>
      <c r="J2052" s="203" t="s">
        <v>416</v>
      </c>
    </row>
    <row r="2053" spans="1:10" hidden="1" outlineLevel="2">
      <c r="A2053" s="856" t="s">
        <v>417</v>
      </c>
      <c r="B2053" s="899">
        <f t="shared" si="97"/>
        <v>12627797.41408</v>
      </c>
      <c r="C2053" s="880">
        <f t="shared" si="98"/>
        <v>0</v>
      </c>
      <c r="D2053" s="210">
        <f t="shared" si="99"/>
        <v>0</v>
      </c>
      <c r="E2053" s="210">
        <f t="shared" si="100"/>
        <v>0</v>
      </c>
      <c r="F2053" s="882">
        <f t="shared" si="101"/>
        <v>0</v>
      </c>
      <c r="G2053" s="210">
        <f t="shared" si="102"/>
        <v>4382.1705280000006</v>
      </c>
      <c r="H2053" s="210">
        <f t="shared" si="102"/>
        <v>0</v>
      </c>
      <c r="I2053" s="898">
        <f t="shared" si="103"/>
        <v>12632179.584608</v>
      </c>
      <c r="J2053" s="203" t="s">
        <v>418</v>
      </c>
    </row>
    <row r="2054" spans="1:10" hidden="1" outlineLevel="2">
      <c r="A2054" s="856" t="s">
        <v>419</v>
      </c>
      <c r="B2054" s="899">
        <f t="shared" si="97"/>
        <v>23269156.557439998</v>
      </c>
      <c r="C2054" s="880">
        <f t="shared" si="98"/>
        <v>0</v>
      </c>
      <c r="D2054" s="210">
        <f t="shared" si="99"/>
        <v>0</v>
      </c>
      <c r="E2054" s="210">
        <f t="shared" si="100"/>
        <v>0</v>
      </c>
      <c r="F2054" s="882">
        <f t="shared" si="101"/>
        <v>0</v>
      </c>
      <c r="G2054" s="210">
        <f t="shared" si="102"/>
        <v>0</v>
      </c>
      <c r="H2054" s="210">
        <f t="shared" si="102"/>
        <v>0</v>
      </c>
      <c r="I2054" s="898">
        <f t="shared" si="103"/>
        <v>23269156.557439998</v>
      </c>
      <c r="J2054" s="203" t="s">
        <v>420</v>
      </c>
    </row>
    <row r="2055" spans="1:10" hidden="1" outlineLevel="2">
      <c r="A2055" s="856" t="s">
        <v>421</v>
      </c>
      <c r="B2055" s="899">
        <f t="shared" si="97"/>
        <v>792429.50080000004</v>
      </c>
      <c r="C2055" s="880">
        <f t="shared" si="98"/>
        <v>0</v>
      </c>
      <c r="D2055" s="210">
        <f t="shared" si="99"/>
        <v>0</v>
      </c>
      <c r="E2055" s="210">
        <f t="shared" si="100"/>
        <v>0</v>
      </c>
      <c r="F2055" s="882">
        <f t="shared" si="101"/>
        <v>0</v>
      </c>
      <c r="G2055" s="210">
        <f t="shared" si="102"/>
        <v>0</v>
      </c>
      <c r="H2055" s="210">
        <f t="shared" si="102"/>
        <v>0</v>
      </c>
      <c r="I2055" s="898">
        <f t="shared" si="103"/>
        <v>792429.50080000004</v>
      </c>
      <c r="J2055" s="203" t="s">
        <v>422</v>
      </c>
    </row>
    <row r="2056" spans="1:10" hidden="1" outlineLevel="2">
      <c r="A2056" s="856" t="s">
        <v>423</v>
      </c>
      <c r="B2056" s="899">
        <f t="shared" si="97"/>
        <v>1262722.8216000001</v>
      </c>
      <c r="C2056" s="880">
        <f t="shared" si="98"/>
        <v>0</v>
      </c>
      <c r="D2056" s="210">
        <f t="shared" si="99"/>
        <v>0</v>
      </c>
      <c r="E2056" s="210">
        <f t="shared" si="100"/>
        <v>0</v>
      </c>
      <c r="F2056" s="882">
        <f t="shared" si="101"/>
        <v>0</v>
      </c>
      <c r="G2056" s="210">
        <f t="shared" si="102"/>
        <v>0</v>
      </c>
      <c r="H2056" s="210">
        <f t="shared" si="102"/>
        <v>0</v>
      </c>
      <c r="I2056" s="898">
        <f t="shared" si="103"/>
        <v>1262722.8216000001</v>
      </c>
      <c r="J2056" s="203" t="s">
        <v>424</v>
      </c>
    </row>
    <row r="2057" spans="1:10" hidden="1" outlineLevel="2">
      <c r="A2057" s="856" t="s">
        <v>425</v>
      </c>
      <c r="B2057" s="899">
        <f t="shared" si="97"/>
        <v>3817085.0497600003</v>
      </c>
      <c r="C2057" s="880">
        <f t="shared" si="98"/>
        <v>0</v>
      </c>
      <c r="D2057" s="210">
        <f t="shared" si="99"/>
        <v>0</v>
      </c>
      <c r="E2057" s="210">
        <f t="shared" si="100"/>
        <v>0</v>
      </c>
      <c r="F2057" s="882">
        <f t="shared" si="101"/>
        <v>0</v>
      </c>
      <c r="G2057" s="210">
        <f t="shared" si="102"/>
        <v>0</v>
      </c>
      <c r="H2057" s="210">
        <f t="shared" si="102"/>
        <v>0</v>
      </c>
      <c r="I2057" s="898">
        <f t="shared" si="103"/>
        <v>3817085.0497600003</v>
      </c>
      <c r="J2057" s="203" t="s">
        <v>426</v>
      </c>
    </row>
    <row r="2058" spans="1:10" hidden="1" outlineLevel="2">
      <c r="A2058" s="856" t="s">
        <v>427</v>
      </c>
      <c r="B2058" s="899">
        <f t="shared" si="97"/>
        <v>2480126.4998400002</v>
      </c>
      <c r="C2058" s="880">
        <f t="shared" si="98"/>
        <v>0</v>
      </c>
      <c r="D2058" s="210">
        <f t="shared" si="99"/>
        <v>0</v>
      </c>
      <c r="E2058" s="210">
        <f t="shared" si="100"/>
        <v>0</v>
      </c>
      <c r="F2058" s="882">
        <f t="shared" si="101"/>
        <v>0</v>
      </c>
      <c r="G2058" s="210">
        <f t="shared" si="102"/>
        <v>0</v>
      </c>
      <c r="H2058" s="210">
        <f t="shared" si="102"/>
        <v>0</v>
      </c>
      <c r="I2058" s="898">
        <f t="shared" si="103"/>
        <v>2480126.4998400002</v>
      </c>
      <c r="J2058" s="203" t="s">
        <v>428</v>
      </c>
    </row>
    <row r="2059" spans="1:10" hidden="1" outlineLevel="2">
      <c r="A2059" s="856" t="s">
        <v>429</v>
      </c>
      <c r="B2059" s="899">
        <f t="shared" si="97"/>
        <v>334721.68432</v>
      </c>
      <c r="C2059" s="880">
        <f t="shared" si="98"/>
        <v>0</v>
      </c>
      <c r="D2059" s="210">
        <f t="shared" si="99"/>
        <v>0</v>
      </c>
      <c r="E2059" s="210">
        <f t="shared" si="100"/>
        <v>0</v>
      </c>
      <c r="F2059" s="882">
        <f t="shared" si="101"/>
        <v>0</v>
      </c>
      <c r="G2059" s="210">
        <f t="shared" si="102"/>
        <v>0</v>
      </c>
      <c r="H2059" s="210">
        <f t="shared" si="102"/>
        <v>0</v>
      </c>
      <c r="I2059" s="898">
        <f t="shared" si="103"/>
        <v>334721.68432</v>
      </c>
      <c r="J2059" s="203" t="s">
        <v>430</v>
      </c>
    </row>
    <row r="2060" spans="1:10" hidden="1" outlineLevel="2">
      <c r="A2060" s="856" t="s">
        <v>431</v>
      </c>
      <c r="B2060" s="899">
        <f t="shared" si="97"/>
        <v>192157.80288000003</v>
      </c>
      <c r="C2060" s="880">
        <f t="shared" si="98"/>
        <v>0</v>
      </c>
      <c r="D2060" s="210">
        <f t="shared" si="99"/>
        <v>0</v>
      </c>
      <c r="E2060" s="210">
        <f t="shared" si="100"/>
        <v>0</v>
      </c>
      <c r="F2060" s="882">
        <f t="shared" si="101"/>
        <v>0</v>
      </c>
      <c r="G2060" s="210">
        <f t="shared" si="102"/>
        <v>0</v>
      </c>
      <c r="H2060" s="210">
        <f t="shared" si="102"/>
        <v>0</v>
      </c>
      <c r="I2060" s="898">
        <f t="shared" si="103"/>
        <v>192157.80288000003</v>
      </c>
      <c r="J2060" s="203" t="s">
        <v>432</v>
      </c>
    </row>
    <row r="2061" spans="1:10" hidden="1" outlineLevel="2">
      <c r="A2061" s="856" t="s">
        <v>433</v>
      </c>
      <c r="B2061" s="899">
        <f t="shared" si="97"/>
        <v>8025728.3651200011</v>
      </c>
      <c r="C2061" s="880">
        <f t="shared" si="98"/>
        <v>0</v>
      </c>
      <c r="D2061" s="210">
        <f t="shared" si="99"/>
        <v>0</v>
      </c>
      <c r="E2061" s="210">
        <f t="shared" si="100"/>
        <v>0</v>
      </c>
      <c r="F2061" s="882">
        <f t="shared" si="101"/>
        <v>1859.2686560000002</v>
      </c>
      <c r="G2061" s="210">
        <f t="shared" si="102"/>
        <v>0</v>
      </c>
      <c r="H2061" s="210">
        <f t="shared" si="102"/>
        <v>0</v>
      </c>
      <c r="I2061" s="898">
        <f t="shared" si="103"/>
        <v>8027587.6337760007</v>
      </c>
      <c r="J2061" s="203" t="s">
        <v>434</v>
      </c>
    </row>
    <row r="2062" spans="1:10" hidden="1" outlineLevel="2">
      <c r="A2062" s="856" t="s">
        <v>435</v>
      </c>
      <c r="B2062" s="899">
        <f t="shared" si="97"/>
        <v>907102.79440000001</v>
      </c>
      <c r="C2062" s="880">
        <f t="shared" si="98"/>
        <v>0</v>
      </c>
      <c r="D2062" s="210">
        <f t="shared" si="99"/>
        <v>0</v>
      </c>
      <c r="E2062" s="210">
        <f t="shared" si="100"/>
        <v>0</v>
      </c>
      <c r="F2062" s="882">
        <f t="shared" si="101"/>
        <v>0</v>
      </c>
      <c r="G2062" s="210">
        <f t="shared" si="102"/>
        <v>0</v>
      </c>
      <c r="H2062" s="210">
        <f t="shared" si="102"/>
        <v>0</v>
      </c>
      <c r="I2062" s="898">
        <f t="shared" si="103"/>
        <v>907102.79440000001</v>
      </c>
      <c r="J2062" s="203" t="s">
        <v>436</v>
      </c>
    </row>
    <row r="2063" spans="1:10" hidden="1" outlineLevel="2">
      <c r="A2063" s="856" t="s">
        <v>437</v>
      </c>
      <c r="B2063" s="899">
        <f t="shared" si="97"/>
        <v>5582113.9199999999</v>
      </c>
      <c r="C2063" s="880">
        <f t="shared" si="98"/>
        <v>0</v>
      </c>
      <c r="D2063" s="210">
        <f t="shared" si="99"/>
        <v>0</v>
      </c>
      <c r="E2063" s="210">
        <f t="shared" si="100"/>
        <v>0</v>
      </c>
      <c r="F2063" s="882">
        <f t="shared" si="101"/>
        <v>0</v>
      </c>
      <c r="G2063" s="210">
        <f t="shared" si="102"/>
        <v>0</v>
      </c>
      <c r="H2063" s="210">
        <f t="shared" si="102"/>
        <v>0</v>
      </c>
      <c r="I2063" s="898">
        <f t="shared" si="103"/>
        <v>5582113.9199999999</v>
      </c>
      <c r="J2063" s="203" t="s">
        <v>438</v>
      </c>
    </row>
    <row r="2064" spans="1:10" hidden="1" outlineLevel="2">
      <c r="A2064" s="856" t="s">
        <v>439</v>
      </c>
      <c r="B2064" s="899">
        <f t="shared" si="97"/>
        <v>1329401.2068800002</v>
      </c>
      <c r="C2064" s="880">
        <f t="shared" si="98"/>
        <v>0</v>
      </c>
      <c r="D2064" s="210">
        <f t="shared" si="99"/>
        <v>0</v>
      </c>
      <c r="E2064" s="210">
        <f t="shared" si="100"/>
        <v>0</v>
      </c>
      <c r="F2064" s="882">
        <f t="shared" si="101"/>
        <v>0</v>
      </c>
      <c r="G2064" s="210">
        <f t="shared" si="102"/>
        <v>0</v>
      </c>
      <c r="H2064" s="210">
        <f t="shared" si="102"/>
        <v>0</v>
      </c>
      <c r="I2064" s="898">
        <f t="shared" si="103"/>
        <v>1329401.2068800002</v>
      </c>
      <c r="J2064" s="203" t="s">
        <v>440</v>
      </c>
    </row>
    <row r="2065" spans="1:10" hidden="1" outlineLevel="2">
      <c r="A2065" s="856" t="s">
        <v>441</v>
      </c>
      <c r="B2065" s="899">
        <f t="shared" si="97"/>
        <v>9467817.1929599997</v>
      </c>
      <c r="C2065" s="880">
        <f t="shared" si="98"/>
        <v>0</v>
      </c>
      <c r="D2065" s="210">
        <f t="shared" si="99"/>
        <v>0</v>
      </c>
      <c r="E2065" s="210">
        <f t="shared" si="100"/>
        <v>0</v>
      </c>
      <c r="F2065" s="882">
        <f t="shared" si="101"/>
        <v>11001.731392000002</v>
      </c>
      <c r="G2065" s="210">
        <f t="shared" si="102"/>
        <v>0</v>
      </c>
      <c r="H2065" s="210">
        <f t="shared" si="102"/>
        <v>0</v>
      </c>
      <c r="I2065" s="898">
        <f t="shared" si="103"/>
        <v>9478818.9243519995</v>
      </c>
      <c r="J2065" s="203" t="s">
        <v>442</v>
      </c>
    </row>
    <row r="2066" spans="1:10" hidden="1" outlineLevel="2">
      <c r="A2066" s="856" t="s">
        <v>443</v>
      </c>
      <c r="B2066" s="899">
        <f t="shared" si="97"/>
        <v>64443.544160000005</v>
      </c>
      <c r="C2066" s="880">
        <f t="shared" si="98"/>
        <v>0</v>
      </c>
      <c r="D2066" s="210">
        <f t="shared" si="99"/>
        <v>0</v>
      </c>
      <c r="E2066" s="210">
        <f t="shared" si="100"/>
        <v>0</v>
      </c>
      <c r="F2066" s="882">
        <f t="shared" si="101"/>
        <v>0</v>
      </c>
      <c r="G2066" s="210">
        <f t="shared" ref="G2066:H2085" si="104">G198*0.1312/100</f>
        <v>0</v>
      </c>
      <c r="H2066" s="210">
        <f t="shared" si="104"/>
        <v>0</v>
      </c>
      <c r="I2066" s="898">
        <f t="shared" si="103"/>
        <v>64443.544160000005</v>
      </c>
      <c r="J2066" s="203" t="s">
        <v>444</v>
      </c>
    </row>
    <row r="2067" spans="1:10" hidden="1" outlineLevel="3">
      <c r="A2067" s="875" t="s">
        <v>445</v>
      </c>
      <c r="B2067" s="899">
        <f t="shared" si="97"/>
        <v>1466821.8318400001</v>
      </c>
      <c r="C2067" s="880">
        <f t="shared" si="98"/>
        <v>0</v>
      </c>
      <c r="D2067" s="210">
        <f t="shared" si="99"/>
        <v>0</v>
      </c>
      <c r="E2067" s="210">
        <f t="shared" si="100"/>
        <v>0</v>
      </c>
      <c r="F2067" s="882">
        <f t="shared" si="101"/>
        <v>0</v>
      </c>
      <c r="G2067" s="210">
        <f t="shared" si="104"/>
        <v>0</v>
      </c>
      <c r="H2067" s="210">
        <f t="shared" si="104"/>
        <v>0</v>
      </c>
      <c r="I2067" s="898">
        <f>SUM(B2067:H2067)</f>
        <v>1466821.8318400001</v>
      </c>
      <c r="J2067" s="203" t="s">
        <v>446</v>
      </c>
    </row>
    <row r="2068" spans="1:10" hidden="1" outlineLevel="3">
      <c r="A2068" s="875" t="s">
        <v>447</v>
      </c>
      <c r="B2068" s="899">
        <f t="shared" si="97"/>
        <v>729128.88576000009</v>
      </c>
      <c r="C2068" s="880">
        <f t="shared" si="98"/>
        <v>0</v>
      </c>
      <c r="D2068" s="210">
        <f t="shared" si="99"/>
        <v>0</v>
      </c>
      <c r="E2068" s="210">
        <f t="shared" si="100"/>
        <v>0</v>
      </c>
      <c r="F2068" s="882">
        <f t="shared" si="101"/>
        <v>0</v>
      </c>
      <c r="G2068" s="210">
        <f t="shared" si="104"/>
        <v>0</v>
      </c>
      <c r="H2068" s="210">
        <f t="shared" si="104"/>
        <v>0</v>
      </c>
      <c r="I2068" s="898">
        <f t="shared" ref="I2068:I2131" si="105">SUM(B2068:H2068)</f>
        <v>729128.88576000009</v>
      </c>
      <c r="J2068" s="203" t="s">
        <v>448</v>
      </c>
    </row>
    <row r="2069" spans="1:10" hidden="1" outlineLevel="3">
      <c r="A2069" s="875" t="s">
        <v>449</v>
      </c>
      <c r="B2069" s="899">
        <f t="shared" si="97"/>
        <v>34814969.396640003</v>
      </c>
      <c r="C2069" s="880">
        <f t="shared" si="98"/>
        <v>0</v>
      </c>
      <c r="D2069" s="210">
        <f t="shared" si="99"/>
        <v>0</v>
      </c>
      <c r="E2069" s="210">
        <f t="shared" si="100"/>
        <v>0</v>
      </c>
      <c r="F2069" s="882">
        <f t="shared" si="101"/>
        <v>3597.2829280000005</v>
      </c>
      <c r="G2069" s="210">
        <f t="shared" si="104"/>
        <v>0</v>
      </c>
      <c r="H2069" s="210">
        <f t="shared" si="104"/>
        <v>0</v>
      </c>
      <c r="I2069" s="898">
        <f t="shared" si="105"/>
        <v>34818566.679568</v>
      </c>
      <c r="J2069" s="203" t="s">
        <v>450</v>
      </c>
    </row>
    <row r="2070" spans="1:10" hidden="1" outlineLevel="3">
      <c r="A2070" s="875" t="s">
        <v>451</v>
      </c>
      <c r="B2070" s="899">
        <f t="shared" si="97"/>
        <v>467212.23311999999</v>
      </c>
      <c r="C2070" s="880">
        <f t="shared" si="98"/>
        <v>0</v>
      </c>
      <c r="D2070" s="210">
        <f t="shared" si="99"/>
        <v>0</v>
      </c>
      <c r="E2070" s="210">
        <f t="shared" si="100"/>
        <v>0</v>
      </c>
      <c r="F2070" s="882">
        <f t="shared" si="101"/>
        <v>0</v>
      </c>
      <c r="G2070" s="210">
        <f t="shared" si="104"/>
        <v>0</v>
      </c>
      <c r="H2070" s="210">
        <f t="shared" si="104"/>
        <v>0</v>
      </c>
      <c r="I2070" s="898">
        <f t="shared" si="105"/>
        <v>467212.23311999999</v>
      </c>
      <c r="J2070" s="203" t="s">
        <v>452</v>
      </c>
    </row>
    <row r="2071" spans="1:10" hidden="1" outlineLevel="3">
      <c r="A2071" s="875" t="s">
        <v>453</v>
      </c>
      <c r="B2071" s="899">
        <f t="shared" si="97"/>
        <v>2010123.2622400001</v>
      </c>
      <c r="C2071" s="880">
        <f t="shared" si="98"/>
        <v>0</v>
      </c>
      <c r="D2071" s="210">
        <f t="shared" si="99"/>
        <v>0</v>
      </c>
      <c r="E2071" s="210">
        <f t="shared" si="100"/>
        <v>0</v>
      </c>
      <c r="F2071" s="882">
        <f t="shared" si="101"/>
        <v>0</v>
      </c>
      <c r="G2071" s="210">
        <f t="shared" si="104"/>
        <v>0</v>
      </c>
      <c r="H2071" s="210">
        <f t="shared" si="104"/>
        <v>0</v>
      </c>
      <c r="I2071" s="898">
        <f t="shared" si="105"/>
        <v>2010123.2622400001</v>
      </c>
      <c r="J2071" s="203" t="s">
        <v>454</v>
      </c>
    </row>
    <row r="2072" spans="1:10" hidden="1" outlineLevel="3">
      <c r="A2072" s="875" t="s">
        <v>455</v>
      </c>
      <c r="B2072" s="899">
        <f t="shared" si="97"/>
        <v>187398.38512000002</v>
      </c>
      <c r="C2072" s="880">
        <f t="shared" si="98"/>
        <v>0</v>
      </c>
      <c r="D2072" s="210">
        <f t="shared" si="99"/>
        <v>0</v>
      </c>
      <c r="E2072" s="210">
        <f t="shared" si="100"/>
        <v>0</v>
      </c>
      <c r="F2072" s="882">
        <f t="shared" si="101"/>
        <v>0</v>
      </c>
      <c r="G2072" s="210">
        <f t="shared" si="104"/>
        <v>0</v>
      </c>
      <c r="H2072" s="210">
        <f t="shared" si="104"/>
        <v>0</v>
      </c>
      <c r="I2072" s="898">
        <f t="shared" si="105"/>
        <v>187398.38512000002</v>
      </c>
      <c r="J2072" s="203" t="s">
        <v>456</v>
      </c>
    </row>
    <row r="2073" spans="1:10" hidden="1" outlineLevel="3">
      <c r="A2073" s="875" t="s">
        <v>457</v>
      </c>
      <c r="B2073" s="899">
        <f t="shared" si="97"/>
        <v>30956.338240000001</v>
      </c>
      <c r="C2073" s="880">
        <f t="shared" si="98"/>
        <v>0</v>
      </c>
      <c r="D2073" s="210">
        <f t="shared" si="99"/>
        <v>0</v>
      </c>
      <c r="E2073" s="210">
        <f t="shared" si="100"/>
        <v>0</v>
      </c>
      <c r="F2073" s="882">
        <f t="shared" si="101"/>
        <v>0</v>
      </c>
      <c r="G2073" s="210">
        <f t="shared" si="104"/>
        <v>0</v>
      </c>
      <c r="H2073" s="210">
        <f t="shared" si="104"/>
        <v>0</v>
      </c>
      <c r="I2073" s="898">
        <f t="shared" si="105"/>
        <v>30956.338240000001</v>
      </c>
      <c r="J2073" s="203" t="s">
        <v>458</v>
      </c>
    </row>
    <row r="2074" spans="1:10" hidden="1" outlineLevel="3">
      <c r="A2074" s="875" t="s">
        <v>459</v>
      </c>
      <c r="B2074" s="899">
        <f t="shared" si="97"/>
        <v>2112195.4124799999</v>
      </c>
      <c r="C2074" s="880">
        <f t="shared" si="98"/>
        <v>0</v>
      </c>
      <c r="D2074" s="210">
        <f t="shared" si="99"/>
        <v>0</v>
      </c>
      <c r="E2074" s="210">
        <f t="shared" si="100"/>
        <v>0</v>
      </c>
      <c r="F2074" s="882">
        <f t="shared" si="101"/>
        <v>0</v>
      </c>
      <c r="G2074" s="210">
        <f t="shared" si="104"/>
        <v>0</v>
      </c>
      <c r="H2074" s="210">
        <f t="shared" si="104"/>
        <v>0</v>
      </c>
      <c r="I2074" s="898">
        <f t="shared" si="105"/>
        <v>2112195.4124799999</v>
      </c>
      <c r="J2074" s="203" t="s">
        <v>460</v>
      </c>
    </row>
    <row r="2075" spans="1:10" hidden="1" outlineLevel="3">
      <c r="A2075" s="875" t="s">
        <v>461</v>
      </c>
      <c r="B2075" s="899">
        <f t="shared" si="97"/>
        <v>210850.89679999999</v>
      </c>
      <c r="C2075" s="880">
        <f t="shared" si="98"/>
        <v>0</v>
      </c>
      <c r="D2075" s="210">
        <f t="shared" si="99"/>
        <v>0</v>
      </c>
      <c r="E2075" s="210">
        <f t="shared" si="100"/>
        <v>0</v>
      </c>
      <c r="F2075" s="882">
        <f t="shared" si="101"/>
        <v>0</v>
      </c>
      <c r="G2075" s="210">
        <f t="shared" si="104"/>
        <v>0</v>
      </c>
      <c r="H2075" s="210">
        <f t="shared" si="104"/>
        <v>0</v>
      </c>
      <c r="I2075" s="898">
        <f t="shared" si="105"/>
        <v>210850.89679999999</v>
      </c>
      <c r="J2075" s="203" t="s">
        <v>462</v>
      </c>
    </row>
    <row r="2076" spans="1:10" hidden="1" outlineLevel="3">
      <c r="A2076" s="875" t="s">
        <v>463</v>
      </c>
      <c r="B2076" s="899">
        <f t="shared" si="97"/>
        <v>12921518.448960001</v>
      </c>
      <c r="C2076" s="880">
        <f t="shared" si="98"/>
        <v>0</v>
      </c>
      <c r="D2076" s="210">
        <f t="shared" si="99"/>
        <v>0</v>
      </c>
      <c r="E2076" s="210">
        <f t="shared" si="100"/>
        <v>0</v>
      </c>
      <c r="F2076" s="882">
        <f t="shared" si="101"/>
        <v>0</v>
      </c>
      <c r="G2076" s="210">
        <f t="shared" si="104"/>
        <v>0</v>
      </c>
      <c r="H2076" s="210">
        <f t="shared" si="104"/>
        <v>0</v>
      </c>
      <c r="I2076" s="898">
        <f t="shared" si="105"/>
        <v>12921518.448960001</v>
      </c>
      <c r="J2076" s="203" t="s">
        <v>464</v>
      </c>
    </row>
    <row r="2077" spans="1:10" hidden="1" outlineLevel="3">
      <c r="A2077" s="875" t="s">
        <v>465</v>
      </c>
      <c r="B2077" s="899">
        <f t="shared" si="97"/>
        <v>39424.222399999999</v>
      </c>
      <c r="C2077" s="880">
        <f t="shared" si="98"/>
        <v>0</v>
      </c>
      <c r="D2077" s="210">
        <f t="shared" si="99"/>
        <v>0</v>
      </c>
      <c r="E2077" s="210">
        <f t="shared" si="100"/>
        <v>0</v>
      </c>
      <c r="F2077" s="882">
        <f t="shared" si="101"/>
        <v>0</v>
      </c>
      <c r="G2077" s="210">
        <f t="shared" si="104"/>
        <v>0</v>
      </c>
      <c r="H2077" s="210">
        <f t="shared" si="104"/>
        <v>0</v>
      </c>
      <c r="I2077" s="898">
        <f t="shared" si="105"/>
        <v>39424.222399999999</v>
      </c>
      <c r="J2077" s="203" t="s">
        <v>466</v>
      </c>
    </row>
    <row r="2078" spans="1:10" hidden="1" outlineLevel="3">
      <c r="A2078" s="875" t="s">
        <v>467</v>
      </c>
      <c r="B2078" s="899">
        <f t="shared" si="97"/>
        <v>718425.34703999991</v>
      </c>
      <c r="C2078" s="880">
        <f t="shared" si="98"/>
        <v>0</v>
      </c>
      <c r="D2078" s="210">
        <f t="shared" si="99"/>
        <v>0</v>
      </c>
      <c r="E2078" s="210">
        <f t="shared" si="100"/>
        <v>0</v>
      </c>
      <c r="F2078" s="882">
        <f t="shared" si="101"/>
        <v>0</v>
      </c>
      <c r="G2078" s="210">
        <f t="shared" si="104"/>
        <v>0</v>
      </c>
      <c r="H2078" s="210">
        <f t="shared" si="104"/>
        <v>0</v>
      </c>
      <c r="I2078" s="898">
        <f t="shared" si="105"/>
        <v>718425.34703999991</v>
      </c>
      <c r="J2078" s="203" t="s">
        <v>468</v>
      </c>
    </row>
    <row r="2079" spans="1:10" hidden="1" outlineLevel="3">
      <c r="A2079" s="875" t="s">
        <v>469</v>
      </c>
      <c r="B2079" s="899">
        <f t="shared" si="97"/>
        <v>143873969.73791999</v>
      </c>
      <c r="C2079" s="880">
        <f t="shared" si="98"/>
        <v>0</v>
      </c>
      <c r="D2079" s="210">
        <f t="shared" si="99"/>
        <v>74359.720847999997</v>
      </c>
      <c r="E2079" s="210">
        <f t="shared" si="100"/>
        <v>0</v>
      </c>
      <c r="F2079" s="882">
        <f t="shared" si="101"/>
        <v>29970.658880000003</v>
      </c>
      <c r="G2079" s="210">
        <f t="shared" si="104"/>
        <v>929.9954560000001</v>
      </c>
      <c r="H2079" s="210">
        <f t="shared" si="104"/>
        <v>0</v>
      </c>
      <c r="I2079" s="898">
        <f t="shared" si="105"/>
        <v>143979230.11310399</v>
      </c>
      <c r="J2079" s="203" t="s">
        <v>470</v>
      </c>
    </row>
    <row r="2080" spans="1:10" hidden="1" outlineLevel="3">
      <c r="A2080" s="875" t="s">
        <v>471</v>
      </c>
      <c r="B2080" s="899">
        <f t="shared" si="97"/>
        <v>864922.91280000005</v>
      </c>
      <c r="C2080" s="880">
        <f t="shared" si="98"/>
        <v>0</v>
      </c>
      <c r="D2080" s="210">
        <f t="shared" si="99"/>
        <v>0</v>
      </c>
      <c r="E2080" s="210">
        <f t="shared" si="100"/>
        <v>0</v>
      </c>
      <c r="F2080" s="882">
        <f t="shared" si="101"/>
        <v>0</v>
      </c>
      <c r="G2080" s="210">
        <f t="shared" si="104"/>
        <v>0</v>
      </c>
      <c r="H2080" s="210">
        <f t="shared" si="104"/>
        <v>0</v>
      </c>
      <c r="I2080" s="898">
        <f t="shared" si="105"/>
        <v>864922.91280000005</v>
      </c>
      <c r="J2080" s="203" t="s">
        <v>472</v>
      </c>
    </row>
    <row r="2081" spans="1:10" hidden="1" outlineLevel="3">
      <c r="A2081" s="875" t="s">
        <v>473</v>
      </c>
      <c r="B2081" s="899">
        <f t="shared" si="97"/>
        <v>108144.13872000002</v>
      </c>
      <c r="C2081" s="880">
        <f t="shared" si="98"/>
        <v>0</v>
      </c>
      <c r="D2081" s="210">
        <f t="shared" si="99"/>
        <v>0</v>
      </c>
      <c r="E2081" s="210">
        <f t="shared" si="100"/>
        <v>0</v>
      </c>
      <c r="F2081" s="882">
        <f t="shared" si="101"/>
        <v>0</v>
      </c>
      <c r="G2081" s="210">
        <f t="shared" si="104"/>
        <v>0</v>
      </c>
      <c r="H2081" s="210">
        <f t="shared" si="104"/>
        <v>0</v>
      </c>
      <c r="I2081" s="898">
        <f t="shared" si="105"/>
        <v>108144.13872000002</v>
      </c>
      <c r="J2081" s="203" t="s">
        <v>474</v>
      </c>
    </row>
    <row r="2082" spans="1:10" hidden="1" outlineLevel="3">
      <c r="A2082" s="875" t="s">
        <v>475</v>
      </c>
      <c r="B2082" s="899">
        <f t="shared" si="97"/>
        <v>384929.43152000004</v>
      </c>
      <c r="C2082" s="880">
        <f t="shared" si="98"/>
        <v>0</v>
      </c>
      <c r="D2082" s="210">
        <f t="shared" si="99"/>
        <v>0</v>
      </c>
      <c r="E2082" s="210">
        <f t="shared" si="100"/>
        <v>0</v>
      </c>
      <c r="F2082" s="882">
        <f t="shared" si="101"/>
        <v>0</v>
      </c>
      <c r="G2082" s="210">
        <f t="shared" si="104"/>
        <v>0</v>
      </c>
      <c r="H2082" s="210">
        <f t="shared" si="104"/>
        <v>0</v>
      </c>
      <c r="I2082" s="898">
        <f t="shared" si="105"/>
        <v>384929.43152000004</v>
      </c>
      <c r="J2082" s="203" t="s">
        <v>476</v>
      </c>
    </row>
    <row r="2083" spans="1:10" hidden="1" outlineLevel="3">
      <c r="A2083" s="875" t="s">
        <v>477</v>
      </c>
      <c r="B2083" s="899">
        <f t="shared" si="97"/>
        <v>7860005.5647999998</v>
      </c>
      <c r="C2083" s="880">
        <f t="shared" si="98"/>
        <v>0</v>
      </c>
      <c r="D2083" s="210">
        <f t="shared" si="99"/>
        <v>25938.130775999998</v>
      </c>
      <c r="E2083" s="210">
        <f t="shared" si="100"/>
        <v>0</v>
      </c>
      <c r="F2083" s="882">
        <f t="shared" si="101"/>
        <v>23192.440480000005</v>
      </c>
      <c r="G2083" s="210">
        <f t="shared" si="104"/>
        <v>0</v>
      </c>
      <c r="H2083" s="210">
        <f t="shared" si="104"/>
        <v>0</v>
      </c>
      <c r="I2083" s="898">
        <f t="shared" si="105"/>
        <v>7909136.1360560004</v>
      </c>
      <c r="J2083" s="203" t="s">
        <v>478</v>
      </c>
    </row>
    <row r="2084" spans="1:10" hidden="1" outlineLevel="3">
      <c r="A2084" s="875" t="s">
        <v>479</v>
      </c>
      <c r="B2084" s="899">
        <f t="shared" si="97"/>
        <v>1192550.7115200001</v>
      </c>
      <c r="C2084" s="880">
        <f t="shared" si="98"/>
        <v>0</v>
      </c>
      <c r="D2084" s="210">
        <f t="shared" si="99"/>
        <v>0</v>
      </c>
      <c r="E2084" s="210">
        <f t="shared" si="100"/>
        <v>0</v>
      </c>
      <c r="F2084" s="882">
        <f t="shared" si="101"/>
        <v>0</v>
      </c>
      <c r="G2084" s="210">
        <f t="shared" si="104"/>
        <v>0</v>
      </c>
      <c r="H2084" s="210">
        <f t="shared" si="104"/>
        <v>0</v>
      </c>
      <c r="I2084" s="898">
        <f t="shared" si="105"/>
        <v>1192550.7115200001</v>
      </c>
      <c r="J2084" s="203" t="s">
        <v>480</v>
      </c>
    </row>
    <row r="2085" spans="1:10" hidden="1" outlineLevel="3">
      <c r="A2085" s="875" t="s">
        <v>481</v>
      </c>
      <c r="B2085" s="899">
        <f t="shared" si="97"/>
        <v>795864.18559999997</v>
      </c>
      <c r="C2085" s="880">
        <f t="shared" si="98"/>
        <v>0</v>
      </c>
      <c r="D2085" s="210">
        <f t="shared" si="99"/>
        <v>0</v>
      </c>
      <c r="E2085" s="210">
        <f t="shared" si="100"/>
        <v>0</v>
      </c>
      <c r="F2085" s="882">
        <f t="shared" si="101"/>
        <v>0</v>
      </c>
      <c r="G2085" s="210">
        <f t="shared" si="104"/>
        <v>0</v>
      </c>
      <c r="H2085" s="210">
        <f t="shared" si="104"/>
        <v>0</v>
      </c>
      <c r="I2085" s="898">
        <f t="shared" si="105"/>
        <v>795864.18559999997</v>
      </c>
      <c r="J2085" s="203" t="s">
        <v>482</v>
      </c>
    </row>
    <row r="2086" spans="1:10" hidden="1" outlineLevel="3">
      <c r="A2086" s="875" t="s">
        <v>483</v>
      </c>
      <c r="B2086" s="899">
        <f t="shared" si="97"/>
        <v>42269345.902560003</v>
      </c>
      <c r="C2086" s="880">
        <f t="shared" si="98"/>
        <v>0</v>
      </c>
      <c r="D2086" s="210">
        <f t="shared" si="99"/>
        <v>0</v>
      </c>
      <c r="E2086" s="210">
        <f t="shared" si="100"/>
        <v>0</v>
      </c>
      <c r="F2086" s="882">
        <f t="shared" si="101"/>
        <v>75174.90580800001</v>
      </c>
      <c r="G2086" s="210">
        <f t="shared" ref="G2086:H2105" si="106">G218*0.1312/100</f>
        <v>0</v>
      </c>
      <c r="H2086" s="210">
        <f t="shared" si="106"/>
        <v>0</v>
      </c>
      <c r="I2086" s="898">
        <f t="shared" si="105"/>
        <v>42344520.808368005</v>
      </c>
      <c r="J2086" s="203" t="s">
        <v>484</v>
      </c>
    </row>
    <row r="2087" spans="1:10" hidden="1" outlineLevel="3">
      <c r="A2087" s="875" t="s">
        <v>485</v>
      </c>
      <c r="B2087" s="899">
        <f t="shared" si="97"/>
        <v>2202994.8783999998</v>
      </c>
      <c r="C2087" s="880">
        <f t="shared" si="98"/>
        <v>0</v>
      </c>
      <c r="D2087" s="210">
        <f t="shared" si="99"/>
        <v>0</v>
      </c>
      <c r="E2087" s="210">
        <f t="shared" si="100"/>
        <v>0</v>
      </c>
      <c r="F2087" s="882">
        <f t="shared" si="101"/>
        <v>0</v>
      </c>
      <c r="G2087" s="210">
        <f t="shared" si="106"/>
        <v>0</v>
      </c>
      <c r="H2087" s="210">
        <f t="shared" si="106"/>
        <v>0</v>
      </c>
      <c r="I2087" s="898">
        <f t="shared" si="105"/>
        <v>2202994.8783999998</v>
      </c>
      <c r="J2087" s="203" t="s">
        <v>486</v>
      </c>
    </row>
    <row r="2088" spans="1:10" hidden="1" outlineLevel="3">
      <c r="A2088" s="875" t="s">
        <v>487</v>
      </c>
      <c r="B2088" s="899">
        <f t="shared" si="97"/>
        <v>475393.57648000005</v>
      </c>
      <c r="C2088" s="880">
        <f t="shared" si="98"/>
        <v>0</v>
      </c>
      <c r="D2088" s="210">
        <f t="shared" si="99"/>
        <v>0</v>
      </c>
      <c r="E2088" s="210">
        <f t="shared" si="100"/>
        <v>0</v>
      </c>
      <c r="F2088" s="882">
        <f t="shared" si="101"/>
        <v>0</v>
      </c>
      <c r="G2088" s="210">
        <f t="shared" si="106"/>
        <v>0</v>
      </c>
      <c r="H2088" s="210">
        <f t="shared" si="106"/>
        <v>0</v>
      </c>
      <c r="I2088" s="898">
        <f t="shared" si="105"/>
        <v>475393.57648000005</v>
      </c>
      <c r="J2088" s="203" t="s">
        <v>488</v>
      </c>
    </row>
    <row r="2089" spans="1:10" hidden="1" outlineLevel="3">
      <c r="A2089" s="875" t="s">
        <v>489</v>
      </c>
      <c r="B2089" s="899">
        <f t="shared" si="97"/>
        <v>2802188.1582399998</v>
      </c>
      <c r="C2089" s="880">
        <f t="shared" si="98"/>
        <v>0</v>
      </c>
      <c r="D2089" s="210">
        <f t="shared" si="99"/>
        <v>0</v>
      </c>
      <c r="E2089" s="210">
        <f t="shared" si="100"/>
        <v>0</v>
      </c>
      <c r="F2089" s="882">
        <f t="shared" si="101"/>
        <v>0</v>
      </c>
      <c r="G2089" s="210">
        <f t="shared" si="106"/>
        <v>0</v>
      </c>
      <c r="H2089" s="210">
        <f t="shared" si="106"/>
        <v>0</v>
      </c>
      <c r="I2089" s="898">
        <f t="shared" si="105"/>
        <v>2802188.1582399998</v>
      </c>
      <c r="J2089" s="203" t="s">
        <v>490</v>
      </c>
    </row>
    <row r="2090" spans="1:10" hidden="1" outlineLevel="3">
      <c r="A2090" s="875" t="s">
        <v>491</v>
      </c>
      <c r="B2090" s="899">
        <f t="shared" si="97"/>
        <v>125090.81632000001</v>
      </c>
      <c r="C2090" s="880">
        <f t="shared" si="98"/>
        <v>0</v>
      </c>
      <c r="D2090" s="210">
        <f t="shared" si="99"/>
        <v>0</v>
      </c>
      <c r="E2090" s="210">
        <f t="shared" si="100"/>
        <v>0</v>
      </c>
      <c r="F2090" s="882">
        <f t="shared" si="101"/>
        <v>0</v>
      </c>
      <c r="G2090" s="210">
        <f t="shared" si="106"/>
        <v>0</v>
      </c>
      <c r="H2090" s="210">
        <f t="shared" si="106"/>
        <v>0</v>
      </c>
      <c r="I2090" s="898">
        <f t="shared" si="105"/>
        <v>125090.81632000001</v>
      </c>
      <c r="J2090" s="203" t="s">
        <v>492</v>
      </c>
    </row>
    <row r="2091" spans="1:10" hidden="1" outlineLevel="3">
      <c r="A2091" s="875" t="s">
        <v>493</v>
      </c>
      <c r="B2091" s="899">
        <f t="shared" si="97"/>
        <v>1423942.6476800002</v>
      </c>
      <c r="C2091" s="880">
        <f t="shared" si="98"/>
        <v>0</v>
      </c>
      <c r="D2091" s="210">
        <f t="shared" si="99"/>
        <v>0</v>
      </c>
      <c r="E2091" s="210">
        <f t="shared" si="100"/>
        <v>0</v>
      </c>
      <c r="F2091" s="882">
        <f t="shared" si="101"/>
        <v>0</v>
      </c>
      <c r="G2091" s="210">
        <f t="shared" si="106"/>
        <v>0</v>
      </c>
      <c r="H2091" s="210">
        <f t="shared" si="106"/>
        <v>0</v>
      </c>
      <c r="I2091" s="898">
        <f t="shared" si="105"/>
        <v>1423942.6476800002</v>
      </c>
      <c r="J2091" s="203" t="s">
        <v>494</v>
      </c>
    </row>
    <row r="2092" spans="1:10" hidden="1" outlineLevel="3">
      <c r="A2092" s="875" t="s">
        <v>495</v>
      </c>
      <c r="B2092" s="899">
        <f t="shared" si="97"/>
        <v>5141252.5771200005</v>
      </c>
      <c r="C2092" s="880">
        <f t="shared" si="98"/>
        <v>0</v>
      </c>
      <c r="D2092" s="210">
        <f t="shared" si="99"/>
        <v>0</v>
      </c>
      <c r="E2092" s="210">
        <f t="shared" si="100"/>
        <v>0</v>
      </c>
      <c r="F2092" s="882">
        <f t="shared" si="101"/>
        <v>0</v>
      </c>
      <c r="G2092" s="210">
        <f t="shared" si="106"/>
        <v>0</v>
      </c>
      <c r="H2092" s="210">
        <f t="shared" si="106"/>
        <v>0</v>
      </c>
      <c r="I2092" s="898">
        <f t="shared" si="105"/>
        <v>5141252.5771200005</v>
      </c>
      <c r="J2092" s="203" t="s">
        <v>496</v>
      </c>
    </row>
    <row r="2093" spans="1:10" hidden="1" outlineLevel="3">
      <c r="A2093" s="875" t="s">
        <v>497</v>
      </c>
      <c r="B2093" s="899">
        <f t="shared" si="97"/>
        <v>1163796.2569600001</v>
      </c>
      <c r="C2093" s="880">
        <f t="shared" si="98"/>
        <v>0</v>
      </c>
      <c r="D2093" s="210">
        <f t="shared" si="99"/>
        <v>0</v>
      </c>
      <c r="E2093" s="210">
        <f t="shared" si="100"/>
        <v>0</v>
      </c>
      <c r="F2093" s="882">
        <f t="shared" si="101"/>
        <v>0</v>
      </c>
      <c r="G2093" s="210">
        <f t="shared" si="106"/>
        <v>0</v>
      </c>
      <c r="H2093" s="210">
        <f t="shared" si="106"/>
        <v>0</v>
      </c>
      <c r="I2093" s="898">
        <f t="shared" si="105"/>
        <v>1163796.2569600001</v>
      </c>
      <c r="J2093" s="203" t="s">
        <v>498</v>
      </c>
    </row>
    <row r="2094" spans="1:10" hidden="1" outlineLevel="3">
      <c r="A2094" s="875" t="s">
        <v>499</v>
      </c>
      <c r="B2094" s="899">
        <f t="shared" si="97"/>
        <v>96546.327680000017</v>
      </c>
      <c r="C2094" s="880">
        <f t="shared" si="98"/>
        <v>0</v>
      </c>
      <c r="D2094" s="210">
        <f t="shared" si="99"/>
        <v>0</v>
      </c>
      <c r="E2094" s="210">
        <f t="shared" si="100"/>
        <v>0</v>
      </c>
      <c r="F2094" s="882">
        <f t="shared" si="101"/>
        <v>0</v>
      </c>
      <c r="G2094" s="210">
        <f t="shared" si="106"/>
        <v>0</v>
      </c>
      <c r="H2094" s="210">
        <f t="shared" si="106"/>
        <v>0</v>
      </c>
      <c r="I2094" s="898">
        <f t="shared" si="105"/>
        <v>96546.327680000017</v>
      </c>
      <c r="J2094" s="203" t="s">
        <v>500</v>
      </c>
    </row>
    <row r="2095" spans="1:10" hidden="1" outlineLevel="3">
      <c r="A2095" s="875" t="s">
        <v>501</v>
      </c>
      <c r="B2095" s="899">
        <f t="shared" si="97"/>
        <v>945973.4315200001</v>
      </c>
      <c r="C2095" s="880">
        <f t="shared" si="98"/>
        <v>0</v>
      </c>
      <c r="D2095" s="210">
        <f t="shared" si="99"/>
        <v>0</v>
      </c>
      <c r="E2095" s="210">
        <f t="shared" si="100"/>
        <v>0</v>
      </c>
      <c r="F2095" s="882">
        <f t="shared" si="101"/>
        <v>0</v>
      </c>
      <c r="G2095" s="210">
        <f t="shared" si="106"/>
        <v>0</v>
      </c>
      <c r="H2095" s="210">
        <f t="shared" si="106"/>
        <v>0</v>
      </c>
      <c r="I2095" s="898">
        <f t="shared" si="105"/>
        <v>945973.4315200001</v>
      </c>
      <c r="J2095" s="203" t="s">
        <v>502</v>
      </c>
    </row>
    <row r="2096" spans="1:10" hidden="1" outlineLevel="3">
      <c r="A2096" s="875" t="s">
        <v>503</v>
      </c>
      <c r="B2096" s="899">
        <f t="shared" si="97"/>
        <v>8151090.4177600006</v>
      </c>
      <c r="C2096" s="880">
        <f t="shared" si="98"/>
        <v>0</v>
      </c>
      <c r="D2096" s="210">
        <f t="shared" si="99"/>
        <v>0</v>
      </c>
      <c r="E2096" s="210">
        <f t="shared" si="100"/>
        <v>0</v>
      </c>
      <c r="F2096" s="882">
        <f t="shared" si="101"/>
        <v>0</v>
      </c>
      <c r="G2096" s="210">
        <f t="shared" si="106"/>
        <v>0</v>
      </c>
      <c r="H2096" s="210">
        <f t="shared" si="106"/>
        <v>0</v>
      </c>
      <c r="I2096" s="898">
        <f t="shared" si="105"/>
        <v>8151090.4177600006</v>
      </c>
      <c r="J2096" s="203" t="s">
        <v>504</v>
      </c>
    </row>
    <row r="2097" spans="1:10" hidden="1" outlineLevel="3">
      <c r="A2097" s="875" t="s">
        <v>505</v>
      </c>
      <c r="B2097" s="899">
        <f t="shared" si="97"/>
        <v>716653.08431999991</v>
      </c>
      <c r="C2097" s="880">
        <f t="shared" si="98"/>
        <v>0</v>
      </c>
      <c r="D2097" s="210">
        <f t="shared" si="99"/>
        <v>0</v>
      </c>
      <c r="E2097" s="210">
        <f t="shared" si="100"/>
        <v>0</v>
      </c>
      <c r="F2097" s="882">
        <f t="shared" si="101"/>
        <v>0</v>
      </c>
      <c r="G2097" s="210">
        <f t="shared" si="106"/>
        <v>0</v>
      </c>
      <c r="H2097" s="210">
        <f t="shared" si="106"/>
        <v>0</v>
      </c>
      <c r="I2097" s="898">
        <f t="shared" si="105"/>
        <v>716653.08431999991</v>
      </c>
      <c r="J2097" s="203" t="s">
        <v>506</v>
      </c>
    </row>
    <row r="2098" spans="1:10" hidden="1" outlineLevel="3">
      <c r="A2098" s="875" t="s">
        <v>507</v>
      </c>
      <c r="B2098" s="899">
        <f t="shared" si="97"/>
        <v>802711.92032000003</v>
      </c>
      <c r="C2098" s="880">
        <f t="shared" si="98"/>
        <v>0</v>
      </c>
      <c r="D2098" s="210">
        <f t="shared" si="99"/>
        <v>0</v>
      </c>
      <c r="E2098" s="210">
        <f t="shared" si="100"/>
        <v>0</v>
      </c>
      <c r="F2098" s="882">
        <f t="shared" si="101"/>
        <v>0</v>
      </c>
      <c r="G2098" s="210">
        <f t="shared" si="106"/>
        <v>0</v>
      </c>
      <c r="H2098" s="210">
        <f t="shared" si="106"/>
        <v>0</v>
      </c>
      <c r="I2098" s="898">
        <f t="shared" si="105"/>
        <v>802711.92032000003</v>
      </c>
      <c r="J2098" s="203" t="s">
        <v>508</v>
      </c>
    </row>
    <row r="2099" spans="1:10" hidden="1" outlineLevel="3">
      <c r="A2099" s="875" t="s">
        <v>509</v>
      </c>
      <c r="B2099" s="899">
        <f t="shared" si="97"/>
        <v>852682.51040000003</v>
      </c>
      <c r="C2099" s="880">
        <f t="shared" si="98"/>
        <v>0</v>
      </c>
      <c r="D2099" s="210">
        <f t="shared" si="99"/>
        <v>0</v>
      </c>
      <c r="E2099" s="210">
        <f t="shared" si="100"/>
        <v>0</v>
      </c>
      <c r="F2099" s="882">
        <f t="shared" si="101"/>
        <v>0</v>
      </c>
      <c r="G2099" s="210">
        <f t="shared" si="106"/>
        <v>0</v>
      </c>
      <c r="H2099" s="210">
        <f t="shared" si="106"/>
        <v>0</v>
      </c>
      <c r="I2099" s="898">
        <f t="shared" si="105"/>
        <v>852682.51040000003</v>
      </c>
      <c r="J2099" s="203" t="s">
        <v>510</v>
      </c>
    </row>
    <row r="2100" spans="1:10" hidden="1" outlineLevel="3">
      <c r="A2100" s="875" t="s">
        <v>511</v>
      </c>
      <c r="B2100" s="899">
        <f t="shared" si="97"/>
        <v>407.41536000000002</v>
      </c>
      <c r="C2100" s="880">
        <f t="shared" si="98"/>
        <v>0</v>
      </c>
      <c r="D2100" s="210">
        <f t="shared" si="99"/>
        <v>0</v>
      </c>
      <c r="E2100" s="210">
        <f t="shared" si="100"/>
        <v>0</v>
      </c>
      <c r="F2100" s="882">
        <f t="shared" si="101"/>
        <v>0</v>
      </c>
      <c r="G2100" s="210">
        <f t="shared" si="106"/>
        <v>0</v>
      </c>
      <c r="H2100" s="210">
        <f t="shared" si="106"/>
        <v>0</v>
      </c>
      <c r="I2100" s="898">
        <f t="shared" si="105"/>
        <v>407.41536000000002</v>
      </c>
      <c r="J2100" s="203" t="s">
        <v>512</v>
      </c>
    </row>
    <row r="2101" spans="1:10" hidden="1" outlineLevel="3">
      <c r="A2101" s="875" t="s">
        <v>172</v>
      </c>
      <c r="B2101" s="899">
        <f t="shared" si="97"/>
        <v>59407.327200000007</v>
      </c>
      <c r="C2101" s="880">
        <f t="shared" si="98"/>
        <v>0</v>
      </c>
      <c r="D2101" s="210">
        <f t="shared" si="99"/>
        <v>0</v>
      </c>
      <c r="E2101" s="210">
        <f t="shared" si="100"/>
        <v>0</v>
      </c>
      <c r="F2101" s="882">
        <f t="shared" si="101"/>
        <v>0</v>
      </c>
      <c r="G2101" s="210">
        <f t="shared" si="106"/>
        <v>0</v>
      </c>
      <c r="H2101" s="210">
        <f t="shared" si="106"/>
        <v>0</v>
      </c>
      <c r="I2101" s="898">
        <f t="shared" si="105"/>
        <v>59407.327200000007</v>
      </c>
      <c r="J2101" s="203" t="s">
        <v>173</v>
      </c>
    </row>
    <row r="2102" spans="1:10" hidden="1" outlineLevel="3">
      <c r="A2102" s="875" t="s">
        <v>513</v>
      </c>
      <c r="B2102" s="899">
        <f t="shared" si="97"/>
        <v>566968.13919999998</v>
      </c>
      <c r="C2102" s="880">
        <f t="shared" si="98"/>
        <v>0</v>
      </c>
      <c r="D2102" s="210">
        <f t="shared" si="99"/>
        <v>0</v>
      </c>
      <c r="E2102" s="210">
        <f t="shared" si="100"/>
        <v>0</v>
      </c>
      <c r="F2102" s="882">
        <f t="shared" si="101"/>
        <v>0</v>
      </c>
      <c r="G2102" s="210">
        <f t="shared" si="106"/>
        <v>0</v>
      </c>
      <c r="H2102" s="210">
        <f t="shared" si="106"/>
        <v>0</v>
      </c>
      <c r="I2102" s="898">
        <f t="shared" si="105"/>
        <v>566968.13919999998</v>
      </c>
      <c r="J2102" s="203" t="s">
        <v>514</v>
      </c>
    </row>
    <row r="2103" spans="1:10" hidden="1" outlineLevel="3">
      <c r="A2103" s="875" t="s">
        <v>515</v>
      </c>
      <c r="B2103" s="899">
        <f t="shared" si="97"/>
        <v>21495.152000000002</v>
      </c>
      <c r="C2103" s="880">
        <f t="shared" si="98"/>
        <v>0</v>
      </c>
      <c r="D2103" s="210">
        <f t="shared" si="99"/>
        <v>0</v>
      </c>
      <c r="E2103" s="210">
        <f t="shared" si="100"/>
        <v>0</v>
      </c>
      <c r="F2103" s="882">
        <f t="shared" si="101"/>
        <v>0</v>
      </c>
      <c r="G2103" s="210">
        <f t="shared" si="106"/>
        <v>0</v>
      </c>
      <c r="H2103" s="210">
        <f t="shared" si="106"/>
        <v>0</v>
      </c>
      <c r="I2103" s="898">
        <f t="shared" si="105"/>
        <v>21495.152000000002</v>
      </c>
      <c r="J2103" s="203" t="s">
        <v>516</v>
      </c>
    </row>
    <row r="2104" spans="1:10" hidden="1" outlineLevel="3">
      <c r="A2104" s="875" t="s">
        <v>517</v>
      </c>
      <c r="B2104" s="899">
        <f t="shared" si="97"/>
        <v>905899.25087999995</v>
      </c>
      <c r="C2104" s="880">
        <f t="shared" si="98"/>
        <v>0</v>
      </c>
      <c r="D2104" s="210">
        <f t="shared" si="99"/>
        <v>0</v>
      </c>
      <c r="E2104" s="210">
        <f t="shared" si="100"/>
        <v>0</v>
      </c>
      <c r="F2104" s="882">
        <f t="shared" si="101"/>
        <v>0</v>
      </c>
      <c r="G2104" s="210">
        <f t="shared" si="106"/>
        <v>0</v>
      </c>
      <c r="H2104" s="210">
        <f t="shared" si="106"/>
        <v>0</v>
      </c>
      <c r="I2104" s="898">
        <f t="shared" si="105"/>
        <v>905899.25087999995</v>
      </c>
      <c r="J2104" s="203" t="s">
        <v>518</v>
      </c>
    </row>
    <row r="2105" spans="1:10" hidden="1" outlineLevel="3">
      <c r="A2105" s="875" t="s">
        <v>519</v>
      </c>
      <c r="B2105" s="899">
        <f t="shared" si="97"/>
        <v>620458.37919999997</v>
      </c>
      <c r="C2105" s="880">
        <f t="shared" si="98"/>
        <v>0</v>
      </c>
      <c r="D2105" s="210">
        <f t="shared" si="99"/>
        <v>0</v>
      </c>
      <c r="E2105" s="210">
        <f t="shared" si="100"/>
        <v>0</v>
      </c>
      <c r="F2105" s="882">
        <f t="shared" si="101"/>
        <v>0</v>
      </c>
      <c r="G2105" s="210">
        <f t="shared" si="106"/>
        <v>0</v>
      </c>
      <c r="H2105" s="210">
        <f t="shared" si="106"/>
        <v>0</v>
      </c>
      <c r="I2105" s="898">
        <f t="shared" si="105"/>
        <v>620458.37919999997</v>
      </c>
      <c r="J2105" s="203" t="s">
        <v>520</v>
      </c>
    </row>
    <row r="2106" spans="1:10" hidden="1" outlineLevel="3">
      <c r="A2106" s="875" t="s">
        <v>521</v>
      </c>
      <c r="B2106" s="899">
        <f t="shared" si="97"/>
        <v>1988257.8179200001</v>
      </c>
      <c r="C2106" s="880">
        <f t="shared" si="98"/>
        <v>0</v>
      </c>
      <c r="D2106" s="210">
        <f t="shared" si="99"/>
        <v>0</v>
      </c>
      <c r="E2106" s="210">
        <f t="shared" si="100"/>
        <v>0</v>
      </c>
      <c r="F2106" s="882">
        <f t="shared" si="101"/>
        <v>0</v>
      </c>
      <c r="G2106" s="210">
        <f t="shared" ref="G2106:H2125" si="107">G238*0.1312/100</f>
        <v>0</v>
      </c>
      <c r="H2106" s="210">
        <f t="shared" si="107"/>
        <v>0</v>
      </c>
      <c r="I2106" s="898">
        <f t="shared" si="105"/>
        <v>1988257.8179200001</v>
      </c>
      <c r="J2106" s="203" t="s">
        <v>522</v>
      </c>
    </row>
    <row r="2107" spans="1:10" hidden="1" outlineLevel="3">
      <c r="A2107" s="875" t="s">
        <v>523</v>
      </c>
      <c r="B2107" s="899">
        <f t="shared" si="97"/>
        <v>915758.77344000002</v>
      </c>
      <c r="C2107" s="880">
        <f t="shared" si="98"/>
        <v>0</v>
      </c>
      <c r="D2107" s="210">
        <f t="shared" si="99"/>
        <v>0</v>
      </c>
      <c r="E2107" s="210">
        <f t="shared" si="100"/>
        <v>0</v>
      </c>
      <c r="F2107" s="882">
        <f t="shared" si="101"/>
        <v>0</v>
      </c>
      <c r="G2107" s="210">
        <f t="shared" si="107"/>
        <v>0</v>
      </c>
      <c r="H2107" s="210">
        <f t="shared" si="107"/>
        <v>0</v>
      </c>
      <c r="I2107" s="898">
        <f t="shared" si="105"/>
        <v>915758.77344000002</v>
      </c>
      <c r="J2107" s="203" t="s">
        <v>524</v>
      </c>
    </row>
    <row r="2108" spans="1:10" hidden="1" outlineLevel="3">
      <c r="A2108" s="875" t="s">
        <v>525</v>
      </c>
      <c r="B2108" s="899">
        <f t="shared" si="97"/>
        <v>126230.76064000001</v>
      </c>
      <c r="C2108" s="880">
        <f t="shared" si="98"/>
        <v>0</v>
      </c>
      <c r="D2108" s="210">
        <f t="shared" si="99"/>
        <v>0</v>
      </c>
      <c r="E2108" s="210">
        <f t="shared" si="100"/>
        <v>0</v>
      </c>
      <c r="F2108" s="882">
        <f t="shared" si="101"/>
        <v>0</v>
      </c>
      <c r="G2108" s="210">
        <f t="shared" si="107"/>
        <v>0</v>
      </c>
      <c r="H2108" s="210">
        <f t="shared" si="107"/>
        <v>0</v>
      </c>
      <c r="I2108" s="898">
        <f t="shared" si="105"/>
        <v>126230.76064000001</v>
      </c>
      <c r="J2108" s="203" t="s">
        <v>526</v>
      </c>
    </row>
    <row r="2109" spans="1:10" hidden="1" outlineLevel="3">
      <c r="A2109" s="875" t="s">
        <v>527</v>
      </c>
      <c r="B2109" s="899">
        <f t="shared" si="97"/>
        <v>1193335.4974400001</v>
      </c>
      <c r="C2109" s="880">
        <f t="shared" si="98"/>
        <v>0</v>
      </c>
      <c r="D2109" s="210">
        <f t="shared" si="99"/>
        <v>0</v>
      </c>
      <c r="E2109" s="210">
        <f t="shared" si="100"/>
        <v>0</v>
      </c>
      <c r="F2109" s="882">
        <f t="shared" si="101"/>
        <v>0</v>
      </c>
      <c r="G2109" s="210">
        <f t="shared" si="107"/>
        <v>0</v>
      </c>
      <c r="H2109" s="210">
        <f t="shared" si="107"/>
        <v>0</v>
      </c>
      <c r="I2109" s="898">
        <f t="shared" si="105"/>
        <v>1193335.4974400001</v>
      </c>
      <c r="J2109" s="203" t="s">
        <v>528</v>
      </c>
    </row>
    <row r="2110" spans="1:10" hidden="1" outlineLevel="3">
      <c r="A2110" s="875" t="s">
        <v>529</v>
      </c>
      <c r="B2110" s="899">
        <f t="shared" ref="B2110:B2173" si="108">B242*0.656/100</f>
        <v>73489.423360000001</v>
      </c>
      <c r="C2110" s="880">
        <f t="shared" ref="C2110:C2173" si="109">C242*0/100</f>
        <v>0</v>
      </c>
      <c r="D2110" s="210">
        <f t="shared" ref="D2110:D2173" si="110">D242*0.0984/100</f>
        <v>0</v>
      </c>
      <c r="E2110" s="210">
        <f t="shared" ref="E2110:E2173" si="111">E242*0/100</f>
        <v>0</v>
      </c>
      <c r="F2110" s="882">
        <f t="shared" ref="F2110:F2173" si="112">F242*0.0656/100</f>
        <v>0</v>
      </c>
      <c r="G2110" s="210">
        <f t="shared" si="107"/>
        <v>0</v>
      </c>
      <c r="H2110" s="210">
        <f t="shared" si="107"/>
        <v>0</v>
      </c>
      <c r="I2110" s="898">
        <f t="shared" si="105"/>
        <v>73489.423360000001</v>
      </c>
      <c r="J2110" s="203" t="s">
        <v>530</v>
      </c>
    </row>
    <row r="2111" spans="1:10" hidden="1" outlineLevel="3">
      <c r="A2111" s="875" t="s">
        <v>531</v>
      </c>
      <c r="B2111" s="899">
        <f t="shared" si="108"/>
        <v>2175928.30528</v>
      </c>
      <c r="C2111" s="880">
        <f t="shared" si="109"/>
        <v>0</v>
      </c>
      <c r="D2111" s="210">
        <f t="shared" si="110"/>
        <v>0</v>
      </c>
      <c r="E2111" s="210">
        <f t="shared" si="111"/>
        <v>0</v>
      </c>
      <c r="F2111" s="882">
        <f t="shared" si="112"/>
        <v>0</v>
      </c>
      <c r="G2111" s="210">
        <f t="shared" si="107"/>
        <v>0</v>
      </c>
      <c r="H2111" s="210">
        <f t="shared" si="107"/>
        <v>0</v>
      </c>
      <c r="I2111" s="898">
        <f t="shared" si="105"/>
        <v>2175928.30528</v>
      </c>
      <c r="J2111" s="203" t="s">
        <v>532</v>
      </c>
    </row>
    <row r="2112" spans="1:10" hidden="1" outlineLevel="3">
      <c r="A2112" s="875" t="s">
        <v>533</v>
      </c>
      <c r="B2112" s="899">
        <f t="shared" si="108"/>
        <v>1608462.1571200001</v>
      </c>
      <c r="C2112" s="880">
        <f t="shared" si="109"/>
        <v>0</v>
      </c>
      <c r="D2112" s="210">
        <f t="shared" si="110"/>
        <v>0</v>
      </c>
      <c r="E2112" s="210">
        <f t="shared" si="111"/>
        <v>0</v>
      </c>
      <c r="F2112" s="882">
        <f t="shared" si="112"/>
        <v>0</v>
      </c>
      <c r="G2112" s="210">
        <f t="shared" si="107"/>
        <v>0</v>
      </c>
      <c r="H2112" s="210">
        <f t="shared" si="107"/>
        <v>0</v>
      </c>
      <c r="I2112" s="898">
        <f t="shared" si="105"/>
        <v>1608462.1571200001</v>
      </c>
      <c r="J2112" s="203" t="s">
        <v>534</v>
      </c>
    </row>
    <row r="2113" spans="1:10" hidden="1" outlineLevel="3">
      <c r="A2113" s="875" t="s">
        <v>535</v>
      </c>
      <c r="B2113" s="899">
        <f t="shared" si="108"/>
        <v>932275.0560000001</v>
      </c>
      <c r="C2113" s="880">
        <f t="shared" si="109"/>
        <v>0</v>
      </c>
      <c r="D2113" s="210">
        <f t="shared" si="110"/>
        <v>0</v>
      </c>
      <c r="E2113" s="210">
        <f t="shared" si="111"/>
        <v>0</v>
      </c>
      <c r="F2113" s="882">
        <f t="shared" si="112"/>
        <v>0</v>
      </c>
      <c r="G2113" s="210">
        <f t="shared" si="107"/>
        <v>0</v>
      </c>
      <c r="H2113" s="210">
        <f t="shared" si="107"/>
        <v>0</v>
      </c>
      <c r="I2113" s="898">
        <f t="shared" si="105"/>
        <v>932275.0560000001</v>
      </c>
      <c r="J2113" s="203" t="s">
        <v>536</v>
      </c>
    </row>
    <row r="2114" spans="1:10" hidden="1" outlineLevel="3">
      <c r="A2114" s="875" t="s">
        <v>537</v>
      </c>
      <c r="B2114" s="899">
        <f t="shared" si="108"/>
        <v>206245.99328000002</v>
      </c>
      <c r="C2114" s="880">
        <f t="shared" si="109"/>
        <v>0</v>
      </c>
      <c r="D2114" s="210">
        <f t="shared" si="110"/>
        <v>0</v>
      </c>
      <c r="E2114" s="210">
        <f t="shared" si="111"/>
        <v>0</v>
      </c>
      <c r="F2114" s="882">
        <f t="shared" si="112"/>
        <v>0</v>
      </c>
      <c r="G2114" s="210">
        <f t="shared" si="107"/>
        <v>0</v>
      </c>
      <c r="H2114" s="210">
        <f t="shared" si="107"/>
        <v>0</v>
      </c>
      <c r="I2114" s="898">
        <f t="shared" si="105"/>
        <v>206245.99328000002</v>
      </c>
      <c r="J2114" s="203" t="s">
        <v>538</v>
      </c>
    </row>
    <row r="2115" spans="1:10" hidden="1" outlineLevel="3">
      <c r="A2115" s="875" t="s">
        <v>539</v>
      </c>
      <c r="B2115" s="899">
        <f t="shared" si="108"/>
        <v>986989.10991999996</v>
      </c>
      <c r="C2115" s="880">
        <f t="shared" si="109"/>
        <v>0</v>
      </c>
      <c r="D2115" s="210">
        <f t="shared" si="110"/>
        <v>0</v>
      </c>
      <c r="E2115" s="210">
        <f t="shared" si="111"/>
        <v>0</v>
      </c>
      <c r="F2115" s="882">
        <f t="shared" si="112"/>
        <v>0</v>
      </c>
      <c r="G2115" s="210">
        <f t="shared" si="107"/>
        <v>0</v>
      </c>
      <c r="H2115" s="210">
        <f t="shared" si="107"/>
        <v>0</v>
      </c>
      <c r="I2115" s="898">
        <f t="shared" si="105"/>
        <v>986989.10991999996</v>
      </c>
      <c r="J2115" s="203" t="s">
        <v>540</v>
      </c>
    </row>
    <row r="2116" spans="1:10" hidden="1" outlineLevel="3">
      <c r="A2116" s="875" t="s">
        <v>541</v>
      </c>
      <c r="B2116" s="899">
        <f t="shared" si="108"/>
        <v>16819919.06112</v>
      </c>
      <c r="C2116" s="880">
        <f t="shared" si="109"/>
        <v>0</v>
      </c>
      <c r="D2116" s="210">
        <f t="shared" si="110"/>
        <v>0</v>
      </c>
      <c r="E2116" s="210">
        <f t="shared" si="111"/>
        <v>0</v>
      </c>
      <c r="F2116" s="882">
        <f t="shared" si="112"/>
        <v>45048.175344000003</v>
      </c>
      <c r="G2116" s="210">
        <f t="shared" si="107"/>
        <v>0</v>
      </c>
      <c r="H2116" s="210">
        <f t="shared" si="107"/>
        <v>0</v>
      </c>
      <c r="I2116" s="898">
        <f t="shared" si="105"/>
        <v>16864967.236464001</v>
      </c>
      <c r="J2116" s="203" t="s">
        <v>542</v>
      </c>
    </row>
    <row r="2117" spans="1:10" hidden="1" outlineLevel="3">
      <c r="A2117" s="875" t="s">
        <v>543</v>
      </c>
      <c r="B2117" s="899">
        <f t="shared" si="108"/>
        <v>1961063.96768</v>
      </c>
      <c r="C2117" s="880">
        <f t="shared" si="109"/>
        <v>0</v>
      </c>
      <c r="D2117" s="210">
        <f t="shared" si="110"/>
        <v>0</v>
      </c>
      <c r="E2117" s="210">
        <f t="shared" si="111"/>
        <v>0</v>
      </c>
      <c r="F2117" s="882">
        <f t="shared" si="112"/>
        <v>0</v>
      </c>
      <c r="G2117" s="210">
        <f t="shared" si="107"/>
        <v>0</v>
      </c>
      <c r="H2117" s="210">
        <f t="shared" si="107"/>
        <v>0</v>
      </c>
      <c r="I2117" s="898">
        <f t="shared" si="105"/>
        <v>1961063.96768</v>
      </c>
      <c r="J2117" s="203" t="s">
        <v>544</v>
      </c>
    </row>
    <row r="2118" spans="1:10" hidden="1" outlineLevel="3">
      <c r="A2118" s="875" t="s">
        <v>545</v>
      </c>
      <c r="B2118" s="899">
        <f t="shared" si="108"/>
        <v>549316.07792000007</v>
      </c>
      <c r="C2118" s="880">
        <f t="shared" si="109"/>
        <v>0</v>
      </c>
      <c r="D2118" s="210">
        <f t="shared" si="110"/>
        <v>0</v>
      </c>
      <c r="E2118" s="210">
        <f t="shared" si="111"/>
        <v>0</v>
      </c>
      <c r="F2118" s="882">
        <f t="shared" si="112"/>
        <v>0</v>
      </c>
      <c r="G2118" s="210">
        <f t="shared" si="107"/>
        <v>0</v>
      </c>
      <c r="H2118" s="210">
        <f t="shared" si="107"/>
        <v>0</v>
      </c>
      <c r="I2118" s="898">
        <f t="shared" si="105"/>
        <v>549316.07792000007</v>
      </c>
      <c r="J2118" s="203" t="s">
        <v>546</v>
      </c>
    </row>
    <row r="2119" spans="1:10" hidden="1" outlineLevel="3">
      <c r="A2119" s="875" t="s">
        <v>547</v>
      </c>
      <c r="B2119" s="899">
        <f t="shared" si="108"/>
        <v>1021735.90144</v>
      </c>
      <c r="C2119" s="880">
        <f t="shared" si="109"/>
        <v>0</v>
      </c>
      <c r="D2119" s="210">
        <f t="shared" si="110"/>
        <v>0</v>
      </c>
      <c r="E2119" s="210">
        <f t="shared" si="111"/>
        <v>0</v>
      </c>
      <c r="F2119" s="882">
        <f t="shared" si="112"/>
        <v>0</v>
      </c>
      <c r="G2119" s="210">
        <f t="shared" si="107"/>
        <v>0</v>
      </c>
      <c r="H2119" s="210">
        <f t="shared" si="107"/>
        <v>0</v>
      </c>
      <c r="I2119" s="898">
        <f t="shared" si="105"/>
        <v>1021735.90144</v>
      </c>
      <c r="J2119" s="203" t="s">
        <v>548</v>
      </c>
    </row>
    <row r="2120" spans="1:10" hidden="1" outlineLevel="3">
      <c r="A2120" s="875" t="s">
        <v>549</v>
      </c>
      <c r="B2120" s="899">
        <f t="shared" si="108"/>
        <v>497987.02336000005</v>
      </c>
      <c r="C2120" s="880">
        <f t="shared" si="109"/>
        <v>0</v>
      </c>
      <c r="D2120" s="210">
        <f t="shared" si="110"/>
        <v>0</v>
      </c>
      <c r="E2120" s="210">
        <f t="shared" si="111"/>
        <v>0</v>
      </c>
      <c r="F2120" s="882">
        <f t="shared" si="112"/>
        <v>0</v>
      </c>
      <c r="G2120" s="210">
        <f t="shared" si="107"/>
        <v>0</v>
      </c>
      <c r="H2120" s="210">
        <f t="shared" si="107"/>
        <v>0</v>
      </c>
      <c r="I2120" s="898">
        <f t="shared" si="105"/>
        <v>497987.02336000005</v>
      </c>
      <c r="J2120" s="203" t="s">
        <v>550</v>
      </c>
    </row>
    <row r="2121" spans="1:10" hidden="1" outlineLevel="3">
      <c r="A2121" s="875" t="s">
        <v>551</v>
      </c>
      <c r="B2121" s="899">
        <f t="shared" si="108"/>
        <v>3013183.5259199999</v>
      </c>
      <c r="C2121" s="880">
        <f t="shared" si="109"/>
        <v>0</v>
      </c>
      <c r="D2121" s="210">
        <f t="shared" si="110"/>
        <v>0</v>
      </c>
      <c r="E2121" s="210">
        <f t="shared" si="111"/>
        <v>0</v>
      </c>
      <c r="F2121" s="882">
        <f t="shared" si="112"/>
        <v>0</v>
      </c>
      <c r="G2121" s="210">
        <f t="shared" si="107"/>
        <v>0</v>
      </c>
      <c r="H2121" s="210">
        <f t="shared" si="107"/>
        <v>0</v>
      </c>
      <c r="I2121" s="898">
        <f t="shared" si="105"/>
        <v>3013183.5259199999</v>
      </c>
      <c r="J2121" s="203" t="s">
        <v>552</v>
      </c>
    </row>
    <row r="2122" spans="1:10" hidden="1" outlineLevel="3">
      <c r="A2122" s="875" t="s">
        <v>553</v>
      </c>
      <c r="B2122" s="899">
        <f t="shared" si="108"/>
        <v>2320372.38112</v>
      </c>
      <c r="C2122" s="880">
        <f t="shared" si="109"/>
        <v>0</v>
      </c>
      <c r="D2122" s="210">
        <f t="shared" si="110"/>
        <v>0</v>
      </c>
      <c r="E2122" s="210">
        <f t="shared" si="111"/>
        <v>0</v>
      </c>
      <c r="F2122" s="882">
        <f t="shared" si="112"/>
        <v>0</v>
      </c>
      <c r="G2122" s="210">
        <f t="shared" si="107"/>
        <v>0</v>
      </c>
      <c r="H2122" s="210">
        <f t="shared" si="107"/>
        <v>0</v>
      </c>
      <c r="I2122" s="898">
        <f t="shared" si="105"/>
        <v>2320372.38112</v>
      </c>
      <c r="J2122" s="203" t="s">
        <v>554</v>
      </c>
    </row>
    <row r="2123" spans="1:10" hidden="1" outlineLevel="3">
      <c r="A2123" s="875" t="s">
        <v>555</v>
      </c>
      <c r="B2123" s="899">
        <f t="shared" si="108"/>
        <v>1135877.02816</v>
      </c>
      <c r="C2123" s="880">
        <f t="shared" si="109"/>
        <v>0</v>
      </c>
      <c r="D2123" s="210">
        <f t="shared" si="110"/>
        <v>0</v>
      </c>
      <c r="E2123" s="210">
        <f t="shared" si="111"/>
        <v>0</v>
      </c>
      <c r="F2123" s="882">
        <f t="shared" si="112"/>
        <v>0</v>
      </c>
      <c r="G2123" s="210">
        <f t="shared" si="107"/>
        <v>0</v>
      </c>
      <c r="H2123" s="210">
        <f t="shared" si="107"/>
        <v>0</v>
      </c>
      <c r="I2123" s="898">
        <f t="shared" si="105"/>
        <v>1135877.02816</v>
      </c>
      <c r="J2123" s="203" t="s">
        <v>556</v>
      </c>
    </row>
    <row r="2124" spans="1:10" hidden="1" outlineLevel="3">
      <c r="A2124" s="875" t="s">
        <v>559</v>
      </c>
      <c r="B2124" s="899">
        <f t="shared" si="108"/>
        <v>72075.808960000009</v>
      </c>
      <c r="C2124" s="880">
        <f t="shared" si="109"/>
        <v>0</v>
      </c>
      <c r="D2124" s="210">
        <f t="shared" si="110"/>
        <v>0</v>
      </c>
      <c r="E2124" s="210">
        <f t="shared" si="111"/>
        <v>0</v>
      </c>
      <c r="F2124" s="882">
        <f t="shared" si="112"/>
        <v>0</v>
      </c>
      <c r="G2124" s="210">
        <f t="shared" si="107"/>
        <v>0</v>
      </c>
      <c r="H2124" s="210">
        <f t="shared" si="107"/>
        <v>0</v>
      </c>
      <c r="I2124" s="898">
        <f t="shared" si="105"/>
        <v>72075.808960000009</v>
      </c>
      <c r="J2124" s="203" t="s">
        <v>560</v>
      </c>
    </row>
    <row r="2125" spans="1:10" hidden="1" outlineLevel="3">
      <c r="A2125" s="875" t="s">
        <v>561</v>
      </c>
      <c r="B2125" s="899">
        <f t="shared" si="108"/>
        <v>21352.078400000002</v>
      </c>
      <c r="C2125" s="880">
        <f t="shared" si="109"/>
        <v>0</v>
      </c>
      <c r="D2125" s="210">
        <f t="shared" si="110"/>
        <v>0</v>
      </c>
      <c r="E2125" s="210">
        <f t="shared" si="111"/>
        <v>0</v>
      </c>
      <c r="F2125" s="882">
        <f t="shared" si="112"/>
        <v>0</v>
      </c>
      <c r="G2125" s="210">
        <f t="shared" si="107"/>
        <v>0</v>
      </c>
      <c r="H2125" s="210">
        <f t="shared" si="107"/>
        <v>0</v>
      </c>
      <c r="I2125" s="898">
        <f t="shared" si="105"/>
        <v>21352.078400000002</v>
      </c>
      <c r="J2125" s="203" t="s">
        <v>562</v>
      </c>
    </row>
    <row r="2126" spans="1:10" hidden="1" outlineLevel="3">
      <c r="A2126" s="875" t="s">
        <v>563</v>
      </c>
      <c r="B2126" s="899">
        <f t="shared" si="108"/>
        <v>518095.69312000001</v>
      </c>
      <c r="C2126" s="880">
        <f t="shared" si="109"/>
        <v>0</v>
      </c>
      <c r="D2126" s="210">
        <f t="shared" si="110"/>
        <v>0</v>
      </c>
      <c r="E2126" s="210">
        <f t="shared" si="111"/>
        <v>0</v>
      </c>
      <c r="F2126" s="882">
        <f t="shared" si="112"/>
        <v>0</v>
      </c>
      <c r="G2126" s="210">
        <f t="shared" ref="G2126:H2145" si="113">G258*0.1312/100</f>
        <v>0</v>
      </c>
      <c r="H2126" s="210">
        <f t="shared" si="113"/>
        <v>0</v>
      </c>
      <c r="I2126" s="898">
        <f t="shared" si="105"/>
        <v>518095.69312000001</v>
      </c>
      <c r="J2126" s="203" t="s">
        <v>564</v>
      </c>
    </row>
    <row r="2127" spans="1:10" hidden="1" outlineLevel="3">
      <c r="A2127" s="875" t="s">
        <v>565</v>
      </c>
      <c r="B2127" s="899">
        <f t="shared" si="108"/>
        <v>762983.7403200001</v>
      </c>
      <c r="C2127" s="880">
        <f t="shared" si="109"/>
        <v>0</v>
      </c>
      <c r="D2127" s="210">
        <f t="shared" si="110"/>
        <v>0</v>
      </c>
      <c r="E2127" s="210">
        <f t="shared" si="111"/>
        <v>0</v>
      </c>
      <c r="F2127" s="882">
        <f t="shared" si="112"/>
        <v>0</v>
      </c>
      <c r="G2127" s="210">
        <f t="shared" si="113"/>
        <v>0</v>
      </c>
      <c r="H2127" s="210">
        <f t="shared" si="113"/>
        <v>0</v>
      </c>
      <c r="I2127" s="898">
        <f t="shared" si="105"/>
        <v>762983.7403200001</v>
      </c>
      <c r="J2127" s="203" t="s">
        <v>566</v>
      </c>
    </row>
    <row r="2128" spans="1:10" hidden="1" outlineLevel="3">
      <c r="A2128" s="875" t="s">
        <v>567</v>
      </c>
      <c r="B2128" s="899">
        <f t="shared" si="108"/>
        <v>15332526.355039999</v>
      </c>
      <c r="C2128" s="880">
        <f t="shared" si="109"/>
        <v>0</v>
      </c>
      <c r="D2128" s="210">
        <f t="shared" si="110"/>
        <v>0</v>
      </c>
      <c r="E2128" s="210">
        <f t="shared" si="111"/>
        <v>0</v>
      </c>
      <c r="F2128" s="882">
        <f t="shared" si="112"/>
        <v>253.44822400000001</v>
      </c>
      <c r="G2128" s="210">
        <f t="shared" si="113"/>
        <v>0</v>
      </c>
      <c r="H2128" s="210">
        <f t="shared" si="113"/>
        <v>0</v>
      </c>
      <c r="I2128" s="898">
        <f t="shared" si="105"/>
        <v>15332779.803264</v>
      </c>
      <c r="J2128" s="203" t="s">
        <v>568</v>
      </c>
    </row>
    <row r="2129" spans="1:10" hidden="1" outlineLevel="3">
      <c r="A2129" s="875" t="s">
        <v>569</v>
      </c>
      <c r="B2129" s="899">
        <f t="shared" si="108"/>
        <v>301933.99088</v>
      </c>
      <c r="C2129" s="880">
        <f t="shared" si="109"/>
        <v>0</v>
      </c>
      <c r="D2129" s="210">
        <f t="shared" si="110"/>
        <v>0</v>
      </c>
      <c r="E2129" s="210">
        <f t="shared" si="111"/>
        <v>0</v>
      </c>
      <c r="F2129" s="882">
        <f t="shared" si="112"/>
        <v>0</v>
      </c>
      <c r="G2129" s="210">
        <f t="shared" si="113"/>
        <v>0</v>
      </c>
      <c r="H2129" s="210">
        <f t="shared" si="113"/>
        <v>0</v>
      </c>
      <c r="I2129" s="898">
        <f t="shared" si="105"/>
        <v>301933.99088</v>
      </c>
      <c r="J2129" s="203" t="s">
        <v>570</v>
      </c>
    </row>
    <row r="2130" spans="1:10" hidden="1" outlineLevel="3">
      <c r="A2130" s="875" t="s">
        <v>571</v>
      </c>
      <c r="B2130" s="899">
        <f t="shared" si="108"/>
        <v>365781.11296000006</v>
      </c>
      <c r="C2130" s="880">
        <f t="shared" si="109"/>
        <v>0</v>
      </c>
      <c r="D2130" s="210">
        <f t="shared" si="110"/>
        <v>0</v>
      </c>
      <c r="E2130" s="210">
        <f t="shared" si="111"/>
        <v>0</v>
      </c>
      <c r="F2130" s="882">
        <f t="shared" si="112"/>
        <v>0</v>
      </c>
      <c r="G2130" s="210">
        <f t="shared" si="113"/>
        <v>0</v>
      </c>
      <c r="H2130" s="210">
        <f t="shared" si="113"/>
        <v>0</v>
      </c>
      <c r="I2130" s="898">
        <f t="shared" si="105"/>
        <v>365781.11296000006</v>
      </c>
      <c r="J2130" s="203" t="s">
        <v>572</v>
      </c>
    </row>
    <row r="2131" spans="1:10" hidden="1" outlineLevel="3">
      <c r="A2131" s="875" t="s">
        <v>573</v>
      </c>
      <c r="B2131" s="899">
        <f t="shared" si="108"/>
        <v>1679116.59776</v>
      </c>
      <c r="C2131" s="880">
        <f t="shared" si="109"/>
        <v>0</v>
      </c>
      <c r="D2131" s="210">
        <f t="shared" si="110"/>
        <v>0</v>
      </c>
      <c r="E2131" s="210">
        <f t="shared" si="111"/>
        <v>0</v>
      </c>
      <c r="F2131" s="882">
        <f t="shared" si="112"/>
        <v>0</v>
      </c>
      <c r="G2131" s="210">
        <f t="shared" si="113"/>
        <v>0</v>
      </c>
      <c r="H2131" s="210">
        <f t="shared" si="113"/>
        <v>0</v>
      </c>
      <c r="I2131" s="898">
        <f t="shared" si="105"/>
        <v>1679116.59776</v>
      </c>
      <c r="J2131" s="203" t="s">
        <v>574</v>
      </c>
    </row>
    <row r="2132" spans="1:10" hidden="1" outlineLevel="3">
      <c r="A2132" s="875" t="s">
        <v>575</v>
      </c>
      <c r="B2132" s="899">
        <f t="shared" si="108"/>
        <v>757472.80895999994</v>
      </c>
      <c r="C2132" s="880">
        <f t="shared" si="109"/>
        <v>0</v>
      </c>
      <c r="D2132" s="210">
        <f t="shared" si="110"/>
        <v>0</v>
      </c>
      <c r="E2132" s="210">
        <f t="shared" si="111"/>
        <v>0</v>
      </c>
      <c r="F2132" s="882">
        <f t="shared" si="112"/>
        <v>0</v>
      </c>
      <c r="G2132" s="210">
        <f t="shared" si="113"/>
        <v>0</v>
      </c>
      <c r="H2132" s="210">
        <f t="shared" si="113"/>
        <v>0</v>
      </c>
      <c r="I2132" s="898">
        <f t="shared" ref="I2132:I2195" si="114">SUM(B2132:H2132)</f>
        <v>757472.80895999994</v>
      </c>
      <c r="J2132" s="203" t="s">
        <v>576</v>
      </c>
    </row>
    <row r="2133" spans="1:10" hidden="1" outlineLevel="3">
      <c r="A2133" s="875" t="s">
        <v>577</v>
      </c>
      <c r="B2133" s="899">
        <f t="shared" si="108"/>
        <v>906757.20704000012</v>
      </c>
      <c r="C2133" s="880">
        <f t="shared" si="109"/>
        <v>0</v>
      </c>
      <c r="D2133" s="210">
        <f t="shared" si="110"/>
        <v>0</v>
      </c>
      <c r="E2133" s="210">
        <f t="shared" si="111"/>
        <v>0</v>
      </c>
      <c r="F2133" s="882">
        <f t="shared" si="112"/>
        <v>1988480.9963360003</v>
      </c>
      <c r="G2133" s="210">
        <f t="shared" si="113"/>
        <v>0</v>
      </c>
      <c r="H2133" s="210">
        <f t="shared" si="113"/>
        <v>0</v>
      </c>
      <c r="I2133" s="898">
        <f t="shared" si="114"/>
        <v>2895238.2033760003</v>
      </c>
      <c r="J2133" s="203" t="s">
        <v>578</v>
      </c>
    </row>
    <row r="2134" spans="1:10" hidden="1" outlineLevel="3">
      <c r="A2134" s="875" t="s">
        <v>579</v>
      </c>
      <c r="B2134" s="899">
        <f t="shared" si="108"/>
        <v>919519.72640000004</v>
      </c>
      <c r="C2134" s="880">
        <f t="shared" si="109"/>
        <v>0</v>
      </c>
      <c r="D2134" s="210">
        <f t="shared" si="110"/>
        <v>0</v>
      </c>
      <c r="E2134" s="210">
        <f t="shared" si="111"/>
        <v>0</v>
      </c>
      <c r="F2134" s="882">
        <f t="shared" si="112"/>
        <v>0</v>
      </c>
      <c r="G2134" s="210">
        <f t="shared" si="113"/>
        <v>0</v>
      </c>
      <c r="H2134" s="210">
        <f t="shared" si="113"/>
        <v>0</v>
      </c>
      <c r="I2134" s="898">
        <f t="shared" si="114"/>
        <v>919519.72640000004</v>
      </c>
      <c r="J2134" s="203" t="s">
        <v>580</v>
      </c>
    </row>
    <row r="2135" spans="1:10" hidden="1" outlineLevel="3">
      <c r="A2135" s="875" t="s">
        <v>581</v>
      </c>
      <c r="B2135" s="899">
        <f t="shared" si="108"/>
        <v>211172.45488</v>
      </c>
      <c r="C2135" s="880">
        <f t="shared" si="109"/>
        <v>0</v>
      </c>
      <c r="D2135" s="210">
        <f t="shared" si="110"/>
        <v>0</v>
      </c>
      <c r="E2135" s="210">
        <f t="shared" si="111"/>
        <v>0</v>
      </c>
      <c r="F2135" s="882">
        <f t="shared" si="112"/>
        <v>0</v>
      </c>
      <c r="G2135" s="210">
        <f t="shared" si="113"/>
        <v>0</v>
      </c>
      <c r="H2135" s="210">
        <f t="shared" si="113"/>
        <v>0</v>
      </c>
      <c r="I2135" s="898">
        <f t="shared" si="114"/>
        <v>211172.45488</v>
      </c>
      <c r="J2135" s="203" t="s">
        <v>582</v>
      </c>
    </row>
    <row r="2136" spans="1:10" hidden="1" outlineLevel="3">
      <c r="A2136" s="875" t="s">
        <v>583</v>
      </c>
      <c r="B2136" s="899">
        <f t="shared" si="108"/>
        <v>770769.7977600001</v>
      </c>
      <c r="C2136" s="880">
        <f t="shared" si="109"/>
        <v>0</v>
      </c>
      <c r="D2136" s="210">
        <f t="shared" si="110"/>
        <v>0</v>
      </c>
      <c r="E2136" s="210">
        <f t="shared" si="111"/>
        <v>0</v>
      </c>
      <c r="F2136" s="882">
        <f t="shared" si="112"/>
        <v>0</v>
      </c>
      <c r="G2136" s="210">
        <f t="shared" si="113"/>
        <v>0</v>
      </c>
      <c r="H2136" s="210">
        <f t="shared" si="113"/>
        <v>0</v>
      </c>
      <c r="I2136" s="898">
        <f t="shared" si="114"/>
        <v>770769.7977600001</v>
      </c>
      <c r="J2136" s="203" t="s">
        <v>584</v>
      </c>
    </row>
    <row r="2137" spans="1:10" hidden="1" outlineLevel="3">
      <c r="A2137" s="875" t="s">
        <v>585</v>
      </c>
      <c r="B2137" s="899">
        <f t="shared" si="108"/>
        <v>10920.4648</v>
      </c>
      <c r="C2137" s="880">
        <f t="shared" si="109"/>
        <v>0</v>
      </c>
      <c r="D2137" s="210">
        <f t="shared" si="110"/>
        <v>0</v>
      </c>
      <c r="E2137" s="210">
        <f t="shared" si="111"/>
        <v>0</v>
      </c>
      <c r="F2137" s="882">
        <f t="shared" si="112"/>
        <v>0</v>
      </c>
      <c r="G2137" s="210">
        <f t="shared" si="113"/>
        <v>0</v>
      </c>
      <c r="H2137" s="210">
        <f t="shared" si="113"/>
        <v>0</v>
      </c>
      <c r="I2137" s="898">
        <f t="shared" si="114"/>
        <v>10920.4648</v>
      </c>
      <c r="J2137" s="203" t="s">
        <v>586</v>
      </c>
    </row>
    <row r="2138" spans="1:10" hidden="1" outlineLevel="3">
      <c r="A2138" s="875" t="s">
        <v>585</v>
      </c>
      <c r="B2138" s="899">
        <f t="shared" si="108"/>
        <v>274856.23952</v>
      </c>
      <c r="C2138" s="880">
        <f t="shared" si="109"/>
        <v>0</v>
      </c>
      <c r="D2138" s="210">
        <f t="shared" si="110"/>
        <v>0</v>
      </c>
      <c r="E2138" s="210">
        <f t="shared" si="111"/>
        <v>0</v>
      </c>
      <c r="F2138" s="882">
        <f t="shared" si="112"/>
        <v>0</v>
      </c>
      <c r="G2138" s="210">
        <f t="shared" si="113"/>
        <v>0</v>
      </c>
      <c r="H2138" s="210">
        <f t="shared" si="113"/>
        <v>0</v>
      </c>
      <c r="I2138" s="898">
        <f t="shared" si="114"/>
        <v>274856.23952</v>
      </c>
      <c r="J2138" s="203" t="s">
        <v>586</v>
      </c>
    </row>
    <row r="2139" spans="1:10" hidden="1" outlineLevel="3">
      <c r="A2139" s="875" t="s">
        <v>587</v>
      </c>
      <c r="B2139" s="899">
        <f t="shared" si="108"/>
        <v>467707.48032000003</v>
      </c>
      <c r="C2139" s="880">
        <f t="shared" si="109"/>
        <v>0</v>
      </c>
      <c r="D2139" s="210">
        <f t="shared" si="110"/>
        <v>0</v>
      </c>
      <c r="E2139" s="210">
        <f t="shared" si="111"/>
        <v>0</v>
      </c>
      <c r="F2139" s="882">
        <f t="shared" si="112"/>
        <v>0</v>
      </c>
      <c r="G2139" s="210">
        <f t="shared" si="113"/>
        <v>0</v>
      </c>
      <c r="H2139" s="210">
        <f t="shared" si="113"/>
        <v>0</v>
      </c>
      <c r="I2139" s="898">
        <f t="shared" si="114"/>
        <v>467707.48032000003</v>
      </c>
      <c r="J2139" s="203" t="s">
        <v>588</v>
      </c>
    </row>
    <row r="2140" spans="1:10" hidden="1" outlineLevel="3">
      <c r="A2140" s="875" t="s">
        <v>589</v>
      </c>
      <c r="B2140" s="899">
        <f t="shared" si="108"/>
        <v>893821.41840000008</v>
      </c>
      <c r="C2140" s="880">
        <f t="shared" si="109"/>
        <v>0</v>
      </c>
      <c r="D2140" s="210">
        <f t="shared" si="110"/>
        <v>0</v>
      </c>
      <c r="E2140" s="210">
        <f t="shared" si="111"/>
        <v>0</v>
      </c>
      <c r="F2140" s="882">
        <f t="shared" si="112"/>
        <v>0</v>
      </c>
      <c r="G2140" s="210">
        <f t="shared" si="113"/>
        <v>0</v>
      </c>
      <c r="H2140" s="210">
        <f t="shared" si="113"/>
        <v>0</v>
      </c>
      <c r="I2140" s="898">
        <f t="shared" si="114"/>
        <v>893821.41840000008</v>
      </c>
      <c r="J2140" s="203" t="s">
        <v>590</v>
      </c>
    </row>
    <row r="2141" spans="1:10" hidden="1" outlineLevel="3">
      <c r="A2141" s="875" t="s">
        <v>591</v>
      </c>
      <c r="B2141" s="899">
        <f t="shared" si="108"/>
        <v>3950236.1118400004</v>
      </c>
      <c r="C2141" s="880">
        <f t="shared" si="109"/>
        <v>0</v>
      </c>
      <c r="D2141" s="210">
        <f t="shared" si="110"/>
        <v>0</v>
      </c>
      <c r="E2141" s="210">
        <f t="shared" si="111"/>
        <v>0</v>
      </c>
      <c r="F2141" s="882">
        <f t="shared" si="112"/>
        <v>0</v>
      </c>
      <c r="G2141" s="210">
        <f t="shared" si="113"/>
        <v>7670.7221440000003</v>
      </c>
      <c r="H2141" s="210">
        <f t="shared" si="113"/>
        <v>0</v>
      </c>
      <c r="I2141" s="898">
        <f t="shared" si="114"/>
        <v>3957906.8339840006</v>
      </c>
      <c r="J2141" s="203" t="s">
        <v>592</v>
      </c>
    </row>
    <row r="2142" spans="1:10" hidden="1" outlineLevel="3">
      <c r="A2142" s="875" t="s">
        <v>593</v>
      </c>
      <c r="B2142" s="899">
        <f t="shared" si="108"/>
        <v>1775242.7771200002</v>
      </c>
      <c r="C2142" s="880">
        <f t="shared" si="109"/>
        <v>0</v>
      </c>
      <c r="D2142" s="210">
        <f t="shared" si="110"/>
        <v>0</v>
      </c>
      <c r="E2142" s="210">
        <f t="shared" si="111"/>
        <v>0</v>
      </c>
      <c r="F2142" s="882">
        <f t="shared" si="112"/>
        <v>0</v>
      </c>
      <c r="G2142" s="210">
        <f t="shared" si="113"/>
        <v>0</v>
      </c>
      <c r="H2142" s="210">
        <f t="shared" si="113"/>
        <v>0</v>
      </c>
      <c r="I2142" s="898">
        <f t="shared" si="114"/>
        <v>1775242.7771200002</v>
      </c>
      <c r="J2142" s="203" t="s">
        <v>594</v>
      </c>
    </row>
    <row r="2143" spans="1:10" hidden="1" outlineLevel="3">
      <c r="A2143" s="875" t="s">
        <v>595</v>
      </c>
      <c r="B2143" s="899">
        <f t="shared" si="108"/>
        <v>1817362.92992</v>
      </c>
      <c r="C2143" s="880">
        <f t="shared" si="109"/>
        <v>0</v>
      </c>
      <c r="D2143" s="210">
        <f t="shared" si="110"/>
        <v>0</v>
      </c>
      <c r="E2143" s="210">
        <f t="shared" si="111"/>
        <v>0</v>
      </c>
      <c r="F2143" s="882">
        <f t="shared" si="112"/>
        <v>0</v>
      </c>
      <c r="G2143" s="210">
        <f t="shared" si="113"/>
        <v>0</v>
      </c>
      <c r="H2143" s="210">
        <f t="shared" si="113"/>
        <v>0</v>
      </c>
      <c r="I2143" s="898">
        <f t="shared" si="114"/>
        <v>1817362.92992</v>
      </c>
      <c r="J2143" s="203" t="s">
        <v>596</v>
      </c>
    </row>
    <row r="2144" spans="1:10" hidden="1" outlineLevel="3">
      <c r="A2144" s="875" t="s">
        <v>597</v>
      </c>
      <c r="B2144" s="899">
        <f t="shared" si="108"/>
        <v>1085231.6174399999</v>
      </c>
      <c r="C2144" s="880">
        <f t="shared" si="109"/>
        <v>0</v>
      </c>
      <c r="D2144" s="210">
        <f t="shared" si="110"/>
        <v>0</v>
      </c>
      <c r="E2144" s="210">
        <f t="shared" si="111"/>
        <v>0</v>
      </c>
      <c r="F2144" s="882">
        <f t="shared" si="112"/>
        <v>0</v>
      </c>
      <c r="G2144" s="210">
        <f t="shared" si="113"/>
        <v>0</v>
      </c>
      <c r="H2144" s="210">
        <f t="shared" si="113"/>
        <v>0</v>
      </c>
      <c r="I2144" s="898">
        <f t="shared" si="114"/>
        <v>1085231.6174399999</v>
      </c>
      <c r="J2144" s="203" t="s">
        <v>598</v>
      </c>
    </row>
    <row r="2145" spans="1:10" hidden="1" outlineLevel="3">
      <c r="A2145" s="875" t="s">
        <v>599</v>
      </c>
      <c r="B2145" s="899">
        <f t="shared" si="108"/>
        <v>671104.86576000007</v>
      </c>
      <c r="C2145" s="880">
        <f t="shared" si="109"/>
        <v>0</v>
      </c>
      <c r="D2145" s="210">
        <f t="shared" si="110"/>
        <v>0</v>
      </c>
      <c r="E2145" s="210">
        <f t="shared" si="111"/>
        <v>0</v>
      </c>
      <c r="F2145" s="882">
        <f t="shared" si="112"/>
        <v>0</v>
      </c>
      <c r="G2145" s="210">
        <f t="shared" si="113"/>
        <v>0</v>
      </c>
      <c r="H2145" s="210">
        <f t="shared" si="113"/>
        <v>0</v>
      </c>
      <c r="I2145" s="898">
        <f t="shared" si="114"/>
        <v>671104.86576000007</v>
      </c>
      <c r="J2145" s="203" t="s">
        <v>600</v>
      </c>
    </row>
    <row r="2146" spans="1:10" hidden="1" outlineLevel="3">
      <c r="A2146" s="875" t="s">
        <v>601</v>
      </c>
      <c r="B2146" s="899">
        <f t="shared" si="108"/>
        <v>103873.85424</v>
      </c>
      <c r="C2146" s="880">
        <f t="shared" si="109"/>
        <v>0</v>
      </c>
      <c r="D2146" s="210">
        <f t="shared" si="110"/>
        <v>0</v>
      </c>
      <c r="E2146" s="210">
        <f t="shared" si="111"/>
        <v>0</v>
      </c>
      <c r="F2146" s="882">
        <f t="shared" si="112"/>
        <v>0</v>
      </c>
      <c r="G2146" s="210">
        <f t="shared" ref="G2146:H2165" si="115">G278*0.1312/100</f>
        <v>0</v>
      </c>
      <c r="H2146" s="210">
        <f t="shared" si="115"/>
        <v>0</v>
      </c>
      <c r="I2146" s="898">
        <f t="shared" si="114"/>
        <v>103873.85424</v>
      </c>
      <c r="J2146" s="203" t="s">
        <v>602</v>
      </c>
    </row>
    <row r="2147" spans="1:10" hidden="1" outlineLevel="3">
      <c r="A2147" s="875" t="s">
        <v>603</v>
      </c>
      <c r="B2147" s="899">
        <f t="shared" si="108"/>
        <v>786594.95152000012</v>
      </c>
      <c r="C2147" s="880">
        <f t="shared" si="109"/>
        <v>0</v>
      </c>
      <c r="D2147" s="210">
        <f t="shared" si="110"/>
        <v>0</v>
      </c>
      <c r="E2147" s="210">
        <f t="shared" si="111"/>
        <v>0</v>
      </c>
      <c r="F2147" s="882">
        <f t="shared" si="112"/>
        <v>0</v>
      </c>
      <c r="G2147" s="210">
        <f t="shared" si="115"/>
        <v>0</v>
      </c>
      <c r="H2147" s="210">
        <f t="shared" si="115"/>
        <v>0</v>
      </c>
      <c r="I2147" s="898">
        <f t="shared" si="114"/>
        <v>786594.95152000012</v>
      </c>
      <c r="J2147" s="203" t="s">
        <v>604</v>
      </c>
    </row>
    <row r="2148" spans="1:10" hidden="1" outlineLevel="3">
      <c r="A2148" s="875" t="s">
        <v>605</v>
      </c>
      <c r="B2148" s="899">
        <f t="shared" si="108"/>
        <v>1801068.1260800001</v>
      </c>
      <c r="C2148" s="880">
        <f t="shared" si="109"/>
        <v>0</v>
      </c>
      <c r="D2148" s="210">
        <f t="shared" si="110"/>
        <v>0</v>
      </c>
      <c r="E2148" s="210">
        <f t="shared" si="111"/>
        <v>0</v>
      </c>
      <c r="F2148" s="882">
        <f t="shared" si="112"/>
        <v>0</v>
      </c>
      <c r="G2148" s="210">
        <f t="shared" si="115"/>
        <v>0</v>
      </c>
      <c r="H2148" s="210">
        <f t="shared" si="115"/>
        <v>0</v>
      </c>
      <c r="I2148" s="898">
        <f t="shared" si="114"/>
        <v>1801068.1260800001</v>
      </c>
      <c r="J2148" s="203" t="s">
        <v>606</v>
      </c>
    </row>
    <row r="2149" spans="1:10" hidden="1" outlineLevel="3">
      <c r="A2149" s="875" t="s">
        <v>607</v>
      </c>
      <c r="B2149" s="899">
        <f t="shared" si="108"/>
        <v>128368.88768000001</v>
      </c>
      <c r="C2149" s="880">
        <f t="shared" si="109"/>
        <v>0</v>
      </c>
      <c r="D2149" s="210">
        <f t="shared" si="110"/>
        <v>0</v>
      </c>
      <c r="E2149" s="210">
        <f t="shared" si="111"/>
        <v>0</v>
      </c>
      <c r="F2149" s="882">
        <f t="shared" si="112"/>
        <v>0</v>
      </c>
      <c r="G2149" s="210">
        <f t="shared" si="115"/>
        <v>0</v>
      </c>
      <c r="H2149" s="210">
        <f t="shared" si="115"/>
        <v>0</v>
      </c>
      <c r="I2149" s="898">
        <f t="shared" si="114"/>
        <v>128368.88768000001</v>
      </c>
      <c r="J2149" s="203" t="s">
        <v>608</v>
      </c>
    </row>
    <row r="2150" spans="1:10" hidden="1" outlineLevel="3">
      <c r="A2150" s="875" t="s">
        <v>609</v>
      </c>
      <c r="B2150" s="899">
        <f t="shared" si="108"/>
        <v>1395982.1302400001</v>
      </c>
      <c r="C2150" s="880">
        <f t="shared" si="109"/>
        <v>0</v>
      </c>
      <c r="D2150" s="210">
        <f t="shared" si="110"/>
        <v>0</v>
      </c>
      <c r="E2150" s="210">
        <f t="shared" si="111"/>
        <v>0</v>
      </c>
      <c r="F2150" s="882">
        <f t="shared" si="112"/>
        <v>0</v>
      </c>
      <c r="G2150" s="210">
        <f t="shared" si="115"/>
        <v>0</v>
      </c>
      <c r="H2150" s="210">
        <f t="shared" si="115"/>
        <v>0</v>
      </c>
      <c r="I2150" s="898">
        <f t="shared" si="114"/>
        <v>1395982.1302400001</v>
      </c>
      <c r="J2150" s="203" t="s">
        <v>610</v>
      </c>
    </row>
    <row r="2151" spans="1:10" hidden="1" outlineLevel="3">
      <c r="A2151" s="875" t="s">
        <v>611</v>
      </c>
      <c r="B2151" s="899">
        <f t="shared" si="108"/>
        <v>1072080.0966400001</v>
      </c>
      <c r="C2151" s="880">
        <f t="shared" si="109"/>
        <v>0</v>
      </c>
      <c r="D2151" s="210">
        <f t="shared" si="110"/>
        <v>0</v>
      </c>
      <c r="E2151" s="210">
        <f t="shared" si="111"/>
        <v>0</v>
      </c>
      <c r="F2151" s="882">
        <f t="shared" si="112"/>
        <v>0</v>
      </c>
      <c r="G2151" s="210">
        <f t="shared" si="115"/>
        <v>0</v>
      </c>
      <c r="H2151" s="210">
        <f t="shared" si="115"/>
        <v>0</v>
      </c>
      <c r="I2151" s="898">
        <f t="shared" si="114"/>
        <v>1072080.0966400001</v>
      </c>
      <c r="J2151" s="203" t="s">
        <v>612</v>
      </c>
    </row>
    <row r="2152" spans="1:10" hidden="1" outlineLevel="3">
      <c r="A2152" s="875" t="s">
        <v>613</v>
      </c>
      <c r="B2152" s="899">
        <f t="shared" si="108"/>
        <v>38678.415999999997</v>
      </c>
      <c r="C2152" s="880">
        <f t="shared" si="109"/>
        <v>0</v>
      </c>
      <c r="D2152" s="210">
        <f t="shared" si="110"/>
        <v>0</v>
      </c>
      <c r="E2152" s="210">
        <f t="shared" si="111"/>
        <v>0</v>
      </c>
      <c r="F2152" s="882">
        <f t="shared" si="112"/>
        <v>0</v>
      </c>
      <c r="G2152" s="210">
        <f t="shared" si="115"/>
        <v>0</v>
      </c>
      <c r="H2152" s="210">
        <f t="shared" si="115"/>
        <v>0</v>
      </c>
      <c r="I2152" s="898">
        <f t="shared" si="114"/>
        <v>38678.415999999997</v>
      </c>
      <c r="J2152" s="203" t="s">
        <v>614</v>
      </c>
    </row>
    <row r="2153" spans="1:10" hidden="1" outlineLevel="3">
      <c r="A2153" s="875" t="s">
        <v>615</v>
      </c>
      <c r="B2153" s="899">
        <f t="shared" si="108"/>
        <v>724578.96816000005</v>
      </c>
      <c r="C2153" s="880">
        <f t="shared" si="109"/>
        <v>0</v>
      </c>
      <c r="D2153" s="210">
        <f t="shared" si="110"/>
        <v>0</v>
      </c>
      <c r="E2153" s="210">
        <f t="shared" si="111"/>
        <v>0</v>
      </c>
      <c r="F2153" s="882">
        <f t="shared" si="112"/>
        <v>0</v>
      </c>
      <c r="G2153" s="210">
        <f t="shared" si="115"/>
        <v>0</v>
      </c>
      <c r="H2153" s="210">
        <f t="shared" si="115"/>
        <v>0</v>
      </c>
      <c r="I2153" s="898">
        <f t="shared" si="114"/>
        <v>724578.96816000005</v>
      </c>
      <c r="J2153" s="203" t="s">
        <v>616</v>
      </c>
    </row>
    <row r="2154" spans="1:10" hidden="1" outlineLevel="3">
      <c r="A2154" s="875" t="s">
        <v>617</v>
      </c>
      <c r="B2154" s="899">
        <f t="shared" si="108"/>
        <v>404090.39120000007</v>
      </c>
      <c r="C2154" s="880">
        <f t="shared" si="109"/>
        <v>0</v>
      </c>
      <c r="D2154" s="210">
        <f t="shared" si="110"/>
        <v>0</v>
      </c>
      <c r="E2154" s="210">
        <f t="shared" si="111"/>
        <v>0</v>
      </c>
      <c r="F2154" s="882">
        <f t="shared" si="112"/>
        <v>0</v>
      </c>
      <c r="G2154" s="210">
        <f t="shared" si="115"/>
        <v>0</v>
      </c>
      <c r="H2154" s="210">
        <f t="shared" si="115"/>
        <v>0</v>
      </c>
      <c r="I2154" s="898">
        <f t="shared" si="114"/>
        <v>404090.39120000007</v>
      </c>
      <c r="J2154" s="203" t="s">
        <v>618</v>
      </c>
    </row>
    <row r="2155" spans="1:10" hidden="1" outlineLevel="3">
      <c r="A2155" s="875" t="s">
        <v>619</v>
      </c>
      <c r="B2155" s="899">
        <f t="shared" si="108"/>
        <v>2644944.8401600001</v>
      </c>
      <c r="C2155" s="880">
        <f t="shared" si="109"/>
        <v>0</v>
      </c>
      <c r="D2155" s="210">
        <f t="shared" si="110"/>
        <v>0</v>
      </c>
      <c r="E2155" s="210">
        <f t="shared" si="111"/>
        <v>0</v>
      </c>
      <c r="F2155" s="882">
        <f t="shared" si="112"/>
        <v>0</v>
      </c>
      <c r="G2155" s="210">
        <f t="shared" si="115"/>
        <v>0</v>
      </c>
      <c r="H2155" s="210">
        <f t="shared" si="115"/>
        <v>0</v>
      </c>
      <c r="I2155" s="898">
        <f t="shared" si="114"/>
        <v>2644944.8401600001</v>
      </c>
      <c r="J2155" s="203" t="s">
        <v>620</v>
      </c>
    </row>
    <row r="2156" spans="1:10" hidden="1" outlineLevel="3">
      <c r="A2156" s="875" t="s">
        <v>621</v>
      </c>
      <c r="B2156" s="899">
        <f t="shared" si="108"/>
        <v>6417980.5920000002</v>
      </c>
      <c r="C2156" s="880">
        <f t="shared" si="109"/>
        <v>0</v>
      </c>
      <c r="D2156" s="210">
        <f t="shared" si="110"/>
        <v>0</v>
      </c>
      <c r="E2156" s="210">
        <f t="shared" si="111"/>
        <v>0</v>
      </c>
      <c r="F2156" s="882">
        <f t="shared" si="112"/>
        <v>0</v>
      </c>
      <c r="G2156" s="210">
        <f t="shared" si="115"/>
        <v>0</v>
      </c>
      <c r="H2156" s="210">
        <f t="shared" si="115"/>
        <v>0</v>
      </c>
      <c r="I2156" s="898">
        <f t="shared" si="114"/>
        <v>6417980.5920000002</v>
      </c>
      <c r="J2156" s="203" t="s">
        <v>622</v>
      </c>
    </row>
    <row r="2157" spans="1:10" hidden="1" outlineLevel="3">
      <c r="A2157" s="875" t="s">
        <v>623</v>
      </c>
      <c r="B2157" s="899">
        <f t="shared" si="108"/>
        <v>70723.779840000003</v>
      </c>
      <c r="C2157" s="880">
        <f t="shared" si="109"/>
        <v>0</v>
      </c>
      <c r="D2157" s="210">
        <f t="shared" si="110"/>
        <v>0</v>
      </c>
      <c r="E2157" s="210">
        <f t="shared" si="111"/>
        <v>0</v>
      </c>
      <c r="F2157" s="882">
        <f t="shared" si="112"/>
        <v>0</v>
      </c>
      <c r="G2157" s="210">
        <f t="shared" si="115"/>
        <v>0</v>
      </c>
      <c r="H2157" s="210">
        <f t="shared" si="115"/>
        <v>0</v>
      </c>
      <c r="I2157" s="898">
        <f t="shared" si="114"/>
        <v>70723.779840000003</v>
      </c>
      <c r="J2157" s="203" t="s">
        <v>624</v>
      </c>
    </row>
    <row r="2158" spans="1:10" hidden="1" outlineLevel="3">
      <c r="A2158" s="875" t="s">
        <v>625</v>
      </c>
      <c r="B2158" s="899">
        <f t="shared" si="108"/>
        <v>331021.96896000003</v>
      </c>
      <c r="C2158" s="880">
        <f t="shared" si="109"/>
        <v>0</v>
      </c>
      <c r="D2158" s="210">
        <f t="shared" si="110"/>
        <v>0</v>
      </c>
      <c r="E2158" s="210">
        <f t="shared" si="111"/>
        <v>0</v>
      </c>
      <c r="F2158" s="882">
        <f t="shared" si="112"/>
        <v>0</v>
      </c>
      <c r="G2158" s="210">
        <f t="shared" si="115"/>
        <v>0</v>
      </c>
      <c r="H2158" s="210">
        <f t="shared" si="115"/>
        <v>0</v>
      </c>
      <c r="I2158" s="898">
        <f t="shared" si="114"/>
        <v>331021.96896000003</v>
      </c>
      <c r="J2158" s="203" t="s">
        <v>626</v>
      </c>
    </row>
    <row r="2159" spans="1:10" hidden="1" outlineLevel="3">
      <c r="A2159" s="875" t="s">
        <v>627</v>
      </c>
      <c r="B2159" s="899">
        <f t="shared" si="108"/>
        <v>2388569.7344</v>
      </c>
      <c r="C2159" s="880">
        <f t="shared" si="109"/>
        <v>0</v>
      </c>
      <c r="D2159" s="210">
        <f t="shared" si="110"/>
        <v>0</v>
      </c>
      <c r="E2159" s="210">
        <f t="shared" si="111"/>
        <v>0</v>
      </c>
      <c r="F2159" s="882">
        <f t="shared" si="112"/>
        <v>980.50483200000008</v>
      </c>
      <c r="G2159" s="210">
        <f t="shared" si="115"/>
        <v>0</v>
      </c>
      <c r="H2159" s="210">
        <f t="shared" si="115"/>
        <v>0</v>
      </c>
      <c r="I2159" s="898">
        <f t="shared" si="114"/>
        <v>2389550.239232</v>
      </c>
      <c r="J2159" s="203" t="s">
        <v>628</v>
      </c>
    </row>
    <row r="2160" spans="1:10" hidden="1" outlineLevel="3">
      <c r="A2160" s="875" t="s">
        <v>629</v>
      </c>
      <c r="B2160" s="899">
        <f t="shared" si="108"/>
        <v>1826406.5918400001</v>
      </c>
      <c r="C2160" s="880">
        <f t="shared" si="109"/>
        <v>0</v>
      </c>
      <c r="D2160" s="210">
        <f t="shared" si="110"/>
        <v>0</v>
      </c>
      <c r="E2160" s="210">
        <f t="shared" si="111"/>
        <v>0</v>
      </c>
      <c r="F2160" s="882">
        <f t="shared" si="112"/>
        <v>0</v>
      </c>
      <c r="G2160" s="210">
        <f t="shared" si="115"/>
        <v>0</v>
      </c>
      <c r="H2160" s="210">
        <f t="shared" si="115"/>
        <v>0</v>
      </c>
      <c r="I2160" s="898">
        <f t="shared" si="114"/>
        <v>1826406.5918400001</v>
      </c>
      <c r="J2160" s="203" t="s">
        <v>630</v>
      </c>
    </row>
    <row r="2161" spans="1:10" hidden="1" outlineLevel="3">
      <c r="A2161" s="875" t="s">
        <v>631</v>
      </c>
      <c r="B2161" s="899">
        <f t="shared" si="108"/>
        <v>952047.30928000004</v>
      </c>
      <c r="C2161" s="880">
        <f t="shared" si="109"/>
        <v>0</v>
      </c>
      <c r="D2161" s="210">
        <f t="shared" si="110"/>
        <v>0</v>
      </c>
      <c r="E2161" s="210">
        <f t="shared" si="111"/>
        <v>0</v>
      </c>
      <c r="F2161" s="882">
        <f t="shared" si="112"/>
        <v>0</v>
      </c>
      <c r="G2161" s="210">
        <f t="shared" si="115"/>
        <v>0</v>
      </c>
      <c r="H2161" s="210">
        <f t="shared" si="115"/>
        <v>0</v>
      </c>
      <c r="I2161" s="898">
        <f t="shared" si="114"/>
        <v>952047.30928000004</v>
      </c>
      <c r="J2161" s="203" t="s">
        <v>632</v>
      </c>
    </row>
    <row r="2162" spans="1:10" hidden="1" outlineLevel="3">
      <c r="A2162" s="875" t="s">
        <v>633</v>
      </c>
      <c r="B2162" s="899">
        <f t="shared" si="108"/>
        <v>188969.50512000002</v>
      </c>
      <c r="C2162" s="880">
        <f t="shared" si="109"/>
        <v>0</v>
      </c>
      <c r="D2162" s="210">
        <f t="shared" si="110"/>
        <v>0</v>
      </c>
      <c r="E2162" s="210">
        <f t="shared" si="111"/>
        <v>0</v>
      </c>
      <c r="F2162" s="882">
        <f t="shared" si="112"/>
        <v>0</v>
      </c>
      <c r="G2162" s="210">
        <f t="shared" si="115"/>
        <v>0</v>
      </c>
      <c r="H2162" s="210">
        <f t="shared" si="115"/>
        <v>0</v>
      </c>
      <c r="I2162" s="898">
        <f t="shared" si="114"/>
        <v>188969.50512000002</v>
      </c>
      <c r="J2162" s="203" t="s">
        <v>634</v>
      </c>
    </row>
    <row r="2163" spans="1:10" hidden="1" outlineLevel="3">
      <c r="A2163" s="875" t="s">
        <v>635</v>
      </c>
      <c r="B2163" s="899">
        <f t="shared" si="108"/>
        <v>348394.19375999999</v>
      </c>
      <c r="C2163" s="880">
        <f t="shared" si="109"/>
        <v>0</v>
      </c>
      <c r="D2163" s="210">
        <f t="shared" si="110"/>
        <v>0</v>
      </c>
      <c r="E2163" s="210">
        <f t="shared" si="111"/>
        <v>0</v>
      </c>
      <c r="F2163" s="882">
        <f t="shared" si="112"/>
        <v>0</v>
      </c>
      <c r="G2163" s="210">
        <f t="shared" si="115"/>
        <v>0</v>
      </c>
      <c r="H2163" s="210">
        <f t="shared" si="115"/>
        <v>0</v>
      </c>
      <c r="I2163" s="898">
        <f t="shared" si="114"/>
        <v>348394.19375999999</v>
      </c>
      <c r="J2163" s="203" t="s">
        <v>636</v>
      </c>
    </row>
    <row r="2164" spans="1:10" hidden="1" outlineLevel="3">
      <c r="A2164" s="875" t="s">
        <v>637</v>
      </c>
      <c r="B2164" s="899">
        <f t="shared" si="108"/>
        <v>3702905.1206400003</v>
      </c>
      <c r="C2164" s="880">
        <f t="shared" si="109"/>
        <v>0</v>
      </c>
      <c r="D2164" s="210">
        <f t="shared" si="110"/>
        <v>0</v>
      </c>
      <c r="E2164" s="210">
        <f t="shared" si="111"/>
        <v>0</v>
      </c>
      <c r="F2164" s="882">
        <f t="shared" si="112"/>
        <v>0</v>
      </c>
      <c r="G2164" s="210">
        <f t="shared" si="115"/>
        <v>0</v>
      </c>
      <c r="H2164" s="210">
        <f t="shared" si="115"/>
        <v>0</v>
      </c>
      <c r="I2164" s="898">
        <f t="shared" si="114"/>
        <v>3702905.1206400003</v>
      </c>
      <c r="J2164" s="203" t="s">
        <v>638</v>
      </c>
    </row>
    <row r="2165" spans="1:10" hidden="1" outlineLevel="3">
      <c r="A2165" s="875" t="s">
        <v>639</v>
      </c>
      <c r="B2165" s="899">
        <f t="shared" si="108"/>
        <v>15591440.36448</v>
      </c>
      <c r="C2165" s="880">
        <f t="shared" si="109"/>
        <v>0</v>
      </c>
      <c r="D2165" s="210">
        <f t="shared" si="110"/>
        <v>0</v>
      </c>
      <c r="E2165" s="210">
        <f t="shared" si="111"/>
        <v>0</v>
      </c>
      <c r="F2165" s="882">
        <f t="shared" si="112"/>
        <v>820.90659200000005</v>
      </c>
      <c r="G2165" s="210">
        <f t="shared" si="115"/>
        <v>5090.7030080000004</v>
      </c>
      <c r="H2165" s="210">
        <f t="shared" si="115"/>
        <v>0</v>
      </c>
      <c r="I2165" s="898">
        <f t="shared" si="114"/>
        <v>15597351.97408</v>
      </c>
      <c r="J2165" s="203" t="s">
        <v>640</v>
      </c>
    </row>
    <row r="2166" spans="1:10" hidden="1" outlineLevel="3">
      <c r="A2166" s="875" t="s">
        <v>641</v>
      </c>
      <c r="B2166" s="899">
        <f t="shared" si="108"/>
        <v>178301.13456000001</v>
      </c>
      <c r="C2166" s="880">
        <f t="shared" si="109"/>
        <v>0</v>
      </c>
      <c r="D2166" s="210">
        <f t="shared" si="110"/>
        <v>0</v>
      </c>
      <c r="E2166" s="210">
        <f t="shared" si="111"/>
        <v>0</v>
      </c>
      <c r="F2166" s="882">
        <f t="shared" si="112"/>
        <v>0</v>
      </c>
      <c r="G2166" s="210">
        <f t="shared" ref="G2166:H2185" si="116">G298*0.1312/100</f>
        <v>0</v>
      </c>
      <c r="H2166" s="210">
        <f t="shared" si="116"/>
        <v>0</v>
      </c>
      <c r="I2166" s="898">
        <f t="shared" si="114"/>
        <v>178301.13456000001</v>
      </c>
      <c r="J2166" s="203" t="s">
        <v>642</v>
      </c>
    </row>
    <row r="2167" spans="1:10" hidden="1" outlineLevel="3">
      <c r="A2167" s="875" t="s">
        <v>643</v>
      </c>
      <c r="B2167" s="899">
        <f t="shared" si="108"/>
        <v>580830.69183999998</v>
      </c>
      <c r="C2167" s="880">
        <f t="shared" si="109"/>
        <v>0</v>
      </c>
      <c r="D2167" s="210">
        <f t="shared" si="110"/>
        <v>0</v>
      </c>
      <c r="E2167" s="210">
        <f t="shared" si="111"/>
        <v>0</v>
      </c>
      <c r="F2167" s="882">
        <f t="shared" si="112"/>
        <v>0</v>
      </c>
      <c r="G2167" s="210">
        <f t="shared" si="116"/>
        <v>0</v>
      </c>
      <c r="H2167" s="210">
        <f t="shared" si="116"/>
        <v>0</v>
      </c>
      <c r="I2167" s="898">
        <f t="shared" si="114"/>
        <v>580830.69183999998</v>
      </c>
      <c r="J2167" s="203" t="s">
        <v>644</v>
      </c>
    </row>
    <row r="2168" spans="1:10" hidden="1" outlineLevel="3">
      <c r="A2168" s="875" t="s">
        <v>645</v>
      </c>
      <c r="B2168" s="899">
        <f t="shared" si="108"/>
        <v>6578974.5900800005</v>
      </c>
      <c r="C2168" s="880">
        <f t="shared" si="109"/>
        <v>0</v>
      </c>
      <c r="D2168" s="210">
        <f t="shared" si="110"/>
        <v>0</v>
      </c>
      <c r="E2168" s="210">
        <f t="shared" si="111"/>
        <v>0</v>
      </c>
      <c r="F2168" s="882">
        <f t="shared" si="112"/>
        <v>0</v>
      </c>
      <c r="G2168" s="210">
        <f t="shared" si="116"/>
        <v>0</v>
      </c>
      <c r="H2168" s="210">
        <f t="shared" si="116"/>
        <v>0</v>
      </c>
      <c r="I2168" s="898">
        <f t="shared" si="114"/>
        <v>6578974.5900800005</v>
      </c>
      <c r="J2168" s="203" t="s">
        <v>646</v>
      </c>
    </row>
    <row r="2169" spans="1:10" hidden="1" outlineLevel="3">
      <c r="A2169" s="875" t="s">
        <v>647</v>
      </c>
      <c r="B2169" s="899">
        <f t="shared" si="108"/>
        <v>596288.26256000006</v>
      </c>
      <c r="C2169" s="880">
        <f t="shared" si="109"/>
        <v>0</v>
      </c>
      <c r="D2169" s="210">
        <f t="shared" si="110"/>
        <v>0</v>
      </c>
      <c r="E2169" s="210">
        <f t="shared" si="111"/>
        <v>0</v>
      </c>
      <c r="F2169" s="882">
        <f t="shared" si="112"/>
        <v>0</v>
      </c>
      <c r="G2169" s="210">
        <f t="shared" si="116"/>
        <v>0</v>
      </c>
      <c r="H2169" s="210">
        <f t="shared" si="116"/>
        <v>0</v>
      </c>
      <c r="I2169" s="898">
        <f t="shared" si="114"/>
        <v>596288.26256000006</v>
      </c>
      <c r="J2169" s="203" t="s">
        <v>648</v>
      </c>
    </row>
    <row r="2170" spans="1:10" hidden="1" outlineLevel="3">
      <c r="A2170" s="875" t="s">
        <v>649</v>
      </c>
      <c r="B2170" s="899">
        <f t="shared" si="108"/>
        <v>774011.51359999995</v>
      </c>
      <c r="C2170" s="880">
        <f t="shared" si="109"/>
        <v>0</v>
      </c>
      <c r="D2170" s="210">
        <f t="shared" si="110"/>
        <v>0</v>
      </c>
      <c r="E2170" s="210">
        <f t="shared" si="111"/>
        <v>0</v>
      </c>
      <c r="F2170" s="882">
        <f t="shared" si="112"/>
        <v>0</v>
      </c>
      <c r="G2170" s="210">
        <f t="shared" si="116"/>
        <v>0</v>
      </c>
      <c r="H2170" s="210">
        <f t="shared" si="116"/>
        <v>0</v>
      </c>
      <c r="I2170" s="898">
        <f t="shared" si="114"/>
        <v>774011.51359999995</v>
      </c>
      <c r="J2170" s="203" t="s">
        <v>650</v>
      </c>
    </row>
    <row r="2171" spans="1:10" hidden="1" outlineLevel="3">
      <c r="A2171" s="875" t="s">
        <v>651</v>
      </c>
      <c r="B2171" s="899">
        <f t="shared" si="108"/>
        <v>8544856.4776000008</v>
      </c>
      <c r="C2171" s="880">
        <f t="shared" si="109"/>
        <v>0</v>
      </c>
      <c r="D2171" s="210">
        <f t="shared" si="110"/>
        <v>0</v>
      </c>
      <c r="E2171" s="210">
        <f t="shared" si="111"/>
        <v>0</v>
      </c>
      <c r="F2171" s="882">
        <f t="shared" si="112"/>
        <v>5259.7712640000009</v>
      </c>
      <c r="G2171" s="210">
        <f t="shared" si="116"/>
        <v>2452.1568640000005</v>
      </c>
      <c r="H2171" s="210">
        <f t="shared" si="116"/>
        <v>0</v>
      </c>
      <c r="I2171" s="898">
        <f t="shared" si="114"/>
        <v>8552568.4057280011</v>
      </c>
      <c r="J2171" s="203" t="s">
        <v>652</v>
      </c>
    </row>
    <row r="2172" spans="1:10" hidden="1" outlineLevel="3">
      <c r="A2172" s="875" t="s">
        <v>653</v>
      </c>
      <c r="B2172" s="899">
        <f t="shared" si="108"/>
        <v>74617.743360000008</v>
      </c>
      <c r="C2172" s="880">
        <f t="shared" si="109"/>
        <v>0</v>
      </c>
      <c r="D2172" s="210">
        <f t="shared" si="110"/>
        <v>0</v>
      </c>
      <c r="E2172" s="210">
        <f t="shared" si="111"/>
        <v>0</v>
      </c>
      <c r="F2172" s="882">
        <f t="shared" si="112"/>
        <v>0</v>
      </c>
      <c r="G2172" s="210">
        <f t="shared" si="116"/>
        <v>0</v>
      </c>
      <c r="H2172" s="210">
        <f t="shared" si="116"/>
        <v>0</v>
      </c>
      <c r="I2172" s="898">
        <f t="shared" si="114"/>
        <v>74617.743360000008</v>
      </c>
      <c r="J2172" s="203" t="s">
        <v>654</v>
      </c>
    </row>
    <row r="2173" spans="1:10" hidden="1" outlineLevel="3">
      <c r="A2173" s="875" t="s">
        <v>655</v>
      </c>
      <c r="B2173" s="899">
        <f t="shared" si="108"/>
        <v>448159.15263999999</v>
      </c>
      <c r="C2173" s="880">
        <f t="shared" si="109"/>
        <v>0</v>
      </c>
      <c r="D2173" s="210">
        <f t="shared" si="110"/>
        <v>0</v>
      </c>
      <c r="E2173" s="210">
        <f t="shared" si="111"/>
        <v>0</v>
      </c>
      <c r="F2173" s="882">
        <f t="shared" si="112"/>
        <v>74869.248512000006</v>
      </c>
      <c r="G2173" s="210">
        <f t="shared" si="116"/>
        <v>0</v>
      </c>
      <c r="H2173" s="210">
        <f t="shared" si="116"/>
        <v>0</v>
      </c>
      <c r="I2173" s="898">
        <f t="shared" si="114"/>
        <v>523028.40115200001</v>
      </c>
      <c r="J2173" s="203" t="s">
        <v>578</v>
      </c>
    </row>
    <row r="2174" spans="1:10" hidden="1" outlineLevel="3">
      <c r="A2174" s="875" t="s">
        <v>656</v>
      </c>
      <c r="B2174" s="899">
        <f t="shared" ref="B2174:B2237" si="117">B306*0.656/100</f>
        <v>871794.91295999999</v>
      </c>
      <c r="C2174" s="880">
        <f t="shared" ref="C2174:C2237" si="118">C306*0/100</f>
        <v>0</v>
      </c>
      <c r="D2174" s="210">
        <f t="shared" ref="D2174:D2237" si="119">D306*0.0984/100</f>
        <v>0</v>
      </c>
      <c r="E2174" s="210">
        <f t="shared" ref="E2174:E2237" si="120">E306*0/100</f>
        <v>0</v>
      </c>
      <c r="F2174" s="882">
        <f t="shared" ref="F2174:F2237" si="121">F306*0.0656/100</f>
        <v>0</v>
      </c>
      <c r="G2174" s="210">
        <f t="shared" si="116"/>
        <v>0</v>
      </c>
      <c r="H2174" s="210">
        <f t="shared" si="116"/>
        <v>0</v>
      </c>
      <c r="I2174" s="898">
        <f t="shared" si="114"/>
        <v>871794.91295999999</v>
      </c>
      <c r="J2174" s="203" t="s">
        <v>657</v>
      </c>
    </row>
    <row r="2175" spans="1:10" hidden="1" outlineLevel="3">
      <c r="A2175" s="875" t="s">
        <v>658</v>
      </c>
      <c r="B2175" s="899">
        <f t="shared" si="117"/>
        <v>582369.98927999998</v>
      </c>
      <c r="C2175" s="880">
        <f t="shared" si="118"/>
        <v>0</v>
      </c>
      <c r="D2175" s="210">
        <f t="shared" si="119"/>
        <v>0</v>
      </c>
      <c r="E2175" s="210">
        <f t="shared" si="120"/>
        <v>0</v>
      </c>
      <c r="F2175" s="882">
        <f t="shared" si="121"/>
        <v>0</v>
      </c>
      <c r="G2175" s="210">
        <f t="shared" si="116"/>
        <v>0</v>
      </c>
      <c r="H2175" s="210">
        <f t="shared" si="116"/>
        <v>0</v>
      </c>
      <c r="I2175" s="898">
        <f t="shared" si="114"/>
        <v>582369.98927999998</v>
      </c>
      <c r="J2175" s="203" t="s">
        <v>659</v>
      </c>
    </row>
    <row r="2176" spans="1:10" hidden="1" outlineLevel="3">
      <c r="A2176" s="875" t="s">
        <v>660</v>
      </c>
      <c r="B2176" s="899">
        <f t="shared" si="117"/>
        <v>195275.53472</v>
      </c>
      <c r="C2176" s="880">
        <f t="shared" si="118"/>
        <v>0</v>
      </c>
      <c r="D2176" s="210">
        <f t="shared" si="119"/>
        <v>0</v>
      </c>
      <c r="E2176" s="210">
        <f t="shared" si="120"/>
        <v>0</v>
      </c>
      <c r="F2176" s="882">
        <f t="shared" si="121"/>
        <v>0</v>
      </c>
      <c r="G2176" s="210">
        <f t="shared" si="116"/>
        <v>0</v>
      </c>
      <c r="H2176" s="210">
        <f t="shared" si="116"/>
        <v>0</v>
      </c>
      <c r="I2176" s="898">
        <f t="shared" si="114"/>
        <v>195275.53472</v>
      </c>
      <c r="J2176" s="203" t="s">
        <v>661</v>
      </c>
    </row>
    <row r="2177" spans="1:10" hidden="1" outlineLevel="3">
      <c r="A2177" s="875" t="s">
        <v>662</v>
      </c>
      <c r="B2177" s="899">
        <f t="shared" si="117"/>
        <v>11947976.709279999</v>
      </c>
      <c r="C2177" s="880">
        <f t="shared" si="118"/>
        <v>0</v>
      </c>
      <c r="D2177" s="210">
        <f t="shared" si="119"/>
        <v>0</v>
      </c>
      <c r="E2177" s="210">
        <f t="shared" si="120"/>
        <v>0</v>
      </c>
      <c r="F2177" s="882">
        <f t="shared" si="121"/>
        <v>370.22278400000005</v>
      </c>
      <c r="G2177" s="210">
        <f t="shared" si="116"/>
        <v>0</v>
      </c>
      <c r="H2177" s="210">
        <f t="shared" si="116"/>
        <v>0</v>
      </c>
      <c r="I2177" s="898">
        <f t="shared" si="114"/>
        <v>11948346.932063999</v>
      </c>
      <c r="J2177" s="203" t="s">
        <v>663</v>
      </c>
    </row>
    <row r="2178" spans="1:10" hidden="1" outlineLevel="3">
      <c r="A2178" s="875" t="s">
        <v>664</v>
      </c>
      <c r="B2178" s="899">
        <f t="shared" si="117"/>
        <v>2660056.2790399999</v>
      </c>
      <c r="C2178" s="880">
        <f t="shared" si="118"/>
        <v>0</v>
      </c>
      <c r="D2178" s="210">
        <f t="shared" si="119"/>
        <v>0</v>
      </c>
      <c r="E2178" s="210">
        <f t="shared" si="120"/>
        <v>0</v>
      </c>
      <c r="F2178" s="882">
        <f t="shared" si="121"/>
        <v>0</v>
      </c>
      <c r="G2178" s="210">
        <f t="shared" si="116"/>
        <v>0</v>
      </c>
      <c r="H2178" s="210">
        <f t="shared" si="116"/>
        <v>0</v>
      </c>
      <c r="I2178" s="898">
        <f t="shared" si="114"/>
        <v>2660056.2790399999</v>
      </c>
      <c r="J2178" s="203" t="s">
        <v>665</v>
      </c>
    </row>
    <row r="2179" spans="1:10" hidden="1" outlineLevel="3">
      <c r="A2179" s="875" t="s">
        <v>666</v>
      </c>
      <c r="B2179" s="899">
        <f t="shared" si="117"/>
        <v>1536476.0168000001</v>
      </c>
      <c r="C2179" s="880">
        <f t="shared" si="118"/>
        <v>0</v>
      </c>
      <c r="D2179" s="210">
        <f t="shared" si="119"/>
        <v>0</v>
      </c>
      <c r="E2179" s="210">
        <f t="shared" si="120"/>
        <v>0</v>
      </c>
      <c r="F2179" s="882">
        <f t="shared" si="121"/>
        <v>0</v>
      </c>
      <c r="G2179" s="210">
        <f t="shared" si="116"/>
        <v>0</v>
      </c>
      <c r="H2179" s="210">
        <f t="shared" si="116"/>
        <v>0</v>
      </c>
      <c r="I2179" s="898">
        <f t="shared" si="114"/>
        <v>1536476.0168000001</v>
      </c>
      <c r="J2179" s="203" t="s">
        <v>667</v>
      </c>
    </row>
    <row r="2180" spans="1:10" hidden="1" outlineLevel="3">
      <c r="A2180" s="875" t="s">
        <v>668</v>
      </c>
      <c r="B2180" s="899">
        <f t="shared" si="117"/>
        <v>97718.120800000004</v>
      </c>
      <c r="C2180" s="880">
        <f t="shared" si="118"/>
        <v>0</v>
      </c>
      <c r="D2180" s="210">
        <f t="shared" si="119"/>
        <v>0</v>
      </c>
      <c r="E2180" s="210">
        <f t="shared" si="120"/>
        <v>0</v>
      </c>
      <c r="F2180" s="882">
        <f t="shared" si="121"/>
        <v>0</v>
      </c>
      <c r="G2180" s="210">
        <f t="shared" si="116"/>
        <v>0</v>
      </c>
      <c r="H2180" s="210">
        <f t="shared" si="116"/>
        <v>0</v>
      </c>
      <c r="I2180" s="898">
        <f t="shared" si="114"/>
        <v>97718.120800000004</v>
      </c>
      <c r="J2180" s="203" t="s">
        <v>669</v>
      </c>
    </row>
    <row r="2181" spans="1:10" hidden="1" outlineLevel="3">
      <c r="A2181" s="875" t="s">
        <v>670</v>
      </c>
      <c r="B2181" s="899">
        <f t="shared" si="117"/>
        <v>2754727.3454400003</v>
      </c>
      <c r="C2181" s="880">
        <f t="shared" si="118"/>
        <v>0</v>
      </c>
      <c r="D2181" s="210">
        <f t="shared" si="119"/>
        <v>0</v>
      </c>
      <c r="E2181" s="210">
        <f t="shared" si="120"/>
        <v>0</v>
      </c>
      <c r="F2181" s="882">
        <f t="shared" si="121"/>
        <v>2906.1278880000004</v>
      </c>
      <c r="G2181" s="210">
        <f t="shared" si="116"/>
        <v>0</v>
      </c>
      <c r="H2181" s="210">
        <f t="shared" si="116"/>
        <v>0</v>
      </c>
      <c r="I2181" s="898">
        <f t="shared" si="114"/>
        <v>2757633.4733280004</v>
      </c>
      <c r="J2181" s="203" t="s">
        <v>671</v>
      </c>
    </row>
    <row r="2182" spans="1:10" hidden="1" outlineLevel="3">
      <c r="A2182" s="875" t="s">
        <v>672</v>
      </c>
      <c r="B2182" s="899">
        <f t="shared" si="117"/>
        <v>602629.02736000007</v>
      </c>
      <c r="C2182" s="880">
        <f t="shared" si="118"/>
        <v>0</v>
      </c>
      <c r="D2182" s="210">
        <f t="shared" si="119"/>
        <v>0</v>
      </c>
      <c r="E2182" s="210">
        <f t="shared" si="120"/>
        <v>0</v>
      </c>
      <c r="F2182" s="882">
        <f t="shared" si="121"/>
        <v>0</v>
      </c>
      <c r="G2182" s="210">
        <f t="shared" si="116"/>
        <v>0</v>
      </c>
      <c r="H2182" s="210">
        <f t="shared" si="116"/>
        <v>0</v>
      </c>
      <c r="I2182" s="898">
        <f t="shared" si="114"/>
        <v>602629.02736000007</v>
      </c>
      <c r="J2182" s="203" t="s">
        <v>673</v>
      </c>
    </row>
    <row r="2183" spans="1:10" hidden="1" outlineLevel="3">
      <c r="A2183" s="875" t="s">
        <v>674</v>
      </c>
      <c r="B2183" s="899">
        <f t="shared" si="117"/>
        <v>1132959.2188800001</v>
      </c>
      <c r="C2183" s="880">
        <f t="shared" si="118"/>
        <v>0</v>
      </c>
      <c r="D2183" s="210">
        <f t="shared" si="119"/>
        <v>0</v>
      </c>
      <c r="E2183" s="210">
        <f t="shared" si="120"/>
        <v>0</v>
      </c>
      <c r="F2183" s="882">
        <f t="shared" si="121"/>
        <v>0</v>
      </c>
      <c r="G2183" s="210">
        <f t="shared" si="116"/>
        <v>0</v>
      </c>
      <c r="H2183" s="210">
        <f t="shared" si="116"/>
        <v>0</v>
      </c>
      <c r="I2183" s="898">
        <f t="shared" si="114"/>
        <v>1132959.2188800001</v>
      </c>
      <c r="J2183" s="203" t="s">
        <v>675</v>
      </c>
    </row>
    <row r="2184" spans="1:10" hidden="1" outlineLevel="3">
      <c r="A2184" s="875" t="s">
        <v>676</v>
      </c>
      <c r="B2184" s="899">
        <f t="shared" si="117"/>
        <v>800963.94928000006</v>
      </c>
      <c r="C2184" s="880">
        <f t="shared" si="118"/>
        <v>0</v>
      </c>
      <c r="D2184" s="210">
        <f t="shared" si="119"/>
        <v>0</v>
      </c>
      <c r="E2184" s="210">
        <f t="shared" si="120"/>
        <v>0</v>
      </c>
      <c r="F2184" s="882">
        <f t="shared" si="121"/>
        <v>0</v>
      </c>
      <c r="G2184" s="210">
        <f t="shared" si="116"/>
        <v>0</v>
      </c>
      <c r="H2184" s="210">
        <f t="shared" si="116"/>
        <v>0</v>
      </c>
      <c r="I2184" s="898">
        <f t="shared" si="114"/>
        <v>800963.94928000006</v>
      </c>
      <c r="J2184" s="203" t="s">
        <v>677</v>
      </c>
    </row>
    <row r="2185" spans="1:10" hidden="1" outlineLevel="3">
      <c r="A2185" s="875" t="s">
        <v>678</v>
      </c>
      <c r="B2185" s="899">
        <f t="shared" si="117"/>
        <v>1069330.9252800001</v>
      </c>
      <c r="C2185" s="880">
        <f t="shared" si="118"/>
        <v>0</v>
      </c>
      <c r="D2185" s="210">
        <f t="shared" si="119"/>
        <v>0</v>
      </c>
      <c r="E2185" s="210">
        <f t="shared" si="120"/>
        <v>0</v>
      </c>
      <c r="F2185" s="882">
        <f t="shared" si="121"/>
        <v>0</v>
      </c>
      <c r="G2185" s="210">
        <f t="shared" si="116"/>
        <v>0</v>
      </c>
      <c r="H2185" s="210">
        <f t="shared" si="116"/>
        <v>0</v>
      </c>
      <c r="I2185" s="898">
        <f t="shared" si="114"/>
        <v>1069330.9252800001</v>
      </c>
      <c r="J2185" s="203" t="s">
        <v>679</v>
      </c>
    </row>
    <row r="2186" spans="1:10" hidden="1" outlineLevel="3">
      <c r="A2186" s="875" t="s">
        <v>680</v>
      </c>
      <c r="B2186" s="899">
        <f t="shared" si="117"/>
        <v>1695007.5680000002</v>
      </c>
      <c r="C2186" s="880">
        <f t="shared" si="118"/>
        <v>0</v>
      </c>
      <c r="D2186" s="210">
        <f t="shared" si="119"/>
        <v>0</v>
      </c>
      <c r="E2186" s="210">
        <f t="shared" si="120"/>
        <v>0</v>
      </c>
      <c r="F2186" s="882">
        <f t="shared" si="121"/>
        <v>0</v>
      </c>
      <c r="G2186" s="210">
        <f t="shared" ref="G2186:H2205" si="122">G318*0.1312/100</f>
        <v>0</v>
      </c>
      <c r="H2186" s="210">
        <f t="shared" si="122"/>
        <v>0</v>
      </c>
      <c r="I2186" s="898">
        <f t="shared" si="114"/>
        <v>1695007.5680000002</v>
      </c>
      <c r="J2186" s="203" t="s">
        <v>681</v>
      </c>
    </row>
    <row r="2187" spans="1:10" hidden="1" outlineLevel="3">
      <c r="A2187" s="875" t="s">
        <v>682</v>
      </c>
      <c r="B2187" s="899">
        <f t="shared" si="117"/>
        <v>1502893.7499200001</v>
      </c>
      <c r="C2187" s="880">
        <f t="shared" si="118"/>
        <v>0</v>
      </c>
      <c r="D2187" s="210">
        <f t="shared" si="119"/>
        <v>0</v>
      </c>
      <c r="E2187" s="210">
        <f t="shared" si="120"/>
        <v>0</v>
      </c>
      <c r="F2187" s="882">
        <f t="shared" si="121"/>
        <v>0</v>
      </c>
      <c r="G2187" s="210">
        <f t="shared" si="122"/>
        <v>0</v>
      </c>
      <c r="H2187" s="210">
        <f t="shared" si="122"/>
        <v>0</v>
      </c>
      <c r="I2187" s="898">
        <f t="shared" si="114"/>
        <v>1502893.7499200001</v>
      </c>
      <c r="J2187" s="203" t="s">
        <v>683</v>
      </c>
    </row>
    <row r="2188" spans="1:10" hidden="1" outlineLevel="3">
      <c r="A2188" s="875" t="s">
        <v>684</v>
      </c>
      <c r="B2188" s="899">
        <f t="shared" si="117"/>
        <v>926183.45968000009</v>
      </c>
      <c r="C2188" s="880">
        <f t="shared" si="118"/>
        <v>0</v>
      </c>
      <c r="D2188" s="210">
        <f t="shared" si="119"/>
        <v>0</v>
      </c>
      <c r="E2188" s="210">
        <f t="shared" si="120"/>
        <v>0</v>
      </c>
      <c r="F2188" s="882">
        <f t="shared" si="121"/>
        <v>0</v>
      </c>
      <c r="G2188" s="210">
        <f t="shared" si="122"/>
        <v>0</v>
      </c>
      <c r="H2188" s="210">
        <f t="shared" si="122"/>
        <v>0</v>
      </c>
      <c r="I2188" s="898">
        <f t="shared" si="114"/>
        <v>926183.45968000009</v>
      </c>
      <c r="J2188" s="203" t="s">
        <v>685</v>
      </c>
    </row>
    <row r="2189" spans="1:10" hidden="1" outlineLevel="3">
      <c r="A2189" s="875" t="s">
        <v>688</v>
      </c>
      <c r="B2189" s="899">
        <f t="shared" si="117"/>
        <v>2268428.3199999998</v>
      </c>
      <c r="C2189" s="880">
        <f t="shared" si="118"/>
        <v>0</v>
      </c>
      <c r="D2189" s="210">
        <f t="shared" si="119"/>
        <v>0</v>
      </c>
      <c r="E2189" s="210">
        <f t="shared" si="120"/>
        <v>0</v>
      </c>
      <c r="F2189" s="882">
        <f t="shared" si="121"/>
        <v>0</v>
      </c>
      <c r="G2189" s="210">
        <f t="shared" si="122"/>
        <v>0</v>
      </c>
      <c r="H2189" s="210">
        <f t="shared" si="122"/>
        <v>0</v>
      </c>
      <c r="I2189" s="898">
        <f t="shared" si="114"/>
        <v>2268428.3199999998</v>
      </c>
      <c r="J2189" s="203" t="s">
        <v>689</v>
      </c>
    </row>
    <row r="2190" spans="1:10" hidden="1" outlineLevel="3">
      <c r="A2190" s="875" t="s">
        <v>690</v>
      </c>
      <c r="B2190" s="899">
        <f t="shared" si="117"/>
        <v>725071.7750400001</v>
      </c>
      <c r="C2190" s="880">
        <f t="shared" si="118"/>
        <v>0</v>
      </c>
      <c r="D2190" s="210">
        <f t="shared" si="119"/>
        <v>0</v>
      </c>
      <c r="E2190" s="210">
        <f t="shared" si="120"/>
        <v>0</v>
      </c>
      <c r="F2190" s="882">
        <f t="shared" si="121"/>
        <v>0</v>
      </c>
      <c r="G2190" s="210">
        <f t="shared" si="122"/>
        <v>0</v>
      </c>
      <c r="H2190" s="210">
        <f t="shared" si="122"/>
        <v>0</v>
      </c>
      <c r="I2190" s="898">
        <f t="shared" si="114"/>
        <v>725071.7750400001</v>
      </c>
      <c r="J2190" s="203" t="s">
        <v>691</v>
      </c>
    </row>
    <row r="2191" spans="1:10" hidden="1" outlineLevel="3">
      <c r="A2191" s="875" t="s">
        <v>692</v>
      </c>
      <c r="B2191" s="899">
        <f t="shared" si="117"/>
        <v>2936049.0319999997</v>
      </c>
      <c r="C2191" s="880">
        <f t="shared" si="118"/>
        <v>0</v>
      </c>
      <c r="D2191" s="210">
        <f t="shared" si="119"/>
        <v>0</v>
      </c>
      <c r="E2191" s="210">
        <f t="shared" si="120"/>
        <v>0</v>
      </c>
      <c r="F2191" s="882">
        <f t="shared" si="121"/>
        <v>0</v>
      </c>
      <c r="G2191" s="210">
        <f t="shared" si="122"/>
        <v>0</v>
      </c>
      <c r="H2191" s="210">
        <f t="shared" si="122"/>
        <v>0</v>
      </c>
      <c r="I2191" s="898">
        <f t="shared" si="114"/>
        <v>2936049.0319999997</v>
      </c>
      <c r="J2191" s="203" t="s">
        <v>693</v>
      </c>
    </row>
    <row r="2192" spans="1:10" hidden="1" outlineLevel="3">
      <c r="A2192" s="875" t="s">
        <v>694</v>
      </c>
      <c r="B2192" s="899">
        <f t="shared" si="117"/>
        <v>20616.066080000001</v>
      </c>
      <c r="C2192" s="880">
        <f t="shared" si="118"/>
        <v>0</v>
      </c>
      <c r="D2192" s="210">
        <f t="shared" si="119"/>
        <v>0</v>
      </c>
      <c r="E2192" s="210">
        <f t="shared" si="120"/>
        <v>0</v>
      </c>
      <c r="F2192" s="882">
        <f t="shared" si="121"/>
        <v>0</v>
      </c>
      <c r="G2192" s="210">
        <f t="shared" si="122"/>
        <v>0</v>
      </c>
      <c r="H2192" s="210">
        <f t="shared" si="122"/>
        <v>0</v>
      </c>
      <c r="I2192" s="898">
        <f t="shared" si="114"/>
        <v>20616.066080000001</v>
      </c>
      <c r="J2192" s="203" t="s">
        <v>695</v>
      </c>
    </row>
    <row r="2193" spans="1:10" hidden="1" outlineLevel="3">
      <c r="A2193" s="875" t="s">
        <v>696</v>
      </c>
      <c r="B2193" s="899">
        <f t="shared" si="117"/>
        <v>780007.76032</v>
      </c>
      <c r="C2193" s="880">
        <f t="shared" si="118"/>
        <v>0</v>
      </c>
      <c r="D2193" s="210">
        <f t="shared" si="119"/>
        <v>0</v>
      </c>
      <c r="E2193" s="210">
        <f t="shared" si="120"/>
        <v>0</v>
      </c>
      <c r="F2193" s="882">
        <f t="shared" si="121"/>
        <v>0</v>
      </c>
      <c r="G2193" s="210">
        <f t="shared" si="122"/>
        <v>0</v>
      </c>
      <c r="H2193" s="210">
        <f t="shared" si="122"/>
        <v>0</v>
      </c>
      <c r="I2193" s="898">
        <f t="shared" si="114"/>
        <v>780007.76032</v>
      </c>
      <c r="J2193" s="203" t="s">
        <v>697</v>
      </c>
    </row>
    <row r="2194" spans="1:10" hidden="1" outlineLevel="3">
      <c r="A2194" s="875" t="s">
        <v>698</v>
      </c>
      <c r="B2194" s="899">
        <f t="shared" si="117"/>
        <v>4630121.6097600004</v>
      </c>
      <c r="C2194" s="880">
        <f t="shared" si="118"/>
        <v>0</v>
      </c>
      <c r="D2194" s="210">
        <f t="shared" si="119"/>
        <v>0</v>
      </c>
      <c r="E2194" s="210">
        <f t="shared" si="120"/>
        <v>0</v>
      </c>
      <c r="F2194" s="882">
        <f t="shared" si="121"/>
        <v>0</v>
      </c>
      <c r="G2194" s="210">
        <f t="shared" si="122"/>
        <v>0</v>
      </c>
      <c r="H2194" s="210">
        <f t="shared" si="122"/>
        <v>0</v>
      </c>
      <c r="I2194" s="898">
        <f t="shared" si="114"/>
        <v>4630121.6097600004</v>
      </c>
      <c r="J2194" s="203" t="s">
        <v>699</v>
      </c>
    </row>
    <row r="2195" spans="1:10" hidden="1" outlineLevel="3">
      <c r="A2195" s="875" t="s">
        <v>700</v>
      </c>
      <c r="B2195" s="899">
        <f t="shared" si="117"/>
        <v>68869.818880000006</v>
      </c>
      <c r="C2195" s="880">
        <f t="shared" si="118"/>
        <v>0</v>
      </c>
      <c r="D2195" s="210">
        <f t="shared" si="119"/>
        <v>0</v>
      </c>
      <c r="E2195" s="210">
        <f t="shared" si="120"/>
        <v>0</v>
      </c>
      <c r="F2195" s="882">
        <f t="shared" si="121"/>
        <v>0</v>
      </c>
      <c r="G2195" s="210">
        <f t="shared" si="122"/>
        <v>0</v>
      </c>
      <c r="H2195" s="210">
        <f t="shared" si="122"/>
        <v>0</v>
      </c>
      <c r="I2195" s="898">
        <f t="shared" si="114"/>
        <v>68869.818880000006</v>
      </c>
      <c r="J2195" s="203" t="s">
        <v>701</v>
      </c>
    </row>
    <row r="2196" spans="1:10" hidden="1" outlineLevel="3">
      <c r="A2196" s="875" t="s">
        <v>702</v>
      </c>
      <c r="B2196" s="899">
        <f t="shared" si="117"/>
        <v>3168603.1640000003</v>
      </c>
      <c r="C2196" s="880">
        <f t="shared" si="118"/>
        <v>0</v>
      </c>
      <c r="D2196" s="210">
        <f t="shared" si="119"/>
        <v>0</v>
      </c>
      <c r="E2196" s="210">
        <f t="shared" si="120"/>
        <v>0</v>
      </c>
      <c r="F2196" s="882">
        <f t="shared" si="121"/>
        <v>0</v>
      </c>
      <c r="G2196" s="210">
        <f t="shared" si="122"/>
        <v>0</v>
      </c>
      <c r="H2196" s="210">
        <f t="shared" si="122"/>
        <v>0</v>
      </c>
      <c r="I2196" s="898">
        <f t="shared" ref="I2196:I2259" si="123">SUM(B2196:H2196)</f>
        <v>3168603.1640000003</v>
      </c>
      <c r="J2196" s="203" t="s">
        <v>703</v>
      </c>
    </row>
    <row r="2197" spans="1:10" hidden="1" outlineLevel="3">
      <c r="A2197" s="875" t="s">
        <v>704</v>
      </c>
      <c r="B2197" s="899">
        <f t="shared" si="117"/>
        <v>614278.04576000001</v>
      </c>
      <c r="C2197" s="880">
        <f t="shared" si="118"/>
        <v>0</v>
      </c>
      <c r="D2197" s="210">
        <f t="shared" si="119"/>
        <v>0</v>
      </c>
      <c r="E2197" s="210">
        <f t="shared" si="120"/>
        <v>0</v>
      </c>
      <c r="F2197" s="882">
        <f t="shared" si="121"/>
        <v>0</v>
      </c>
      <c r="G2197" s="210">
        <f t="shared" si="122"/>
        <v>0</v>
      </c>
      <c r="H2197" s="210">
        <f t="shared" si="122"/>
        <v>0</v>
      </c>
      <c r="I2197" s="898">
        <f t="shared" si="123"/>
        <v>614278.04576000001</v>
      </c>
      <c r="J2197" s="203" t="s">
        <v>705</v>
      </c>
    </row>
    <row r="2198" spans="1:10" hidden="1" outlineLevel="3">
      <c r="A2198" s="875" t="s">
        <v>706</v>
      </c>
      <c r="B2198" s="899">
        <f t="shared" si="117"/>
        <v>1649205.0904000001</v>
      </c>
      <c r="C2198" s="880">
        <f t="shared" si="118"/>
        <v>0</v>
      </c>
      <c r="D2198" s="210">
        <f t="shared" si="119"/>
        <v>0</v>
      </c>
      <c r="E2198" s="210">
        <f t="shared" si="120"/>
        <v>0</v>
      </c>
      <c r="F2198" s="882">
        <f t="shared" si="121"/>
        <v>0</v>
      </c>
      <c r="G2198" s="210">
        <f t="shared" si="122"/>
        <v>0</v>
      </c>
      <c r="H2198" s="210">
        <f t="shared" si="122"/>
        <v>0</v>
      </c>
      <c r="I2198" s="898">
        <f t="shared" si="123"/>
        <v>1649205.0904000001</v>
      </c>
      <c r="J2198" s="203" t="s">
        <v>707</v>
      </c>
    </row>
    <row r="2199" spans="1:10" hidden="1" outlineLevel="3">
      <c r="A2199" s="875" t="s">
        <v>708</v>
      </c>
      <c r="B2199" s="899">
        <f t="shared" si="117"/>
        <v>8031837.5028799996</v>
      </c>
      <c r="C2199" s="880">
        <f t="shared" si="118"/>
        <v>0</v>
      </c>
      <c r="D2199" s="210">
        <f t="shared" si="119"/>
        <v>0</v>
      </c>
      <c r="E2199" s="210">
        <f t="shared" si="120"/>
        <v>0</v>
      </c>
      <c r="F2199" s="882">
        <f t="shared" si="121"/>
        <v>0</v>
      </c>
      <c r="G2199" s="210">
        <f t="shared" si="122"/>
        <v>0</v>
      </c>
      <c r="H2199" s="210">
        <f t="shared" si="122"/>
        <v>0</v>
      </c>
      <c r="I2199" s="898">
        <f t="shared" si="123"/>
        <v>8031837.5028799996</v>
      </c>
      <c r="J2199" s="203" t="s">
        <v>709</v>
      </c>
    </row>
    <row r="2200" spans="1:10" hidden="1" outlineLevel="3">
      <c r="A2200" s="875" t="s">
        <v>710</v>
      </c>
      <c r="B2200" s="899">
        <f t="shared" si="117"/>
        <v>772959.06</v>
      </c>
      <c r="C2200" s="880">
        <f t="shared" si="118"/>
        <v>0</v>
      </c>
      <c r="D2200" s="210">
        <f t="shared" si="119"/>
        <v>0</v>
      </c>
      <c r="E2200" s="210">
        <f t="shared" si="120"/>
        <v>0</v>
      </c>
      <c r="F2200" s="882">
        <f t="shared" si="121"/>
        <v>0</v>
      </c>
      <c r="G2200" s="210">
        <f t="shared" si="122"/>
        <v>0</v>
      </c>
      <c r="H2200" s="210">
        <f t="shared" si="122"/>
        <v>0</v>
      </c>
      <c r="I2200" s="898">
        <f t="shared" si="123"/>
        <v>772959.06</v>
      </c>
      <c r="J2200" s="203" t="s">
        <v>711</v>
      </c>
    </row>
    <row r="2201" spans="1:10" hidden="1" outlineLevel="3">
      <c r="A2201" s="875" t="s">
        <v>712</v>
      </c>
      <c r="B2201" s="899">
        <f t="shared" si="117"/>
        <v>3583279.8470399999</v>
      </c>
      <c r="C2201" s="880">
        <f t="shared" si="118"/>
        <v>0</v>
      </c>
      <c r="D2201" s="210">
        <f t="shared" si="119"/>
        <v>0</v>
      </c>
      <c r="E2201" s="210">
        <f t="shared" si="120"/>
        <v>0</v>
      </c>
      <c r="F2201" s="882">
        <f t="shared" si="121"/>
        <v>0</v>
      </c>
      <c r="G2201" s="210">
        <f t="shared" si="122"/>
        <v>0</v>
      </c>
      <c r="H2201" s="210">
        <f t="shared" si="122"/>
        <v>0</v>
      </c>
      <c r="I2201" s="898">
        <f t="shared" si="123"/>
        <v>3583279.8470399999</v>
      </c>
      <c r="J2201" s="203" t="s">
        <v>713</v>
      </c>
    </row>
    <row r="2202" spans="1:10" hidden="1" outlineLevel="3">
      <c r="A2202" s="875" t="s">
        <v>714</v>
      </c>
      <c r="B2202" s="899">
        <f t="shared" si="117"/>
        <v>206624.00016000003</v>
      </c>
      <c r="C2202" s="880">
        <f t="shared" si="118"/>
        <v>0</v>
      </c>
      <c r="D2202" s="210">
        <f t="shared" si="119"/>
        <v>0</v>
      </c>
      <c r="E2202" s="210">
        <f t="shared" si="120"/>
        <v>0</v>
      </c>
      <c r="F2202" s="882">
        <f t="shared" si="121"/>
        <v>0</v>
      </c>
      <c r="G2202" s="210">
        <f t="shared" si="122"/>
        <v>0</v>
      </c>
      <c r="H2202" s="210">
        <f t="shared" si="122"/>
        <v>0</v>
      </c>
      <c r="I2202" s="898">
        <f t="shared" si="123"/>
        <v>206624.00016000003</v>
      </c>
      <c r="J2202" s="203" t="s">
        <v>715</v>
      </c>
    </row>
    <row r="2203" spans="1:10" hidden="1" outlineLevel="3">
      <c r="A2203" s="875" t="s">
        <v>716</v>
      </c>
      <c r="B2203" s="899">
        <f t="shared" si="117"/>
        <v>1528189.2542399999</v>
      </c>
      <c r="C2203" s="880">
        <f t="shared" si="118"/>
        <v>0</v>
      </c>
      <c r="D2203" s="210">
        <f t="shared" si="119"/>
        <v>0</v>
      </c>
      <c r="E2203" s="210">
        <f t="shared" si="120"/>
        <v>0</v>
      </c>
      <c r="F2203" s="882">
        <f t="shared" si="121"/>
        <v>0</v>
      </c>
      <c r="G2203" s="210">
        <f t="shared" si="122"/>
        <v>0</v>
      </c>
      <c r="H2203" s="210">
        <f t="shared" si="122"/>
        <v>0</v>
      </c>
      <c r="I2203" s="898">
        <f t="shared" si="123"/>
        <v>1528189.2542399999</v>
      </c>
      <c r="J2203" s="203" t="s">
        <v>717</v>
      </c>
    </row>
    <row r="2204" spans="1:10" hidden="1" outlineLevel="3">
      <c r="A2204" s="875" t="s">
        <v>718</v>
      </c>
      <c r="B2204" s="899">
        <f t="shared" si="117"/>
        <v>1124790.8840000001</v>
      </c>
      <c r="C2204" s="880">
        <f t="shared" si="118"/>
        <v>0</v>
      </c>
      <c r="D2204" s="210">
        <f t="shared" si="119"/>
        <v>0</v>
      </c>
      <c r="E2204" s="210">
        <f t="shared" si="120"/>
        <v>0</v>
      </c>
      <c r="F2204" s="882">
        <f t="shared" si="121"/>
        <v>0</v>
      </c>
      <c r="G2204" s="210">
        <f t="shared" si="122"/>
        <v>0</v>
      </c>
      <c r="H2204" s="210">
        <f t="shared" si="122"/>
        <v>0</v>
      </c>
      <c r="I2204" s="898">
        <f t="shared" si="123"/>
        <v>1124790.8840000001</v>
      </c>
      <c r="J2204" s="203" t="s">
        <v>719</v>
      </c>
    </row>
    <row r="2205" spans="1:10" hidden="1" outlineLevel="3">
      <c r="A2205" s="875" t="s">
        <v>720</v>
      </c>
      <c r="B2205" s="899">
        <f t="shared" si="117"/>
        <v>528154.50848000008</v>
      </c>
      <c r="C2205" s="880">
        <f t="shared" si="118"/>
        <v>0</v>
      </c>
      <c r="D2205" s="210">
        <f t="shared" si="119"/>
        <v>0</v>
      </c>
      <c r="E2205" s="210">
        <f t="shared" si="120"/>
        <v>0</v>
      </c>
      <c r="F2205" s="882">
        <f t="shared" si="121"/>
        <v>0</v>
      </c>
      <c r="G2205" s="210">
        <f t="shared" si="122"/>
        <v>0</v>
      </c>
      <c r="H2205" s="210">
        <f t="shared" si="122"/>
        <v>0</v>
      </c>
      <c r="I2205" s="898">
        <f t="shared" si="123"/>
        <v>528154.50848000008</v>
      </c>
      <c r="J2205" s="203" t="s">
        <v>721</v>
      </c>
    </row>
    <row r="2206" spans="1:10" hidden="1" outlineLevel="3">
      <c r="A2206" s="875" t="s">
        <v>722</v>
      </c>
      <c r="B2206" s="899">
        <f t="shared" si="117"/>
        <v>292814.0624</v>
      </c>
      <c r="C2206" s="880">
        <f t="shared" si="118"/>
        <v>0</v>
      </c>
      <c r="D2206" s="210">
        <f t="shared" si="119"/>
        <v>0</v>
      </c>
      <c r="E2206" s="210">
        <f t="shared" si="120"/>
        <v>0</v>
      </c>
      <c r="F2206" s="882">
        <f t="shared" si="121"/>
        <v>0</v>
      </c>
      <c r="G2206" s="210">
        <f t="shared" ref="G2206:H2225" si="124">G338*0.1312/100</f>
        <v>0</v>
      </c>
      <c r="H2206" s="210">
        <f t="shared" si="124"/>
        <v>0</v>
      </c>
      <c r="I2206" s="898">
        <f t="shared" si="123"/>
        <v>292814.0624</v>
      </c>
      <c r="J2206" s="203" t="s">
        <v>723</v>
      </c>
    </row>
    <row r="2207" spans="1:10" hidden="1" outlineLevel="3">
      <c r="A2207" s="875" t="s">
        <v>724</v>
      </c>
      <c r="B2207" s="899">
        <f t="shared" si="117"/>
        <v>1930938.64368</v>
      </c>
      <c r="C2207" s="880">
        <f t="shared" si="118"/>
        <v>0</v>
      </c>
      <c r="D2207" s="210">
        <f t="shared" si="119"/>
        <v>0</v>
      </c>
      <c r="E2207" s="210">
        <f t="shared" si="120"/>
        <v>0</v>
      </c>
      <c r="F2207" s="882">
        <f t="shared" si="121"/>
        <v>0</v>
      </c>
      <c r="G2207" s="210">
        <f t="shared" si="124"/>
        <v>0</v>
      </c>
      <c r="H2207" s="210">
        <f t="shared" si="124"/>
        <v>0</v>
      </c>
      <c r="I2207" s="898">
        <f t="shared" si="123"/>
        <v>1930938.64368</v>
      </c>
      <c r="J2207" s="203" t="s">
        <v>725</v>
      </c>
    </row>
    <row r="2208" spans="1:10" hidden="1" outlineLevel="3">
      <c r="A2208" s="875" t="s">
        <v>726</v>
      </c>
      <c r="B2208" s="899">
        <f t="shared" si="117"/>
        <v>2523877.5736000002</v>
      </c>
      <c r="C2208" s="880">
        <f t="shared" si="118"/>
        <v>0</v>
      </c>
      <c r="D2208" s="210">
        <f t="shared" si="119"/>
        <v>0</v>
      </c>
      <c r="E2208" s="210">
        <f t="shared" si="120"/>
        <v>0</v>
      </c>
      <c r="F2208" s="882">
        <f t="shared" si="121"/>
        <v>2041.967936</v>
      </c>
      <c r="G2208" s="210">
        <f t="shared" si="124"/>
        <v>0</v>
      </c>
      <c r="H2208" s="210">
        <f t="shared" si="124"/>
        <v>0</v>
      </c>
      <c r="I2208" s="898">
        <f t="shared" si="123"/>
        <v>2525919.5415360001</v>
      </c>
      <c r="J2208" s="203" t="s">
        <v>727</v>
      </c>
    </row>
    <row r="2209" spans="1:10" hidden="1" outlineLevel="3">
      <c r="A2209" s="875" t="s">
        <v>728</v>
      </c>
      <c r="B2209" s="899">
        <f t="shared" si="117"/>
        <v>189049.54368</v>
      </c>
      <c r="C2209" s="880">
        <f t="shared" si="118"/>
        <v>0</v>
      </c>
      <c r="D2209" s="210">
        <f t="shared" si="119"/>
        <v>0</v>
      </c>
      <c r="E2209" s="210">
        <f t="shared" si="120"/>
        <v>0</v>
      </c>
      <c r="F2209" s="882">
        <f t="shared" si="121"/>
        <v>0</v>
      </c>
      <c r="G2209" s="210">
        <f t="shared" si="124"/>
        <v>0</v>
      </c>
      <c r="H2209" s="210">
        <f t="shared" si="124"/>
        <v>0</v>
      </c>
      <c r="I2209" s="898">
        <f t="shared" si="123"/>
        <v>189049.54368</v>
      </c>
      <c r="J2209" s="203" t="s">
        <v>729</v>
      </c>
    </row>
    <row r="2210" spans="1:10" hidden="1" outlineLevel="3">
      <c r="A2210" s="875" t="s">
        <v>730</v>
      </c>
      <c r="B2210" s="899">
        <f t="shared" si="117"/>
        <v>749317.71872000012</v>
      </c>
      <c r="C2210" s="880">
        <f t="shared" si="118"/>
        <v>0</v>
      </c>
      <c r="D2210" s="210">
        <f t="shared" si="119"/>
        <v>0</v>
      </c>
      <c r="E2210" s="210">
        <f t="shared" si="120"/>
        <v>0</v>
      </c>
      <c r="F2210" s="882">
        <f t="shared" si="121"/>
        <v>0</v>
      </c>
      <c r="G2210" s="210">
        <f t="shared" si="124"/>
        <v>0</v>
      </c>
      <c r="H2210" s="210">
        <f t="shared" si="124"/>
        <v>0</v>
      </c>
      <c r="I2210" s="898">
        <f t="shared" si="123"/>
        <v>749317.71872000012</v>
      </c>
      <c r="J2210" s="203" t="s">
        <v>731</v>
      </c>
    </row>
    <row r="2211" spans="1:10" hidden="1" outlineLevel="3">
      <c r="A2211" s="875" t="s">
        <v>732</v>
      </c>
      <c r="B2211" s="899">
        <f t="shared" si="117"/>
        <v>62043.023680000006</v>
      </c>
      <c r="C2211" s="880">
        <f t="shared" si="118"/>
        <v>0</v>
      </c>
      <c r="D2211" s="210">
        <f t="shared" si="119"/>
        <v>0</v>
      </c>
      <c r="E2211" s="210">
        <f t="shared" si="120"/>
        <v>0</v>
      </c>
      <c r="F2211" s="882">
        <f t="shared" si="121"/>
        <v>0</v>
      </c>
      <c r="G2211" s="210">
        <f t="shared" si="124"/>
        <v>0</v>
      </c>
      <c r="H2211" s="210">
        <f t="shared" si="124"/>
        <v>0</v>
      </c>
      <c r="I2211" s="898">
        <f t="shared" si="123"/>
        <v>62043.023680000006</v>
      </c>
      <c r="J2211" s="203" t="s">
        <v>733</v>
      </c>
    </row>
    <row r="2212" spans="1:10" hidden="1" outlineLevel="3">
      <c r="A2212" s="875" t="s">
        <v>734</v>
      </c>
      <c r="B2212" s="899">
        <f t="shared" si="117"/>
        <v>7728964.2315200008</v>
      </c>
      <c r="C2212" s="880">
        <f t="shared" si="118"/>
        <v>0</v>
      </c>
      <c r="D2212" s="210">
        <f t="shared" si="119"/>
        <v>0</v>
      </c>
      <c r="E2212" s="210">
        <f t="shared" si="120"/>
        <v>0</v>
      </c>
      <c r="F2212" s="882">
        <f t="shared" si="121"/>
        <v>8881.7650560000002</v>
      </c>
      <c r="G2212" s="210">
        <f t="shared" si="124"/>
        <v>0</v>
      </c>
      <c r="H2212" s="210">
        <f t="shared" si="124"/>
        <v>0</v>
      </c>
      <c r="I2212" s="898">
        <f t="shared" si="123"/>
        <v>7737845.9965760009</v>
      </c>
      <c r="J2212" s="203" t="s">
        <v>735</v>
      </c>
    </row>
    <row r="2213" spans="1:10" hidden="1" outlineLevel="3">
      <c r="A2213" s="875" t="s">
        <v>736</v>
      </c>
      <c r="B2213" s="899">
        <f t="shared" si="117"/>
        <v>448316.54671999998</v>
      </c>
      <c r="C2213" s="880">
        <f t="shared" si="118"/>
        <v>0</v>
      </c>
      <c r="D2213" s="210">
        <f t="shared" si="119"/>
        <v>0</v>
      </c>
      <c r="E2213" s="210">
        <f t="shared" si="120"/>
        <v>0</v>
      </c>
      <c r="F2213" s="882">
        <f t="shared" si="121"/>
        <v>0</v>
      </c>
      <c r="G2213" s="210">
        <f t="shared" si="124"/>
        <v>0</v>
      </c>
      <c r="H2213" s="210">
        <f t="shared" si="124"/>
        <v>0</v>
      </c>
      <c r="I2213" s="898">
        <f t="shared" si="123"/>
        <v>448316.54671999998</v>
      </c>
      <c r="J2213" s="203" t="s">
        <v>737</v>
      </c>
    </row>
    <row r="2214" spans="1:10" hidden="1" outlineLevel="3">
      <c r="A2214" s="875" t="s">
        <v>738</v>
      </c>
      <c r="B2214" s="899">
        <f t="shared" si="117"/>
        <v>542973.07616000006</v>
      </c>
      <c r="C2214" s="880">
        <f t="shared" si="118"/>
        <v>0</v>
      </c>
      <c r="D2214" s="210">
        <f t="shared" si="119"/>
        <v>0</v>
      </c>
      <c r="E2214" s="210">
        <f t="shared" si="120"/>
        <v>0</v>
      </c>
      <c r="F2214" s="882">
        <f t="shared" si="121"/>
        <v>0</v>
      </c>
      <c r="G2214" s="210">
        <f t="shared" si="124"/>
        <v>0</v>
      </c>
      <c r="H2214" s="210">
        <f t="shared" si="124"/>
        <v>0</v>
      </c>
      <c r="I2214" s="898">
        <f t="shared" si="123"/>
        <v>542973.07616000006</v>
      </c>
      <c r="J2214" s="203" t="s">
        <v>739</v>
      </c>
    </row>
    <row r="2215" spans="1:10" hidden="1" outlineLevel="3">
      <c r="A2215" s="875" t="s">
        <v>740</v>
      </c>
      <c r="B2215" s="899">
        <f t="shared" si="117"/>
        <v>162537.35616</v>
      </c>
      <c r="C2215" s="880">
        <f t="shared" si="118"/>
        <v>0</v>
      </c>
      <c r="D2215" s="210">
        <f t="shared" si="119"/>
        <v>0</v>
      </c>
      <c r="E2215" s="210">
        <f t="shared" si="120"/>
        <v>0</v>
      </c>
      <c r="F2215" s="882">
        <f t="shared" si="121"/>
        <v>0</v>
      </c>
      <c r="G2215" s="210">
        <f t="shared" si="124"/>
        <v>0</v>
      </c>
      <c r="H2215" s="210">
        <f t="shared" si="124"/>
        <v>0</v>
      </c>
      <c r="I2215" s="898">
        <f t="shared" si="123"/>
        <v>162537.35616</v>
      </c>
      <c r="J2215" s="203" t="s">
        <v>741</v>
      </c>
    </row>
    <row r="2216" spans="1:10" hidden="1" outlineLevel="3">
      <c r="A2216" s="875" t="s">
        <v>742</v>
      </c>
      <c r="B2216" s="899">
        <f t="shared" si="117"/>
        <v>2263071.37152</v>
      </c>
      <c r="C2216" s="880">
        <f t="shared" si="118"/>
        <v>0</v>
      </c>
      <c r="D2216" s="210">
        <f t="shared" si="119"/>
        <v>0</v>
      </c>
      <c r="E2216" s="210">
        <f t="shared" si="120"/>
        <v>0</v>
      </c>
      <c r="F2216" s="882">
        <f t="shared" si="121"/>
        <v>0</v>
      </c>
      <c r="G2216" s="210">
        <f t="shared" si="124"/>
        <v>0</v>
      </c>
      <c r="H2216" s="210">
        <f t="shared" si="124"/>
        <v>0</v>
      </c>
      <c r="I2216" s="898">
        <f t="shared" si="123"/>
        <v>2263071.37152</v>
      </c>
      <c r="J2216" s="203" t="s">
        <v>743</v>
      </c>
    </row>
    <row r="2217" spans="1:10" hidden="1" outlineLevel="3">
      <c r="A2217" s="875" t="s">
        <v>744</v>
      </c>
      <c r="B2217" s="899">
        <f t="shared" si="117"/>
        <v>633711.04208000004</v>
      </c>
      <c r="C2217" s="880">
        <f t="shared" si="118"/>
        <v>0</v>
      </c>
      <c r="D2217" s="210">
        <f t="shared" si="119"/>
        <v>0</v>
      </c>
      <c r="E2217" s="210">
        <f t="shared" si="120"/>
        <v>0</v>
      </c>
      <c r="F2217" s="882">
        <f t="shared" si="121"/>
        <v>0</v>
      </c>
      <c r="G2217" s="210">
        <f t="shared" si="124"/>
        <v>0</v>
      </c>
      <c r="H2217" s="210">
        <f t="shared" si="124"/>
        <v>0</v>
      </c>
      <c r="I2217" s="898">
        <f t="shared" si="123"/>
        <v>633711.04208000004</v>
      </c>
      <c r="J2217" s="203" t="s">
        <v>745</v>
      </c>
    </row>
    <row r="2218" spans="1:10" hidden="1" outlineLevel="3">
      <c r="A2218" s="875" t="s">
        <v>746</v>
      </c>
      <c r="B2218" s="899">
        <f t="shared" si="117"/>
        <v>7434753.4598400006</v>
      </c>
      <c r="C2218" s="880">
        <f t="shared" si="118"/>
        <v>0</v>
      </c>
      <c r="D2218" s="210">
        <f t="shared" si="119"/>
        <v>0</v>
      </c>
      <c r="E2218" s="210">
        <f t="shared" si="120"/>
        <v>0</v>
      </c>
      <c r="F2218" s="882">
        <f t="shared" si="121"/>
        <v>0</v>
      </c>
      <c r="G2218" s="210">
        <f t="shared" si="124"/>
        <v>0</v>
      </c>
      <c r="H2218" s="210">
        <f t="shared" si="124"/>
        <v>0</v>
      </c>
      <c r="I2218" s="898">
        <f t="shared" si="123"/>
        <v>7434753.4598400006</v>
      </c>
      <c r="J2218" s="203" t="s">
        <v>747</v>
      </c>
    </row>
    <row r="2219" spans="1:10" hidden="1" outlineLevel="3">
      <c r="A2219" s="875" t="s">
        <v>748</v>
      </c>
      <c r="B2219" s="899">
        <f t="shared" si="117"/>
        <v>319204.516</v>
      </c>
      <c r="C2219" s="880">
        <f t="shared" si="118"/>
        <v>0</v>
      </c>
      <c r="D2219" s="210">
        <f t="shared" si="119"/>
        <v>0</v>
      </c>
      <c r="E2219" s="210">
        <f t="shared" si="120"/>
        <v>0</v>
      </c>
      <c r="F2219" s="882">
        <f t="shared" si="121"/>
        <v>0</v>
      </c>
      <c r="G2219" s="210">
        <f t="shared" si="124"/>
        <v>0</v>
      </c>
      <c r="H2219" s="210">
        <f t="shared" si="124"/>
        <v>0</v>
      </c>
      <c r="I2219" s="898">
        <f t="shared" si="123"/>
        <v>319204.516</v>
      </c>
      <c r="J2219" s="203" t="s">
        <v>749</v>
      </c>
    </row>
    <row r="2220" spans="1:10" hidden="1" outlineLevel="3">
      <c r="A2220" s="875" t="s">
        <v>750</v>
      </c>
      <c r="B2220" s="899">
        <f t="shared" si="117"/>
        <v>870443.70384000009</v>
      </c>
      <c r="C2220" s="880">
        <f t="shared" si="118"/>
        <v>0</v>
      </c>
      <c r="D2220" s="210">
        <f t="shared" si="119"/>
        <v>0</v>
      </c>
      <c r="E2220" s="210">
        <f t="shared" si="120"/>
        <v>0</v>
      </c>
      <c r="F2220" s="882">
        <f t="shared" si="121"/>
        <v>0</v>
      </c>
      <c r="G2220" s="210">
        <f t="shared" si="124"/>
        <v>0</v>
      </c>
      <c r="H2220" s="210">
        <f t="shared" si="124"/>
        <v>0</v>
      </c>
      <c r="I2220" s="898">
        <f t="shared" si="123"/>
        <v>870443.70384000009</v>
      </c>
      <c r="J2220" s="203" t="s">
        <v>751</v>
      </c>
    </row>
    <row r="2221" spans="1:10" hidden="1" outlineLevel="3">
      <c r="A2221" s="875" t="s">
        <v>752</v>
      </c>
      <c r="B2221" s="899">
        <f t="shared" si="117"/>
        <v>7812197.4524800004</v>
      </c>
      <c r="C2221" s="880">
        <f t="shared" si="118"/>
        <v>0</v>
      </c>
      <c r="D2221" s="210">
        <f t="shared" si="119"/>
        <v>0</v>
      </c>
      <c r="E2221" s="210">
        <f t="shared" si="120"/>
        <v>0</v>
      </c>
      <c r="F2221" s="882">
        <f t="shared" si="121"/>
        <v>0</v>
      </c>
      <c r="G2221" s="210">
        <f t="shared" si="124"/>
        <v>0</v>
      </c>
      <c r="H2221" s="210">
        <f t="shared" si="124"/>
        <v>0</v>
      </c>
      <c r="I2221" s="898">
        <f t="shared" si="123"/>
        <v>7812197.4524800004</v>
      </c>
      <c r="J2221" s="203" t="s">
        <v>753</v>
      </c>
    </row>
    <row r="2222" spans="1:10" hidden="1" outlineLevel="3">
      <c r="A2222" s="875" t="s">
        <v>754</v>
      </c>
      <c r="B2222" s="899">
        <f t="shared" si="117"/>
        <v>21030809.675040003</v>
      </c>
      <c r="C2222" s="880">
        <f t="shared" si="118"/>
        <v>0</v>
      </c>
      <c r="D2222" s="210">
        <f t="shared" si="119"/>
        <v>0</v>
      </c>
      <c r="E2222" s="210">
        <f t="shared" si="120"/>
        <v>0</v>
      </c>
      <c r="F2222" s="882">
        <f t="shared" si="121"/>
        <v>0</v>
      </c>
      <c r="G2222" s="210">
        <f t="shared" si="124"/>
        <v>0</v>
      </c>
      <c r="H2222" s="210">
        <f t="shared" si="124"/>
        <v>0</v>
      </c>
      <c r="I2222" s="898">
        <f t="shared" si="123"/>
        <v>21030809.675040003</v>
      </c>
      <c r="J2222" s="203" t="s">
        <v>755</v>
      </c>
    </row>
    <row r="2223" spans="1:10" hidden="1" outlineLevel="3">
      <c r="A2223" s="875" t="s">
        <v>756</v>
      </c>
      <c r="B2223" s="899">
        <f t="shared" si="117"/>
        <v>1066941.83232</v>
      </c>
      <c r="C2223" s="880">
        <f t="shared" si="118"/>
        <v>0</v>
      </c>
      <c r="D2223" s="210">
        <f t="shared" si="119"/>
        <v>0</v>
      </c>
      <c r="E2223" s="210">
        <f t="shared" si="120"/>
        <v>0</v>
      </c>
      <c r="F2223" s="882">
        <f t="shared" si="121"/>
        <v>0</v>
      </c>
      <c r="G2223" s="210">
        <f t="shared" si="124"/>
        <v>0</v>
      </c>
      <c r="H2223" s="210">
        <f t="shared" si="124"/>
        <v>0</v>
      </c>
      <c r="I2223" s="898">
        <f t="shared" si="123"/>
        <v>1066941.83232</v>
      </c>
      <c r="J2223" s="203" t="s">
        <v>610</v>
      </c>
    </row>
    <row r="2224" spans="1:10" hidden="1" outlineLevel="3">
      <c r="A2224" s="875" t="s">
        <v>757</v>
      </c>
      <c r="B2224" s="899">
        <f t="shared" si="117"/>
        <v>32333.511840000003</v>
      </c>
      <c r="C2224" s="880">
        <f t="shared" si="118"/>
        <v>0</v>
      </c>
      <c r="D2224" s="210">
        <f t="shared" si="119"/>
        <v>0</v>
      </c>
      <c r="E2224" s="210">
        <f t="shared" si="120"/>
        <v>0</v>
      </c>
      <c r="F2224" s="882">
        <f t="shared" si="121"/>
        <v>0</v>
      </c>
      <c r="G2224" s="210">
        <f t="shared" si="124"/>
        <v>0</v>
      </c>
      <c r="H2224" s="210">
        <f t="shared" si="124"/>
        <v>0</v>
      </c>
      <c r="I2224" s="898">
        <f t="shared" si="123"/>
        <v>32333.511840000003</v>
      </c>
      <c r="J2224" s="203" t="s">
        <v>758</v>
      </c>
    </row>
    <row r="2225" spans="1:10" hidden="1" outlineLevel="3">
      <c r="A2225" s="875" t="s">
        <v>759</v>
      </c>
      <c r="B2225" s="899">
        <f t="shared" si="117"/>
        <v>826771.54688000004</v>
      </c>
      <c r="C2225" s="880">
        <f t="shared" si="118"/>
        <v>0</v>
      </c>
      <c r="D2225" s="210">
        <f t="shared" si="119"/>
        <v>0</v>
      </c>
      <c r="E2225" s="210">
        <f t="shared" si="120"/>
        <v>0</v>
      </c>
      <c r="F2225" s="882">
        <f t="shared" si="121"/>
        <v>0</v>
      </c>
      <c r="G2225" s="210">
        <f t="shared" si="124"/>
        <v>0</v>
      </c>
      <c r="H2225" s="210">
        <f t="shared" si="124"/>
        <v>0</v>
      </c>
      <c r="I2225" s="898">
        <f t="shared" si="123"/>
        <v>826771.54688000004</v>
      </c>
      <c r="J2225" s="203" t="s">
        <v>760</v>
      </c>
    </row>
    <row r="2226" spans="1:10" hidden="1" outlineLevel="3">
      <c r="A2226" s="875" t="s">
        <v>761</v>
      </c>
      <c r="B2226" s="899">
        <f t="shared" si="117"/>
        <v>6487301.4239999996</v>
      </c>
      <c r="C2226" s="880">
        <f t="shared" si="118"/>
        <v>0</v>
      </c>
      <c r="D2226" s="210">
        <f t="shared" si="119"/>
        <v>0</v>
      </c>
      <c r="E2226" s="210">
        <f t="shared" si="120"/>
        <v>0</v>
      </c>
      <c r="F2226" s="882">
        <f t="shared" si="121"/>
        <v>0</v>
      </c>
      <c r="G2226" s="210">
        <f t="shared" ref="G2226:H2245" si="125">G358*0.1312/100</f>
        <v>0</v>
      </c>
      <c r="H2226" s="210">
        <f t="shared" si="125"/>
        <v>0</v>
      </c>
      <c r="I2226" s="898">
        <f t="shared" si="123"/>
        <v>6487301.4239999996</v>
      </c>
      <c r="J2226" s="203" t="s">
        <v>762</v>
      </c>
    </row>
    <row r="2227" spans="1:10" hidden="1" outlineLevel="3">
      <c r="A2227" s="875" t="s">
        <v>763</v>
      </c>
      <c r="B2227" s="899">
        <f t="shared" si="117"/>
        <v>1766334.06752</v>
      </c>
      <c r="C2227" s="880">
        <f t="shared" si="118"/>
        <v>0</v>
      </c>
      <c r="D2227" s="210">
        <f t="shared" si="119"/>
        <v>0</v>
      </c>
      <c r="E2227" s="210">
        <f t="shared" si="120"/>
        <v>0</v>
      </c>
      <c r="F2227" s="882">
        <f t="shared" si="121"/>
        <v>0</v>
      </c>
      <c r="G2227" s="210">
        <f t="shared" si="125"/>
        <v>0</v>
      </c>
      <c r="H2227" s="210">
        <f t="shared" si="125"/>
        <v>0</v>
      </c>
      <c r="I2227" s="898">
        <f t="shared" si="123"/>
        <v>1766334.06752</v>
      </c>
      <c r="J2227" s="203" t="s">
        <v>764</v>
      </c>
    </row>
    <row r="2228" spans="1:10" hidden="1" outlineLevel="3">
      <c r="A2228" s="875" t="s">
        <v>765</v>
      </c>
      <c r="B2228" s="899">
        <f t="shared" si="117"/>
        <v>659391.51344000001</v>
      </c>
      <c r="C2228" s="880">
        <f t="shared" si="118"/>
        <v>0</v>
      </c>
      <c r="D2228" s="210">
        <f t="shared" si="119"/>
        <v>0</v>
      </c>
      <c r="E2228" s="210">
        <f t="shared" si="120"/>
        <v>0</v>
      </c>
      <c r="F2228" s="882">
        <f t="shared" si="121"/>
        <v>0</v>
      </c>
      <c r="G2228" s="210">
        <f t="shared" si="125"/>
        <v>0</v>
      </c>
      <c r="H2228" s="210">
        <f t="shared" si="125"/>
        <v>0</v>
      </c>
      <c r="I2228" s="898">
        <f t="shared" si="123"/>
        <v>659391.51344000001</v>
      </c>
      <c r="J2228" s="203" t="s">
        <v>766</v>
      </c>
    </row>
    <row r="2229" spans="1:10" hidden="1" outlineLevel="3">
      <c r="A2229" s="875" t="s">
        <v>767</v>
      </c>
      <c r="B2229" s="899">
        <f t="shared" si="117"/>
        <v>327356.10320000001</v>
      </c>
      <c r="C2229" s="880">
        <f t="shared" si="118"/>
        <v>0</v>
      </c>
      <c r="D2229" s="210">
        <f t="shared" si="119"/>
        <v>0</v>
      </c>
      <c r="E2229" s="210">
        <f t="shared" si="120"/>
        <v>0</v>
      </c>
      <c r="F2229" s="882">
        <f t="shared" si="121"/>
        <v>0</v>
      </c>
      <c r="G2229" s="210">
        <f t="shared" si="125"/>
        <v>0</v>
      </c>
      <c r="H2229" s="210">
        <f t="shared" si="125"/>
        <v>0</v>
      </c>
      <c r="I2229" s="898">
        <f t="shared" si="123"/>
        <v>327356.10320000001</v>
      </c>
      <c r="J2229" s="203" t="s">
        <v>768</v>
      </c>
    </row>
    <row r="2230" spans="1:10" hidden="1" outlineLevel="3">
      <c r="A2230" s="875" t="s">
        <v>769</v>
      </c>
      <c r="B2230" s="899">
        <f t="shared" si="117"/>
        <v>379717.63616000005</v>
      </c>
      <c r="C2230" s="880">
        <f t="shared" si="118"/>
        <v>0</v>
      </c>
      <c r="D2230" s="210">
        <f t="shared" si="119"/>
        <v>0</v>
      </c>
      <c r="E2230" s="210">
        <f t="shared" si="120"/>
        <v>0</v>
      </c>
      <c r="F2230" s="882">
        <f t="shared" si="121"/>
        <v>0</v>
      </c>
      <c r="G2230" s="210">
        <f t="shared" si="125"/>
        <v>0</v>
      </c>
      <c r="H2230" s="210">
        <f t="shared" si="125"/>
        <v>0</v>
      </c>
      <c r="I2230" s="898">
        <f t="shared" si="123"/>
        <v>379717.63616000005</v>
      </c>
      <c r="J2230" s="203" t="s">
        <v>770</v>
      </c>
    </row>
    <row r="2231" spans="1:10" hidden="1" outlineLevel="3">
      <c r="A2231" s="875" t="s">
        <v>771</v>
      </c>
      <c r="B2231" s="899">
        <f t="shared" si="117"/>
        <v>745246.01199999999</v>
      </c>
      <c r="C2231" s="880">
        <f t="shared" si="118"/>
        <v>0</v>
      </c>
      <c r="D2231" s="210">
        <f t="shared" si="119"/>
        <v>0</v>
      </c>
      <c r="E2231" s="210">
        <f t="shared" si="120"/>
        <v>0</v>
      </c>
      <c r="F2231" s="882">
        <f t="shared" si="121"/>
        <v>0</v>
      </c>
      <c r="G2231" s="210">
        <f t="shared" si="125"/>
        <v>0</v>
      </c>
      <c r="H2231" s="210">
        <f t="shared" si="125"/>
        <v>0</v>
      </c>
      <c r="I2231" s="898">
        <f t="shared" si="123"/>
        <v>745246.01199999999</v>
      </c>
      <c r="J2231" s="203" t="s">
        <v>772</v>
      </c>
    </row>
    <row r="2232" spans="1:10" hidden="1" outlineLevel="3">
      <c r="A2232" s="875" t="s">
        <v>773</v>
      </c>
      <c r="B2232" s="899">
        <f t="shared" si="117"/>
        <v>9496360.8747199997</v>
      </c>
      <c r="C2232" s="880">
        <f t="shared" si="118"/>
        <v>0</v>
      </c>
      <c r="D2232" s="210">
        <f t="shared" si="119"/>
        <v>0</v>
      </c>
      <c r="E2232" s="210">
        <f t="shared" si="120"/>
        <v>0</v>
      </c>
      <c r="F2232" s="882">
        <f t="shared" si="121"/>
        <v>0</v>
      </c>
      <c r="G2232" s="210">
        <f t="shared" si="125"/>
        <v>0</v>
      </c>
      <c r="H2232" s="210">
        <f t="shared" si="125"/>
        <v>0</v>
      </c>
      <c r="I2232" s="898">
        <f t="shared" si="123"/>
        <v>9496360.8747199997</v>
      </c>
      <c r="J2232" s="203" t="s">
        <v>774</v>
      </c>
    </row>
    <row r="2233" spans="1:10" hidden="1" outlineLevel="3">
      <c r="A2233" s="875" t="s">
        <v>356</v>
      </c>
      <c r="B2233" s="899">
        <f t="shared" si="117"/>
        <v>6397.2464</v>
      </c>
      <c r="C2233" s="880">
        <f t="shared" si="118"/>
        <v>0</v>
      </c>
      <c r="D2233" s="210">
        <f t="shared" si="119"/>
        <v>0</v>
      </c>
      <c r="E2233" s="210">
        <f t="shared" si="120"/>
        <v>0</v>
      </c>
      <c r="F2233" s="882">
        <f t="shared" si="121"/>
        <v>0</v>
      </c>
      <c r="G2233" s="210">
        <f t="shared" si="125"/>
        <v>0</v>
      </c>
      <c r="H2233" s="210">
        <f t="shared" si="125"/>
        <v>0</v>
      </c>
      <c r="I2233" s="898">
        <f t="shared" si="123"/>
        <v>6397.2464</v>
      </c>
      <c r="J2233" s="203" t="s">
        <v>357</v>
      </c>
    </row>
    <row r="2234" spans="1:10" hidden="1" outlineLevel="3">
      <c r="A2234" s="875" t="s">
        <v>775</v>
      </c>
      <c r="B2234" s="899">
        <f t="shared" si="117"/>
        <v>7391976.9593599997</v>
      </c>
      <c r="C2234" s="880">
        <f t="shared" si="118"/>
        <v>0</v>
      </c>
      <c r="D2234" s="210">
        <f t="shared" si="119"/>
        <v>0</v>
      </c>
      <c r="E2234" s="210">
        <f t="shared" si="120"/>
        <v>0</v>
      </c>
      <c r="F2234" s="882">
        <f t="shared" si="121"/>
        <v>0</v>
      </c>
      <c r="G2234" s="210">
        <f t="shared" si="125"/>
        <v>0</v>
      </c>
      <c r="H2234" s="210">
        <f t="shared" si="125"/>
        <v>0</v>
      </c>
      <c r="I2234" s="898">
        <f t="shared" si="123"/>
        <v>7391976.9593599997</v>
      </c>
      <c r="J2234" s="203" t="s">
        <v>776</v>
      </c>
    </row>
    <row r="2235" spans="1:10" hidden="1" outlineLevel="3">
      <c r="A2235" s="875" t="s">
        <v>777</v>
      </c>
      <c r="B2235" s="899">
        <f t="shared" si="117"/>
        <v>12168606.794880001</v>
      </c>
      <c r="C2235" s="880">
        <f t="shared" si="118"/>
        <v>0</v>
      </c>
      <c r="D2235" s="210">
        <f t="shared" si="119"/>
        <v>0</v>
      </c>
      <c r="E2235" s="210">
        <f t="shared" si="120"/>
        <v>0</v>
      </c>
      <c r="F2235" s="882">
        <f t="shared" si="121"/>
        <v>26425.932048000002</v>
      </c>
      <c r="G2235" s="210">
        <f t="shared" si="125"/>
        <v>2720.1538560000004</v>
      </c>
      <c r="H2235" s="210">
        <f t="shared" si="125"/>
        <v>0</v>
      </c>
      <c r="I2235" s="898">
        <f t="shared" si="123"/>
        <v>12197752.880784001</v>
      </c>
      <c r="J2235" s="203" t="s">
        <v>778</v>
      </c>
    </row>
    <row r="2236" spans="1:10" hidden="1" outlineLevel="3">
      <c r="A2236" s="875" t="s">
        <v>360</v>
      </c>
      <c r="B2236" s="899">
        <f t="shared" si="117"/>
        <v>58903.702880000004</v>
      </c>
      <c r="C2236" s="880">
        <f t="shared" si="118"/>
        <v>0</v>
      </c>
      <c r="D2236" s="210">
        <f t="shared" si="119"/>
        <v>0</v>
      </c>
      <c r="E2236" s="210">
        <f t="shared" si="120"/>
        <v>0</v>
      </c>
      <c r="F2236" s="882">
        <f t="shared" si="121"/>
        <v>0</v>
      </c>
      <c r="G2236" s="210">
        <f t="shared" si="125"/>
        <v>0</v>
      </c>
      <c r="H2236" s="210">
        <f t="shared" si="125"/>
        <v>0</v>
      </c>
      <c r="I2236" s="898">
        <f t="shared" si="123"/>
        <v>58903.702880000004</v>
      </c>
      <c r="J2236" s="203" t="s">
        <v>361</v>
      </c>
    </row>
    <row r="2237" spans="1:10" hidden="1" outlineLevel="3">
      <c r="A2237" s="875" t="s">
        <v>779</v>
      </c>
      <c r="B2237" s="899">
        <f t="shared" si="117"/>
        <v>784882.5422400001</v>
      </c>
      <c r="C2237" s="880">
        <f t="shared" si="118"/>
        <v>0</v>
      </c>
      <c r="D2237" s="210">
        <f t="shared" si="119"/>
        <v>0</v>
      </c>
      <c r="E2237" s="210">
        <f t="shared" si="120"/>
        <v>0</v>
      </c>
      <c r="F2237" s="882">
        <f t="shared" si="121"/>
        <v>0</v>
      </c>
      <c r="G2237" s="210">
        <f t="shared" si="125"/>
        <v>0</v>
      </c>
      <c r="H2237" s="210">
        <f t="shared" si="125"/>
        <v>0</v>
      </c>
      <c r="I2237" s="898">
        <f t="shared" si="123"/>
        <v>784882.5422400001</v>
      </c>
      <c r="J2237" s="203" t="s">
        <v>780</v>
      </c>
    </row>
    <row r="2238" spans="1:10" hidden="1" outlineLevel="3">
      <c r="A2238" s="875" t="s">
        <v>781</v>
      </c>
      <c r="B2238" s="899">
        <f t="shared" ref="B2238:B2279" si="126">B370*0.656/100</f>
        <v>1367073.7846400002</v>
      </c>
      <c r="C2238" s="880">
        <f t="shared" ref="C2238:C2279" si="127">C370*0/100</f>
        <v>0</v>
      </c>
      <c r="D2238" s="210">
        <f t="shared" ref="D2238:D2279" si="128">D370*0.0984/100</f>
        <v>0</v>
      </c>
      <c r="E2238" s="210">
        <f t="shared" ref="E2238:E2279" si="129">E370*0/100</f>
        <v>0</v>
      </c>
      <c r="F2238" s="882">
        <f t="shared" ref="F2238:F2279" si="130">F370*0.0656/100</f>
        <v>0</v>
      </c>
      <c r="G2238" s="210">
        <f t="shared" si="125"/>
        <v>0</v>
      </c>
      <c r="H2238" s="210">
        <f t="shared" si="125"/>
        <v>0</v>
      </c>
      <c r="I2238" s="898">
        <f t="shared" si="123"/>
        <v>1367073.7846400002</v>
      </c>
      <c r="J2238" s="203" t="s">
        <v>782</v>
      </c>
    </row>
    <row r="2239" spans="1:10" hidden="1" outlineLevel="3">
      <c r="A2239" s="875" t="s">
        <v>783</v>
      </c>
      <c r="B2239" s="899">
        <f t="shared" si="126"/>
        <v>387268.25520000001</v>
      </c>
      <c r="C2239" s="880">
        <f t="shared" si="127"/>
        <v>0</v>
      </c>
      <c r="D2239" s="210">
        <f t="shared" si="128"/>
        <v>0</v>
      </c>
      <c r="E2239" s="210">
        <f t="shared" si="129"/>
        <v>0</v>
      </c>
      <c r="F2239" s="882">
        <f t="shared" si="130"/>
        <v>0</v>
      </c>
      <c r="G2239" s="210">
        <f t="shared" si="125"/>
        <v>0</v>
      </c>
      <c r="H2239" s="210">
        <f t="shared" si="125"/>
        <v>0</v>
      </c>
      <c r="I2239" s="898">
        <f t="shared" si="123"/>
        <v>387268.25520000001</v>
      </c>
      <c r="J2239" s="203" t="s">
        <v>784</v>
      </c>
    </row>
    <row r="2240" spans="1:10" hidden="1" outlineLevel="3">
      <c r="A2240" s="875" t="s">
        <v>785</v>
      </c>
      <c r="B2240" s="899">
        <f t="shared" si="126"/>
        <v>2955365.6867200001</v>
      </c>
      <c r="C2240" s="880">
        <f t="shared" si="127"/>
        <v>0</v>
      </c>
      <c r="D2240" s="210">
        <f t="shared" si="128"/>
        <v>0</v>
      </c>
      <c r="E2240" s="210">
        <f t="shared" si="129"/>
        <v>0</v>
      </c>
      <c r="F2240" s="882">
        <f t="shared" si="130"/>
        <v>0</v>
      </c>
      <c r="G2240" s="210">
        <f t="shared" si="125"/>
        <v>0</v>
      </c>
      <c r="H2240" s="210">
        <f t="shared" si="125"/>
        <v>0</v>
      </c>
      <c r="I2240" s="898">
        <f t="shared" si="123"/>
        <v>2955365.6867200001</v>
      </c>
      <c r="J2240" s="203" t="s">
        <v>786</v>
      </c>
    </row>
    <row r="2241" spans="1:10" hidden="1" outlineLevel="3">
      <c r="A2241" s="875" t="s">
        <v>787</v>
      </c>
      <c r="B2241" s="899">
        <f t="shared" si="126"/>
        <v>1001450.85296</v>
      </c>
      <c r="C2241" s="880">
        <f t="shared" si="127"/>
        <v>0</v>
      </c>
      <c r="D2241" s="210">
        <f t="shared" si="128"/>
        <v>0</v>
      </c>
      <c r="E2241" s="210">
        <f t="shared" si="129"/>
        <v>0</v>
      </c>
      <c r="F2241" s="882">
        <f t="shared" si="130"/>
        <v>0</v>
      </c>
      <c r="G2241" s="210">
        <f t="shared" si="125"/>
        <v>0</v>
      </c>
      <c r="H2241" s="210">
        <f t="shared" si="125"/>
        <v>0</v>
      </c>
      <c r="I2241" s="898">
        <f t="shared" si="123"/>
        <v>1001450.85296</v>
      </c>
      <c r="J2241" s="203" t="s">
        <v>788</v>
      </c>
    </row>
    <row r="2242" spans="1:10" hidden="1" outlineLevel="3">
      <c r="A2242" s="875" t="s">
        <v>789</v>
      </c>
      <c r="B2242" s="899">
        <f t="shared" si="126"/>
        <v>13336.532480000002</v>
      </c>
      <c r="C2242" s="880">
        <f t="shared" si="127"/>
        <v>0</v>
      </c>
      <c r="D2242" s="210">
        <f t="shared" si="128"/>
        <v>0</v>
      </c>
      <c r="E2242" s="210">
        <f t="shared" si="129"/>
        <v>0</v>
      </c>
      <c r="F2242" s="882">
        <f t="shared" si="130"/>
        <v>0</v>
      </c>
      <c r="G2242" s="210">
        <f t="shared" si="125"/>
        <v>0</v>
      </c>
      <c r="H2242" s="210">
        <f t="shared" si="125"/>
        <v>0</v>
      </c>
      <c r="I2242" s="898">
        <f t="shared" si="123"/>
        <v>13336.532480000002</v>
      </c>
      <c r="J2242" s="203" t="s">
        <v>790</v>
      </c>
    </row>
    <row r="2243" spans="1:10" hidden="1" outlineLevel="3">
      <c r="A2243" s="875" t="s">
        <v>791</v>
      </c>
      <c r="B2243" s="899">
        <f t="shared" si="126"/>
        <v>630614.12511999998</v>
      </c>
      <c r="C2243" s="880">
        <f t="shared" si="127"/>
        <v>0</v>
      </c>
      <c r="D2243" s="210">
        <f t="shared" si="128"/>
        <v>0</v>
      </c>
      <c r="E2243" s="210">
        <f t="shared" si="129"/>
        <v>0</v>
      </c>
      <c r="F2243" s="882">
        <f t="shared" si="130"/>
        <v>0</v>
      </c>
      <c r="G2243" s="210">
        <f t="shared" si="125"/>
        <v>0</v>
      </c>
      <c r="H2243" s="210">
        <f t="shared" si="125"/>
        <v>0</v>
      </c>
      <c r="I2243" s="898">
        <f t="shared" si="123"/>
        <v>630614.12511999998</v>
      </c>
      <c r="J2243" s="203" t="s">
        <v>792</v>
      </c>
    </row>
    <row r="2244" spans="1:10" hidden="1" outlineLevel="3">
      <c r="A2244" s="875" t="s">
        <v>793</v>
      </c>
      <c r="B2244" s="899">
        <f t="shared" si="126"/>
        <v>920465.94079999998</v>
      </c>
      <c r="C2244" s="880">
        <f t="shared" si="127"/>
        <v>0</v>
      </c>
      <c r="D2244" s="210">
        <f t="shared" si="128"/>
        <v>0</v>
      </c>
      <c r="E2244" s="210">
        <f t="shared" si="129"/>
        <v>0</v>
      </c>
      <c r="F2244" s="882">
        <f t="shared" si="130"/>
        <v>0</v>
      </c>
      <c r="G2244" s="210">
        <f t="shared" si="125"/>
        <v>0</v>
      </c>
      <c r="H2244" s="210">
        <f t="shared" si="125"/>
        <v>0</v>
      </c>
      <c r="I2244" s="898">
        <f t="shared" si="123"/>
        <v>920465.94079999998</v>
      </c>
      <c r="J2244" s="203" t="s">
        <v>794</v>
      </c>
    </row>
    <row r="2245" spans="1:10" hidden="1" outlineLevel="3">
      <c r="A2245" s="875" t="s">
        <v>795</v>
      </c>
      <c r="B2245" s="899">
        <f t="shared" si="126"/>
        <v>1065219.6748800001</v>
      </c>
      <c r="C2245" s="880">
        <f t="shared" si="127"/>
        <v>0</v>
      </c>
      <c r="D2245" s="210">
        <f t="shared" si="128"/>
        <v>0</v>
      </c>
      <c r="E2245" s="210">
        <f t="shared" si="129"/>
        <v>0</v>
      </c>
      <c r="F2245" s="882">
        <f t="shared" si="130"/>
        <v>0</v>
      </c>
      <c r="G2245" s="210">
        <f t="shared" si="125"/>
        <v>0</v>
      </c>
      <c r="H2245" s="210">
        <f t="shared" si="125"/>
        <v>0</v>
      </c>
      <c r="I2245" s="898">
        <f t="shared" si="123"/>
        <v>1065219.6748800001</v>
      </c>
      <c r="J2245" s="203" t="s">
        <v>796</v>
      </c>
    </row>
    <row r="2246" spans="1:10" hidden="1" outlineLevel="3">
      <c r="A2246" s="875" t="s">
        <v>797</v>
      </c>
      <c r="B2246" s="899">
        <f t="shared" si="126"/>
        <v>245731.82063999999</v>
      </c>
      <c r="C2246" s="880">
        <f t="shared" si="127"/>
        <v>0</v>
      </c>
      <c r="D2246" s="210">
        <f t="shared" si="128"/>
        <v>0</v>
      </c>
      <c r="E2246" s="210">
        <f t="shared" si="129"/>
        <v>0</v>
      </c>
      <c r="F2246" s="882">
        <f t="shared" si="130"/>
        <v>0</v>
      </c>
      <c r="G2246" s="210">
        <f t="shared" ref="G2246:H2265" si="131">G378*0.1312/100</f>
        <v>0</v>
      </c>
      <c r="H2246" s="210">
        <f t="shared" si="131"/>
        <v>0</v>
      </c>
      <c r="I2246" s="898">
        <f t="shared" si="123"/>
        <v>245731.82063999999</v>
      </c>
      <c r="J2246" s="203" t="s">
        <v>798</v>
      </c>
    </row>
    <row r="2247" spans="1:10" hidden="1" outlineLevel="3">
      <c r="A2247" s="875" t="s">
        <v>799</v>
      </c>
      <c r="B2247" s="899">
        <f t="shared" si="126"/>
        <v>114298.67168</v>
      </c>
      <c r="C2247" s="880">
        <f t="shared" si="127"/>
        <v>0</v>
      </c>
      <c r="D2247" s="210">
        <f t="shared" si="128"/>
        <v>0</v>
      </c>
      <c r="E2247" s="210">
        <f t="shared" si="129"/>
        <v>0</v>
      </c>
      <c r="F2247" s="882">
        <f t="shared" si="130"/>
        <v>0</v>
      </c>
      <c r="G2247" s="210">
        <f t="shared" si="131"/>
        <v>0</v>
      </c>
      <c r="H2247" s="210">
        <f t="shared" si="131"/>
        <v>0</v>
      </c>
      <c r="I2247" s="898">
        <f t="shared" si="123"/>
        <v>114298.67168</v>
      </c>
      <c r="J2247" s="203" t="s">
        <v>800</v>
      </c>
    </row>
    <row r="2248" spans="1:10" hidden="1" outlineLevel="3">
      <c r="A2248" s="875" t="s">
        <v>801</v>
      </c>
      <c r="B2248" s="899">
        <f t="shared" si="126"/>
        <v>143312.94159999999</v>
      </c>
      <c r="C2248" s="880">
        <f t="shared" si="127"/>
        <v>0</v>
      </c>
      <c r="D2248" s="210">
        <f t="shared" si="128"/>
        <v>0</v>
      </c>
      <c r="E2248" s="210">
        <f t="shared" si="129"/>
        <v>0</v>
      </c>
      <c r="F2248" s="882">
        <f t="shared" si="130"/>
        <v>0</v>
      </c>
      <c r="G2248" s="210">
        <f t="shared" si="131"/>
        <v>0</v>
      </c>
      <c r="H2248" s="210">
        <f t="shared" si="131"/>
        <v>0</v>
      </c>
      <c r="I2248" s="898">
        <f t="shared" si="123"/>
        <v>143312.94159999999</v>
      </c>
      <c r="J2248" s="203" t="s">
        <v>802</v>
      </c>
    </row>
    <row r="2249" spans="1:10" hidden="1" outlineLevel="3">
      <c r="A2249" s="875" t="s">
        <v>803</v>
      </c>
      <c r="B2249" s="899">
        <f t="shared" si="126"/>
        <v>760324.27696000005</v>
      </c>
      <c r="C2249" s="880">
        <f t="shared" si="127"/>
        <v>0</v>
      </c>
      <c r="D2249" s="210">
        <f t="shared" si="128"/>
        <v>0</v>
      </c>
      <c r="E2249" s="210">
        <f t="shared" si="129"/>
        <v>0</v>
      </c>
      <c r="F2249" s="882">
        <f t="shared" si="130"/>
        <v>0</v>
      </c>
      <c r="G2249" s="210">
        <f t="shared" si="131"/>
        <v>0</v>
      </c>
      <c r="H2249" s="210">
        <f t="shared" si="131"/>
        <v>0</v>
      </c>
      <c r="I2249" s="898">
        <f t="shared" si="123"/>
        <v>760324.27696000005</v>
      </c>
      <c r="J2249" s="203" t="s">
        <v>804</v>
      </c>
    </row>
    <row r="2250" spans="1:10" hidden="1" outlineLevel="3">
      <c r="A2250" s="875" t="s">
        <v>805</v>
      </c>
      <c r="B2250" s="899">
        <f t="shared" si="126"/>
        <v>1940233.8553600002</v>
      </c>
      <c r="C2250" s="880">
        <f t="shared" si="127"/>
        <v>0</v>
      </c>
      <c r="D2250" s="210">
        <f t="shared" si="128"/>
        <v>0</v>
      </c>
      <c r="E2250" s="210">
        <f t="shared" si="129"/>
        <v>0</v>
      </c>
      <c r="F2250" s="882">
        <f t="shared" si="130"/>
        <v>0</v>
      </c>
      <c r="G2250" s="210">
        <f t="shared" si="131"/>
        <v>0</v>
      </c>
      <c r="H2250" s="210">
        <f t="shared" si="131"/>
        <v>0</v>
      </c>
      <c r="I2250" s="898">
        <f t="shared" si="123"/>
        <v>1940233.8553600002</v>
      </c>
      <c r="J2250" s="203" t="s">
        <v>806</v>
      </c>
    </row>
    <row r="2251" spans="1:10" hidden="1" outlineLevel="3">
      <c r="A2251" s="875" t="s">
        <v>807</v>
      </c>
      <c r="B2251" s="899">
        <f t="shared" si="126"/>
        <v>932210.78768000007</v>
      </c>
      <c r="C2251" s="880">
        <f t="shared" si="127"/>
        <v>0</v>
      </c>
      <c r="D2251" s="210">
        <f t="shared" si="128"/>
        <v>0</v>
      </c>
      <c r="E2251" s="210">
        <f t="shared" si="129"/>
        <v>0</v>
      </c>
      <c r="F2251" s="882">
        <f t="shared" si="130"/>
        <v>0</v>
      </c>
      <c r="G2251" s="210">
        <f t="shared" si="131"/>
        <v>0</v>
      </c>
      <c r="H2251" s="210">
        <f t="shared" si="131"/>
        <v>0</v>
      </c>
      <c r="I2251" s="898">
        <f t="shared" si="123"/>
        <v>932210.78768000007</v>
      </c>
      <c r="J2251" s="203" t="s">
        <v>808</v>
      </c>
    </row>
    <row r="2252" spans="1:10" hidden="1" outlineLevel="3">
      <c r="A2252" s="875" t="s">
        <v>809</v>
      </c>
      <c r="B2252" s="899">
        <f t="shared" si="126"/>
        <v>6004655.2624000004</v>
      </c>
      <c r="C2252" s="880">
        <f t="shared" si="127"/>
        <v>0</v>
      </c>
      <c r="D2252" s="210">
        <f t="shared" si="128"/>
        <v>0</v>
      </c>
      <c r="E2252" s="210">
        <f t="shared" si="129"/>
        <v>0</v>
      </c>
      <c r="F2252" s="882">
        <f t="shared" si="130"/>
        <v>3380.1764480000002</v>
      </c>
      <c r="G2252" s="210">
        <f t="shared" si="131"/>
        <v>0</v>
      </c>
      <c r="H2252" s="210">
        <f t="shared" si="131"/>
        <v>0</v>
      </c>
      <c r="I2252" s="898">
        <f t="shared" si="123"/>
        <v>6008035.438848</v>
      </c>
      <c r="J2252" s="203" t="s">
        <v>810</v>
      </c>
    </row>
    <row r="2253" spans="1:10" hidden="1" outlineLevel="3">
      <c r="A2253" s="875" t="s">
        <v>811</v>
      </c>
      <c r="B2253" s="899">
        <f t="shared" si="126"/>
        <v>1283399.5086400001</v>
      </c>
      <c r="C2253" s="880">
        <f t="shared" si="127"/>
        <v>0</v>
      </c>
      <c r="D2253" s="210">
        <f t="shared" si="128"/>
        <v>0</v>
      </c>
      <c r="E2253" s="210">
        <f t="shared" si="129"/>
        <v>0</v>
      </c>
      <c r="F2253" s="882">
        <f t="shared" si="130"/>
        <v>0</v>
      </c>
      <c r="G2253" s="210">
        <f t="shared" si="131"/>
        <v>0</v>
      </c>
      <c r="H2253" s="210">
        <f t="shared" si="131"/>
        <v>0</v>
      </c>
      <c r="I2253" s="898">
        <f t="shared" si="123"/>
        <v>1283399.5086400001</v>
      </c>
      <c r="J2253" s="203" t="s">
        <v>812</v>
      </c>
    </row>
    <row r="2254" spans="1:10" hidden="1" outlineLevel="3">
      <c r="A2254" s="875" t="s">
        <v>813</v>
      </c>
      <c r="B2254" s="899">
        <f t="shared" si="126"/>
        <v>222443.31552</v>
      </c>
      <c r="C2254" s="880">
        <f t="shared" si="127"/>
        <v>0</v>
      </c>
      <c r="D2254" s="210">
        <f t="shared" si="128"/>
        <v>0</v>
      </c>
      <c r="E2254" s="210">
        <f t="shared" si="129"/>
        <v>0</v>
      </c>
      <c r="F2254" s="882">
        <f t="shared" si="130"/>
        <v>0</v>
      </c>
      <c r="G2254" s="210">
        <f t="shared" si="131"/>
        <v>0</v>
      </c>
      <c r="H2254" s="210">
        <f t="shared" si="131"/>
        <v>0</v>
      </c>
      <c r="I2254" s="898">
        <f t="shared" si="123"/>
        <v>222443.31552</v>
      </c>
      <c r="J2254" s="203" t="s">
        <v>814</v>
      </c>
    </row>
    <row r="2255" spans="1:10" hidden="1" outlineLevel="3">
      <c r="A2255" s="875" t="s">
        <v>815</v>
      </c>
      <c r="B2255" s="899">
        <f t="shared" si="126"/>
        <v>469517.67296000005</v>
      </c>
      <c r="C2255" s="880">
        <f t="shared" si="127"/>
        <v>0</v>
      </c>
      <c r="D2255" s="210">
        <f t="shared" si="128"/>
        <v>0</v>
      </c>
      <c r="E2255" s="210">
        <f t="shared" si="129"/>
        <v>0</v>
      </c>
      <c r="F2255" s="882">
        <f t="shared" si="130"/>
        <v>0</v>
      </c>
      <c r="G2255" s="210">
        <f t="shared" si="131"/>
        <v>0</v>
      </c>
      <c r="H2255" s="210">
        <f t="shared" si="131"/>
        <v>0</v>
      </c>
      <c r="I2255" s="898">
        <f t="shared" si="123"/>
        <v>469517.67296000005</v>
      </c>
      <c r="J2255" s="203" t="s">
        <v>816</v>
      </c>
    </row>
    <row r="2256" spans="1:10" hidden="1" outlineLevel="3">
      <c r="A2256" s="875" t="s">
        <v>817</v>
      </c>
      <c r="B2256" s="899">
        <f t="shared" si="126"/>
        <v>1021183.72</v>
      </c>
      <c r="C2256" s="880">
        <f t="shared" si="127"/>
        <v>0</v>
      </c>
      <c r="D2256" s="210">
        <f t="shared" si="128"/>
        <v>0</v>
      </c>
      <c r="E2256" s="210">
        <f t="shared" si="129"/>
        <v>0</v>
      </c>
      <c r="F2256" s="882">
        <f t="shared" si="130"/>
        <v>0</v>
      </c>
      <c r="G2256" s="210">
        <f t="shared" si="131"/>
        <v>0</v>
      </c>
      <c r="H2256" s="210">
        <f t="shared" si="131"/>
        <v>0</v>
      </c>
      <c r="I2256" s="898">
        <f t="shared" si="123"/>
        <v>1021183.72</v>
      </c>
      <c r="J2256" s="203" t="s">
        <v>818</v>
      </c>
    </row>
    <row r="2257" spans="1:10" hidden="1" outlineLevel="3">
      <c r="A2257" s="875" t="s">
        <v>819</v>
      </c>
      <c r="B2257" s="899">
        <f t="shared" si="126"/>
        <v>67348.797600000005</v>
      </c>
      <c r="C2257" s="880">
        <f t="shared" si="127"/>
        <v>0</v>
      </c>
      <c r="D2257" s="210">
        <f t="shared" si="128"/>
        <v>0</v>
      </c>
      <c r="E2257" s="210">
        <f t="shared" si="129"/>
        <v>0</v>
      </c>
      <c r="F2257" s="882">
        <f t="shared" si="130"/>
        <v>0</v>
      </c>
      <c r="G2257" s="210">
        <f t="shared" si="131"/>
        <v>0</v>
      </c>
      <c r="H2257" s="210">
        <f t="shared" si="131"/>
        <v>0</v>
      </c>
      <c r="I2257" s="898">
        <f t="shared" si="123"/>
        <v>67348.797600000005</v>
      </c>
      <c r="J2257" s="203" t="s">
        <v>820</v>
      </c>
    </row>
    <row r="2258" spans="1:10" hidden="1" outlineLevel="3">
      <c r="A2258" s="875" t="s">
        <v>821</v>
      </c>
      <c r="B2258" s="899">
        <f t="shared" si="126"/>
        <v>34871.411840000001</v>
      </c>
      <c r="C2258" s="880">
        <f t="shared" si="127"/>
        <v>0</v>
      </c>
      <c r="D2258" s="210">
        <f t="shared" si="128"/>
        <v>401276.50478399999</v>
      </c>
      <c r="E2258" s="210">
        <f t="shared" si="129"/>
        <v>0</v>
      </c>
      <c r="F2258" s="882">
        <f t="shared" si="130"/>
        <v>0</v>
      </c>
      <c r="G2258" s="210">
        <f t="shared" si="131"/>
        <v>0</v>
      </c>
      <c r="H2258" s="210">
        <f t="shared" si="131"/>
        <v>0</v>
      </c>
      <c r="I2258" s="898">
        <f t="shared" si="123"/>
        <v>436147.916624</v>
      </c>
      <c r="J2258" s="203" t="s">
        <v>822</v>
      </c>
    </row>
    <row r="2259" spans="1:10" hidden="1" outlineLevel="3">
      <c r="A2259" s="875" t="s">
        <v>821</v>
      </c>
      <c r="B2259" s="899">
        <f t="shared" si="126"/>
        <v>54295.689920000004</v>
      </c>
      <c r="C2259" s="880">
        <f t="shared" si="127"/>
        <v>0</v>
      </c>
      <c r="D2259" s="210">
        <f t="shared" si="128"/>
        <v>18433.479624</v>
      </c>
      <c r="E2259" s="210">
        <f t="shared" si="129"/>
        <v>0</v>
      </c>
      <c r="F2259" s="882">
        <f t="shared" si="130"/>
        <v>0</v>
      </c>
      <c r="G2259" s="210">
        <f t="shared" si="131"/>
        <v>0</v>
      </c>
      <c r="H2259" s="210">
        <f t="shared" si="131"/>
        <v>0</v>
      </c>
      <c r="I2259" s="898">
        <f t="shared" si="123"/>
        <v>72729.169544000004</v>
      </c>
      <c r="J2259" s="203" t="s">
        <v>822</v>
      </c>
    </row>
    <row r="2260" spans="1:10" hidden="1" outlineLevel="3">
      <c r="A2260" s="875" t="s">
        <v>821</v>
      </c>
      <c r="B2260" s="899">
        <f t="shared" si="126"/>
        <v>41774.289920000003</v>
      </c>
      <c r="C2260" s="880">
        <f t="shared" si="127"/>
        <v>0</v>
      </c>
      <c r="D2260" s="210">
        <f t="shared" si="128"/>
        <v>296954.79770399997</v>
      </c>
      <c r="E2260" s="210">
        <f t="shared" si="129"/>
        <v>0</v>
      </c>
      <c r="F2260" s="882">
        <f t="shared" si="130"/>
        <v>0</v>
      </c>
      <c r="G2260" s="210">
        <f t="shared" si="131"/>
        <v>0</v>
      </c>
      <c r="H2260" s="210">
        <f t="shared" si="131"/>
        <v>0</v>
      </c>
      <c r="I2260" s="898">
        <f t="shared" ref="I2260:I2279" si="132">SUM(B2260:H2260)</f>
        <v>338729.08762399998</v>
      </c>
      <c r="J2260" s="203" t="s">
        <v>822</v>
      </c>
    </row>
    <row r="2261" spans="1:10" hidden="1" outlineLevel="3">
      <c r="A2261" s="875" t="s">
        <v>823</v>
      </c>
      <c r="B2261" s="899">
        <f t="shared" si="126"/>
        <v>127601.97776000001</v>
      </c>
      <c r="C2261" s="880">
        <f t="shared" si="127"/>
        <v>0</v>
      </c>
      <c r="D2261" s="210">
        <f t="shared" si="128"/>
        <v>0</v>
      </c>
      <c r="E2261" s="210">
        <f t="shared" si="129"/>
        <v>0</v>
      </c>
      <c r="F2261" s="882">
        <f t="shared" si="130"/>
        <v>0</v>
      </c>
      <c r="G2261" s="210">
        <f t="shared" si="131"/>
        <v>0</v>
      </c>
      <c r="H2261" s="210">
        <f t="shared" si="131"/>
        <v>0</v>
      </c>
      <c r="I2261" s="898">
        <f t="shared" si="132"/>
        <v>127601.97776000001</v>
      </c>
      <c r="J2261" s="203" t="s">
        <v>824</v>
      </c>
    </row>
    <row r="2262" spans="1:10" hidden="1" outlineLevel="3">
      <c r="A2262" s="875" t="s">
        <v>825</v>
      </c>
      <c r="B2262" s="899">
        <f t="shared" si="126"/>
        <v>444647.35503999999</v>
      </c>
      <c r="C2262" s="880">
        <f t="shared" si="127"/>
        <v>0</v>
      </c>
      <c r="D2262" s="210">
        <f t="shared" si="128"/>
        <v>0</v>
      </c>
      <c r="E2262" s="210">
        <f t="shared" si="129"/>
        <v>0</v>
      </c>
      <c r="F2262" s="882">
        <f t="shared" si="130"/>
        <v>0</v>
      </c>
      <c r="G2262" s="210">
        <f t="shared" si="131"/>
        <v>0</v>
      </c>
      <c r="H2262" s="210">
        <f t="shared" si="131"/>
        <v>0</v>
      </c>
      <c r="I2262" s="898">
        <f t="shared" si="132"/>
        <v>444647.35503999999</v>
      </c>
      <c r="J2262" s="203" t="s">
        <v>826</v>
      </c>
    </row>
    <row r="2263" spans="1:10" hidden="1" outlineLevel="3">
      <c r="A2263" s="875" t="s">
        <v>827</v>
      </c>
      <c r="B2263" s="899">
        <f t="shared" si="126"/>
        <v>214828.95952</v>
      </c>
      <c r="C2263" s="880">
        <f t="shared" si="127"/>
        <v>0</v>
      </c>
      <c r="D2263" s="210">
        <f t="shared" si="128"/>
        <v>0</v>
      </c>
      <c r="E2263" s="210">
        <f t="shared" si="129"/>
        <v>0</v>
      </c>
      <c r="F2263" s="882">
        <f t="shared" si="130"/>
        <v>0</v>
      </c>
      <c r="G2263" s="210">
        <f t="shared" si="131"/>
        <v>0</v>
      </c>
      <c r="H2263" s="210">
        <f t="shared" si="131"/>
        <v>0</v>
      </c>
      <c r="I2263" s="898">
        <f t="shared" si="132"/>
        <v>214828.95952</v>
      </c>
      <c r="J2263" s="203" t="s">
        <v>828</v>
      </c>
    </row>
    <row r="2264" spans="1:10" hidden="1" outlineLevel="3">
      <c r="A2264" s="875" t="s">
        <v>829</v>
      </c>
      <c r="B2264" s="899">
        <f t="shared" si="126"/>
        <v>255678.61744000003</v>
      </c>
      <c r="C2264" s="880">
        <f t="shared" si="127"/>
        <v>0</v>
      </c>
      <c r="D2264" s="210">
        <f t="shared" si="128"/>
        <v>0</v>
      </c>
      <c r="E2264" s="210">
        <f t="shared" si="129"/>
        <v>0</v>
      </c>
      <c r="F2264" s="882">
        <f t="shared" si="130"/>
        <v>0</v>
      </c>
      <c r="G2264" s="210">
        <f t="shared" si="131"/>
        <v>0</v>
      </c>
      <c r="H2264" s="210">
        <f t="shared" si="131"/>
        <v>0</v>
      </c>
      <c r="I2264" s="898">
        <f t="shared" si="132"/>
        <v>255678.61744000003</v>
      </c>
      <c r="J2264" s="203" t="s">
        <v>830</v>
      </c>
    </row>
    <row r="2265" spans="1:10" hidden="1" outlineLevel="3">
      <c r="A2265" s="875" t="s">
        <v>831</v>
      </c>
      <c r="B2265" s="899">
        <f t="shared" si="126"/>
        <v>7292412.6971199997</v>
      </c>
      <c r="C2265" s="880">
        <f t="shared" si="127"/>
        <v>0</v>
      </c>
      <c r="D2265" s="210">
        <f t="shared" si="128"/>
        <v>0</v>
      </c>
      <c r="E2265" s="210">
        <f t="shared" si="129"/>
        <v>0</v>
      </c>
      <c r="F2265" s="882">
        <f t="shared" si="130"/>
        <v>0</v>
      </c>
      <c r="G2265" s="210">
        <f t="shared" si="131"/>
        <v>0</v>
      </c>
      <c r="H2265" s="210">
        <f t="shared" si="131"/>
        <v>0</v>
      </c>
      <c r="I2265" s="898">
        <f t="shared" si="132"/>
        <v>7292412.6971199997</v>
      </c>
      <c r="J2265" s="203" t="s">
        <v>832</v>
      </c>
    </row>
    <row r="2266" spans="1:10" hidden="1" outlineLevel="3">
      <c r="A2266" s="875" t="s">
        <v>833</v>
      </c>
      <c r="B2266" s="899">
        <f t="shared" si="126"/>
        <v>624688.89696000004</v>
      </c>
      <c r="C2266" s="880">
        <f t="shared" si="127"/>
        <v>0</v>
      </c>
      <c r="D2266" s="210">
        <f t="shared" si="128"/>
        <v>0</v>
      </c>
      <c r="E2266" s="210">
        <f t="shared" si="129"/>
        <v>0</v>
      </c>
      <c r="F2266" s="882">
        <f t="shared" si="130"/>
        <v>0</v>
      </c>
      <c r="G2266" s="210">
        <f t="shared" ref="G2266:H2279" si="133">G398*0.1312/100</f>
        <v>0</v>
      </c>
      <c r="H2266" s="210">
        <f t="shared" si="133"/>
        <v>0</v>
      </c>
      <c r="I2266" s="898">
        <f t="shared" si="132"/>
        <v>624688.89696000004</v>
      </c>
      <c r="J2266" s="203" t="s">
        <v>834</v>
      </c>
    </row>
    <row r="2267" spans="1:10" hidden="1" outlineLevel="3">
      <c r="A2267" s="875" t="s">
        <v>835</v>
      </c>
      <c r="B2267" s="899">
        <f t="shared" si="126"/>
        <v>2963170.4073600001</v>
      </c>
      <c r="C2267" s="880">
        <f t="shared" si="127"/>
        <v>0</v>
      </c>
      <c r="D2267" s="210">
        <f t="shared" si="128"/>
        <v>0</v>
      </c>
      <c r="E2267" s="210">
        <f t="shared" si="129"/>
        <v>0</v>
      </c>
      <c r="F2267" s="882">
        <f t="shared" si="130"/>
        <v>0</v>
      </c>
      <c r="G2267" s="210">
        <f t="shared" si="133"/>
        <v>0</v>
      </c>
      <c r="H2267" s="210">
        <f t="shared" si="133"/>
        <v>0</v>
      </c>
      <c r="I2267" s="898">
        <f t="shared" si="132"/>
        <v>2963170.4073600001</v>
      </c>
      <c r="J2267" s="203" t="s">
        <v>836</v>
      </c>
    </row>
    <row r="2268" spans="1:10" hidden="1" outlineLevel="3">
      <c r="A2268" s="875" t="s">
        <v>837</v>
      </c>
      <c r="B2268" s="899">
        <f t="shared" si="126"/>
        <v>249055.62176000004</v>
      </c>
      <c r="C2268" s="880">
        <f t="shared" si="127"/>
        <v>0</v>
      </c>
      <c r="D2268" s="210">
        <f t="shared" si="128"/>
        <v>0</v>
      </c>
      <c r="E2268" s="210">
        <f t="shared" si="129"/>
        <v>0</v>
      </c>
      <c r="F2268" s="882">
        <f t="shared" si="130"/>
        <v>0</v>
      </c>
      <c r="G2268" s="210">
        <f t="shared" si="133"/>
        <v>0</v>
      </c>
      <c r="H2268" s="210">
        <f t="shared" si="133"/>
        <v>0</v>
      </c>
      <c r="I2268" s="898">
        <f t="shared" si="132"/>
        <v>249055.62176000004</v>
      </c>
      <c r="J2268" s="203" t="s">
        <v>838</v>
      </c>
    </row>
    <row r="2269" spans="1:10" hidden="1" outlineLevel="3">
      <c r="A2269" s="875" t="s">
        <v>837</v>
      </c>
      <c r="B2269" s="899">
        <f t="shared" si="126"/>
        <v>31204.916320000004</v>
      </c>
      <c r="C2269" s="880">
        <f t="shared" si="127"/>
        <v>0</v>
      </c>
      <c r="D2269" s="210">
        <f t="shared" si="128"/>
        <v>0</v>
      </c>
      <c r="E2269" s="210">
        <f t="shared" si="129"/>
        <v>0</v>
      </c>
      <c r="F2269" s="882">
        <f t="shared" si="130"/>
        <v>0</v>
      </c>
      <c r="G2269" s="210">
        <f t="shared" si="133"/>
        <v>0</v>
      </c>
      <c r="H2269" s="210">
        <f t="shared" si="133"/>
        <v>0</v>
      </c>
      <c r="I2269" s="898">
        <f t="shared" si="132"/>
        <v>31204.916320000004</v>
      </c>
      <c r="J2269" s="203" t="s">
        <v>838</v>
      </c>
    </row>
    <row r="2270" spans="1:10" hidden="1" outlineLevel="3">
      <c r="A2270" s="875" t="s">
        <v>837</v>
      </c>
      <c r="B2270" s="899">
        <f t="shared" si="126"/>
        <v>154552.39296</v>
      </c>
      <c r="C2270" s="880">
        <f t="shared" si="127"/>
        <v>0</v>
      </c>
      <c r="D2270" s="210">
        <f t="shared" si="128"/>
        <v>0</v>
      </c>
      <c r="E2270" s="210">
        <f t="shared" si="129"/>
        <v>0</v>
      </c>
      <c r="F2270" s="882">
        <f t="shared" si="130"/>
        <v>0</v>
      </c>
      <c r="G2270" s="210">
        <f t="shared" si="133"/>
        <v>0</v>
      </c>
      <c r="H2270" s="210">
        <f t="shared" si="133"/>
        <v>0</v>
      </c>
      <c r="I2270" s="898">
        <f t="shared" si="132"/>
        <v>154552.39296</v>
      </c>
      <c r="J2270" s="203" t="s">
        <v>838</v>
      </c>
    </row>
    <row r="2271" spans="1:10" hidden="1" outlineLevel="3">
      <c r="A2271" s="875" t="s">
        <v>839</v>
      </c>
      <c r="B2271" s="899">
        <f t="shared" si="126"/>
        <v>25345.753919999999</v>
      </c>
      <c r="C2271" s="880">
        <f t="shared" si="127"/>
        <v>0</v>
      </c>
      <c r="D2271" s="210">
        <f t="shared" si="128"/>
        <v>0</v>
      </c>
      <c r="E2271" s="210">
        <f t="shared" si="129"/>
        <v>0</v>
      </c>
      <c r="F2271" s="882">
        <f t="shared" si="130"/>
        <v>0</v>
      </c>
      <c r="G2271" s="210">
        <f t="shared" si="133"/>
        <v>0</v>
      </c>
      <c r="H2271" s="210">
        <f t="shared" si="133"/>
        <v>0</v>
      </c>
      <c r="I2271" s="898">
        <f t="shared" si="132"/>
        <v>25345.753919999999</v>
      </c>
      <c r="J2271" s="203" t="s">
        <v>840</v>
      </c>
    </row>
    <row r="2272" spans="1:10" hidden="1" outlineLevel="3">
      <c r="A2272" s="875" t="s">
        <v>841</v>
      </c>
      <c r="B2272" s="899">
        <f t="shared" si="126"/>
        <v>335321.72096000001</v>
      </c>
      <c r="C2272" s="880">
        <f t="shared" si="127"/>
        <v>0</v>
      </c>
      <c r="D2272" s="210">
        <f t="shared" si="128"/>
        <v>0</v>
      </c>
      <c r="E2272" s="210">
        <f t="shared" si="129"/>
        <v>0</v>
      </c>
      <c r="F2272" s="882">
        <f t="shared" si="130"/>
        <v>0</v>
      </c>
      <c r="G2272" s="210">
        <f t="shared" si="133"/>
        <v>0</v>
      </c>
      <c r="H2272" s="210">
        <f t="shared" si="133"/>
        <v>0</v>
      </c>
      <c r="I2272" s="898">
        <f t="shared" si="132"/>
        <v>335321.72096000001</v>
      </c>
      <c r="J2272" s="203" t="s">
        <v>842</v>
      </c>
    </row>
    <row r="2273" spans="1:10" hidden="1" outlineLevel="3">
      <c r="A2273" s="875" t="s">
        <v>843</v>
      </c>
      <c r="B2273" s="899">
        <f t="shared" si="126"/>
        <v>409158.39136000001</v>
      </c>
      <c r="C2273" s="880">
        <f t="shared" si="127"/>
        <v>0</v>
      </c>
      <c r="D2273" s="210">
        <f t="shared" si="128"/>
        <v>0</v>
      </c>
      <c r="E2273" s="210">
        <f t="shared" si="129"/>
        <v>0</v>
      </c>
      <c r="F2273" s="882">
        <f t="shared" si="130"/>
        <v>0</v>
      </c>
      <c r="G2273" s="210">
        <f t="shared" si="133"/>
        <v>0</v>
      </c>
      <c r="H2273" s="210">
        <f t="shared" si="133"/>
        <v>0</v>
      </c>
      <c r="I2273" s="898">
        <f t="shared" si="132"/>
        <v>409158.39136000001</v>
      </c>
      <c r="J2273" s="203" t="s">
        <v>844</v>
      </c>
    </row>
    <row r="2274" spans="1:10" hidden="1" outlineLevel="3">
      <c r="A2274" s="875" t="s">
        <v>845</v>
      </c>
      <c r="B2274" s="899">
        <f t="shared" si="126"/>
        <v>4192794.3553599999</v>
      </c>
      <c r="C2274" s="880">
        <f t="shared" si="127"/>
        <v>0</v>
      </c>
      <c r="D2274" s="210">
        <f t="shared" si="128"/>
        <v>0</v>
      </c>
      <c r="E2274" s="210">
        <f t="shared" si="129"/>
        <v>0</v>
      </c>
      <c r="F2274" s="882">
        <f t="shared" si="130"/>
        <v>0</v>
      </c>
      <c r="G2274" s="210">
        <f t="shared" si="133"/>
        <v>0</v>
      </c>
      <c r="H2274" s="210">
        <f t="shared" si="133"/>
        <v>0</v>
      </c>
      <c r="I2274" s="898">
        <f t="shared" si="132"/>
        <v>4192794.3553599999</v>
      </c>
      <c r="J2274" s="203" t="s">
        <v>846</v>
      </c>
    </row>
    <row r="2275" spans="1:10" hidden="1" outlineLevel="3">
      <c r="A2275" s="875" t="s">
        <v>847</v>
      </c>
      <c r="B2275" s="899">
        <f t="shared" si="126"/>
        <v>320088.32511999999</v>
      </c>
      <c r="C2275" s="880">
        <f t="shared" si="127"/>
        <v>0</v>
      </c>
      <c r="D2275" s="210">
        <f t="shared" si="128"/>
        <v>0</v>
      </c>
      <c r="E2275" s="210">
        <f t="shared" si="129"/>
        <v>0</v>
      </c>
      <c r="F2275" s="882">
        <f t="shared" si="130"/>
        <v>0</v>
      </c>
      <c r="G2275" s="210">
        <f t="shared" si="133"/>
        <v>0</v>
      </c>
      <c r="H2275" s="210">
        <f t="shared" si="133"/>
        <v>0</v>
      </c>
      <c r="I2275" s="898">
        <f t="shared" si="132"/>
        <v>320088.32511999999</v>
      </c>
      <c r="J2275" s="203" t="s">
        <v>848</v>
      </c>
    </row>
    <row r="2276" spans="1:10" hidden="1" outlineLevel="3">
      <c r="A2276" s="875" t="s">
        <v>849</v>
      </c>
      <c r="B2276" s="899">
        <f t="shared" si="126"/>
        <v>818430.06735999999</v>
      </c>
      <c r="C2276" s="880">
        <f t="shared" si="127"/>
        <v>0</v>
      </c>
      <c r="D2276" s="210">
        <f t="shared" si="128"/>
        <v>0</v>
      </c>
      <c r="E2276" s="210">
        <f t="shared" si="129"/>
        <v>0</v>
      </c>
      <c r="F2276" s="882">
        <f t="shared" si="130"/>
        <v>0</v>
      </c>
      <c r="G2276" s="210">
        <f t="shared" si="133"/>
        <v>0</v>
      </c>
      <c r="H2276" s="210">
        <f t="shared" si="133"/>
        <v>0</v>
      </c>
      <c r="I2276" s="898">
        <f t="shared" si="132"/>
        <v>818430.06735999999</v>
      </c>
      <c r="J2276" s="203" t="s">
        <v>850</v>
      </c>
    </row>
    <row r="2277" spans="1:10" hidden="1" outlineLevel="3">
      <c r="A2277" s="875" t="s">
        <v>398</v>
      </c>
      <c r="B2277" s="899">
        <f t="shared" si="126"/>
        <v>104534.45936000001</v>
      </c>
      <c r="C2277" s="880">
        <f t="shared" si="127"/>
        <v>0</v>
      </c>
      <c r="D2277" s="210">
        <f t="shared" si="128"/>
        <v>0</v>
      </c>
      <c r="E2277" s="210">
        <f t="shared" si="129"/>
        <v>0</v>
      </c>
      <c r="F2277" s="882">
        <f t="shared" si="130"/>
        <v>0</v>
      </c>
      <c r="G2277" s="210">
        <f t="shared" si="133"/>
        <v>0</v>
      </c>
      <c r="H2277" s="210">
        <f t="shared" si="133"/>
        <v>0</v>
      </c>
      <c r="I2277" s="898">
        <f t="shared" si="132"/>
        <v>104534.45936000001</v>
      </c>
      <c r="J2277" s="203" t="s">
        <v>399</v>
      </c>
    </row>
    <row r="2278" spans="1:10" hidden="1" outlineLevel="3">
      <c r="A2278" s="875" t="s">
        <v>851</v>
      </c>
      <c r="B2278" s="899">
        <f t="shared" si="126"/>
        <v>78654.439360000004</v>
      </c>
      <c r="C2278" s="880">
        <f t="shared" si="127"/>
        <v>0</v>
      </c>
      <c r="D2278" s="210">
        <f t="shared" si="128"/>
        <v>0</v>
      </c>
      <c r="E2278" s="210">
        <f t="shared" si="129"/>
        <v>0</v>
      </c>
      <c r="F2278" s="882">
        <f t="shared" si="130"/>
        <v>0</v>
      </c>
      <c r="G2278" s="210">
        <f t="shared" si="133"/>
        <v>0</v>
      </c>
      <c r="H2278" s="210">
        <f t="shared" si="133"/>
        <v>0</v>
      </c>
      <c r="I2278" s="898">
        <f t="shared" si="132"/>
        <v>78654.439360000004</v>
      </c>
      <c r="J2278" s="203" t="s">
        <v>852</v>
      </c>
    </row>
    <row r="2279" spans="1:10" hidden="1" outlineLevel="3">
      <c r="A2279" s="875" t="s">
        <v>853</v>
      </c>
      <c r="B2279" s="899">
        <f t="shared" si="126"/>
        <v>946443.81631999998</v>
      </c>
      <c r="C2279" s="880">
        <f t="shared" si="127"/>
        <v>0</v>
      </c>
      <c r="D2279" s="210">
        <f t="shared" si="128"/>
        <v>0</v>
      </c>
      <c r="E2279" s="210">
        <f t="shared" si="129"/>
        <v>0</v>
      </c>
      <c r="F2279" s="882">
        <f t="shared" si="130"/>
        <v>0</v>
      </c>
      <c r="G2279" s="210">
        <f t="shared" si="133"/>
        <v>0</v>
      </c>
      <c r="H2279" s="210">
        <f t="shared" si="133"/>
        <v>0</v>
      </c>
      <c r="I2279" s="898">
        <f t="shared" si="132"/>
        <v>946443.81631999998</v>
      </c>
      <c r="J2279" s="203" t="s">
        <v>854</v>
      </c>
    </row>
    <row r="2280" spans="1:10" collapsed="1">
      <c r="A2280" s="856" t="str">
        <f>A412</f>
        <v>Regelzone TenneT (gesamt)</v>
      </c>
      <c r="B2280" s="897">
        <f t="shared" ref="B2280:H2280" si="134">SUM(B2281:B2661)</f>
        <v>671595512.31719971</v>
      </c>
      <c r="C2280" s="885">
        <f t="shared" si="134"/>
        <v>0</v>
      </c>
      <c r="D2280" s="437">
        <f t="shared" si="134"/>
        <v>8196</v>
      </c>
      <c r="E2280" s="437">
        <f t="shared" si="134"/>
        <v>0</v>
      </c>
      <c r="F2280" s="885">
        <f t="shared" si="134"/>
        <v>3465971</v>
      </c>
      <c r="G2280" s="437">
        <f t="shared" si="134"/>
        <v>15960</v>
      </c>
      <c r="H2280" s="437">
        <f t="shared" si="134"/>
        <v>327</v>
      </c>
      <c r="I2280" s="898">
        <f t="shared" ref="I2280:I2343" si="135">SUM(B2280:H2280)</f>
        <v>675085966.31719971</v>
      </c>
    </row>
    <row r="2281" spans="1:10" hidden="1" outlineLevel="1">
      <c r="A2281" s="876" t="s">
        <v>1861</v>
      </c>
      <c r="B2281" s="900">
        <f t="shared" ref="B2281:B2344" si="136">B413*0.656/100</f>
        <v>39878.017222399998</v>
      </c>
      <c r="C2281" s="886">
        <v>0</v>
      </c>
      <c r="D2281" s="814">
        <v>0</v>
      </c>
      <c r="E2281" s="814">
        <v>0</v>
      </c>
      <c r="F2281" s="814">
        <v>0</v>
      </c>
      <c r="G2281" s="814">
        <v>0</v>
      </c>
      <c r="H2281" s="814">
        <v>0</v>
      </c>
      <c r="I2281" s="898">
        <f t="shared" si="135"/>
        <v>39878.017222399998</v>
      </c>
      <c r="J2281" s="203" t="s">
        <v>1862</v>
      </c>
    </row>
    <row r="2282" spans="1:10" hidden="1" outlineLevel="1">
      <c r="A2282" s="876" t="s">
        <v>856</v>
      </c>
      <c r="B2282" s="900">
        <f t="shared" si="136"/>
        <v>120872.93312</v>
      </c>
      <c r="C2282" s="886">
        <v>0</v>
      </c>
      <c r="D2282" s="814">
        <v>0</v>
      </c>
      <c r="E2282" s="814">
        <v>0</v>
      </c>
      <c r="F2282" s="814">
        <v>0</v>
      </c>
      <c r="G2282" s="814">
        <v>0</v>
      </c>
      <c r="H2282" s="814">
        <v>0</v>
      </c>
      <c r="I2282" s="898">
        <f t="shared" si="135"/>
        <v>120872.93312</v>
      </c>
      <c r="J2282" s="203" t="s">
        <v>857</v>
      </c>
    </row>
    <row r="2283" spans="1:10" hidden="1" outlineLevel="1">
      <c r="A2283" s="876" t="s">
        <v>858</v>
      </c>
      <c r="B2283" s="900">
        <f t="shared" si="136"/>
        <v>205228.49135999999</v>
      </c>
      <c r="C2283" s="886">
        <v>0</v>
      </c>
      <c r="D2283" s="814">
        <v>0</v>
      </c>
      <c r="E2283" s="814">
        <v>0</v>
      </c>
      <c r="F2283" s="814">
        <v>0</v>
      </c>
      <c r="G2283" s="814">
        <v>0</v>
      </c>
      <c r="H2283" s="814">
        <v>0</v>
      </c>
      <c r="I2283" s="898">
        <f t="shared" si="135"/>
        <v>205228.49135999999</v>
      </c>
      <c r="J2283" s="203" t="s">
        <v>859</v>
      </c>
    </row>
    <row r="2284" spans="1:10" hidden="1" outlineLevel="1">
      <c r="A2284" s="876" t="s">
        <v>860</v>
      </c>
      <c r="B2284" s="900">
        <f t="shared" si="136"/>
        <v>359325.56127999997</v>
      </c>
      <c r="C2284" s="886">
        <v>0</v>
      </c>
      <c r="D2284" s="814">
        <v>0</v>
      </c>
      <c r="E2284" s="814">
        <v>0</v>
      </c>
      <c r="F2284" s="814">
        <v>0</v>
      </c>
      <c r="G2284" s="814">
        <v>0</v>
      </c>
      <c r="H2284" s="814">
        <v>0</v>
      </c>
      <c r="I2284" s="898">
        <f t="shared" si="135"/>
        <v>359325.56127999997</v>
      </c>
      <c r="J2284" s="203" t="s">
        <v>861</v>
      </c>
    </row>
    <row r="2285" spans="1:10" hidden="1" outlineLevel="1">
      <c r="A2285" s="876" t="s">
        <v>862</v>
      </c>
      <c r="B2285" s="900">
        <f t="shared" si="136"/>
        <v>155834.73520000002</v>
      </c>
      <c r="C2285" s="886">
        <v>0</v>
      </c>
      <c r="D2285" s="814">
        <v>0</v>
      </c>
      <c r="E2285" s="814">
        <v>0</v>
      </c>
      <c r="F2285" s="814">
        <v>0</v>
      </c>
      <c r="G2285" s="814">
        <v>0</v>
      </c>
      <c r="H2285" s="814">
        <v>0</v>
      </c>
      <c r="I2285" s="898">
        <f t="shared" si="135"/>
        <v>155834.73520000002</v>
      </c>
      <c r="J2285" s="203" t="s">
        <v>863</v>
      </c>
    </row>
    <row r="2286" spans="1:10" hidden="1" outlineLevel="1">
      <c r="A2286" s="876" t="s">
        <v>864</v>
      </c>
      <c r="B2286" s="900">
        <f t="shared" si="136"/>
        <v>271281.55119999999</v>
      </c>
      <c r="C2286" s="886">
        <v>0</v>
      </c>
      <c r="D2286" s="814">
        <v>0</v>
      </c>
      <c r="E2286" s="814">
        <v>0</v>
      </c>
      <c r="F2286" s="814">
        <v>0</v>
      </c>
      <c r="G2286" s="814">
        <v>0</v>
      </c>
      <c r="H2286" s="814">
        <v>0</v>
      </c>
      <c r="I2286" s="898">
        <f t="shared" si="135"/>
        <v>271281.55119999999</v>
      </c>
      <c r="J2286" s="203" t="s">
        <v>865</v>
      </c>
    </row>
    <row r="2287" spans="1:10" hidden="1" outlineLevel="1">
      <c r="A2287" s="876" t="s">
        <v>866</v>
      </c>
      <c r="B2287" s="900">
        <f t="shared" si="136"/>
        <v>88867.513120000003</v>
      </c>
      <c r="C2287" s="886">
        <v>0</v>
      </c>
      <c r="D2287" s="814">
        <v>0</v>
      </c>
      <c r="E2287" s="814">
        <v>0</v>
      </c>
      <c r="F2287" s="814">
        <v>0</v>
      </c>
      <c r="G2287" s="814">
        <v>0</v>
      </c>
      <c r="H2287" s="814">
        <v>0</v>
      </c>
      <c r="I2287" s="898">
        <f t="shared" si="135"/>
        <v>88867.513120000003</v>
      </c>
      <c r="J2287" s="203" t="s">
        <v>867</v>
      </c>
    </row>
    <row r="2288" spans="1:10" hidden="1" outlineLevel="1">
      <c r="A2288" s="876" t="s">
        <v>868</v>
      </c>
      <c r="B2288" s="900">
        <f t="shared" si="136"/>
        <v>517286.63520000002</v>
      </c>
      <c r="C2288" s="886">
        <v>0</v>
      </c>
      <c r="D2288" s="814">
        <v>0</v>
      </c>
      <c r="E2288" s="814">
        <v>0</v>
      </c>
      <c r="F2288" s="814">
        <v>0</v>
      </c>
      <c r="G2288" s="814">
        <v>0</v>
      </c>
      <c r="H2288" s="814">
        <v>0</v>
      </c>
      <c r="I2288" s="898">
        <f t="shared" si="135"/>
        <v>517286.63520000002</v>
      </c>
      <c r="J2288" s="203" t="s">
        <v>869</v>
      </c>
    </row>
    <row r="2289" spans="1:10" hidden="1" outlineLevel="1">
      <c r="A2289" s="876" t="s">
        <v>870</v>
      </c>
      <c r="B2289" s="900">
        <f t="shared" si="136"/>
        <v>1098794.00416</v>
      </c>
      <c r="C2289" s="886">
        <v>0</v>
      </c>
      <c r="D2289" s="814">
        <v>0</v>
      </c>
      <c r="E2289" s="814">
        <v>0</v>
      </c>
      <c r="F2289" s="814">
        <v>607</v>
      </c>
      <c r="G2289" s="814">
        <v>0</v>
      </c>
      <c r="H2289" s="814">
        <v>0</v>
      </c>
      <c r="I2289" s="898">
        <f t="shared" si="135"/>
        <v>1099401.00416</v>
      </c>
      <c r="J2289" s="203" t="s">
        <v>871</v>
      </c>
    </row>
    <row r="2290" spans="1:10" hidden="1" outlineLevel="1">
      <c r="A2290" s="876" t="s">
        <v>872</v>
      </c>
      <c r="B2290" s="900">
        <f t="shared" si="136"/>
        <v>160363.99536</v>
      </c>
      <c r="C2290" s="886">
        <v>0</v>
      </c>
      <c r="D2290" s="814">
        <v>0</v>
      </c>
      <c r="E2290" s="814">
        <v>0</v>
      </c>
      <c r="F2290" s="814">
        <v>0</v>
      </c>
      <c r="G2290" s="814">
        <v>0</v>
      </c>
      <c r="H2290" s="814">
        <v>0</v>
      </c>
      <c r="I2290" s="898">
        <f t="shared" si="135"/>
        <v>160363.99536</v>
      </c>
      <c r="J2290" s="203" t="s">
        <v>873</v>
      </c>
    </row>
    <row r="2291" spans="1:10" hidden="1" outlineLevel="1">
      <c r="A2291" s="876" t="s">
        <v>874</v>
      </c>
      <c r="B2291" s="900">
        <f t="shared" si="136"/>
        <v>3281721.0225600004</v>
      </c>
      <c r="C2291" s="886">
        <v>0</v>
      </c>
      <c r="D2291" s="814">
        <v>0</v>
      </c>
      <c r="E2291" s="814">
        <v>0</v>
      </c>
      <c r="F2291" s="814">
        <v>0</v>
      </c>
      <c r="G2291" s="814">
        <v>0</v>
      </c>
      <c r="H2291" s="814">
        <v>0</v>
      </c>
      <c r="I2291" s="898">
        <f t="shared" si="135"/>
        <v>3281721.0225600004</v>
      </c>
      <c r="J2291" s="203" t="s">
        <v>875</v>
      </c>
    </row>
    <row r="2292" spans="1:10" hidden="1" outlineLevel="1">
      <c r="A2292" s="876" t="s">
        <v>1863</v>
      </c>
      <c r="B2292" s="900">
        <f t="shared" si="136"/>
        <v>0</v>
      </c>
      <c r="C2292" s="886">
        <v>0</v>
      </c>
      <c r="D2292" s="814">
        <v>0</v>
      </c>
      <c r="E2292" s="814">
        <v>0</v>
      </c>
      <c r="F2292" s="814">
        <v>0</v>
      </c>
      <c r="G2292" s="814">
        <v>0</v>
      </c>
      <c r="H2292" s="814">
        <v>0</v>
      </c>
      <c r="I2292" s="898">
        <f t="shared" si="135"/>
        <v>0</v>
      </c>
      <c r="J2292" s="203" t="s">
        <v>1864</v>
      </c>
    </row>
    <row r="2293" spans="1:10" hidden="1" outlineLevel="1">
      <c r="A2293" s="876" t="s">
        <v>876</v>
      </c>
      <c r="B2293" s="900">
        <f t="shared" si="136"/>
        <v>183039.99328000002</v>
      </c>
      <c r="C2293" s="886">
        <v>0</v>
      </c>
      <c r="D2293" s="814">
        <v>0</v>
      </c>
      <c r="E2293" s="814">
        <v>0</v>
      </c>
      <c r="F2293" s="814">
        <v>0</v>
      </c>
      <c r="G2293" s="814">
        <v>0</v>
      </c>
      <c r="H2293" s="814">
        <v>0</v>
      </c>
      <c r="I2293" s="898">
        <f t="shared" si="135"/>
        <v>183039.99328000002</v>
      </c>
      <c r="J2293" s="203" t="s">
        <v>877</v>
      </c>
    </row>
    <row r="2294" spans="1:10" hidden="1" outlineLevel="1">
      <c r="A2294" s="876" t="s">
        <v>878</v>
      </c>
      <c r="B2294" s="900">
        <f t="shared" si="136"/>
        <v>181278.8432</v>
      </c>
      <c r="C2294" s="886">
        <v>0</v>
      </c>
      <c r="D2294" s="814">
        <v>0</v>
      </c>
      <c r="E2294" s="814">
        <v>0</v>
      </c>
      <c r="F2294" s="814">
        <v>0</v>
      </c>
      <c r="G2294" s="814">
        <v>0</v>
      </c>
      <c r="H2294" s="814">
        <v>0</v>
      </c>
      <c r="I2294" s="898">
        <f t="shared" si="135"/>
        <v>181278.8432</v>
      </c>
      <c r="J2294" s="203" t="s">
        <v>879</v>
      </c>
    </row>
    <row r="2295" spans="1:10" hidden="1" outlineLevel="1">
      <c r="A2295" s="876" t="s">
        <v>322</v>
      </c>
      <c r="B2295" s="900">
        <f t="shared" si="136"/>
        <v>278392.34192000004</v>
      </c>
      <c r="C2295" s="886">
        <v>0</v>
      </c>
      <c r="D2295" s="814">
        <v>0</v>
      </c>
      <c r="E2295" s="814">
        <v>0</v>
      </c>
      <c r="F2295" s="814">
        <v>0</v>
      </c>
      <c r="G2295" s="814">
        <v>0</v>
      </c>
      <c r="H2295" s="814">
        <v>0</v>
      </c>
      <c r="I2295" s="898">
        <f t="shared" si="135"/>
        <v>278392.34192000004</v>
      </c>
      <c r="J2295" s="203" t="s">
        <v>323</v>
      </c>
    </row>
    <row r="2296" spans="1:10" hidden="1" outlineLevel="1">
      <c r="A2296" s="876" t="s">
        <v>880</v>
      </c>
      <c r="B2296" s="900">
        <f t="shared" si="136"/>
        <v>357966.48016000004</v>
      </c>
      <c r="C2296" s="886">
        <v>0</v>
      </c>
      <c r="D2296" s="814">
        <v>0</v>
      </c>
      <c r="E2296" s="814">
        <v>0</v>
      </c>
      <c r="F2296" s="814">
        <v>0</v>
      </c>
      <c r="G2296" s="814">
        <v>0</v>
      </c>
      <c r="H2296" s="814">
        <v>0</v>
      </c>
      <c r="I2296" s="898">
        <f t="shared" si="135"/>
        <v>357966.48016000004</v>
      </c>
      <c r="J2296" s="203" t="s">
        <v>881</v>
      </c>
    </row>
    <row r="2297" spans="1:10" hidden="1" outlineLevel="1">
      <c r="A2297" s="876" t="s">
        <v>882</v>
      </c>
      <c r="B2297" s="900">
        <f t="shared" si="136"/>
        <v>1196744.4434240002</v>
      </c>
      <c r="C2297" s="886">
        <v>0</v>
      </c>
      <c r="D2297" s="814">
        <v>0</v>
      </c>
      <c r="E2297" s="814">
        <v>0</v>
      </c>
      <c r="F2297" s="814">
        <v>0</v>
      </c>
      <c r="G2297" s="814">
        <v>0</v>
      </c>
      <c r="H2297" s="814">
        <v>0</v>
      </c>
      <c r="I2297" s="898">
        <f t="shared" si="135"/>
        <v>1196744.4434240002</v>
      </c>
      <c r="J2297" s="203" t="s">
        <v>883</v>
      </c>
    </row>
    <row r="2298" spans="1:10" hidden="1" outlineLevel="1">
      <c r="A2298" s="876" t="s">
        <v>884</v>
      </c>
      <c r="B2298" s="900">
        <f t="shared" si="136"/>
        <v>1279069.3641600001</v>
      </c>
      <c r="C2298" s="886">
        <v>0</v>
      </c>
      <c r="D2298" s="814">
        <v>0</v>
      </c>
      <c r="E2298" s="814">
        <v>0</v>
      </c>
      <c r="F2298" s="814">
        <v>0</v>
      </c>
      <c r="G2298" s="814">
        <v>0</v>
      </c>
      <c r="H2298" s="814">
        <v>0</v>
      </c>
      <c r="I2298" s="898">
        <f t="shared" si="135"/>
        <v>1279069.3641600001</v>
      </c>
      <c r="J2298" s="203" t="s">
        <v>885</v>
      </c>
    </row>
    <row r="2299" spans="1:10" hidden="1" outlineLevel="1">
      <c r="A2299" s="876" t="s">
        <v>886</v>
      </c>
      <c r="B2299" s="900">
        <f t="shared" si="136"/>
        <v>392328.02256000007</v>
      </c>
      <c r="C2299" s="886">
        <v>0</v>
      </c>
      <c r="D2299" s="814">
        <v>0</v>
      </c>
      <c r="E2299" s="814">
        <v>0</v>
      </c>
      <c r="F2299" s="814">
        <v>0</v>
      </c>
      <c r="G2299" s="814">
        <v>0</v>
      </c>
      <c r="H2299" s="814">
        <v>0</v>
      </c>
      <c r="I2299" s="898">
        <f t="shared" si="135"/>
        <v>392328.02256000007</v>
      </c>
      <c r="J2299" s="203" t="s">
        <v>887</v>
      </c>
    </row>
    <row r="2300" spans="1:10" hidden="1" outlineLevel="1">
      <c r="A2300" s="876" t="s">
        <v>888</v>
      </c>
      <c r="B2300" s="900">
        <f t="shared" si="136"/>
        <v>260704.59424000003</v>
      </c>
      <c r="C2300" s="886">
        <v>0</v>
      </c>
      <c r="D2300" s="814">
        <v>0</v>
      </c>
      <c r="E2300" s="814">
        <v>0</v>
      </c>
      <c r="F2300" s="814">
        <v>0</v>
      </c>
      <c r="G2300" s="814">
        <v>0</v>
      </c>
      <c r="H2300" s="814">
        <v>0</v>
      </c>
      <c r="I2300" s="898">
        <f t="shared" si="135"/>
        <v>260704.59424000003</v>
      </c>
      <c r="J2300" s="203" t="s">
        <v>889</v>
      </c>
    </row>
    <row r="2301" spans="1:10" hidden="1" outlineLevel="1">
      <c r="A2301" s="876" t="s">
        <v>890</v>
      </c>
      <c r="B2301" s="900">
        <f t="shared" si="136"/>
        <v>1191837.0753599999</v>
      </c>
      <c r="C2301" s="886">
        <v>0</v>
      </c>
      <c r="D2301" s="814">
        <v>0</v>
      </c>
      <c r="E2301" s="814">
        <v>0</v>
      </c>
      <c r="F2301" s="814">
        <v>0</v>
      </c>
      <c r="G2301" s="814">
        <v>0</v>
      </c>
      <c r="H2301" s="814">
        <v>0</v>
      </c>
      <c r="I2301" s="898">
        <f t="shared" si="135"/>
        <v>1191837.0753599999</v>
      </c>
      <c r="J2301" s="203" t="s">
        <v>891</v>
      </c>
    </row>
    <row r="2302" spans="1:10" hidden="1" outlineLevel="1">
      <c r="A2302" s="876" t="s">
        <v>892</v>
      </c>
      <c r="B2302" s="900">
        <f t="shared" si="136"/>
        <v>47614.572640000006</v>
      </c>
      <c r="C2302" s="886">
        <v>0</v>
      </c>
      <c r="D2302" s="814">
        <v>0</v>
      </c>
      <c r="E2302" s="814">
        <v>0</v>
      </c>
      <c r="F2302" s="814">
        <v>0</v>
      </c>
      <c r="G2302" s="814">
        <v>0</v>
      </c>
      <c r="H2302" s="814">
        <v>0</v>
      </c>
      <c r="I2302" s="898">
        <f t="shared" si="135"/>
        <v>47614.572640000006</v>
      </c>
      <c r="J2302" s="203" t="s">
        <v>893</v>
      </c>
    </row>
    <row r="2303" spans="1:10" hidden="1" outlineLevel="1">
      <c r="A2303" s="876" t="s">
        <v>894</v>
      </c>
      <c r="B2303" s="900">
        <f t="shared" si="136"/>
        <v>635495.45392</v>
      </c>
      <c r="C2303" s="886">
        <v>0</v>
      </c>
      <c r="D2303" s="814">
        <v>0</v>
      </c>
      <c r="E2303" s="814">
        <v>0</v>
      </c>
      <c r="F2303" s="814">
        <v>0</v>
      </c>
      <c r="G2303" s="814">
        <v>0</v>
      </c>
      <c r="H2303" s="814">
        <v>0</v>
      </c>
      <c r="I2303" s="898">
        <f t="shared" si="135"/>
        <v>635495.45392</v>
      </c>
      <c r="J2303" s="203" t="s">
        <v>895</v>
      </c>
    </row>
    <row r="2304" spans="1:10" hidden="1" outlineLevel="1">
      <c r="A2304" s="876" t="s">
        <v>896</v>
      </c>
      <c r="B2304" s="900">
        <f t="shared" si="136"/>
        <v>839315.30992000003</v>
      </c>
      <c r="C2304" s="886">
        <v>0</v>
      </c>
      <c r="D2304" s="814">
        <v>0</v>
      </c>
      <c r="E2304" s="814">
        <v>0</v>
      </c>
      <c r="F2304" s="814">
        <v>0</v>
      </c>
      <c r="G2304" s="814">
        <v>0</v>
      </c>
      <c r="H2304" s="814">
        <v>0</v>
      </c>
      <c r="I2304" s="898">
        <f t="shared" si="135"/>
        <v>839315.30992000003</v>
      </c>
      <c r="J2304" s="203" t="s">
        <v>897</v>
      </c>
    </row>
    <row r="2305" spans="1:10" hidden="1" outlineLevel="1">
      <c r="A2305" s="876" t="s">
        <v>1865</v>
      </c>
      <c r="B2305" s="900">
        <f t="shared" si="136"/>
        <v>193551.37648000001</v>
      </c>
      <c r="C2305" s="886">
        <v>0</v>
      </c>
      <c r="D2305" s="814">
        <v>0</v>
      </c>
      <c r="E2305" s="814">
        <v>0</v>
      </c>
      <c r="F2305" s="814">
        <v>0</v>
      </c>
      <c r="G2305" s="814">
        <v>0</v>
      </c>
      <c r="H2305" s="814">
        <v>0</v>
      </c>
      <c r="I2305" s="898">
        <f t="shared" si="135"/>
        <v>193551.37648000001</v>
      </c>
      <c r="J2305" s="203" t="s">
        <v>1866</v>
      </c>
    </row>
    <row r="2306" spans="1:10" hidden="1" outlineLevel="1">
      <c r="A2306" s="876" t="s">
        <v>898</v>
      </c>
      <c r="B2306" s="900">
        <f t="shared" si="136"/>
        <v>355151.88592000003</v>
      </c>
      <c r="C2306" s="886">
        <v>0</v>
      </c>
      <c r="D2306" s="814">
        <v>0</v>
      </c>
      <c r="E2306" s="814">
        <v>0</v>
      </c>
      <c r="F2306" s="814">
        <v>0</v>
      </c>
      <c r="G2306" s="814">
        <v>0</v>
      </c>
      <c r="H2306" s="814">
        <v>0</v>
      </c>
      <c r="I2306" s="898">
        <f t="shared" si="135"/>
        <v>355151.88592000003</v>
      </c>
      <c r="J2306" s="203" t="s">
        <v>899</v>
      </c>
    </row>
    <row r="2307" spans="1:10" hidden="1" outlineLevel="1">
      <c r="A2307" s="876" t="s">
        <v>900</v>
      </c>
      <c r="B2307" s="900">
        <f t="shared" si="136"/>
        <v>68511.970880000008</v>
      </c>
      <c r="C2307" s="886">
        <v>0</v>
      </c>
      <c r="D2307" s="814">
        <v>0</v>
      </c>
      <c r="E2307" s="814">
        <v>0</v>
      </c>
      <c r="F2307" s="814">
        <v>0</v>
      </c>
      <c r="G2307" s="814">
        <v>0</v>
      </c>
      <c r="H2307" s="814">
        <v>0</v>
      </c>
      <c r="I2307" s="898">
        <f t="shared" si="135"/>
        <v>68511.970880000008</v>
      </c>
      <c r="J2307" s="203" t="s">
        <v>901</v>
      </c>
    </row>
    <row r="2308" spans="1:10" hidden="1" outlineLevel="1">
      <c r="A2308" s="876" t="s">
        <v>902</v>
      </c>
      <c r="B2308" s="900">
        <f t="shared" si="136"/>
        <v>1238457.2766400001</v>
      </c>
      <c r="C2308" s="886">
        <v>0</v>
      </c>
      <c r="D2308" s="814">
        <v>0</v>
      </c>
      <c r="E2308" s="814">
        <v>0</v>
      </c>
      <c r="F2308" s="814">
        <v>0</v>
      </c>
      <c r="G2308" s="814">
        <v>0</v>
      </c>
      <c r="H2308" s="814">
        <v>0</v>
      </c>
      <c r="I2308" s="898">
        <f t="shared" si="135"/>
        <v>1238457.2766400001</v>
      </c>
      <c r="J2308" s="203" t="s">
        <v>903</v>
      </c>
    </row>
    <row r="2309" spans="1:10" hidden="1" outlineLevel="1">
      <c r="A2309" s="876" t="s">
        <v>904</v>
      </c>
      <c r="B2309" s="900">
        <f t="shared" si="136"/>
        <v>1297116.33088</v>
      </c>
      <c r="C2309" s="886">
        <v>0</v>
      </c>
      <c r="D2309" s="814">
        <v>0</v>
      </c>
      <c r="E2309" s="814">
        <v>0</v>
      </c>
      <c r="F2309" s="814">
        <v>0</v>
      </c>
      <c r="G2309" s="814">
        <v>0</v>
      </c>
      <c r="H2309" s="814">
        <v>0</v>
      </c>
      <c r="I2309" s="898">
        <f t="shared" si="135"/>
        <v>1297116.33088</v>
      </c>
      <c r="J2309" s="203" t="s">
        <v>905</v>
      </c>
    </row>
    <row r="2310" spans="1:10" hidden="1" outlineLevel="1">
      <c r="A2310" s="876" t="s">
        <v>906</v>
      </c>
      <c r="B2310" s="900">
        <f t="shared" si="136"/>
        <v>560012.29537167994</v>
      </c>
      <c r="C2310" s="886">
        <v>0</v>
      </c>
      <c r="D2310" s="814">
        <v>0</v>
      </c>
      <c r="E2310" s="814">
        <v>0</v>
      </c>
      <c r="F2310" s="814">
        <v>0</v>
      </c>
      <c r="G2310" s="814">
        <v>0</v>
      </c>
      <c r="H2310" s="814">
        <v>0</v>
      </c>
      <c r="I2310" s="898">
        <f t="shared" si="135"/>
        <v>560012.29537167994</v>
      </c>
      <c r="J2310" s="203" t="s">
        <v>907</v>
      </c>
    </row>
    <row r="2311" spans="1:10" hidden="1" outlineLevel="1">
      <c r="A2311" s="876" t="s">
        <v>908</v>
      </c>
      <c r="B2311" s="900">
        <f t="shared" si="136"/>
        <v>959383.30480000004</v>
      </c>
      <c r="C2311" s="886">
        <v>0</v>
      </c>
      <c r="D2311" s="814">
        <v>0</v>
      </c>
      <c r="E2311" s="814">
        <v>0</v>
      </c>
      <c r="F2311" s="814">
        <v>0</v>
      </c>
      <c r="G2311" s="814">
        <v>0</v>
      </c>
      <c r="H2311" s="814">
        <v>0</v>
      </c>
      <c r="I2311" s="898">
        <f t="shared" si="135"/>
        <v>959383.30480000004</v>
      </c>
      <c r="J2311" s="203" t="s">
        <v>909</v>
      </c>
    </row>
    <row r="2312" spans="1:10" hidden="1" outlineLevel="1">
      <c r="A2312" s="876" t="s">
        <v>910</v>
      </c>
      <c r="B2312" s="900">
        <f t="shared" si="136"/>
        <v>2975969.5905599999</v>
      </c>
      <c r="C2312" s="886">
        <v>0</v>
      </c>
      <c r="D2312" s="814">
        <v>0</v>
      </c>
      <c r="E2312" s="814">
        <v>0</v>
      </c>
      <c r="F2312" s="815">
        <v>4199</v>
      </c>
      <c r="G2312" s="814">
        <v>0</v>
      </c>
      <c r="H2312" s="814">
        <v>0</v>
      </c>
      <c r="I2312" s="898">
        <f t="shared" si="135"/>
        <v>2980168.5905599999</v>
      </c>
      <c r="J2312" s="203" t="s">
        <v>911</v>
      </c>
    </row>
    <row r="2313" spans="1:10" hidden="1" outlineLevel="1">
      <c r="A2313" s="876" t="s">
        <v>912</v>
      </c>
      <c r="B2313" s="900">
        <f t="shared" si="136"/>
        <v>111903.41232</v>
      </c>
      <c r="C2313" s="886">
        <v>0</v>
      </c>
      <c r="D2313" s="814">
        <v>0</v>
      </c>
      <c r="E2313" s="814">
        <v>0</v>
      </c>
      <c r="F2313" s="814">
        <v>0</v>
      </c>
      <c r="G2313" s="814">
        <v>0</v>
      </c>
      <c r="H2313" s="814">
        <v>0</v>
      </c>
      <c r="I2313" s="898">
        <f t="shared" si="135"/>
        <v>111903.41232</v>
      </c>
      <c r="J2313" s="203" t="s">
        <v>913</v>
      </c>
    </row>
    <row r="2314" spans="1:10" hidden="1" outlineLevel="1">
      <c r="A2314" s="876" t="s">
        <v>914</v>
      </c>
      <c r="B2314" s="900">
        <f t="shared" si="136"/>
        <v>686987.01280000003</v>
      </c>
      <c r="C2314" s="886">
        <v>0</v>
      </c>
      <c r="D2314" s="814">
        <v>0</v>
      </c>
      <c r="E2314" s="814">
        <v>0</v>
      </c>
      <c r="F2314" s="814">
        <v>0</v>
      </c>
      <c r="G2314" s="814">
        <v>0</v>
      </c>
      <c r="H2314" s="814">
        <v>0</v>
      </c>
      <c r="I2314" s="898">
        <f t="shared" si="135"/>
        <v>686987.01280000003</v>
      </c>
      <c r="J2314" s="203" t="s">
        <v>915</v>
      </c>
    </row>
    <row r="2315" spans="1:10" hidden="1" outlineLevel="1">
      <c r="A2315" s="876" t="s">
        <v>916</v>
      </c>
      <c r="B2315" s="900">
        <f t="shared" si="136"/>
        <v>87997.361919999996</v>
      </c>
      <c r="C2315" s="886">
        <v>0</v>
      </c>
      <c r="D2315" s="814">
        <v>0</v>
      </c>
      <c r="E2315" s="814">
        <v>0</v>
      </c>
      <c r="F2315" s="814">
        <v>0</v>
      </c>
      <c r="G2315" s="814">
        <v>0</v>
      </c>
      <c r="H2315" s="814">
        <v>0</v>
      </c>
      <c r="I2315" s="898">
        <f t="shared" si="135"/>
        <v>87997.361919999996</v>
      </c>
      <c r="J2315" s="203" t="s">
        <v>917</v>
      </c>
    </row>
    <row r="2316" spans="1:10" hidden="1" outlineLevel="1">
      <c r="A2316" s="876" t="s">
        <v>918</v>
      </c>
      <c r="B2316" s="900">
        <f t="shared" si="136"/>
        <v>945747.4264</v>
      </c>
      <c r="C2316" s="886">
        <v>0</v>
      </c>
      <c r="D2316" s="814">
        <v>0</v>
      </c>
      <c r="E2316" s="814">
        <v>0</v>
      </c>
      <c r="F2316" s="814">
        <v>0</v>
      </c>
      <c r="G2316" s="814">
        <v>0</v>
      </c>
      <c r="H2316" s="814">
        <v>0</v>
      </c>
      <c r="I2316" s="898">
        <f t="shared" si="135"/>
        <v>945747.4264</v>
      </c>
      <c r="J2316" s="203" t="s">
        <v>919</v>
      </c>
    </row>
    <row r="2317" spans="1:10" hidden="1" outlineLevel="1">
      <c r="A2317" s="876" t="s">
        <v>920</v>
      </c>
      <c r="B2317" s="900">
        <f t="shared" si="136"/>
        <v>3125428.4358729599</v>
      </c>
      <c r="C2317" s="886">
        <v>0</v>
      </c>
      <c r="D2317" s="814">
        <v>0</v>
      </c>
      <c r="E2317" s="814">
        <v>0</v>
      </c>
      <c r="F2317" s="814">
        <v>0</v>
      </c>
      <c r="G2317" s="814">
        <v>0</v>
      </c>
      <c r="H2317" s="814">
        <v>0</v>
      </c>
      <c r="I2317" s="898">
        <f t="shared" si="135"/>
        <v>3125428.4358729599</v>
      </c>
      <c r="J2317" s="203" t="s">
        <v>921</v>
      </c>
    </row>
    <row r="2318" spans="1:10" hidden="1" outlineLevel="1">
      <c r="A2318" s="876" t="s">
        <v>922</v>
      </c>
      <c r="B2318" s="900">
        <f t="shared" si="136"/>
        <v>74454.143519999998</v>
      </c>
      <c r="C2318" s="886">
        <v>0</v>
      </c>
      <c r="D2318" s="814">
        <v>0</v>
      </c>
      <c r="E2318" s="814">
        <v>0</v>
      </c>
      <c r="F2318" s="814">
        <v>0</v>
      </c>
      <c r="G2318" s="814">
        <v>0</v>
      </c>
      <c r="H2318" s="814">
        <v>205</v>
      </c>
      <c r="I2318" s="898">
        <f t="shared" si="135"/>
        <v>74659.143519999998</v>
      </c>
      <c r="J2318" s="203" t="s">
        <v>923</v>
      </c>
    </row>
    <row r="2319" spans="1:10" hidden="1" outlineLevel="1">
      <c r="A2319" s="876" t="s">
        <v>924</v>
      </c>
      <c r="B2319" s="900">
        <f t="shared" si="136"/>
        <v>15279.965280000002</v>
      </c>
      <c r="C2319" s="886">
        <v>0</v>
      </c>
      <c r="D2319" s="814">
        <v>0</v>
      </c>
      <c r="E2319" s="814">
        <v>0</v>
      </c>
      <c r="F2319" s="814">
        <v>0</v>
      </c>
      <c r="G2319" s="814">
        <v>0</v>
      </c>
      <c r="H2319" s="814">
        <v>0</v>
      </c>
      <c r="I2319" s="898">
        <f t="shared" si="135"/>
        <v>15279.965280000002</v>
      </c>
      <c r="J2319" s="203" t="s">
        <v>925</v>
      </c>
    </row>
    <row r="2320" spans="1:10" hidden="1" outlineLevel="1">
      <c r="A2320" s="876" t="s">
        <v>1867</v>
      </c>
      <c r="B2320" s="900">
        <f t="shared" si="136"/>
        <v>41798.975200000001</v>
      </c>
      <c r="C2320" s="886">
        <v>0</v>
      </c>
      <c r="D2320" s="814">
        <v>0</v>
      </c>
      <c r="E2320" s="814">
        <v>0</v>
      </c>
      <c r="F2320" s="814">
        <v>0</v>
      </c>
      <c r="G2320" s="814">
        <v>0</v>
      </c>
      <c r="H2320" s="814">
        <v>0</v>
      </c>
      <c r="I2320" s="898">
        <f t="shared" si="135"/>
        <v>41798.975200000001</v>
      </c>
      <c r="J2320" s="203" t="s">
        <v>1868</v>
      </c>
    </row>
    <row r="2321" spans="1:10" hidden="1" outlineLevel="1">
      <c r="A2321" s="876" t="s">
        <v>926</v>
      </c>
      <c r="B2321" s="900">
        <f t="shared" si="136"/>
        <v>1517655.5867200003</v>
      </c>
      <c r="C2321" s="886">
        <v>0</v>
      </c>
      <c r="D2321" s="814">
        <v>0</v>
      </c>
      <c r="E2321" s="814">
        <v>0</v>
      </c>
      <c r="F2321" s="814">
        <v>0</v>
      </c>
      <c r="G2321" s="814">
        <v>0</v>
      </c>
      <c r="H2321" s="814">
        <v>0</v>
      </c>
      <c r="I2321" s="898">
        <f t="shared" si="135"/>
        <v>1517655.5867200003</v>
      </c>
      <c r="J2321" s="203" t="s">
        <v>927</v>
      </c>
    </row>
    <row r="2322" spans="1:10" hidden="1" outlineLevel="1">
      <c r="A2322" s="876" t="s">
        <v>928</v>
      </c>
      <c r="B2322" s="900">
        <f t="shared" si="136"/>
        <v>668074.75334720011</v>
      </c>
      <c r="C2322" s="886">
        <v>0</v>
      </c>
      <c r="D2322" s="814">
        <v>0</v>
      </c>
      <c r="E2322" s="814">
        <v>0</v>
      </c>
      <c r="F2322" s="814">
        <v>0</v>
      </c>
      <c r="G2322" s="814">
        <v>0</v>
      </c>
      <c r="H2322" s="814">
        <v>0</v>
      </c>
      <c r="I2322" s="898">
        <f t="shared" si="135"/>
        <v>668074.75334720011</v>
      </c>
      <c r="J2322" s="203" t="s">
        <v>929</v>
      </c>
    </row>
    <row r="2323" spans="1:10" hidden="1" outlineLevel="1">
      <c r="A2323" s="876" t="s">
        <v>930</v>
      </c>
      <c r="B2323" s="900">
        <f t="shared" si="136"/>
        <v>1331672.3772799999</v>
      </c>
      <c r="C2323" s="886">
        <v>0</v>
      </c>
      <c r="D2323" s="814">
        <v>0</v>
      </c>
      <c r="E2323" s="814">
        <v>0</v>
      </c>
      <c r="F2323" s="814">
        <v>0</v>
      </c>
      <c r="G2323" s="814">
        <v>0</v>
      </c>
      <c r="H2323" s="814">
        <v>0</v>
      </c>
      <c r="I2323" s="898">
        <f t="shared" si="135"/>
        <v>1331672.3772799999</v>
      </c>
      <c r="J2323" s="203" t="s">
        <v>931</v>
      </c>
    </row>
    <row r="2324" spans="1:10" hidden="1" outlineLevel="1">
      <c r="A2324" s="876" t="s">
        <v>932</v>
      </c>
      <c r="B2324" s="900">
        <f t="shared" si="136"/>
        <v>141341.20240000001</v>
      </c>
      <c r="C2324" s="886">
        <v>0</v>
      </c>
      <c r="D2324" s="814">
        <v>0</v>
      </c>
      <c r="E2324" s="814">
        <v>0</v>
      </c>
      <c r="F2324" s="814">
        <v>0</v>
      </c>
      <c r="G2324" s="814">
        <v>0</v>
      </c>
      <c r="H2324" s="814">
        <v>0</v>
      </c>
      <c r="I2324" s="898">
        <f t="shared" si="135"/>
        <v>141341.20240000001</v>
      </c>
      <c r="J2324" s="203" t="s">
        <v>933</v>
      </c>
    </row>
    <row r="2325" spans="1:10" hidden="1" outlineLevel="1">
      <c r="A2325" s="876" t="s">
        <v>934</v>
      </c>
      <c r="B2325" s="900">
        <f t="shared" si="136"/>
        <v>10963279.40096</v>
      </c>
      <c r="C2325" s="886">
        <v>0</v>
      </c>
      <c r="D2325" s="814">
        <v>0</v>
      </c>
      <c r="E2325" s="814">
        <v>0</v>
      </c>
      <c r="F2325" s="814">
        <v>0</v>
      </c>
      <c r="G2325" s="814">
        <v>0</v>
      </c>
      <c r="H2325" s="814">
        <v>0</v>
      </c>
      <c r="I2325" s="898">
        <f t="shared" si="135"/>
        <v>10963279.40096</v>
      </c>
      <c r="J2325" s="203" t="s">
        <v>935</v>
      </c>
    </row>
    <row r="2326" spans="1:10" hidden="1" outlineLevel="1">
      <c r="A2326" s="876" t="s">
        <v>936</v>
      </c>
      <c r="B2326" s="900">
        <f t="shared" si="136"/>
        <v>3752541.5031232005</v>
      </c>
      <c r="C2326" s="886">
        <v>0</v>
      </c>
      <c r="D2326" s="814">
        <v>0</v>
      </c>
      <c r="E2326" s="814">
        <v>0</v>
      </c>
      <c r="F2326" s="814">
        <v>0</v>
      </c>
      <c r="G2326" s="814">
        <v>0</v>
      </c>
      <c r="H2326" s="814">
        <v>0</v>
      </c>
      <c r="I2326" s="898">
        <f t="shared" si="135"/>
        <v>3752541.5031232005</v>
      </c>
      <c r="J2326" s="203" t="s">
        <v>937</v>
      </c>
    </row>
    <row r="2327" spans="1:10" hidden="1" outlineLevel="1">
      <c r="A2327" s="876" t="s">
        <v>938</v>
      </c>
      <c r="B2327" s="900">
        <f t="shared" si="136"/>
        <v>215618.50144000002</v>
      </c>
      <c r="C2327" s="886">
        <v>0</v>
      </c>
      <c r="D2327" s="814">
        <v>0</v>
      </c>
      <c r="E2327" s="814">
        <v>0</v>
      </c>
      <c r="F2327" s="814">
        <v>0</v>
      </c>
      <c r="G2327" s="814">
        <v>0</v>
      </c>
      <c r="H2327" s="814">
        <v>0</v>
      </c>
      <c r="I2327" s="898">
        <f t="shared" si="135"/>
        <v>215618.50144000002</v>
      </c>
      <c r="J2327" s="203" t="s">
        <v>939</v>
      </c>
    </row>
    <row r="2328" spans="1:10" hidden="1" outlineLevel="1">
      <c r="A2328" s="876" t="s">
        <v>940</v>
      </c>
      <c r="B2328" s="900">
        <f t="shared" si="136"/>
        <v>309981.97600000002</v>
      </c>
      <c r="C2328" s="886">
        <v>0</v>
      </c>
      <c r="D2328" s="814">
        <v>0</v>
      </c>
      <c r="E2328" s="814">
        <v>0</v>
      </c>
      <c r="F2328" s="814">
        <v>0</v>
      </c>
      <c r="G2328" s="814">
        <v>0</v>
      </c>
      <c r="H2328" s="814">
        <v>0</v>
      </c>
      <c r="I2328" s="898">
        <f t="shared" si="135"/>
        <v>309981.97600000002</v>
      </c>
      <c r="J2328" s="203" t="s">
        <v>941</v>
      </c>
    </row>
    <row r="2329" spans="1:10" hidden="1" outlineLevel="1">
      <c r="A2329" s="876" t="s">
        <v>942</v>
      </c>
      <c r="B2329" s="900">
        <f t="shared" si="136"/>
        <v>105484.59008000001</v>
      </c>
      <c r="C2329" s="886">
        <v>0</v>
      </c>
      <c r="D2329" s="814">
        <v>0</v>
      </c>
      <c r="E2329" s="814">
        <v>0</v>
      </c>
      <c r="F2329" s="814">
        <v>0</v>
      </c>
      <c r="G2329" s="814">
        <v>0</v>
      </c>
      <c r="H2329" s="814">
        <v>0</v>
      </c>
      <c r="I2329" s="898">
        <f t="shared" si="135"/>
        <v>105484.59008000001</v>
      </c>
      <c r="J2329" s="203" t="s">
        <v>943</v>
      </c>
    </row>
    <row r="2330" spans="1:10" hidden="1" outlineLevel="1">
      <c r="A2330" s="876" t="s">
        <v>210</v>
      </c>
      <c r="B2330" s="900">
        <f t="shared" si="136"/>
        <v>1831388.4067200003</v>
      </c>
      <c r="C2330" s="886">
        <v>0</v>
      </c>
      <c r="D2330" s="814">
        <v>0</v>
      </c>
      <c r="E2330" s="814">
        <v>0</v>
      </c>
      <c r="F2330" s="814">
        <v>0</v>
      </c>
      <c r="G2330" s="814">
        <v>0</v>
      </c>
      <c r="H2330" s="814">
        <v>0</v>
      </c>
      <c r="I2330" s="898">
        <f t="shared" si="135"/>
        <v>1831388.4067200003</v>
      </c>
      <c r="J2330" s="203" t="s">
        <v>211</v>
      </c>
    </row>
    <row r="2331" spans="1:10" hidden="1" outlineLevel="1">
      <c r="A2331" s="876" t="s">
        <v>944</v>
      </c>
      <c r="B2331" s="900">
        <f t="shared" si="136"/>
        <v>784525.99968000012</v>
      </c>
      <c r="C2331" s="886">
        <v>0</v>
      </c>
      <c r="D2331" s="814">
        <v>0</v>
      </c>
      <c r="E2331" s="814">
        <v>0</v>
      </c>
      <c r="F2331" s="814">
        <v>0</v>
      </c>
      <c r="G2331" s="814">
        <v>0</v>
      </c>
      <c r="H2331" s="814">
        <v>0</v>
      </c>
      <c r="I2331" s="898">
        <f t="shared" si="135"/>
        <v>784525.99968000012</v>
      </c>
      <c r="J2331" s="203" t="s">
        <v>945</v>
      </c>
    </row>
    <row r="2332" spans="1:10" hidden="1" outlineLevel="1">
      <c r="A2332" s="876" t="s">
        <v>946</v>
      </c>
      <c r="B2332" s="900">
        <f t="shared" si="136"/>
        <v>208636.94271999999</v>
      </c>
      <c r="C2332" s="886">
        <v>0</v>
      </c>
      <c r="D2332" s="814">
        <v>0</v>
      </c>
      <c r="E2332" s="814">
        <v>0</v>
      </c>
      <c r="F2332" s="814">
        <v>0</v>
      </c>
      <c r="G2332" s="814">
        <v>0</v>
      </c>
      <c r="H2332" s="814">
        <v>0</v>
      </c>
      <c r="I2332" s="898">
        <f t="shared" si="135"/>
        <v>208636.94271999999</v>
      </c>
      <c r="J2332" s="203" t="s">
        <v>947</v>
      </c>
    </row>
    <row r="2333" spans="1:10" hidden="1" outlineLevel="1">
      <c r="A2333" s="876" t="s">
        <v>948</v>
      </c>
      <c r="B2333" s="900">
        <f t="shared" si="136"/>
        <v>74777.85328000001</v>
      </c>
      <c r="C2333" s="886">
        <v>0</v>
      </c>
      <c r="D2333" s="814">
        <v>0</v>
      </c>
      <c r="E2333" s="814">
        <v>0</v>
      </c>
      <c r="F2333" s="814">
        <v>0</v>
      </c>
      <c r="G2333" s="814">
        <v>0</v>
      </c>
      <c r="H2333" s="814">
        <v>0</v>
      </c>
      <c r="I2333" s="898">
        <f t="shared" si="135"/>
        <v>74777.85328000001</v>
      </c>
      <c r="J2333" s="203" t="s">
        <v>949</v>
      </c>
    </row>
    <row r="2334" spans="1:10" hidden="1" outlineLevel="1">
      <c r="A2334" s="876" t="s">
        <v>950</v>
      </c>
      <c r="B2334" s="900">
        <f t="shared" si="136"/>
        <v>153564.95552000002</v>
      </c>
      <c r="C2334" s="886">
        <v>0</v>
      </c>
      <c r="D2334" s="814">
        <v>0</v>
      </c>
      <c r="E2334" s="814">
        <v>0</v>
      </c>
      <c r="F2334" s="814">
        <v>0</v>
      </c>
      <c r="G2334" s="814">
        <v>0</v>
      </c>
      <c r="H2334" s="814">
        <v>0</v>
      </c>
      <c r="I2334" s="898">
        <f t="shared" si="135"/>
        <v>153564.95552000002</v>
      </c>
      <c r="J2334" s="203" t="s">
        <v>951</v>
      </c>
    </row>
    <row r="2335" spans="1:10" hidden="1" outlineLevel="1">
      <c r="A2335" s="876" t="s">
        <v>952</v>
      </c>
      <c r="B2335" s="900">
        <f t="shared" si="136"/>
        <v>418766.10832</v>
      </c>
      <c r="C2335" s="886">
        <v>0</v>
      </c>
      <c r="D2335" s="814">
        <v>0</v>
      </c>
      <c r="E2335" s="814">
        <v>0</v>
      </c>
      <c r="F2335" s="814">
        <v>0</v>
      </c>
      <c r="G2335" s="814">
        <v>0</v>
      </c>
      <c r="H2335" s="814">
        <v>0</v>
      </c>
      <c r="I2335" s="898">
        <f t="shared" si="135"/>
        <v>418766.10832</v>
      </c>
      <c r="J2335" s="203" t="s">
        <v>953</v>
      </c>
    </row>
    <row r="2336" spans="1:10" hidden="1" outlineLevel="1">
      <c r="A2336" s="876" t="s">
        <v>954</v>
      </c>
      <c r="B2336" s="900">
        <f t="shared" si="136"/>
        <v>947852.62880000006</v>
      </c>
      <c r="C2336" s="886">
        <v>0</v>
      </c>
      <c r="D2336" s="814">
        <v>0</v>
      </c>
      <c r="E2336" s="814">
        <v>0</v>
      </c>
      <c r="F2336" s="814">
        <v>0</v>
      </c>
      <c r="G2336" s="814">
        <v>0</v>
      </c>
      <c r="H2336" s="814">
        <v>0</v>
      </c>
      <c r="I2336" s="898">
        <f t="shared" si="135"/>
        <v>947852.62880000006</v>
      </c>
      <c r="J2336" s="203" t="s">
        <v>955</v>
      </c>
    </row>
    <row r="2337" spans="1:10" hidden="1" outlineLevel="1">
      <c r="A2337" s="876" t="s">
        <v>956</v>
      </c>
      <c r="B2337" s="900">
        <f t="shared" si="136"/>
        <v>234688.88720000003</v>
      </c>
      <c r="C2337" s="886">
        <v>0</v>
      </c>
      <c r="D2337" s="814">
        <v>0</v>
      </c>
      <c r="E2337" s="814">
        <v>0</v>
      </c>
      <c r="F2337" s="814">
        <v>0</v>
      </c>
      <c r="G2337" s="814">
        <v>0</v>
      </c>
      <c r="H2337" s="814">
        <v>0</v>
      </c>
      <c r="I2337" s="898">
        <f t="shared" si="135"/>
        <v>234688.88720000003</v>
      </c>
      <c r="J2337" s="203" t="s">
        <v>957</v>
      </c>
    </row>
    <row r="2338" spans="1:10" hidden="1" outlineLevel="1">
      <c r="A2338" s="876" t="s">
        <v>958</v>
      </c>
      <c r="B2338" s="900">
        <f t="shared" si="136"/>
        <v>666733.0652800001</v>
      </c>
      <c r="C2338" s="886">
        <v>0</v>
      </c>
      <c r="D2338" s="814">
        <v>0</v>
      </c>
      <c r="E2338" s="814">
        <v>0</v>
      </c>
      <c r="F2338" s="814">
        <v>0</v>
      </c>
      <c r="G2338" s="814">
        <v>0</v>
      </c>
      <c r="H2338" s="814">
        <v>0</v>
      </c>
      <c r="I2338" s="898">
        <f t="shared" si="135"/>
        <v>666733.0652800001</v>
      </c>
      <c r="J2338" s="203" t="s">
        <v>959</v>
      </c>
    </row>
    <row r="2339" spans="1:10" hidden="1" outlineLevel="1">
      <c r="A2339" s="876" t="s">
        <v>960</v>
      </c>
      <c r="B2339" s="900">
        <f t="shared" si="136"/>
        <v>714436.76864000002</v>
      </c>
      <c r="C2339" s="886">
        <v>0</v>
      </c>
      <c r="D2339" s="814">
        <v>0</v>
      </c>
      <c r="E2339" s="814">
        <v>0</v>
      </c>
      <c r="F2339" s="814">
        <v>0</v>
      </c>
      <c r="G2339" s="814">
        <v>0</v>
      </c>
      <c r="H2339" s="814">
        <v>0</v>
      </c>
      <c r="I2339" s="898">
        <f t="shared" si="135"/>
        <v>714436.76864000002</v>
      </c>
      <c r="J2339" s="203" t="s">
        <v>961</v>
      </c>
    </row>
    <row r="2340" spans="1:10" hidden="1" outlineLevel="1">
      <c r="A2340" s="876" t="s">
        <v>962</v>
      </c>
      <c r="B2340" s="900">
        <f t="shared" si="136"/>
        <v>888682.54400000011</v>
      </c>
      <c r="C2340" s="886">
        <v>0</v>
      </c>
      <c r="D2340" s="814">
        <v>0</v>
      </c>
      <c r="E2340" s="814">
        <v>0</v>
      </c>
      <c r="F2340" s="814">
        <v>0</v>
      </c>
      <c r="G2340" s="814">
        <v>0</v>
      </c>
      <c r="H2340" s="814">
        <v>0</v>
      </c>
      <c r="I2340" s="898">
        <f t="shared" si="135"/>
        <v>888682.54400000011</v>
      </c>
      <c r="J2340" s="203" t="s">
        <v>963</v>
      </c>
    </row>
    <row r="2341" spans="1:10" hidden="1" outlineLevel="1">
      <c r="A2341" s="876" t="s">
        <v>1869</v>
      </c>
      <c r="B2341" s="900">
        <f t="shared" si="136"/>
        <v>31023.449926400004</v>
      </c>
      <c r="C2341" s="886">
        <v>0</v>
      </c>
      <c r="D2341" s="814">
        <v>0</v>
      </c>
      <c r="E2341" s="814">
        <v>0</v>
      </c>
      <c r="F2341" s="814">
        <v>0</v>
      </c>
      <c r="G2341" s="814">
        <v>0</v>
      </c>
      <c r="H2341" s="814">
        <v>0</v>
      </c>
      <c r="I2341" s="898">
        <f t="shared" si="135"/>
        <v>31023.449926400004</v>
      </c>
      <c r="J2341" s="203" t="s">
        <v>1870</v>
      </c>
    </row>
    <row r="2342" spans="1:10" hidden="1" outlineLevel="1">
      <c r="A2342" s="876" t="s">
        <v>964</v>
      </c>
      <c r="B2342" s="900">
        <f t="shared" si="136"/>
        <v>1747925.7563199999</v>
      </c>
      <c r="C2342" s="886">
        <v>0</v>
      </c>
      <c r="D2342" s="814">
        <v>0</v>
      </c>
      <c r="E2342" s="814">
        <v>0</v>
      </c>
      <c r="F2342" s="814">
        <v>0</v>
      </c>
      <c r="G2342" s="814">
        <v>0</v>
      </c>
      <c r="H2342" s="814">
        <v>0</v>
      </c>
      <c r="I2342" s="898">
        <f t="shared" si="135"/>
        <v>1747925.7563199999</v>
      </c>
      <c r="J2342" s="203" t="s">
        <v>965</v>
      </c>
    </row>
    <row r="2343" spans="1:10" hidden="1" outlineLevel="1">
      <c r="A2343" s="876" t="s">
        <v>1871</v>
      </c>
      <c r="B2343" s="900">
        <f t="shared" si="136"/>
        <v>0</v>
      </c>
      <c r="C2343" s="886">
        <v>0</v>
      </c>
      <c r="D2343" s="814">
        <v>0</v>
      </c>
      <c r="E2343" s="814">
        <v>0</v>
      </c>
      <c r="F2343" s="814">
        <v>0</v>
      </c>
      <c r="G2343" s="814">
        <v>0</v>
      </c>
      <c r="H2343" s="814">
        <v>0</v>
      </c>
      <c r="I2343" s="898">
        <f t="shared" si="135"/>
        <v>0</v>
      </c>
      <c r="J2343" s="203" t="s">
        <v>1872</v>
      </c>
    </row>
    <row r="2344" spans="1:10" hidden="1" outlineLevel="1">
      <c r="A2344" s="876" t="s">
        <v>966</v>
      </c>
      <c r="B2344" s="900">
        <f t="shared" si="136"/>
        <v>105493.6888</v>
      </c>
      <c r="C2344" s="886">
        <v>0</v>
      </c>
      <c r="D2344" s="814">
        <v>0</v>
      </c>
      <c r="E2344" s="814">
        <v>0</v>
      </c>
      <c r="F2344" s="814">
        <v>0</v>
      </c>
      <c r="G2344" s="814">
        <v>0</v>
      </c>
      <c r="H2344" s="814">
        <v>0</v>
      </c>
      <c r="I2344" s="898">
        <f t="shared" ref="I2344:I2407" si="137">SUM(B2344:H2344)</f>
        <v>105493.6888</v>
      </c>
      <c r="J2344" s="203" t="s">
        <v>967</v>
      </c>
    </row>
    <row r="2345" spans="1:10" hidden="1" outlineLevel="1">
      <c r="A2345" s="876" t="s">
        <v>968</v>
      </c>
      <c r="B2345" s="900">
        <f t="shared" ref="B2345:B2408" si="138">B477*0.656/100</f>
        <v>297944.43504000001</v>
      </c>
      <c r="C2345" s="886">
        <v>0</v>
      </c>
      <c r="D2345" s="814">
        <v>0</v>
      </c>
      <c r="E2345" s="814">
        <v>0</v>
      </c>
      <c r="F2345" s="814">
        <v>0</v>
      </c>
      <c r="G2345" s="814">
        <v>0</v>
      </c>
      <c r="H2345" s="814">
        <v>0</v>
      </c>
      <c r="I2345" s="898">
        <f t="shared" si="137"/>
        <v>297944.43504000001</v>
      </c>
      <c r="J2345" s="203" t="s">
        <v>969</v>
      </c>
    </row>
    <row r="2346" spans="1:10" hidden="1" outlineLevel="1">
      <c r="A2346" s="876" t="s">
        <v>1873</v>
      </c>
      <c r="B2346" s="900">
        <f t="shared" si="138"/>
        <v>41531.983200000002</v>
      </c>
      <c r="C2346" s="886">
        <v>0</v>
      </c>
      <c r="D2346" s="814">
        <v>0</v>
      </c>
      <c r="E2346" s="814">
        <v>0</v>
      </c>
      <c r="F2346" s="814">
        <v>0</v>
      </c>
      <c r="G2346" s="814">
        <v>0</v>
      </c>
      <c r="H2346" s="814">
        <v>0</v>
      </c>
      <c r="I2346" s="898">
        <f t="shared" si="137"/>
        <v>41531.983200000002</v>
      </c>
      <c r="J2346" s="203" t="s">
        <v>1874</v>
      </c>
    </row>
    <row r="2347" spans="1:10" hidden="1" outlineLevel="1">
      <c r="A2347" s="876" t="s">
        <v>970</v>
      </c>
      <c r="B2347" s="900">
        <f t="shared" si="138"/>
        <v>172383.69311999998</v>
      </c>
      <c r="C2347" s="886">
        <v>0</v>
      </c>
      <c r="D2347" s="814">
        <v>0</v>
      </c>
      <c r="E2347" s="814">
        <v>0</v>
      </c>
      <c r="F2347" s="814">
        <v>0</v>
      </c>
      <c r="G2347" s="814">
        <v>0</v>
      </c>
      <c r="H2347" s="814">
        <v>0</v>
      </c>
      <c r="I2347" s="898">
        <f t="shared" si="137"/>
        <v>172383.69311999998</v>
      </c>
      <c r="J2347" s="203" t="s">
        <v>971</v>
      </c>
    </row>
    <row r="2348" spans="1:10" hidden="1" outlineLevel="1">
      <c r="A2348" s="876" t="s">
        <v>972</v>
      </c>
      <c r="B2348" s="900">
        <f t="shared" si="138"/>
        <v>3285925.7464000001</v>
      </c>
      <c r="C2348" s="886">
        <v>0</v>
      </c>
      <c r="D2348" s="814">
        <v>0</v>
      </c>
      <c r="E2348" s="814">
        <v>0</v>
      </c>
      <c r="F2348" s="814">
        <v>0</v>
      </c>
      <c r="G2348" s="814">
        <v>0</v>
      </c>
      <c r="H2348" s="814">
        <v>0</v>
      </c>
      <c r="I2348" s="898">
        <f t="shared" si="137"/>
        <v>3285925.7464000001</v>
      </c>
      <c r="J2348" s="203" t="s">
        <v>973</v>
      </c>
    </row>
    <row r="2349" spans="1:10" hidden="1" outlineLevel="1">
      <c r="A2349" s="876" t="s">
        <v>974</v>
      </c>
      <c r="B2349" s="900">
        <f t="shared" si="138"/>
        <v>6116705.0020800009</v>
      </c>
      <c r="C2349" s="886">
        <v>0</v>
      </c>
      <c r="D2349" s="814">
        <v>0</v>
      </c>
      <c r="E2349" s="814">
        <v>0</v>
      </c>
      <c r="F2349" s="814">
        <v>0</v>
      </c>
      <c r="G2349" s="814">
        <v>0</v>
      </c>
      <c r="H2349" s="814">
        <v>0</v>
      </c>
      <c r="I2349" s="898">
        <f t="shared" si="137"/>
        <v>6116705.0020800009</v>
      </c>
      <c r="J2349" s="203" t="s">
        <v>975</v>
      </c>
    </row>
    <row r="2350" spans="1:10" hidden="1" outlineLevel="1">
      <c r="A2350" s="876" t="s">
        <v>976</v>
      </c>
      <c r="B2350" s="900">
        <f t="shared" si="138"/>
        <v>740646.35752959992</v>
      </c>
      <c r="C2350" s="886">
        <v>0</v>
      </c>
      <c r="D2350" s="814">
        <v>0</v>
      </c>
      <c r="E2350" s="814">
        <v>0</v>
      </c>
      <c r="F2350" s="814">
        <v>0</v>
      </c>
      <c r="G2350" s="814">
        <v>0</v>
      </c>
      <c r="H2350" s="814">
        <v>0</v>
      </c>
      <c r="I2350" s="898">
        <f t="shared" si="137"/>
        <v>740646.35752959992</v>
      </c>
      <c r="J2350" s="203" t="s">
        <v>977</v>
      </c>
    </row>
    <row r="2351" spans="1:10" hidden="1" outlineLevel="1">
      <c r="A2351" s="876" t="s">
        <v>978</v>
      </c>
      <c r="B2351" s="900">
        <f t="shared" si="138"/>
        <v>970293.07680000004</v>
      </c>
      <c r="C2351" s="886">
        <v>0</v>
      </c>
      <c r="D2351" s="814">
        <v>0</v>
      </c>
      <c r="E2351" s="814">
        <v>0</v>
      </c>
      <c r="F2351" s="814">
        <v>0</v>
      </c>
      <c r="G2351" s="814">
        <v>0</v>
      </c>
      <c r="H2351" s="814">
        <v>0</v>
      </c>
      <c r="I2351" s="898">
        <f t="shared" si="137"/>
        <v>970293.07680000004</v>
      </c>
      <c r="J2351" s="203" t="s">
        <v>979</v>
      </c>
    </row>
    <row r="2352" spans="1:10" hidden="1" outlineLevel="1">
      <c r="A2352" s="876" t="s">
        <v>980</v>
      </c>
      <c r="B2352" s="900">
        <f t="shared" si="138"/>
        <v>1871366.26688</v>
      </c>
      <c r="C2352" s="886">
        <v>0</v>
      </c>
      <c r="D2352" s="814">
        <v>0</v>
      </c>
      <c r="E2352" s="814">
        <v>0</v>
      </c>
      <c r="F2352" s="814">
        <v>0</v>
      </c>
      <c r="G2352" s="814">
        <v>0</v>
      </c>
      <c r="H2352" s="814">
        <v>0</v>
      </c>
      <c r="I2352" s="898">
        <f t="shared" si="137"/>
        <v>1871366.26688</v>
      </c>
      <c r="J2352" s="203" t="s">
        <v>981</v>
      </c>
    </row>
    <row r="2353" spans="1:10" hidden="1" outlineLevel="1">
      <c r="A2353" s="876" t="s">
        <v>982</v>
      </c>
      <c r="B2353" s="900">
        <f t="shared" si="138"/>
        <v>146800.12608000002</v>
      </c>
      <c r="C2353" s="886">
        <v>0</v>
      </c>
      <c r="D2353" s="814">
        <v>0</v>
      </c>
      <c r="E2353" s="814">
        <v>0</v>
      </c>
      <c r="F2353" s="814">
        <v>0</v>
      </c>
      <c r="G2353" s="814">
        <v>0</v>
      </c>
      <c r="H2353" s="814">
        <v>0</v>
      </c>
      <c r="I2353" s="898">
        <f t="shared" si="137"/>
        <v>146800.12608000002</v>
      </c>
      <c r="J2353" s="203" t="s">
        <v>983</v>
      </c>
    </row>
    <row r="2354" spans="1:10" hidden="1" outlineLevel="1">
      <c r="A2354" s="876" t="s">
        <v>984</v>
      </c>
      <c r="B2354" s="900">
        <f t="shared" si="138"/>
        <v>1016362.4808</v>
      </c>
      <c r="C2354" s="886">
        <v>0</v>
      </c>
      <c r="D2354" s="814">
        <v>0</v>
      </c>
      <c r="E2354" s="814">
        <v>0</v>
      </c>
      <c r="F2354" s="814">
        <v>0</v>
      </c>
      <c r="G2354" s="814">
        <v>0</v>
      </c>
      <c r="H2354" s="814">
        <v>0</v>
      </c>
      <c r="I2354" s="898">
        <f t="shared" si="137"/>
        <v>1016362.4808</v>
      </c>
      <c r="J2354" s="203" t="s">
        <v>985</v>
      </c>
    </row>
    <row r="2355" spans="1:10" hidden="1" outlineLevel="1">
      <c r="A2355" s="876" t="s">
        <v>986</v>
      </c>
      <c r="B2355" s="900">
        <f t="shared" si="138"/>
        <v>310567.42975999997</v>
      </c>
      <c r="C2355" s="886">
        <v>0</v>
      </c>
      <c r="D2355" s="814">
        <v>0</v>
      </c>
      <c r="E2355" s="814">
        <v>0</v>
      </c>
      <c r="F2355" s="814">
        <v>0</v>
      </c>
      <c r="G2355" s="814">
        <v>0</v>
      </c>
      <c r="H2355" s="814">
        <v>0</v>
      </c>
      <c r="I2355" s="898">
        <f t="shared" si="137"/>
        <v>310567.42975999997</v>
      </c>
      <c r="J2355" s="203" t="s">
        <v>987</v>
      </c>
    </row>
    <row r="2356" spans="1:10" hidden="1" outlineLevel="1">
      <c r="A2356" s="876" t="s">
        <v>988</v>
      </c>
      <c r="B2356" s="900">
        <f t="shared" si="138"/>
        <v>1114590.3030646399</v>
      </c>
      <c r="C2356" s="886">
        <v>0</v>
      </c>
      <c r="D2356" s="814">
        <v>0</v>
      </c>
      <c r="E2356" s="814">
        <v>0</v>
      </c>
      <c r="F2356" s="814">
        <v>0</v>
      </c>
      <c r="G2356" s="814">
        <v>0</v>
      </c>
      <c r="H2356" s="814">
        <v>0</v>
      </c>
      <c r="I2356" s="898">
        <f t="shared" si="137"/>
        <v>1114590.3030646399</v>
      </c>
      <c r="J2356" s="203" t="s">
        <v>989</v>
      </c>
    </row>
    <row r="2357" spans="1:10" hidden="1" outlineLevel="1">
      <c r="A2357" s="876" t="s">
        <v>990</v>
      </c>
      <c r="B2357" s="900">
        <f t="shared" si="138"/>
        <v>256808.13792000001</v>
      </c>
      <c r="C2357" s="886">
        <v>0</v>
      </c>
      <c r="D2357" s="814">
        <v>0</v>
      </c>
      <c r="E2357" s="814">
        <v>0</v>
      </c>
      <c r="F2357" s="814">
        <v>0</v>
      </c>
      <c r="G2357" s="814">
        <v>0</v>
      </c>
      <c r="H2357" s="814">
        <v>0</v>
      </c>
      <c r="I2357" s="898">
        <f t="shared" si="137"/>
        <v>256808.13792000001</v>
      </c>
      <c r="J2357" s="203" t="s">
        <v>991</v>
      </c>
    </row>
    <row r="2358" spans="1:10" hidden="1" outlineLevel="1">
      <c r="A2358" s="876" t="s">
        <v>992</v>
      </c>
      <c r="B2358" s="900">
        <f t="shared" si="138"/>
        <v>406668.45152</v>
      </c>
      <c r="C2358" s="886">
        <v>0</v>
      </c>
      <c r="D2358" s="814">
        <v>0</v>
      </c>
      <c r="E2358" s="814">
        <v>0</v>
      </c>
      <c r="F2358" s="814">
        <v>0</v>
      </c>
      <c r="G2358" s="814">
        <v>0</v>
      </c>
      <c r="H2358" s="814">
        <v>0</v>
      </c>
      <c r="I2358" s="898">
        <f t="shared" si="137"/>
        <v>406668.45152</v>
      </c>
      <c r="J2358" s="203" t="s">
        <v>993</v>
      </c>
    </row>
    <row r="2359" spans="1:10" hidden="1" outlineLevel="1">
      <c r="A2359" s="876" t="s">
        <v>994</v>
      </c>
      <c r="B2359" s="900">
        <f t="shared" si="138"/>
        <v>247947.68368000002</v>
      </c>
      <c r="C2359" s="886">
        <v>0</v>
      </c>
      <c r="D2359" s="814">
        <v>0</v>
      </c>
      <c r="E2359" s="814">
        <v>0</v>
      </c>
      <c r="F2359" s="814">
        <v>0</v>
      </c>
      <c r="G2359" s="814">
        <v>0</v>
      </c>
      <c r="H2359" s="814">
        <v>0</v>
      </c>
      <c r="I2359" s="898">
        <f t="shared" si="137"/>
        <v>247947.68368000002</v>
      </c>
      <c r="J2359" s="203" t="s">
        <v>995</v>
      </c>
    </row>
    <row r="2360" spans="1:10" hidden="1" outlineLevel="1">
      <c r="A2360" s="876" t="s">
        <v>996</v>
      </c>
      <c r="B2360" s="900">
        <f t="shared" si="138"/>
        <v>98643.776160000009</v>
      </c>
      <c r="C2360" s="886">
        <v>0</v>
      </c>
      <c r="D2360" s="814">
        <v>0</v>
      </c>
      <c r="E2360" s="814">
        <v>0</v>
      </c>
      <c r="F2360" s="814">
        <v>0</v>
      </c>
      <c r="G2360" s="814">
        <v>0</v>
      </c>
      <c r="H2360" s="814">
        <v>0</v>
      </c>
      <c r="I2360" s="898">
        <f t="shared" si="137"/>
        <v>98643.776160000009</v>
      </c>
      <c r="J2360" s="203" t="s">
        <v>997</v>
      </c>
    </row>
    <row r="2361" spans="1:10" hidden="1" outlineLevel="1">
      <c r="A2361" s="876" t="s">
        <v>998</v>
      </c>
      <c r="B2361" s="900">
        <f t="shared" si="138"/>
        <v>76019.182400000005</v>
      </c>
      <c r="C2361" s="886">
        <v>0</v>
      </c>
      <c r="D2361" s="814">
        <v>0</v>
      </c>
      <c r="E2361" s="814">
        <v>0</v>
      </c>
      <c r="F2361" s="814">
        <v>0</v>
      </c>
      <c r="G2361" s="814">
        <v>0</v>
      </c>
      <c r="H2361" s="814">
        <v>0</v>
      </c>
      <c r="I2361" s="898">
        <f t="shared" si="137"/>
        <v>76019.182400000005</v>
      </c>
      <c r="J2361" s="203" t="s">
        <v>999</v>
      </c>
    </row>
    <row r="2362" spans="1:10" hidden="1" outlineLevel="1">
      <c r="A2362" s="876" t="s">
        <v>1000</v>
      </c>
      <c r="B2362" s="900">
        <f t="shared" si="138"/>
        <v>134608.30703999999</v>
      </c>
      <c r="C2362" s="886">
        <v>0</v>
      </c>
      <c r="D2362" s="814">
        <v>0</v>
      </c>
      <c r="E2362" s="814">
        <v>0</v>
      </c>
      <c r="F2362" s="814">
        <v>0</v>
      </c>
      <c r="G2362" s="814">
        <v>0</v>
      </c>
      <c r="H2362" s="814">
        <v>0</v>
      </c>
      <c r="I2362" s="898">
        <f t="shared" si="137"/>
        <v>134608.30703999999</v>
      </c>
      <c r="J2362" s="203" t="s">
        <v>1001</v>
      </c>
    </row>
    <row r="2363" spans="1:10" hidden="1" outlineLevel="1">
      <c r="A2363" s="876" t="s">
        <v>1002</v>
      </c>
      <c r="B2363" s="900">
        <f t="shared" si="138"/>
        <v>622140.69776000001</v>
      </c>
      <c r="C2363" s="886">
        <v>0</v>
      </c>
      <c r="D2363" s="814">
        <v>0</v>
      </c>
      <c r="E2363" s="814">
        <v>0</v>
      </c>
      <c r="F2363" s="814">
        <v>0</v>
      </c>
      <c r="G2363" s="814">
        <v>0</v>
      </c>
      <c r="H2363" s="814">
        <v>0</v>
      </c>
      <c r="I2363" s="898">
        <f t="shared" si="137"/>
        <v>622140.69776000001</v>
      </c>
      <c r="J2363" s="203" t="s">
        <v>1003</v>
      </c>
    </row>
    <row r="2364" spans="1:10" hidden="1" outlineLevel="1">
      <c r="A2364" s="876" t="s">
        <v>1004</v>
      </c>
      <c r="B2364" s="900">
        <f t="shared" si="138"/>
        <v>293231.15376000002</v>
      </c>
      <c r="C2364" s="886">
        <v>0</v>
      </c>
      <c r="D2364" s="814">
        <v>0</v>
      </c>
      <c r="E2364" s="814">
        <v>0</v>
      </c>
      <c r="F2364" s="814">
        <v>0</v>
      </c>
      <c r="G2364" s="814">
        <v>0</v>
      </c>
      <c r="H2364" s="814">
        <v>0</v>
      </c>
      <c r="I2364" s="898">
        <f t="shared" si="137"/>
        <v>293231.15376000002</v>
      </c>
      <c r="J2364" s="203" t="s">
        <v>1005</v>
      </c>
    </row>
    <row r="2365" spans="1:10" hidden="1" outlineLevel="1">
      <c r="A2365" s="876" t="s">
        <v>1006</v>
      </c>
      <c r="B2365" s="900">
        <f t="shared" si="138"/>
        <v>346400.47855999996</v>
      </c>
      <c r="C2365" s="886">
        <v>0</v>
      </c>
      <c r="D2365" s="814">
        <v>0</v>
      </c>
      <c r="E2365" s="814">
        <v>0</v>
      </c>
      <c r="F2365" s="814">
        <v>0</v>
      </c>
      <c r="G2365" s="814">
        <v>0</v>
      </c>
      <c r="H2365" s="814">
        <v>0</v>
      </c>
      <c r="I2365" s="898">
        <f t="shared" si="137"/>
        <v>346400.47855999996</v>
      </c>
      <c r="J2365" s="203" t="s">
        <v>1007</v>
      </c>
    </row>
    <row r="2366" spans="1:10" hidden="1" outlineLevel="1">
      <c r="A2366" s="876" t="s">
        <v>1008</v>
      </c>
      <c r="B2366" s="900">
        <f t="shared" si="138"/>
        <v>92765.707840000003</v>
      </c>
      <c r="C2366" s="886">
        <v>0</v>
      </c>
      <c r="D2366" s="814">
        <v>0</v>
      </c>
      <c r="E2366" s="814">
        <v>0</v>
      </c>
      <c r="F2366" s="814">
        <v>0</v>
      </c>
      <c r="G2366" s="814">
        <v>0</v>
      </c>
      <c r="H2366" s="814">
        <v>0</v>
      </c>
      <c r="I2366" s="898">
        <f t="shared" si="137"/>
        <v>92765.707840000003</v>
      </c>
      <c r="J2366" s="203" t="s">
        <v>1009</v>
      </c>
    </row>
    <row r="2367" spans="1:10" hidden="1" outlineLevel="1">
      <c r="A2367" s="876" t="s">
        <v>1010</v>
      </c>
      <c r="B2367" s="900">
        <f t="shared" si="138"/>
        <v>113519.84224000001</v>
      </c>
      <c r="C2367" s="886">
        <v>0</v>
      </c>
      <c r="D2367" s="814">
        <v>0</v>
      </c>
      <c r="E2367" s="814">
        <v>0</v>
      </c>
      <c r="F2367" s="814">
        <v>0</v>
      </c>
      <c r="G2367" s="814">
        <v>0</v>
      </c>
      <c r="H2367" s="814">
        <v>0</v>
      </c>
      <c r="I2367" s="898">
        <f t="shared" si="137"/>
        <v>113519.84224000001</v>
      </c>
      <c r="J2367" s="203" t="s">
        <v>1011</v>
      </c>
    </row>
    <row r="2368" spans="1:10" hidden="1" outlineLevel="1">
      <c r="A2368" s="876" t="s">
        <v>1012</v>
      </c>
      <c r="B2368" s="900">
        <f t="shared" si="138"/>
        <v>37921.739680000006</v>
      </c>
      <c r="C2368" s="886">
        <v>0</v>
      </c>
      <c r="D2368" s="814">
        <v>0</v>
      </c>
      <c r="E2368" s="814">
        <v>0</v>
      </c>
      <c r="F2368" s="814">
        <v>0</v>
      </c>
      <c r="G2368" s="814">
        <v>0</v>
      </c>
      <c r="H2368" s="814">
        <v>0</v>
      </c>
      <c r="I2368" s="898">
        <f t="shared" si="137"/>
        <v>37921.739680000006</v>
      </c>
      <c r="J2368" s="203" t="s">
        <v>1013</v>
      </c>
    </row>
    <row r="2369" spans="1:10" hidden="1" outlineLevel="1">
      <c r="A2369" s="876" t="s">
        <v>1014</v>
      </c>
      <c r="B2369" s="900">
        <f t="shared" si="138"/>
        <v>333405.58432000002</v>
      </c>
      <c r="C2369" s="886">
        <v>0</v>
      </c>
      <c r="D2369" s="814">
        <v>0</v>
      </c>
      <c r="E2369" s="814">
        <v>0</v>
      </c>
      <c r="F2369" s="814">
        <v>0</v>
      </c>
      <c r="G2369" s="814">
        <v>0</v>
      </c>
      <c r="H2369" s="814">
        <v>0</v>
      </c>
      <c r="I2369" s="898">
        <f t="shared" si="137"/>
        <v>333405.58432000002</v>
      </c>
      <c r="J2369" s="203" t="s">
        <v>1015</v>
      </c>
    </row>
    <row r="2370" spans="1:10" hidden="1" outlineLevel="1">
      <c r="A2370" s="876" t="s">
        <v>1016</v>
      </c>
      <c r="B2370" s="900">
        <f t="shared" si="138"/>
        <v>47465.73936</v>
      </c>
      <c r="C2370" s="886">
        <v>0</v>
      </c>
      <c r="D2370" s="814">
        <v>0</v>
      </c>
      <c r="E2370" s="814">
        <v>0</v>
      </c>
      <c r="F2370" s="814">
        <v>0</v>
      </c>
      <c r="G2370" s="814">
        <v>0</v>
      </c>
      <c r="H2370" s="814">
        <v>0</v>
      </c>
      <c r="I2370" s="898">
        <f t="shared" si="137"/>
        <v>47465.73936</v>
      </c>
      <c r="J2370" s="203" t="s">
        <v>1017</v>
      </c>
    </row>
    <row r="2371" spans="1:10" hidden="1" outlineLevel="1">
      <c r="A2371" s="876" t="s">
        <v>1018</v>
      </c>
      <c r="B2371" s="900">
        <f t="shared" si="138"/>
        <v>425823.14640000003</v>
      </c>
      <c r="C2371" s="886">
        <v>0</v>
      </c>
      <c r="D2371" s="814">
        <v>0</v>
      </c>
      <c r="E2371" s="814">
        <v>0</v>
      </c>
      <c r="F2371" s="814">
        <v>0</v>
      </c>
      <c r="G2371" s="814">
        <v>0</v>
      </c>
      <c r="H2371" s="814">
        <v>0</v>
      </c>
      <c r="I2371" s="898">
        <f t="shared" si="137"/>
        <v>425823.14640000003</v>
      </c>
      <c r="J2371" s="203" t="s">
        <v>1019</v>
      </c>
    </row>
    <row r="2372" spans="1:10" hidden="1" outlineLevel="1">
      <c r="A2372" s="876" t="s">
        <v>1020</v>
      </c>
      <c r="B2372" s="900">
        <f t="shared" si="138"/>
        <v>571154.54096000001</v>
      </c>
      <c r="C2372" s="886">
        <v>0</v>
      </c>
      <c r="D2372" s="814">
        <v>0</v>
      </c>
      <c r="E2372" s="814">
        <v>0</v>
      </c>
      <c r="F2372" s="814">
        <v>0</v>
      </c>
      <c r="G2372" s="814">
        <v>0</v>
      </c>
      <c r="H2372" s="814">
        <v>0</v>
      </c>
      <c r="I2372" s="898">
        <f t="shared" si="137"/>
        <v>571154.54096000001</v>
      </c>
      <c r="J2372" s="203" t="s">
        <v>1021</v>
      </c>
    </row>
    <row r="2373" spans="1:10" hidden="1" outlineLevel="1">
      <c r="A2373" s="876" t="s">
        <v>1022</v>
      </c>
      <c r="B2373" s="900">
        <f t="shared" si="138"/>
        <v>1570431.94784</v>
      </c>
      <c r="C2373" s="886">
        <v>0</v>
      </c>
      <c r="D2373" s="814">
        <v>0</v>
      </c>
      <c r="E2373" s="814">
        <v>0</v>
      </c>
      <c r="F2373" s="814">
        <v>0</v>
      </c>
      <c r="G2373" s="814">
        <v>0</v>
      </c>
      <c r="H2373" s="814">
        <v>0</v>
      </c>
      <c r="I2373" s="898">
        <f t="shared" si="137"/>
        <v>1570431.94784</v>
      </c>
      <c r="J2373" s="203" t="s">
        <v>1023</v>
      </c>
    </row>
    <row r="2374" spans="1:10" hidden="1" outlineLevel="1">
      <c r="A2374" s="876" t="s">
        <v>1024</v>
      </c>
      <c r="B2374" s="900">
        <f t="shared" si="138"/>
        <v>5119871.3038467206</v>
      </c>
      <c r="C2374" s="886">
        <v>0</v>
      </c>
      <c r="D2374" s="814">
        <v>0</v>
      </c>
      <c r="E2374" s="814">
        <v>0</v>
      </c>
      <c r="F2374" s="815">
        <v>10591</v>
      </c>
      <c r="G2374" s="814">
        <v>0</v>
      </c>
      <c r="H2374" s="814">
        <v>0</v>
      </c>
      <c r="I2374" s="898">
        <f t="shared" si="137"/>
        <v>5130462.3038467206</v>
      </c>
      <c r="J2374" s="203" t="s">
        <v>1025</v>
      </c>
    </row>
    <row r="2375" spans="1:10" hidden="1" outlineLevel="1">
      <c r="A2375" s="876" t="s">
        <v>1026</v>
      </c>
      <c r="B2375" s="900">
        <f t="shared" si="138"/>
        <v>551130.68871999998</v>
      </c>
      <c r="C2375" s="886">
        <v>0</v>
      </c>
      <c r="D2375" s="814">
        <v>0</v>
      </c>
      <c r="E2375" s="814">
        <v>0</v>
      </c>
      <c r="F2375" s="814">
        <v>0</v>
      </c>
      <c r="G2375" s="814">
        <v>0</v>
      </c>
      <c r="H2375" s="814">
        <v>0</v>
      </c>
      <c r="I2375" s="898">
        <f t="shared" si="137"/>
        <v>551130.68871999998</v>
      </c>
      <c r="J2375" s="203" t="s">
        <v>1027</v>
      </c>
    </row>
    <row r="2376" spans="1:10" hidden="1" outlineLevel="1">
      <c r="A2376" s="876" t="s">
        <v>1028</v>
      </c>
      <c r="B2376" s="900">
        <f t="shared" si="138"/>
        <v>115002.42848000002</v>
      </c>
      <c r="C2376" s="886">
        <v>0</v>
      </c>
      <c r="D2376" s="814">
        <v>0</v>
      </c>
      <c r="E2376" s="814">
        <v>0</v>
      </c>
      <c r="F2376" s="814">
        <v>0</v>
      </c>
      <c r="G2376" s="814">
        <v>0</v>
      </c>
      <c r="H2376" s="814">
        <v>0</v>
      </c>
      <c r="I2376" s="898">
        <f t="shared" si="137"/>
        <v>115002.42848000002</v>
      </c>
      <c r="J2376" s="203" t="s">
        <v>1029</v>
      </c>
    </row>
    <row r="2377" spans="1:10" hidden="1" outlineLevel="1">
      <c r="A2377" s="876" t="s">
        <v>1030</v>
      </c>
      <c r="B2377" s="900">
        <f t="shared" si="138"/>
        <v>3957431.9529599999</v>
      </c>
      <c r="C2377" s="886">
        <v>0</v>
      </c>
      <c r="D2377" s="814">
        <v>0</v>
      </c>
      <c r="E2377" s="814">
        <v>0</v>
      </c>
      <c r="F2377" s="814">
        <v>0</v>
      </c>
      <c r="G2377" s="814">
        <v>0</v>
      </c>
      <c r="H2377" s="814">
        <v>0</v>
      </c>
      <c r="I2377" s="898">
        <f t="shared" si="137"/>
        <v>3957431.9529599999</v>
      </c>
      <c r="J2377" s="203" t="s">
        <v>1031</v>
      </c>
    </row>
    <row r="2378" spans="1:10" hidden="1" outlineLevel="1">
      <c r="A2378" s="876" t="s">
        <v>1032</v>
      </c>
      <c r="B2378" s="900">
        <f t="shared" si="138"/>
        <v>66281.76112000001</v>
      </c>
      <c r="C2378" s="886">
        <v>0</v>
      </c>
      <c r="D2378" s="814">
        <v>0</v>
      </c>
      <c r="E2378" s="814">
        <v>0</v>
      </c>
      <c r="F2378" s="814">
        <v>0</v>
      </c>
      <c r="G2378" s="814">
        <v>0</v>
      </c>
      <c r="H2378" s="814">
        <v>0</v>
      </c>
      <c r="I2378" s="898">
        <f t="shared" si="137"/>
        <v>66281.76112000001</v>
      </c>
      <c r="J2378" s="203" t="s">
        <v>1033</v>
      </c>
    </row>
    <row r="2379" spans="1:10" hidden="1" outlineLevel="1">
      <c r="A2379" s="876" t="s">
        <v>1034</v>
      </c>
      <c r="B2379" s="900">
        <f t="shared" si="138"/>
        <v>51057.004800000002</v>
      </c>
      <c r="C2379" s="886">
        <v>0</v>
      </c>
      <c r="D2379" s="814">
        <v>0</v>
      </c>
      <c r="E2379" s="814">
        <v>0</v>
      </c>
      <c r="F2379" s="814">
        <v>0</v>
      </c>
      <c r="G2379" s="814">
        <v>0</v>
      </c>
      <c r="H2379" s="814">
        <v>0</v>
      </c>
      <c r="I2379" s="898">
        <f t="shared" si="137"/>
        <v>51057.004800000002</v>
      </c>
      <c r="J2379" s="203" t="s">
        <v>1035</v>
      </c>
    </row>
    <row r="2380" spans="1:10" hidden="1" outlineLevel="1">
      <c r="A2380" s="876" t="s">
        <v>1036</v>
      </c>
      <c r="B2380" s="900">
        <f t="shared" si="138"/>
        <v>593693.51359999995</v>
      </c>
      <c r="C2380" s="886">
        <v>0</v>
      </c>
      <c r="D2380" s="814">
        <v>0</v>
      </c>
      <c r="E2380" s="814">
        <v>0</v>
      </c>
      <c r="F2380" s="814">
        <v>0</v>
      </c>
      <c r="G2380" s="814">
        <v>0</v>
      </c>
      <c r="H2380" s="814">
        <v>0</v>
      </c>
      <c r="I2380" s="898">
        <f t="shared" si="137"/>
        <v>593693.51359999995</v>
      </c>
      <c r="J2380" s="203" t="s">
        <v>1037</v>
      </c>
    </row>
    <row r="2381" spans="1:10" hidden="1" outlineLevel="1">
      <c r="A2381" s="876" t="s">
        <v>1038</v>
      </c>
      <c r="B2381" s="900">
        <f t="shared" si="138"/>
        <v>143439.69392000002</v>
      </c>
      <c r="C2381" s="886">
        <v>0</v>
      </c>
      <c r="D2381" s="814">
        <v>0</v>
      </c>
      <c r="E2381" s="814">
        <v>0</v>
      </c>
      <c r="F2381" s="814">
        <v>0</v>
      </c>
      <c r="G2381" s="814">
        <v>0</v>
      </c>
      <c r="H2381" s="814">
        <v>0</v>
      </c>
      <c r="I2381" s="898">
        <f t="shared" si="137"/>
        <v>143439.69392000002</v>
      </c>
      <c r="J2381" s="203" t="s">
        <v>1039</v>
      </c>
    </row>
    <row r="2382" spans="1:10" hidden="1" outlineLevel="1">
      <c r="A2382" s="876" t="s">
        <v>1040</v>
      </c>
      <c r="B2382" s="900">
        <f t="shared" si="138"/>
        <v>223142.85424000002</v>
      </c>
      <c r="C2382" s="886">
        <v>0</v>
      </c>
      <c r="D2382" s="814">
        <v>0</v>
      </c>
      <c r="E2382" s="814">
        <v>0</v>
      </c>
      <c r="F2382" s="814">
        <v>0</v>
      </c>
      <c r="G2382" s="814">
        <v>0</v>
      </c>
      <c r="H2382" s="814">
        <v>0</v>
      </c>
      <c r="I2382" s="898">
        <f t="shared" si="137"/>
        <v>223142.85424000002</v>
      </c>
      <c r="J2382" s="203" t="s">
        <v>1041</v>
      </c>
    </row>
    <row r="2383" spans="1:10" hidden="1" outlineLevel="1">
      <c r="A2383" s="876" t="s">
        <v>1042</v>
      </c>
      <c r="B2383" s="900">
        <f t="shared" si="138"/>
        <v>166494.51872000002</v>
      </c>
      <c r="C2383" s="886">
        <v>0</v>
      </c>
      <c r="D2383" s="814">
        <v>0</v>
      </c>
      <c r="E2383" s="814">
        <v>0</v>
      </c>
      <c r="F2383" s="814">
        <v>0</v>
      </c>
      <c r="G2383" s="814">
        <v>0</v>
      </c>
      <c r="H2383" s="814">
        <v>0</v>
      </c>
      <c r="I2383" s="898">
        <f t="shared" si="137"/>
        <v>166494.51872000002</v>
      </c>
      <c r="J2383" s="203" t="s">
        <v>1043</v>
      </c>
    </row>
    <row r="2384" spans="1:10" hidden="1" outlineLevel="1">
      <c r="A2384" s="876" t="s">
        <v>1044</v>
      </c>
      <c r="B2384" s="900">
        <f t="shared" si="138"/>
        <v>284528.80207999999</v>
      </c>
      <c r="C2384" s="886">
        <v>0</v>
      </c>
      <c r="D2384" s="814">
        <v>0</v>
      </c>
      <c r="E2384" s="814">
        <v>0</v>
      </c>
      <c r="F2384" s="814">
        <v>0</v>
      </c>
      <c r="G2384" s="814">
        <v>0</v>
      </c>
      <c r="H2384" s="814">
        <v>0</v>
      </c>
      <c r="I2384" s="898">
        <f t="shared" si="137"/>
        <v>284528.80207999999</v>
      </c>
      <c r="J2384" s="203" t="s">
        <v>1045</v>
      </c>
    </row>
    <row r="2385" spans="1:10" hidden="1" outlineLevel="1">
      <c r="A2385" s="876" t="s">
        <v>1046</v>
      </c>
      <c r="B2385" s="900">
        <f t="shared" si="138"/>
        <v>164972.56591999999</v>
      </c>
      <c r="C2385" s="886">
        <v>0</v>
      </c>
      <c r="D2385" s="814">
        <v>0</v>
      </c>
      <c r="E2385" s="814">
        <v>0</v>
      </c>
      <c r="F2385" s="814">
        <v>0</v>
      </c>
      <c r="G2385" s="814">
        <v>0</v>
      </c>
      <c r="H2385" s="814">
        <v>0</v>
      </c>
      <c r="I2385" s="898">
        <f t="shared" si="137"/>
        <v>164972.56591999999</v>
      </c>
      <c r="J2385" s="203" t="s">
        <v>1047</v>
      </c>
    </row>
    <row r="2386" spans="1:10" hidden="1" outlineLevel="1">
      <c r="A2386" s="876" t="s">
        <v>1048</v>
      </c>
      <c r="B2386" s="900">
        <f t="shared" si="138"/>
        <v>261425.69568</v>
      </c>
      <c r="C2386" s="886">
        <v>0</v>
      </c>
      <c r="D2386" s="814">
        <v>0</v>
      </c>
      <c r="E2386" s="814">
        <v>0</v>
      </c>
      <c r="F2386" s="814">
        <v>0</v>
      </c>
      <c r="G2386" s="814">
        <v>0</v>
      </c>
      <c r="H2386" s="814">
        <v>0</v>
      </c>
      <c r="I2386" s="898">
        <f t="shared" si="137"/>
        <v>261425.69568</v>
      </c>
      <c r="J2386" s="203" t="s">
        <v>1049</v>
      </c>
    </row>
    <row r="2387" spans="1:10" hidden="1" outlineLevel="1">
      <c r="A2387" s="876" t="s">
        <v>1050</v>
      </c>
      <c r="B2387" s="900">
        <f t="shared" si="138"/>
        <v>385154.03279999999</v>
      </c>
      <c r="C2387" s="886">
        <v>0</v>
      </c>
      <c r="D2387" s="814">
        <v>0</v>
      </c>
      <c r="E2387" s="814">
        <v>0</v>
      </c>
      <c r="F2387" s="814">
        <v>0</v>
      </c>
      <c r="G2387" s="814">
        <v>0</v>
      </c>
      <c r="H2387" s="814">
        <v>0</v>
      </c>
      <c r="I2387" s="898">
        <f t="shared" si="137"/>
        <v>385154.03279999999</v>
      </c>
      <c r="J2387" s="203" t="s">
        <v>1051</v>
      </c>
    </row>
    <row r="2388" spans="1:10" hidden="1" outlineLevel="1">
      <c r="A2388" s="876" t="s">
        <v>1052</v>
      </c>
      <c r="B2388" s="900">
        <f t="shared" si="138"/>
        <v>349730.28208000003</v>
      </c>
      <c r="C2388" s="886">
        <v>0</v>
      </c>
      <c r="D2388" s="814">
        <v>0</v>
      </c>
      <c r="E2388" s="814">
        <v>0</v>
      </c>
      <c r="F2388" s="814">
        <v>0</v>
      </c>
      <c r="G2388" s="814">
        <v>0</v>
      </c>
      <c r="H2388" s="814">
        <v>0</v>
      </c>
      <c r="I2388" s="898">
        <f t="shared" si="137"/>
        <v>349730.28208000003</v>
      </c>
      <c r="J2388" s="203" t="s">
        <v>1053</v>
      </c>
    </row>
    <row r="2389" spans="1:10" hidden="1" outlineLevel="1">
      <c r="A2389" s="876" t="s">
        <v>1054</v>
      </c>
      <c r="B2389" s="900">
        <f t="shared" si="138"/>
        <v>1127407.2416000001</v>
      </c>
      <c r="C2389" s="886">
        <v>0</v>
      </c>
      <c r="D2389" s="814">
        <v>0</v>
      </c>
      <c r="E2389" s="814">
        <v>0</v>
      </c>
      <c r="F2389" s="814">
        <v>0</v>
      </c>
      <c r="G2389" s="814">
        <v>0</v>
      </c>
      <c r="H2389" s="814">
        <v>0</v>
      </c>
      <c r="I2389" s="898">
        <f t="shared" si="137"/>
        <v>1127407.2416000001</v>
      </c>
      <c r="J2389" s="203" t="s">
        <v>1055</v>
      </c>
    </row>
    <row r="2390" spans="1:10" hidden="1" outlineLevel="1">
      <c r="A2390" s="876" t="s">
        <v>1056</v>
      </c>
      <c r="B2390" s="900">
        <f t="shared" si="138"/>
        <v>164219.61567999999</v>
      </c>
      <c r="C2390" s="886">
        <v>0</v>
      </c>
      <c r="D2390" s="814">
        <v>0</v>
      </c>
      <c r="E2390" s="814">
        <v>0</v>
      </c>
      <c r="F2390" s="814">
        <v>0</v>
      </c>
      <c r="G2390" s="814">
        <v>0</v>
      </c>
      <c r="H2390" s="814">
        <v>0</v>
      </c>
      <c r="I2390" s="898">
        <f t="shared" si="137"/>
        <v>164219.61567999999</v>
      </c>
      <c r="J2390" s="203" t="s">
        <v>1057</v>
      </c>
    </row>
    <row r="2391" spans="1:10" hidden="1" outlineLevel="1">
      <c r="A2391" s="876" t="s">
        <v>1058</v>
      </c>
      <c r="B2391" s="900">
        <f t="shared" si="138"/>
        <v>1109250.45392</v>
      </c>
      <c r="C2391" s="886">
        <v>0</v>
      </c>
      <c r="D2391" s="814">
        <v>0</v>
      </c>
      <c r="E2391" s="814">
        <v>0</v>
      </c>
      <c r="F2391" s="814">
        <v>0</v>
      </c>
      <c r="G2391" s="814">
        <v>0</v>
      </c>
      <c r="H2391" s="814">
        <v>0</v>
      </c>
      <c r="I2391" s="898">
        <f t="shared" si="137"/>
        <v>1109250.45392</v>
      </c>
      <c r="J2391" s="203" t="s">
        <v>1059</v>
      </c>
    </row>
    <row r="2392" spans="1:10" hidden="1" outlineLevel="1">
      <c r="A2392" s="876" t="s">
        <v>1060</v>
      </c>
      <c r="B2392" s="900">
        <f t="shared" si="138"/>
        <v>768524.20480000007</v>
      </c>
      <c r="C2392" s="886">
        <v>0</v>
      </c>
      <c r="D2392" s="814">
        <v>0</v>
      </c>
      <c r="E2392" s="814">
        <v>0</v>
      </c>
      <c r="F2392" s="814">
        <v>0</v>
      </c>
      <c r="G2392" s="814">
        <v>0</v>
      </c>
      <c r="H2392" s="814">
        <v>0</v>
      </c>
      <c r="I2392" s="898">
        <f t="shared" si="137"/>
        <v>768524.20480000007</v>
      </c>
      <c r="J2392" s="203" t="s">
        <v>1061</v>
      </c>
    </row>
    <row r="2393" spans="1:10" hidden="1" outlineLevel="1">
      <c r="A2393" s="876" t="s">
        <v>1062</v>
      </c>
      <c r="B2393" s="900">
        <f t="shared" si="138"/>
        <v>491386.87616000004</v>
      </c>
      <c r="C2393" s="886">
        <v>0</v>
      </c>
      <c r="D2393" s="814">
        <v>0</v>
      </c>
      <c r="E2393" s="814">
        <v>0</v>
      </c>
      <c r="F2393" s="814">
        <v>0</v>
      </c>
      <c r="G2393" s="814">
        <v>0</v>
      </c>
      <c r="H2393" s="814">
        <v>0</v>
      </c>
      <c r="I2393" s="898">
        <f t="shared" si="137"/>
        <v>491386.87616000004</v>
      </c>
      <c r="J2393" s="203" t="s">
        <v>1063</v>
      </c>
    </row>
    <row r="2394" spans="1:10" hidden="1" outlineLevel="1">
      <c r="A2394" s="876" t="s">
        <v>1064</v>
      </c>
      <c r="B2394" s="900">
        <f t="shared" si="138"/>
        <v>941769.10128000006</v>
      </c>
      <c r="C2394" s="886">
        <v>0</v>
      </c>
      <c r="D2394" s="814">
        <v>0</v>
      </c>
      <c r="E2394" s="814">
        <v>0</v>
      </c>
      <c r="F2394" s="814">
        <v>0</v>
      </c>
      <c r="G2394" s="814">
        <v>0</v>
      </c>
      <c r="H2394" s="814">
        <v>0</v>
      </c>
      <c r="I2394" s="898">
        <f t="shared" si="137"/>
        <v>941769.10128000006</v>
      </c>
      <c r="J2394" s="203" t="s">
        <v>1065</v>
      </c>
    </row>
    <row r="2395" spans="1:10" hidden="1" outlineLevel="1">
      <c r="A2395" s="876" t="s">
        <v>1066</v>
      </c>
      <c r="B2395" s="900">
        <f t="shared" si="138"/>
        <v>52482.820800000001</v>
      </c>
      <c r="C2395" s="886">
        <v>0</v>
      </c>
      <c r="D2395" s="814">
        <v>0</v>
      </c>
      <c r="E2395" s="814">
        <v>0</v>
      </c>
      <c r="F2395" s="814">
        <v>0</v>
      </c>
      <c r="G2395" s="814">
        <v>0</v>
      </c>
      <c r="H2395" s="814">
        <v>0</v>
      </c>
      <c r="I2395" s="898">
        <f t="shared" si="137"/>
        <v>52482.820800000001</v>
      </c>
      <c r="J2395" s="203" t="s">
        <v>1067</v>
      </c>
    </row>
    <row r="2396" spans="1:10" hidden="1" outlineLevel="1">
      <c r="A2396" s="876" t="s">
        <v>1068</v>
      </c>
      <c r="B2396" s="900">
        <f t="shared" si="138"/>
        <v>750878.11312000011</v>
      </c>
      <c r="C2396" s="886">
        <v>0</v>
      </c>
      <c r="D2396" s="814">
        <v>0</v>
      </c>
      <c r="E2396" s="814">
        <v>0</v>
      </c>
      <c r="F2396" s="814">
        <v>0</v>
      </c>
      <c r="G2396" s="814">
        <v>0</v>
      </c>
      <c r="H2396" s="814">
        <v>0</v>
      </c>
      <c r="I2396" s="898">
        <f t="shared" si="137"/>
        <v>750878.11312000011</v>
      </c>
      <c r="J2396" s="203" t="s">
        <v>1069</v>
      </c>
    </row>
    <row r="2397" spans="1:10" hidden="1" outlineLevel="1">
      <c r="A2397" s="876" t="s">
        <v>1070</v>
      </c>
      <c r="B2397" s="900">
        <f t="shared" si="138"/>
        <v>509113.90512000001</v>
      </c>
      <c r="C2397" s="886">
        <v>0</v>
      </c>
      <c r="D2397" s="814">
        <v>0</v>
      </c>
      <c r="E2397" s="814">
        <v>0</v>
      </c>
      <c r="F2397" s="814">
        <v>0</v>
      </c>
      <c r="G2397" s="814">
        <v>0</v>
      </c>
      <c r="H2397" s="814">
        <v>0</v>
      </c>
      <c r="I2397" s="898">
        <f t="shared" si="137"/>
        <v>509113.90512000001</v>
      </c>
      <c r="J2397" s="203" t="s">
        <v>1071</v>
      </c>
    </row>
    <row r="2398" spans="1:10" hidden="1" outlineLevel="1">
      <c r="A2398" s="876" t="s">
        <v>1072</v>
      </c>
      <c r="B2398" s="900">
        <f t="shared" si="138"/>
        <v>400069.17024000006</v>
      </c>
      <c r="C2398" s="886">
        <v>0</v>
      </c>
      <c r="D2398" s="814">
        <v>0</v>
      </c>
      <c r="E2398" s="814">
        <v>0</v>
      </c>
      <c r="F2398" s="814">
        <v>0</v>
      </c>
      <c r="G2398" s="814">
        <v>0</v>
      </c>
      <c r="H2398" s="814">
        <v>0</v>
      </c>
      <c r="I2398" s="898">
        <f t="shared" si="137"/>
        <v>400069.17024000006</v>
      </c>
      <c r="J2398" s="203" t="s">
        <v>1073</v>
      </c>
    </row>
    <row r="2399" spans="1:10" hidden="1" outlineLevel="1">
      <c r="A2399" s="876" t="s">
        <v>1074</v>
      </c>
      <c r="B2399" s="900">
        <f t="shared" si="138"/>
        <v>1450827.22016</v>
      </c>
      <c r="C2399" s="886">
        <v>0</v>
      </c>
      <c r="D2399" s="814">
        <v>0</v>
      </c>
      <c r="E2399" s="814">
        <v>0</v>
      </c>
      <c r="F2399" s="814">
        <v>0</v>
      </c>
      <c r="G2399" s="814">
        <v>0</v>
      </c>
      <c r="H2399" s="814">
        <v>0</v>
      </c>
      <c r="I2399" s="898">
        <f t="shared" si="137"/>
        <v>1450827.22016</v>
      </c>
      <c r="J2399" s="203" t="s">
        <v>1075</v>
      </c>
    </row>
    <row r="2400" spans="1:10" hidden="1" outlineLevel="1">
      <c r="A2400" s="876" t="s">
        <v>1076</v>
      </c>
      <c r="B2400" s="900">
        <f t="shared" si="138"/>
        <v>294470.2328</v>
      </c>
      <c r="C2400" s="886">
        <v>0</v>
      </c>
      <c r="D2400" s="814">
        <v>0</v>
      </c>
      <c r="E2400" s="814">
        <v>0</v>
      </c>
      <c r="F2400" s="814">
        <v>0</v>
      </c>
      <c r="G2400" s="814">
        <v>0</v>
      </c>
      <c r="H2400" s="814">
        <v>0</v>
      </c>
      <c r="I2400" s="898">
        <f t="shared" si="137"/>
        <v>294470.2328</v>
      </c>
      <c r="J2400" s="203" t="s">
        <v>1077</v>
      </c>
    </row>
    <row r="2401" spans="1:10" hidden="1" outlineLevel="1">
      <c r="A2401" s="876" t="s">
        <v>1078</v>
      </c>
      <c r="B2401" s="900">
        <f t="shared" si="138"/>
        <v>376400.30320000002</v>
      </c>
      <c r="C2401" s="886">
        <v>0</v>
      </c>
      <c r="D2401" s="814">
        <v>0</v>
      </c>
      <c r="E2401" s="814">
        <v>0</v>
      </c>
      <c r="F2401" s="814">
        <v>0</v>
      </c>
      <c r="G2401" s="814">
        <v>0</v>
      </c>
      <c r="H2401" s="814">
        <v>0</v>
      </c>
      <c r="I2401" s="898">
        <f t="shared" si="137"/>
        <v>376400.30320000002</v>
      </c>
      <c r="J2401" s="203" t="s">
        <v>1079</v>
      </c>
    </row>
    <row r="2402" spans="1:10" hidden="1" outlineLevel="1">
      <c r="A2402" s="876" t="s">
        <v>1080</v>
      </c>
      <c r="B2402" s="900">
        <f t="shared" si="138"/>
        <v>738115.54784000013</v>
      </c>
      <c r="C2402" s="886">
        <v>0</v>
      </c>
      <c r="D2402" s="814">
        <v>0</v>
      </c>
      <c r="E2402" s="814">
        <v>0</v>
      </c>
      <c r="F2402" s="814">
        <v>0</v>
      </c>
      <c r="G2402" s="814">
        <v>0</v>
      </c>
      <c r="H2402" s="814">
        <v>0</v>
      </c>
      <c r="I2402" s="898">
        <f t="shared" si="137"/>
        <v>738115.54784000013</v>
      </c>
      <c r="J2402" s="203" t="s">
        <v>1081</v>
      </c>
    </row>
    <row r="2403" spans="1:10" hidden="1" outlineLevel="1">
      <c r="A2403" s="876" t="s">
        <v>1082</v>
      </c>
      <c r="B2403" s="900">
        <f t="shared" si="138"/>
        <v>266028.97232</v>
      </c>
      <c r="C2403" s="886">
        <v>0</v>
      </c>
      <c r="D2403" s="814">
        <v>0</v>
      </c>
      <c r="E2403" s="814">
        <v>0</v>
      </c>
      <c r="F2403" s="814">
        <v>0</v>
      </c>
      <c r="G2403" s="814">
        <v>0</v>
      </c>
      <c r="H2403" s="814">
        <v>0</v>
      </c>
      <c r="I2403" s="898">
        <f t="shared" si="137"/>
        <v>266028.97232</v>
      </c>
      <c r="J2403" s="203" t="s">
        <v>1083</v>
      </c>
    </row>
    <row r="2404" spans="1:10" hidden="1" outlineLevel="1">
      <c r="A2404" s="876" t="s">
        <v>1084</v>
      </c>
      <c r="B2404" s="900">
        <f t="shared" si="138"/>
        <v>486019.06432000006</v>
      </c>
      <c r="C2404" s="886">
        <v>0</v>
      </c>
      <c r="D2404" s="814">
        <v>0</v>
      </c>
      <c r="E2404" s="814">
        <v>0</v>
      </c>
      <c r="F2404" s="814">
        <v>0</v>
      </c>
      <c r="G2404" s="814">
        <v>0</v>
      </c>
      <c r="H2404" s="814">
        <v>0</v>
      </c>
      <c r="I2404" s="898">
        <f t="shared" si="137"/>
        <v>486019.06432000006</v>
      </c>
      <c r="J2404" s="203" t="s">
        <v>1085</v>
      </c>
    </row>
    <row r="2405" spans="1:10" hidden="1" outlineLevel="1">
      <c r="A2405" s="876" t="s">
        <v>1086</v>
      </c>
      <c r="B2405" s="900">
        <f t="shared" si="138"/>
        <v>691934.6041600001</v>
      </c>
      <c r="C2405" s="886">
        <v>0</v>
      </c>
      <c r="D2405" s="814">
        <v>0</v>
      </c>
      <c r="E2405" s="814">
        <v>0</v>
      </c>
      <c r="F2405" s="814">
        <v>0</v>
      </c>
      <c r="G2405" s="814">
        <v>0</v>
      </c>
      <c r="H2405" s="814">
        <v>0</v>
      </c>
      <c r="I2405" s="898">
        <f t="shared" si="137"/>
        <v>691934.6041600001</v>
      </c>
      <c r="J2405" s="203" t="s">
        <v>1087</v>
      </c>
    </row>
    <row r="2406" spans="1:10" hidden="1" outlineLevel="1">
      <c r="A2406" s="876" t="s">
        <v>1088</v>
      </c>
      <c r="B2406" s="900">
        <f t="shared" si="138"/>
        <v>682239.6457600001</v>
      </c>
      <c r="C2406" s="886">
        <v>0</v>
      </c>
      <c r="D2406" s="814">
        <v>0</v>
      </c>
      <c r="E2406" s="814">
        <v>0</v>
      </c>
      <c r="F2406" s="814">
        <v>0</v>
      </c>
      <c r="G2406" s="814">
        <v>0</v>
      </c>
      <c r="H2406" s="814">
        <v>0</v>
      </c>
      <c r="I2406" s="898">
        <f t="shared" si="137"/>
        <v>682239.6457600001</v>
      </c>
      <c r="J2406" s="203" t="s">
        <v>1089</v>
      </c>
    </row>
    <row r="2407" spans="1:10" hidden="1" outlineLevel="1">
      <c r="A2407" s="876" t="s">
        <v>1090</v>
      </c>
      <c r="B2407" s="900">
        <f t="shared" si="138"/>
        <v>422349.56735999999</v>
      </c>
      <c r="C2407" s="886">
        <v>0</v>
      </c>
      <c r="D2407" s="814">
        <v>0</v>
      </c>
      <c r="E2407" s="814">
        <v>0</v>
      </c>
      <c r="F2407" s="814">
        <v>0</v>
      </c>
      <c r="G2407" s="814">
        <v>0</v>
      </c>
      <c r="H2407" s="814">
        <v>0</v>
      </c>
      <c r="I2407" s="898">
        <f t="shared" si="137"/>
        <v>422349.56735999999</v>
      </c>
      <c r="J2407" s="203" t="s">
        <v>1091</v>
      </c>
    </row>
    <row r="2408" spans="1:10" hidden="1" outlineLevel="1">
      <c r="A2408" s="876" t="s">
        <v>1092</v>
      </c>
      <c r="B2408" s="900">
        <f t="shared" si="138"/>
        <v>601699.89520000003</v>
      </c>
      <c r="C2408" s="886">
        <v>0</v>
      </c>
      <c r="D2408" s="814">
        <v>0</v>
      </c>
      <c r="E2408" s="814">
        <v>0</v>
      </c>
      <c r="F2408" s="814">
        <v>0</v>
      </c>
      <c r="G2408" s="814">
        <v>0</v>
      </c>
      <c r="H2408" s="814">
        <v>0</v>
      </c>
      <c r="I2408" s="898">
        <f t="shared" ref="I2408:I2471" si="139">SUM(B2408:H2408)</f>
        <v>601699.89520000003</v>
      </c>
      <c r="J2408" s="203" t="s">
        <v>1093</v>
      </c>
    </row>
    <row r="2409" spans="1:10" hidden="1" outlineLevel="1">
      <c r="A2409" s="876" t="s">
        <v>1474</v>
      </c>
      <c r="B2409" s="900">
        <f t="shared" ref="B2409:B2472" si="140">B541*0.656/100</f>
        <v>763037.23711999995</v>
      </c>
      <c r="C2409" s="886">
        <v>0</v>
      </c>
      <c r="D2409" s="814">
        <v>0</v>
      </c>
      <c r="E2409" s="814">
        <v>0</v>
      </c>
      <c r="F2409" s="814">
        <v>0</v>
      </c>
      <c r="G2409" s="814">
        <v>0</v>
      </c>
      <c r="H2409" s="814">
        <v>0</v>
      </c>
      <c r="I2409" s="898">
        <f t="shared" si="139"/>
        <v>763037.23711999995</v>
      </c>
      <c r="J2409" s="203" t="s">
        <v>1475</v>
      </c>
    </row>
    <row r="2410" spans="1:10" hidden="1" outlineLevel="1">
      <c r="A2410" s="876" t="s">
        <v>1094</v>
      </c>
      <c r="B2410" s="900">
        <f t="shared" si="140"/>
        <v>415914.54191999999</v>
      </c>
      <c r="C2410" s="886">
        <v>0</v>
      </c>
      <c r="D2410" s="814">
        <v>0</v>
      </c>
      <c r="E2410" s="814">
        <v>0</v>
      </c>
      <c r="F2410" s="814">
        <v>0</v>
      </c>
      <c r="G2410" s="814">
        <v>0</v>
      </c>
      <c r="H2410" s="814">
        <v>0</v>
      </c>
      <c r="I2410" s="898">
        <f t="shared" si="139"/>
        <v>415914.54191999999</v>
      </c>
      <c r="J2410" s="203" t="s">
        <v>1095</v>
      </c>
    </row>
    <row r="2411" spans="1:10" hidden="1" outlineLevel="1">
      <c r="A2411" s="876" t="s">
        <v>1096</v>
      </c>
      <c r="B2411" s="900">
        <f t="shared" si="140"/>
        <v>187619.06352000003</v>
      </c>
      <c r="C2411" s="886">
        <v>0</v>
      </c>
      <c r="D2411" s="814">
        <v>0</v>
      </c>
      <c r="E2411" s="814">
        <v>0</v>
      </c>
      <c r="F2411" s="814">
        <v>0</v>
      </c>
      <c r="G2411" s="814">
        <v>0</v>
      </c>
      <c r="H2411" s="814">
        <v>0</v>
      </c>
      <c r="I2411" s="898">
        <f t="shared" si="139"/>
        <v>187619.06352000003</v>
      </c>
      <c r="J2411" s="203" t="s">
        <v>1097</v>
      </c>
    </row>
    <row r="2412" spans="1:10" hidden="1" outlineLevel="1">
      <c r="A2412" s="876" t="s">
        <v>1098</v>
      </c>
      <c r="B2412" s="900">
        <f t="shared" si="140"/>
        <v>156387.45456000001</v>
      </c>
      <c r="C2412" s="886">
        <v>0</v>
      </c>
      <c r="D2412" s="814">
        <v>0</v>
      </c>
      <c r="E2412" s="814">
        <v>0</v>
      </c>
      <c r="F2412" s="814">
        <v>0</v>
      </c>
      <c r="G2412" s="814">
        <v>0</v>
      </c>
      <c r="H2412" s="814">
        <v>0</v>
      </c>
      <c r="I2412" s="898">
        <f t="shared" si="139"/>
        <v>156387.45456000001</v>
      </c>
      <c r="J2412" s="203" t="s">
        <v>1099</v>
      </c>
    </row>
    <row r="2413" spans="1:10" hidden="1" outlineLevel="1">
      <c r="A2413" s="876" t="s">
        <v>1100</v>
      </c>
      <c r="B2413" s="900">
        <f t="shared" si="140"/>
        <v>6958184.3248000005</v>
      </c>
      <c r="C2413" s="886">
        <v>0</v>
      </c>
      <c r="D2413" s="814">
        <v>0</v>
      </c>
      <c r="E2413" s="814">
        <v>0</v>
      </c>
      <c r="F2413" s="814">
        <v>0</v>
      </c>
      <c r="G2413" s="814">
        <v>0</v>
      </c>
      <c r="H2413" s="814">
        <v>0</v>
      </c>
      <c r="I2413" s="898">
        <f t="shared" si="139"/>
        <v>6958184.3248000005</v>
      </c>
      <c r="J2413" s="203" t="s">
        <v>1101</v>
      </c>
    </row>
    <row r="2414" spans="1:10" hidden="1" outlineLevel="1">
      <c r="A2414" s="876" t="s">
        <v>521</v>
      </c>
      <c r="B2414" s="900">
        <f t="shared" si="140"/>
        <v>142249.92983087999</v>
      </c>
      <c r="C2414" s="886">
        <v>0</v>
      </c>
      <c r="D2414" s="814">
        <v>0</v>
      </c>
      <c r="E2414" s="814">
        <v>0</v>
      </c>
      <c r="F2414" s="814">
        <v>0</v>
      </c>
      <c r="G2414" s="814">
        <v>0</v>
      </c>
      <c r="H2414" s="814">
        <v>0</v>
      </c>
      <c r="I2414" s="898">
        <f t="shared" si="139"/>
        <v>142249.92983087999</v>
      </c>
      <c r="J2414" s="203" t="s">
        <v>522</v>
      </c>
    </row>
    <row r="2415" spans="1:10" hidden="1" outlineLevel="1">
      <c r="A2415" s="876" t="s">
        <v>1102</v>
      </c>
      <c r="B2415" s="900">
        <f t="shared" si="140"/>
        <v>235596.61408</v>
      </c>
      <c r="C2415" s="886">
        <v>0</v>
      </c>
      <c r="D2415" s="814">
        <v>0</v>
      </c>
      <c r="E2415" s="814">
        <v>0</v>
      </c>
      <c r="F2415" s="814">
        <v>0</v>
      </c>
      <c r="G2415" s="814">
        <v>0</v>
      </c>
      <c r="H2415" s="814">
        <v>0</v>
      </c>
      <c r="I2415" s="898">
        <f t="shared" si="139"/>
        <v>235596.61408</v>
      </c>
      <c r="J2415" s="203" t="s">
        <v>1103</v>
      </c>
    </row>
    <row r="2416" spans="1:10" hidden="1" outlineLevel="1">
      <c r="A2416" s="876" t="s">
        <v>1104</v>
      </c>
      <c r="B2416" s="900">
        <f t="shared" si="140"/>
        <v>214432.31568</v>
      </c>
      <c r="C2416" s="886">
        <v>0</v>
      </c>
      <c r="D2416" s="814">
        <v>0</v>
      </c>
      <c r="E2416" s="814">
        <v>0</v>
      </c>
      <c r="F2416" s="814">
        <v>0</v>
      </c>
      <c r="G2416" s="814">
        <v>0</v>
      </c>
      <c r="H2416" s="814">
        <v>0</v>
      </c>
      <c r="I2416" s="898">
        <f t="shared" si="139"/>
        <v>214432.31568</v>
      </c>
      <c r="J2416" s="203" t="s">
        <v>1105</v>
      </c>
    </row>
    <row r="2417" spans="1:10" hidden="1" outlineLevel="1">
      <c r="A2417" s="876" t="s">
        <v>1106</v>
      </c>
      <c r="B2417" s="900">
        <f t="shared" si="140"/>
        <v>514168.32608000003</v>
      </c>
      <c r="C2417" s="886">
        <v>0</v>
      </c>
      <c r="D2417" s="814">
        <v>0</v>
      </c>
      <c r="E2417" s="814">
        <v>0</v>
      </c>
      <c r="F2417" s="814">
        <v>0</v>
      </c>
      <c r="G2417" s="814">
        <v>0</v>
      </c>
      <c r="H2417" s="814">
        <v>0</v>
      </c>
      <c r="I2417" s="898">
        <f t="shared" si="139"/>
        <v>514168.32608000003</v>
      </c>
      <c r="J2417" s="203" t="s">
        <v>1107</v>
      </c>
    </row>
    <row r="2418" spans="1:10" hidden="1" outlineLevel="1">
      <c r="A2418" s="876" t="s">
        <v>1108</v>
      </c>
      <c r="B2418" s="900">
        <f t="shared" si="140"/>
        <v>269409.22223999997</v>
      </c>
      <c r="C2418" s="886">
        <v>0</v>
      </c>
      <c r="D2418" s="814">
        <v>0</v>
      </c>
      <c r="E2418" s="814">
        <v>0</v>
      </c>
      <c r="F2418" s="814">
        <v>0</v>
      </c>
      <c r="G2418" s="814">
        <v>0</v>
      </c>
      <c r="H2418" s="814">
        <v>0</v>
      </c>
      <c r="I2418" s="898">
        <f t="shared" si="139"/>
        <v>269409.22223999997</v>
      </c>
      <c r="J2418" s="203" t="s">
        <v>1109</v>
      </c>
    </row>
    <row r="2419" spans="1:10" hidden="1" outlineLevel="1">
      <c r="A2419" s="876" t="s">
        <v>1110</v>
      </c>
      <c r="B2419" s="900">
        <f t="shared" si="140"/>
        <v>783872.70895999996</v>
      </c>
      <c r="C2419" s="886">
        <v>0</v>
      </c>
      <c r="D2419" s="814">
        <v>0</v>
      </c>
      <c r="E2419" s="814">
        <v>0</v>
      </c>
      <c r="F2419" s="814">
        <v>0</v>
      </c>
      <c r="G2419" s="814">
        <v>0</v>
      </c>
      <c r="H2419" s="814">
        <v>0</v>
      </c>
      <c r="I2419" s="898">
        <f t="shared" si="139"/>
        <v>783872.70895999996</v>
      </c>
      <c r="J2419" s="203" t="s">
        <v>1111</v>
      </c>
    </row>
    <row r="2420" spans="1:10" hidden="1" outlineLevel="1">
      <c r="A2420" s="876" t="s">
        <v>1112</v>
      </c>
      <c r="B2420" s="900">
        <f t="shared" si="140"/>
        <v>499681.75344000006</v>
      </c>
      <c r="C2420" s="886">
        <v>0</v>
      </c>
      <c r="D2420" s="814">
        <v>0</v>
      </c>
      <c r="E2420" s="814">
        <v>0</v>
      </c>
      <c r="F2420" s="814">
        <v>0</v>
      </c>
      <c r="G2420" s="814">
        <v>0</v>
      </c>
      <c r="H2420" s="814">
        <v>0</v>
      </c>
      <c r="I2420" s="898">
        <f t="shared" si="139"/>
        <v>499681.75344000006</v>
      </c>
      <c r="J2420" s="203" t="s">
        <v>1113</v>
      </c>
    </row>
    <row r="2421" spans="1:10" hidden="1" outlineLevel="1">
      <c r="A2421" s="876" t="s">
        <v>1114</v>
      </c>
      <c r="B2421" s="900">
        <f t="shared" si="140"/>
        <v>390985.02249280008</v>
      </c>
      <c r="C2421" s="886">
        <v>0</v>
      </c>
      <c r="D2421" s="814">
        <v>0</v>
      </c>
      <c r="E2421" s="814">
        <v>0</v>
      </c>
      <c r="F2421" s="814">
        <v>0</v>
      </c>
      <c r="G2421" s="814">
        <v>0</v>
      </c>
      <c r="H2421" s="814">
        <v>0</v>
      </c>
      <c r="I2421" s="898">
        <f t="shared" si="139"/>
        <v>390985.02249280008</v>
      </c>
      <c r="J2421" s="203" t="s">
        <v>1115</v>
      </c>
    </row>
    <row r="2422" spans="1:10" hidden="1" outlineLevel="1">
      <c r="A2422" s="876" t="s">
        <v>1116</v>
      </c>
      <c r="B2422" s="900">
        <f t="shared" si="140"/>
        <v>920461.34880000015</v>
      </c>
      <c r="C2422" s="886">
        <v>0</v>
      </c>
      <c r="D2422" s="814">
        <v>0</v>
      </c>
      <c r="E2422" s="814">
        <v>0</v>
      </c>
      <c r="F2422" s="814">
        <v>0</v>
      </c>
      <c r="G2422" s="814">
        <v>0</v>
      </c>
      <c r="H2422" s="814">
        <v>0</v>
      </c>
      <c r="I2422" s="898">
        <f t="shared" si="139"/>
        <v>920461.34880000015</v>
      </c>
      <c r="J2422" s="203" t="s">
        <v>1117</v>
      </c>
    </row>
    <row r="2423" spans="1:10" hidden="1" outlineLevel="1">
      <c r="A2423" s="876" t="s">
        <v>1118</v>
      </c>
      <c r="B2423" s="900">
        <f t="shared" si="140"/>
        <v>104162.99280000001</v>
      </c>
      <c r="C2423" s="886">
        <v>0</v>
      </c>
      <c r="D2423" s="814">
        <v>0</v>
      </c>
      <c r="E2423" s="814">
        <v>0</v>
      </c>
      <c r="F2423" s="814">
        <v>0</v>
      </c>
      <c r="G2423" s="814">
        <v>0</v>
      </c>
      <c r="H2423" s="814">
        <v>0</v>
      </c>
      <c r="I2423" s="898">
        <f t="shared" si="139"/>
        <v>104162.99280000001</v>
      </c>
      <c r="J2423" s="203" t="s">
        <v>1119</v>
      </c>
    </row>
    <row r="2424" spans="1:10" hidden="1" outlineLevel="1">
      <c r="A2424" s="876" t="s">
        <v>1120</v>
      </c>
      <c r="B2424" s="900">
        <f t="shared" si="140"/>
        <v>16655309.912640002</v>
      </c>
      <c r="C2424" s="886">
        <v>0</v>
      </c>
      <c r="D2424" s="814">
        <v>0</v>
      </c>
      <c r="E2424" s="814">
        <v>0</v>
      </c>
      <c r="F2424" s="815">
        <v>52619</v>
      </c>
      <c r="G2424" s="815">
        <v>4449</v>
      </c>
      <c r="H2424" s="814">
        <v>0</v>
      </c>
      <c r="I2424" s="898">
        <f t="shared" si="139"/>
        <v>16712377.912640002</v>
      </c>
      <c r="J2424" s="203" t="s">
        <v>1121</v>
      </c>
    </row>
    <row r="2425" spans="1:10" hidden="1" outlineLevel="1">
      <c r="A2425" s="876" t="s">
        <v>1122</v>
      </c>
      <c r="B2425" s="900">
        <f t="shared" si="140"/>
        <v>1664411.6742932799</v>
      </c>
      <c r="C2425" s="886">
        <v>0</v>
      </c>
      <c r="D2425" s="814">
        <v>0</v>
      </c>
      <c r="E2425" s="814">
        <v>0</v>
      </c>
      <c r="F2425" s="814">
        <v>0</v>
      </c>
      <c r="G2425" s="814">
        <v>0</v>
      </c>
      <c r="H2425" s="814">
        <v>0</v>
      </c>
      <c r="I2425" s="898">
        <f t="shared" si="139"/>
        <v>1664411.6742932799</v>
      </c>
      <c r="J2425" s="203" t="s">
        <v>1123</v>
      </c>
    </row>
    <row r="2426" spans="1:10" hidden="1" outlineLevel="1">
      <c r="A2426" s="876" t="s">
        <v>1875</v>
      </c>
      <c r="B2426" s="900">
        <f t="shared" si="140"/>
        <v>15432.459040000002</v>
      </c>
      <c r="C2426" s="886">
        <v>0</v>
      </c>
      <c r="D2426" s="814">
        <v>0</v>
      </c>
      <c r="E2426" s="814">
        <v>0</v>
      </c>
      <c r="F2426" s="814">
        <v>0</v>
      </c>
      <c r="G2426" s="814">
        <v>0</v>
      </c>
      <c r="H2426" s="814">
        <v>0</v>
      </c>
      <c r="I2426" s="898">
        <f t="shared" si="139"/>
        <v>15432.459040000002</v>
      </c>
      <c r="J2426" s="203" t="s">
        <v>1876</v>
      </c>
    </row>
    <row r="2427" spans="1:10" hidden="1" outlineLevel="1">
      <c r="A2427" s="876" t="s">
        <v>1124</v>
      </c>
      <c r="B2427" s="900">
        <f t="shared" si="140"/>
        <v>222934.03946879998</v>
      </c>
      <c r="C2427" s="886">
        <v>0</v>
      </c>
      <c r="D2427" s="814">
        <v>0</v>
      </c>
      <c r="E2427" s="814">
        <v>0</v>
      </c>
      <c r="F2427" s="814">
        <v>0</v>
      </c>
      <c r="G2427" s="814">
        <v>0</v>
      </c>
      <c r="H2427" s="814">
        <v>0</v>
      </c>
      <c r="I2427" s="898">
        <f t="shared" si="139"/>
        <v>222934.03946879998</v>
      </c>
      <c r="J2427" s="203" t="s">
        <v>1125</v>
      </c>
    </row>
    <row r="2428" spans="1:10" hidden="1" outlineLevel="1">
      <c r="A2428" s="876" t="s">
        <v>1126</v>
      </c>
      <c r="B2428" s="900">
        <f t="shared" si="140"/>
        <v>752215.80667199998</v>
      </c>
      <c r="C2428" s="886">
        <v>0</v>
      </c>
      <c r="D2428" s="814">
        <v>0</v>
      </c>
      <c r="E2428" s="814">
        <v>0</v>
      </c>
      <c r="F2428" s="814">
        <v>0</v>
      </c>
      <c r="G2428" s="814">
        <v>0</v>
      </c>
      <c r="H2428" s="814">
        <v>0</v>
      </c>
      <c r="I2428" s="898">
        <f t="shared" si="139"/>
        <v>752215.80667199998</v>
      </c>
      <c r="J2428" s="203" t="s">
        <v>1127</v>
      </c>
    </row>
    <row r="2429" spans="1:10" hidden="1" outlineLevel="1">
      <c r="A2429" s="876" t="s">
        <v>1128</v>
      </c>
      <c r="B2429" s="900">
        <f t="shared" si="140"/>
        <v>173694.85344000001</v>
      </c>
      <c r="C2429" s="886">
        <v>0</v>
      </c>
      <c r="D2429" s="814">
        <v>0</v>
      </c>
      <c r="E2429" s="814">
        <v>0</v>
      </c>
      <c r="F2429" s="814">
        <v>0</v>
      </c>
      <c r="G2429" s="814">
        <v>0</v>
      </c>
      <c r="H2429" s="814">
        <v>0</v>
      </c>
      <c r="I2429" s="898">
        <f t="shared" si="139"/>
        <v>173694.85344000001</v>
      </c>
      <c r="J2429" s="203" t="s">
        <v>1129</v>
      </c>
    </row>
    <row r="2430" spans="1:10" hidden="1" outlineLevel="1">
      <c r="A2430" s="876" t="s">
        <v>1130</v>
      </c>
      <c r="B2430" s="900">
        <f t="shared" si="140"/>
        <v>826991.03792000015</v>
      </c>
      <c r="C2430" s="886">
        <v>0</v>
      </c>
      <c r="D2430" s="814">
        <v>0</v>
      </c>
      <c r="E2430" s="814">
        <v>0</v>
      </c>
      <c r="F2430" s="814">
        <v>0</v>
      </c>
      <c r="G2430" s="814">
        <v>0</v>
      </c>
      <c r="H2430" s="814">
        <v>0</v>
      </c>
      <c r="I2430" s="898">
        <f t="shared" si="139"/>
        <v>826991.03792000015</v>
      </c>
      <c r="J2430" s="203" t="s">
        <v>1131</v>
      </c>
    </row>
    <row r="2431" spans="1:10" hidden="1" outlineLevel="1">
      <c r="A2431" s="876" t="s">
        <v>1132</v>
      </c>
      <c r="B2431" s="900">
        <f t="shared" si="140"/>
        <v>121588.01904000001</v>
      </c>
      <c r="C2431" s="886">
        <v>0</v>
      </c>
      <c r="D2431" s="814">
        <v>0</v>
      </c>
      <c r="E2431" s="814">
        <v>0</v>
      </c>
      <c r="F2431" s="814">
        <v>0</v>
      </c>
      <c r="G2431" s="814">
        <v>0</v>
      </c>
      <c r="H2431" s="814">
        <v>0</v>
      </c>
      <c r="I2431" s="898">
        <f t="shared" si="139"/>
        <v>121588.01904000001</v>
      </c>
      <c r="J2431" s="203" t="s">
        <v>1133</v>
      </c>
    </row>
    <row r="2432" spans="1:10" hidden="1" outlineLevel="1">
      <c r="A2432" s="876" t="s">
        <v>1134</v>
      </c>
      <c r="B2432" s="900">
        <f t="shared" si="140"/>
        <v>518947.62719999999</v>
      </c>
      <c r="C2432" s="886">
        <v>0</v>
      </c>
      <c r="D2432" s="814">
        <v>0</v>
      </c>
      <c r="E2432" s="814">
        <v>0</v>
      </c>
      <c r="F2432" s="814">
        <v>0</v>
      </c>
      <c r="G2432" s="814">
        <v>0</v>
      </c>
      <c r="H2432" s="814">
        <v>0</v>
      </c>
      <c r="I2432" s="898">
        <f t="shared" si="139"/>
        <v>518947.62719999999</v>
      </c>
      <c r="J2432" s="203" t="s">
        <v>1135</v>
      </c>
    </row>
    <row r="2433" spans="1:10" hidden="1" outlineLevel="1">
      <c r="A2433" s="876" t="s">
        <v>1136</v>
      </c>
      <c r="B2433" s="900">
        <f t="shared" si="140"/>
        <v>107196.304</v>
      </c>
      <c r="C2433" s="886">
        <v>0</v>
      </c>
      <c r="D2433" s="814">
        <v>0</v>
      </c>
      <c r="E2433" s="814">
        <v>0</v>
      </c>
      <c r="F2433" s="814">
        <v>0</v>
      </c>
      <c r="G2433" s="814">
        <v>0</v>
      </c>
      <c r="H2433" s="814">
        <v>0</v>
      </c>
      <c r="I2433" s="898">
        <f t="shared" si="139"/>
        <v>107196.304</v>
      </c>
      <c r="J2433" s="203" t="s">
        <v>1137</v>
      </c>
    </row>
    <row r="2434" spans="1:10" hidden="1" outlineLevel="1">
      <c r="A2434" s="876" t="s">
        <v>1138</v>
      </c>
      <c r="B2434" s="900">
        <f t="shared" si="140"/>
        <v>68827.500320000006</v>
      </c>
      <c r="C2434" s="886">
        <v>0</v>
      </c>
      <c r="D2434" s="814">
        <v>0</v>
      </c>
      <c r="E2434" s="814">
        <v>0</v>
      </c>
      <c r="F2434" s="814">
        <v>0</v>
      </c>
      <c r="G2434" s="814">
        <v>0</v>
      </c>
      <c r="H2434" s="814">
        <v>0</v>
      </c>
      <c r="I2434" s="898">
        <f t="shared" si="139"/>
        <v>68827.500320000006</v>
      </c>
      <c r="J2434" s="203" t="s">
        <v>1139</v>
      </c>
    </row>
    <row r="2435" spans="1:10" hidden="1" outlineLevel="1">
      <c r="A2435" s="876" t="s">
        <v>1140</v>
      </c>
      <c r="B2435" s="900">
        <f t="shared" si="140"/>
        <v>1142886.6243200002</v>
      </c>
      <c r="C2435" s="886">
        <v>0</v>
      </c>
      <c r="D2435" s="814">
        <v>0</v>
      </c>
      <c r="E2435" s="814">
        <v>0</v>
      </c>
      <c r="F2435" s="814">
        <v>0</v>
      </c>
      <c r="G2435" s="814">
        <v>0</v>
      </c>
      <c r="H2435" s="814">
        <v>0</v>
      </c>
      <c r="I2435" s="898">
        <f t="shared" si="139"/>
        <v>1142886.6243200002</v>
      </c>
      <c r="J2435" s="203" t="s">
        <v>1141</v>
      </c>
    </row>
    <row r="2436" spans="1:10" hidden="1" outlineLevel="1">
      <c r="A2436" s="876" t="s">
        <v>1142</v>
      </c>
      <c r="B2436" s="900">
        <f t="shared" si="140"/>
        <v>204234.98592000001</v>
      </c>
      <c r="C2436" s="886">
        <v>0</v>
      </c>
      <c r="D2436" s="814">
        <v>0</v>
      </c>
      <c r="E2436" s="814">
        <v>0</v>
      </c>
      <c r="F2436" s="814">
        <v>0</v>
      </c>
      <c r="G2436" s="814">
        <v>0</v>
      </c>
      <c r="H2436" s="814">
        <v>0</v>
      </c>
      <c r="I2436" s="898">
        <f t="shared" si="139"/>
        <v>204234.98592000001</v>
      </c>
      <c r="J2436" s="203" t="s">
        <v>1143</v>
      </c>
    </row>
    <row r="2437" spans="1:10" hidden="1" outlineLevel="1">
      <c r="A2437" s="876" t="s">
        <v>1144</v>
      </c>
      <c r="B2437" s="900">
        <f t="shared" si="140"/>
        <v>242980.04496</v>
      </c>
      <c r="C2437" s="886">
        <v>0</v>
      </c>
      <c r="D2437" s="814">
        <v>0</v>
      </c>
      <c r="E2437" s="814">
        <v>0</v>
      </c>
      <c r="F2437" s="814">
        <v>0</v>
      </c>
      <c r="G2437" s="814">
        <v>0</v>
      </c>
      <c r="H2437" s="814">
        <v>0</v>
      </c>
      <c r="I2437" s="898">
        <f t="shared" si="139"/>
        <v>242980.04496</v>
      </c>
      <c r="J2437" s="203" t="s">
        <v>1145</v>
      </c>
    </row>
    <row r="2438" spans="1:10" hidden="1" outlineLevel="1">
      <c r="A2438" s="876" t="s">
        <v>1146</v>
      </c>
      <c r="B2438" s="900">
        <f t="shared" si="140"/>
        <v>113469.72383999999</v>
      </c>
      <c r="C2438" s="886">
        <v>0</v>
      </c>
      <c r="D2438" s="814">
        <v>0</v>
      </c>
      <c r="E2438" s="814">
        <v>0</v>
      </c>
      <c r="F2438" s="814">
        <v>0</v>
      </c>
      <c r="G2438" s="814">
        <v>0</v>
      </c>
      <c r="H2438" s="814">
        <v>0</v>
      </c>
      <c r="I2438" s="898">
        <f t="shared" si="139"/>
        <v>113469.72383999999</v>
      </c>
      <c r="J2438" s="203" t="s">
        <v>1147</v>
      </c>
    </row>
    <row r="2439" spans="1:10" hidden="1" outlineLevel="1">
      <c r="A2439" s="876" t="s">
        <v>1148</v>
      </c>
      <c r="B2439" s="900">
        <f t="shared" si="140"/>
        <v>39725.601920000001</v>
      </c>
      <c r="C2439" s="886">
        <v>0</v>
      </c>
      <c r="D2439" s="814">
        <v>0</v>
      </c>
      <c r="E2439" s="814">
        <v>0</v>
      </c>
      <c r="F2439" s="814">
        <v>0</v>
      </c>
      <c r="G2439" s="814">
        <v>0</v>
      </c>
      <c r="H2439" s="814">
        <v>0</v>
      </c>
      <c r="I2439" s="898">
        <f t="shared" si="139"/>
        <v>39725.601920000001</v>
      </c>
      <c r="J2439" s="203" t="s">
        <v>1149</v>
      </c>
    </row>
    <row r="2440" spans="1:10" hidden="1" outlineLevel="1">
      <c r="A2440" s="876" t="s">
        <v>1150</v>
      </c>
      <c r="B2440" s="900">
        <f t="shared" si="140"/>
        <v>222247.51264000003</v>
      </c>
      <c r="C2440" s="886">
        <v>0</v>
      </c>
      <c r="D2440" s="814">
        <v>0</v>
      </c>
      <c r="E2440" s="814">
        <v>0</v>
      </c>
      <c r="F2440" s="814">
        <v>0</v>
      </c>
      <c r="G2440" s="814">
        <v>0</v>
      </c>
      <c r="H2440" s="814">
        <v>0</v>
      </c>
      <c r="I2440" s="898">
        <f t="shared" si="139"/>
        <v>222247.51264000003</v>
      </c>
      <c r="J2440" s="203" t="s">
        <v>1151</v>
      </c>
    </row>
    <row r="2441" spans="1:10" hidden="1" outlineLevel="1">
      <c r="A2441" s="876" t="s">
        <v>1152</v>
      </c>
      <c r="B2441" s="900">
        <f t="shared" si="140"/>
        <v>111907.08592</v>
      </c>
      <c r="C2441" s="886">
        <v>0</v>
      </c>
      <c r="D2441" s="814">
        <v>0</v>
      </c>
      <c r="E2441" s="814">
        <v>0</v>
      </c>
      <c r="F2441" s="814">
        <v>0</v>
      </c>
      <c r="G2441" s="814">
        <v>0</v>
      </c>
      <c r="H2441" s="814">
        <v>0</v>
      </c>
      <c r="I2441" s="898">
        <f t="shared" si="139"/>
        <v>111907.08592</v>
      </c>
      <c r="J2441" s="203" t="s">
        <v>1153</v>
      </c>
    </row>
    <row r="2442" spans="1:10" hidden="1" outlineLevel="1">
      <c r="A2442" s="876" t="s">
        <v>1154</v>
      </c>
      <c r="B2442" s="900">
        <f t="shared" si="140"/>
        <v>55170.256000000008</v>
      </c>
      <c r="C2442" s="886">
        <v>0</v>
      </c>
      <c r="D2442" s="814">
        <v>0</v>
      </c>
      <c r="E2442" s="814">
        <v>0</v>
      </c>
      <c r="F2442" s="814">
        <v>0</v>
      </c>
      <c r="G2442" s="814">
        <v>0</v>
      </c>
      <c r="H2442" s="814">
        <v>0</v>
      </c>
      <c r="I2442" s="898">
        <f t="shared" si="139"/>
        <v>55170.256000000008</v>
      </c>
      <c r="J2442" s="203" t="s">
        <v>1155</v>
      </c>
    </row>
    <row r="2443" spans="1:10" hidden="1" outlineLevel="1">
      <c r="A2443" s="876" t="s">
        <v>1156</v>
      </c>
      <c r="B2443" s="900">
        <f t="shared" si="140"/>
        <v>186568.18432</v>
      </c>
      <c r="C2443" s="886">
        <v>0</v>
      </c>
      <c r="D2443" s="814">
        <v>0</v>
      </c>
      <c r="E2443" s="814">
        <v>0</v>
      </c>
      <c r="F2443" s="814">
        <v>0</v>
      </c>
      <c r="G2443" s="814">
        <v>0</v>
      </c>
      <c r="H2443" s="814">
        <v>0</v>
      </c>
      <c r="I2443" s="898">
        <f t="shared" si="139"/>
        <v>186568.18432</v>
      </c>
      <c r="J2443" s="203" t="s">
        <v>1157</v>
      </c>
    </row>
    <row r="2444" spans="1:10" hidden="1" outlineLevel="1">
      <c r="A2444" s="876" t="s">
        <v>1158</v>
      </c>
      <c r="B2444" s="900">
        <f t="shared" si="140"/>
        <v>134775.18031999998</v>
      </c>
      <c r="C2444" s="886">
        <v>0</v>
      </c>
      <c r="D2444" s="814">
        <v>0</v>
      </c>
      <c r="E2444" s="814">
        <v>0</v>
      </c>
      <c r="F2444" s="814">
        <v>0</v>
      </c>
      <c r="G2444" s="814">
        <v>0</v>
      </c>
      <c r="H2444" s="814">
        <v>0</v>
      </c>
      <c r="I2444" s="898">
        <f t="shared" si="139"/>
        <v>134775.18031999998</v>
      </c>
      <c r="J2444" s="203" t="s">
        <v>1159</v>
      </c>
    </row>
    <row r="2445" spans="1:10" hidden="1" outlineLevel="1">
      <c r="A2445" s="876" t="s">
        <v>1160</v>
      </c>
      <c r="B2445" s="900">
        <f t="shared" si="140"/>
        <v>2479969.87210576</v>
      </c>
      <c r="C2445" s="886">
        <v>0</v>
      </c>
      <c r="D2445" s="814">
        <v>0</v>
      </c>
      <c r="E2445" s="814">
        <v>0</v>
      </c>
      <c r="F2445" s="814">
        <v>0</v>
      </c>
      <c r="G2445" s="814">
        <v>0</v>
      </c>
      <c r="H2445" s="814">
        <v>0</v>
      </c>
      <c r="I2445" s="898">
        <f t="shared" si="139"/>
        <v>2479969.87210576</v>
      </c>
      <c r="J2445" s="203" t="s">
        <v>1161</v>
      </c>
    </row>
    <row r="2446" spans="1:10" hidden="1" outlineLevel="1">
      <c r="A2446" s="876" t="s">
        <v>1162</v>
      </c>
      <c r="B2446" s="900">
        <f t="shared" si="140"/>
        <v>536774.55839999998</v>
      </c>
      <c r="C2446" s="886">
        <v>0</v>
      </c>
      <c r="D2446" s="814">
        <v>0</v>
      </c>
      <c r="E2446" s="814">
        <v>0</v>
      </c>
      <c r="F2446" s="814">
        <v>0</v>
      </c>
      <c r="G2446" s="814">
        <v>0</v>
      </c>
      <c r="H2446" s="814">
        <v>0</v>
      </c>
      <c r="I2446" s="898">
        <f t="shared" si="139"/>
        <v>536774.55839999998</v>
      </c>
      <c r="J2446" s="203" t="s">
        <v>1163</v>
      </c>
    </row>
    <row r="2447" spans="1:10" hidden="1" outlineLevel="1">
      <c r="A2447" s="876" t="s">
        <v>1164</v>
      </c>
      <c r="B2447" s="900">
        <f t="shared" si="140"/>
        <v>851947.07536000002</v>
      </c>
      <c r="C2447" s="886">
        <v>0</v>
      </c>
      <c r="D2447" s="814">
        <v>0</v>
      </c>
      <c r="E2447" s="814">
        <v>0</v>
      </c>
      <c r="F2447" s="814">
        <v>0</v>
      </c>
      <c r="G2447" s="814">
        <v>0</v>
      </c>
      <c r="H2447" s="814">
        <v>0</v>
      </c>
      <c r="I2447" s="898">
        <f t="shared" si="139"/>
        <v>851947.07536000002</v>
      </c>
      <c r="J2447" s="203" t="s">
        <v>1165</v>
      </c>
    </row>
    <row r="2448" spans="1:10" hidden="1" outlineLevel="1">
      <c r="A2448" s="876" t="s">
        <v>1166</v>
      </c>
      <c r="B2448" s="900">
        <f t="shared" si="140"/>
        <v>20908.720799999999</v>
      </c>
      <c r="C2448" s="886">
        <v>0</v>
      </c>
      <c r="D2448" s="814">
        <v>0</v>
      </c>
      <c r="E2448" s="814">
        <v>0</v>
      </c>
      <c r="F2448" s="814">
        <v>0</v>
      </c>
      <c r="G2448" s="814">
        <v>0</v>
      </c>
      <c r="H2448" s="814">
        <v>0</v>
      </c>
      <c r="I2448" s="898">
        <f t="shared" si="139"/>
        <v>20908.720799999999</v>
      </c>
      <c r="J2448" s="203" t="s">
        <v>1167</v>
      </c>
    </row>
    <row r="2449" spans="1:10" hidden="1" outlineLevel="1">
      <c r="A2449" s="876" t="s">
        <v>1168</v>
      </c>
      <c r="B2449" s="900">
        <f t="shared" si="140"/>
        <v>187860.30096000002</v>
      </c>
      <c r="C2449" s="886">
        <v>0</v>
      </c>
      <c r="D2449" s="814">
        <v>0</v>
      </c>
      <c r="E2449" s="814">
        <v>0</v>
      </c>
      <c r="F2449" s="814">
        <v>0</v>
      </c>
      <c r="G2449" s="814">
        <v>0</v>
      </c>
      <c r="H2449" s="814">
        <v>0</v>
      </c>
      <c r="I2449" s="898">
        <f t="shared" si="139"/>
        <v>187860.30096000002</v>
      </c>
      <c r="J2449" s="203" t="s">
        <v>1169</v>
      </c>
    </row>
    <row r="2450" spans="1:10" hidden="1" outlineLevel="1">
      <c r="A2450" s="876" t="s">
        <v>1170</v>
      </c>
      <c r="B2450" s="900">
        <f t="shared" si="140"/>
        <v>370079.74976000004</v>
      </c>
      <c r="C2450" s="886">
        <v>0</v>
      </c>
      <c r="D2450" s="814">
        <v>0</v>
      </c>
      <c r="E2450" s="814">
        <v>0</v>
      </c>
      <c r="F2450" s="814">
        <v>0</v>
      </c>
      <c r="G2450" s="814">
        <v>0</v>
      </c>
      <c r="H2450" s="814">
        <v>0</v>
      </c>
      <c r="I2450" s="898">
        <f t="shared" si="139"/>
        <v>370079.74976000004</v>
      </c>
      <c r="J2450" s="203" t="s">
        <v>1171</v>
      </c>
    </row>
    <row r="2451" spans="1:10" hidden="1" outlineLevel="1">
      <c r="A2451" s="876" t="s">
        <v>1172</v>
      </c>
      <c r="B2451" s="900">
        <f t="shared" si="140"/>
        <v>247560.10576000001</v>
      </c>
      <c r="C2451" s="886">
        <v>0</v>
      </c>
      <c r="D2451" s="814">
        <v>0</v>
      </c>
      <c r="E2451" s="814">
        <v>0</v>
      </c>
      <c r="F2451" s="814">
        <v>0</v>
      </c>
      <c r="G2451" s="814">
        <v>0</v>
      </c>
      <c r="H2451" s="814">
        <v>0</v>
      </c>
      <c r="I2451" s="898">
        <f t="shared" si="139"/>
        <v>247560.10576000001</v>
      </c>
      <c r="J2451" s="203" t="s">
        <v>1173</v>
      </c>
    </row>
    <row r="2452" spans="1:10" hidden="1" outlineLevel="1">
      <c r="A2452" s="876" t="s">
        <v>1174</v>
      </c>
      <c r="B2452" s="900">
        <f t="shared" si="140"/>
        <v>2180622.36576</v>
      </c>
      <c r="C2452" s="886">
        <v>0</v>
      </c>
      <c r="D2452" s="814">
        <v>0</v>
      </c>
      <c r="E2452" s="814">
        <v>0</v>
      </c>
      <c r="F2452" s="814">
        <v>0</v>
      </c>
      <c r="G2452" s="814">
        <v>0</v>
      </c>
      <c r="H2452" s="814">
        <v>0</v>
      </c>
      <c r="I2452" s="898">
        <f t="shared" si="139"/>
        <v>2180622.36576</v>
      </c>
      <c r="J2452" s="203" t="s">
        <v>1175</v>
      </c>
    </row>
    <row r="2453" spans="1:10" hidden="1" outlineLevel="1">
      <c r="A2453" s="876" t="s">
        <v>1176</v>
      </c>
      <c r="B2453" s="900">
        <f t="shared" si="140"/>
        <v>2371536.0580799999</v>
      </c>
      <c r="C2453" s="886">
        <v>0</v>
      </c>
      <c r="D2453" s="814">
        <v>0</v>
      </c>
      <c r="E2453" s="814">
        <v>0</v>
      </c>
      <c r="F2453" s="814">
        <v>0</v>
      </c>
      <c r="G2453" s="814">
        <v>0</v>
      </c>
      <c r="H2453" s="814">
        <v>0</v>
      </c>
      <c r="I2453" s="898">
        <f t="shared" si="139"/>
        <v>2371536.0580799999</v>
      </c>
      <c r="J2453" s="203" t="s">
        <v>1177</v>
      </c>
    </row>
    <row r="2454" spans="1:10" hidden="1" outlineLevel="1">
      <c r="A2454" s="876" t="s">
        <v>1178</v>
      </c>
      <c r="B2454" s="900">
        <f t="shared" si="140"/>
        <v>117006.82336000001</v>
      </c>
      <c r="C2454" s="886">
        <v>0</v>
      </c>
      <c r="D2454" s="814">
        <v>0</v>
      </c>
      <c r="E2454" s="814">
        <v>0</v>
      </c>
      <c r="F2454" s="814">
        <v>0</v>
      </c>
      <c r="G2454" s="814">
        <v>0</v>
      </c>
      <c r="H2454" s="814">
        <v>0</v>
      </c>
      <c r="I2454" s="898">
        <f t="shared" si="139"/>
        <v>117006.82336000001</v>
      </c>
      <c r="J2454" s="203" t="s">
        <v>1179</v>
      </c>
    </row>
    <row r="2455" spans="1:10" hidden="1" outlineLevel="1">
      <c r="A2455" s="876" t="s">
        <v>1877</v>
      </c>
      <c r="B2455" s="900">
        <f t="shared" si="140"/>
        <v>0</v>
      </c>
      <c r="C2455" s="886">
        <v>0</v>
      </c>
      <c r="D2455" s="814">
        <v>0</v>
      </c>
      <c r="E2455" s="814">
        <v>0</v>
      </c>
      <c r="F2455" s="814">
        <v>0</v>
      </c>
      <c r="G2455" s="814">
        <v>0</v>
      </c>
      <c r="H2455" s="814">
        <v>0</v>
      </c>
      <c r="I2455" s="898">
        <f t="shared" si="139"/>
        <v>0</v>
      </c>
      <c r="J2455" s="203" t="s">
        <v>1878</v>
      </c>
    </row>
    <row r="2456" spans="1:10" hidden="1" outlineLevel="1">
      <c r="A2456" s="876" t="s">
        <v>1180</v>
      </c>
      <c r="B2456" s="900">
        <f t="shared" si="140"/>
        <v>108993.37008000001</v>
      </c>
      <c r="C2456" s="886">
        <v>0</v>
      </c>
      <c r="D2456" s="814">
        <v>0</v>
      </c>
      <c r="E2456" s="814">
        <v>0</v>
      </c>
      <c r="F2456" s="814">
        <v>0</v>
      </c>
      <c r="G2456" s="814">
        <v>0</v>
      </c>
      <c r="H2456" s="814">
        <v>0</v>
      </c>
      <c r="I2456" s="898">
        <f t="shared" si="139"/>
        <v>108993.37008000001</v>
      </c>
      <c r="J2456" s="203" t="s">
        <v>1181</v>
      </c>
    </row>
    <row r="2457" spans="1:10" hidden="1" outlineLevel="1">
      <c r="A2457" s="876" t="s">
        <v>1182</v>
      </c>
      <c r="B2457" s="900">
        <f t="shared" si="140"/>
        <v>138451.14848</v>
      </c>
      <c r="C2457" s="886">
        <v>0</v>
      </c>
      <c r="D2457" s="814">
        <v>0</v>
      </c>
      <c r="E2457" s="814">
        <v>0</v>
      </c>
      <c r="F2457" s="814">
        <v>0</v>
      </c>
      <c r="G2457" s="814">
        <v>0</v>
      </c>
      <c r="H2457" s="814">
        <v>0</v>
      </c>
      <c r="I2457" s="898">
        <f t="shared" si="139"/>
        <v>138451.14848</v>
      </c>
      <c r="J2457" s="203" t="s">
        <v>1183</v>
      </c>
    </row>
    <row r="2458" spans="1:10" hidden="1" outlineLevel="1">
      <c r="A2458" s="876" t="s">
        <v>1184</v>
      </c>
      <c r="B2458" s="900">
        <f t="shared" si="140"/>
        <v>945191.17776000011</v>
      </c>
      <c r="C2458" s="886">
        <v>0</v>
      </c>
      <c r="D2458" s="814">
        <v>0</v>
      </c>
      <c r="E2458" s="814">
        <v>0</v>
      </c>
      <c r="F2458" s="814">
        <v>0</v>
      </c>
      <c r="G2458" s="814">
        <v>0</v>
      </c>
      <c r="H2458" s="814">
        <v>0</v>
      </c>
      <c r="I2458" s="898">
        <f t="shared" si="139"/>
        <v>945191.17776000011</v>
      </c>
      <c r="J2458" s="203" t="s">
        <v>1185</v>
      </c>
    </row>
    <row r="2459" spans="1:10" hidden="1" outlineLevel="1">
      <c r="A2459" s="876" t="s">
        <v>1186</v>
      </c>
      <c r="B2459" s="900">
        <f t="shared" si="140"/>
        <v>574413.62768000003</v>
      </c>
      <c r="C2459" s="886">
        <v>0</v>
      </c>
      <c r="D2459" s="814">
        <v>0</v>
      </c>
      <c r="E2459" s="814">
        <v>0</v>
      </c>
      <c r="F2459" s="814">
        <v>0</v>
      </c>
      <c r="G2459" s="814">
        <v>0</v>
      </c>
      <c r="H2459" s="814">
        <v>0</v>
      </c>
      <c r="I2459" s="898">
        <f t="shared" si="139"/>
        <v>574413.62768000003</v>
      </c>
      <c r="J2459" s="203" t="s">
        <v>1187</v>
      </c>
    </row>
    <row r="2460" spans="1:10" hidden="1" outlineLevel="1">
      <c r="A2460" s="876" t="s">
        <v>1188</v>
      </c>
      <c r="B2460" s="900">
        <f t="shared" si="140"/>
        <v>160762.19392000002</v>
      </c>
      <c r="C2460" s="886">
        <v>0</v>
      </c>
      <c r="D2460" s="814">
        <v>0</v>
      </c>
      <c r="E2460" s="814">
        <v>0</v>
      </c>
      <c r="F2460" s="814">
        <v>0</v>
      </c>
      <c r="G2460" s="814">
        <v>0</v>
      </c>
      <c r="H2460" s="814">
        <v>0</v>
      </c>
      <c r="I2460" s="898">
        <f t="shared" si="139"/>
        <v>160762.19392000002</v>
      </c>
      <c r="J2460" s="203" t="s">
        <v>1189</v>
      </c>
    </row>
    <row r="2461" spans="1:10" hidden="1" outlineLevel="1">
      <c r="A2461" s="876" t="s">
        <v>1190</v>
      </c>
      <c r="B2461" s="900">
        <f t="shared" si="140"/>
        <v>576694.57254560012</v>
      </c>
      <c r="C2461" s="886">
        <v>0</v>
      </c>
      <c r="D2461" s="814">
        <v>0</v>
      </c>
      <c r="E2461" s="814">
        <v>0</v>
      </c>
      <c r="F2461" s="814">
        <v>0</v>
      </c>
      <c r="G2461" s="814">
        <v>0</v>
      </c>
      <c r="H2461" s="814">
        <v>0</v>
      </c>
      <c r="I2461" s="898">
        <f t="shared" si="139"/>
        <v>576694.57254560012</v>
      </c>
      <c r="J2461" s="203" t="s">
        <v>1191</v>
      </c>
    </row>
    <row r="2462" spans="1:10" hidden="1" outlineLevel="1">
      <c r="A2462" s="876" t="s">
        <v>1192</v>
      </c>
      <c r="B2462" s="900">
        <f t="shared" si="140"/>
        <v>778882.54975999997</v>
      </c>
      <c r="C2462" s="886">
        <v>0</v>
      </c>
      <c r="D2462" s="814">
        <v>0</v>
      </c>
      <c r="E2462" s="814">
        <v>0</v>
      </c>
      <c r="F2462" s="814">
        <v>0</v>
      </c>
      <c r="G2462" s="814">
        <v>0</v>
      </c>
      <c r="H2462" s="814">
        <v>0</v>
      </c>
      <c r="I2462" s="898">
        <f t="shared" si="139"/>
        <v>778882.54975999997</v>
      </c>
      <c r="J2462" s="203" t="s">
        <v>1193</v>
      </c>
    </row>
    <row r="2463" spans="1:10" hidden="1" outlineLevel="1">
      <c r="A2463" s="876" t="s">
        <v>1194</v>
      </c>
      <c r="B2463" s="900">
        <f t="shared" si="140"/>
        <v>284592.03392000002</v>
      </c>
      <c r="C2463" s="886">
        <v>0</v>
      </c>
      <c r="D2463" s="814">
        <v>0</v>
      </c>
      <c r="E2463" s="814">
        <v>0</v>
      </c>
      <c r="F2463" s="814">
        <v>0</v>
      </c>
      <c r="G2463" s="814">
        <v>0</v>
      </c>
      <c r="H2463" s="814">
        <v>0</v>
      </c>
      <c r="I2463" s="898">
        <f t="shared" si="139"/>
        <v>284592.03392000002</v>
      </c>
      <c r="J2463" s="203" t="s">
        <v>1195</v>
      </c>
    </row>
    <row r="2464" spans="1:10" hidden="1" outlineLevel="1">
      <c r="A2464" s="876" t="s">
        <v>1196</v>
      </c>
      <c r="B2464" s="900">
        <f t="shared" si="140"/>
        <v>635824.62815999996</v>
      </c>
      <c r="C2464" s="886">
        <v>0</v>
      </c>
      <c r="D2464" s="814">
        <v>0</v>
      </c>
      <c r="E2464" s="814">
        <v>0</v>
      </c>
      <c r="F2464" s="814">
        <v>0</v>
      </c>
      <c r="G2464" s="814">
        <v>0</v>
      </c>
      <c r="H2464" s="814">
        <v>0</v>
      </c>
      <c r="I2464" s="898">
        <f t="shared" si="139"/>
        <v>635824.62815999996</v>
      </c>
      <c r="J2464" s="203" t="s">
        <v>1197</v>
      </c>
    </row>
    <row r="2465" spans="1:10" hidden="1" outlineLevel="1">
      <c r="A2465" s="876" t="s">
        <v>1198</v>
      </c>
      <c r="B2465" s="900">
        <f t="shared" si="140"/>
        <v>13353584.596480001</v>
      </c>
      <c r="C2465" s="886">
        <v>0</v>
      </c>
      <c r="D2465" s="814">
        <v>0</v>
      </c>
      <c r="E2465" s="814">
        <v>0</v>
      </c>
      <c r="F2465" s="815">
        <v>20920</v>
      </c>
      <c r="G2465" s="814">
        <v>0</v>
      </c>
      <c r="H2465" s="814">
        <v>0</v>
      </c>
      <c r="I2465" s="898">
        <f t="shared" si="139"/>
        <v>13374504.596480001</v>
      </c>
      <c r="J2465" s="203" t="s">
        <v>1199</v>
      </c>
    </row>
    <row r="2466" spans="1:10" hidden="1" outlineLevel="1">
      <c r="A2466" s="876" t="s">
        <v>1200</v>
      </c>
      <c r="B2466" s="900">
        <f t="shared" si="140"/>
        <v>1568347.79648</v>
      </c>
      <c r="C2466" s="886">
        <v>0</v>
      </c>
      <c r="D2466" s="814">
        <v>0</v>
      </c>
      <c r="E2466" s="814">
        <v>0</v>
      </c>
      <c r="F2466" s="814">
        <v>0</v>
      </c>
      <c r="G2466" s="814">
        <v>0</v>
      </c>
      <c r="H2466" s="814">
        <v>0</v>
      </c>
      <c r="I2466" s="898">
        <f t="shared" si="139"/>
        <v>1568347.79648</v>
      </c>
      <c r="J2466" s="203" t="s">
        <v>1201</v>
      </c>
    </row>
    <row r="2467" spans="1:10" hidden="1" outlineLevel="1">
      <c r="A2467" s="876" t="s">
        <v>1202</v>
      </c>
      <c r="B2467" s="900">
        <f t="shared" si="140"/>
        <v>127345.44895999999</v>
      </c>
      <c r="C2467" s="886">
        <v>0</v>
      </c>
      <c r="D2467" s="814">
        <v>0</v>
      </c>
      <c r="E2467" s="814">
        <v>0</v>
      </c>
      <c r="F2467" s="814">
        <v>0</v>
      </c>
      <c r="G2467" s="814">
        <v>0</v>
      </c>
      <c r="H2467" s="814">
        <v>0</v>
      </c>
      <c r="I2467" s="898">
        <f t="shared" si="139"/>
        <v>127345.44895999999</v>
      </c>
      <c r="J2467" s="203" t="s">
        <v>1203</v>
      </c>
    </row>
    <row r="2468" spans="1:10" hidden="1" outlineLevel="1">
      <c r="A2468" s="876" t="s">
        <v>1204</v>
      </c>
      <c r="B2468" s="900">
        <f t="shared" si="140"/>
        <v>39980301.234400004</v>
      </c>
      <c r="C2468" s="886">
        <v>0</v>
      </c>
      <c r="D2468" s="814">
        <v>0</v>
      </c>
      <c r="E2468" s="814">
        <v>0</v>
      </c>
      <c r="F2468" s="815">
        <v>173730</v>
      </c>
      <c r="G2468" s="814">
        <v>0</v>
      </c>
      <c r="H2468" s="814">
        <v>0</v>
      </c>
      <c r="I2468" s="898">
        <f t="shared" si="139"/>
        <v>40154031.234400004</v>
      </c>
      <c r="J2468" s="203" t="s">
        <v>1205</v>
      </c>
    </row>
    <row r="2469" spans="1:10" hidden="1" outlineLevel="1">
      <c r="A2469" s="876" t="s">
        <v>1206</v>
      </c>
      <c r="B2469" s="900">
        <f t="shared" si="140"/>
        <v>548687.62991999998</v>
      </c>
      <c r="C2469" s="886">
        <v>0</v>
      </c>
      <c r="D2469" s="814">
        <v>0</v>
      </c>
      <c r="E2469" s="814">
        <v>0</v>
      </c>
      <c r="F2469" s="814">
        <v>0</v>
      </c>
      <c r="G2469" s="814">
        <v>0</v>
      </c>
      <c r="H2469" s="814">
        <v>0</v>
      </c>
      <c r="I2469" s="898">
        <f t="shared" si="139"/>
        <v>548687.62991999998</v>
      </c>
      <c r="J2469" s="203" t="s">
        <v>1207</v>
      </c>
    </row>
    <row r="2470" spans="1:10" hidden="1" outlineLevel="1">
      <c r="A2470" s="876" t="s">
        <v>1208</v>
      </c>
      <c r="B2470" s="900">
        <f t="shared" si="140"/>
        <v>349560.24687999999</v>
      </c>
      <c r="C2470" s="886">
        <v>0</v>
      </c>
      <c r="D2470" s="814">
        <v>0</v>
      </c>
      <c r="E2470" s="814">
        <v>0</v>
      </c>
      <c r="F2470" s="814">
        <v>0</v>
      </c>
      <c r="G2470" s="814">
        <v>0</v>
      </c>
      <c r="H2470" s="814">
        <v>0</v>
      </c>
      <c r="I2470" s="898">
        <f t="shared" si="139"/>
        <v>349560.24687999999</v>
      </c>
      <c r="J2470" s="203" t="s">
        <v>1209</v>
      </c>
    </row>
    <row r="2471" spans="1:10" hidden="1" outlineLevel="1">
      <c r="A2471" s="876" t="s">
        <v>1210</v>
      </c>
      <c r="B2471" s="900">
        <f t="shared" si="140"/>
        <v>6609851.4867200004</v>
      </c>
      <c r="C2471" s="886">
        <v>0</v>
      </c>
      <c r="D2471" s="814">
        <v>0</v>
      </c>
      <c r="E2471" s="814">
        <v>0</v>
      </c>
      <c r="F2471" s="814">
        <v>0</v>
      </c>
      <c r="G2471" s="814">
        <v>0</v>
      </c>
      <c r="H2471" s="814">
        <v>0</v>
      </c>
      <c r="I2471" s="898">
        <f t="shared" si="139"/>
        <v>6609851.4867200004</v>
      </c>
      <c r="J2471" s="203" t="s">
        <v>1211</v>
      </c>
    </row>
    <row r="2472" spans="1:10" hidden="1" outlineLevel="1">
      <c r="A2472" s="876" t="s">
        <v>1212</v>
      </c>
      <c r="B2472" s="900">
        <f t="shared" si="140"/>
        <v>423282.43215999997</v>
      </c>
      <c r="C2472" s="886">
        <v>0</v>
      </c>
      <c r="D2472" s="814">
        <v>0</v>
      </c>
      <c r="E2472" s="814">
        <v>0</v>
      </c>
      <c r="F2472" s="814">
        <v>0</v>
      </c>
      <c r="G2472" s="814">
        <v>0</v>
      </c>
      <c r="H2472" s="814">
        <v>0</v>
      </c>
      <c r="I2472" s="898">
        <f t="shared" ref="I2472:I2535" si="141">SUM(B2472:H2472)</f>
        <v>423282.43215999997</v>
      </c>
      <c r="J2472" s="203" t="s">
        <v>1213</v>
      </c>
    </row>
    <row r="2473" spans="1:10" hidden="1" outlineLevel="1">
      <c r="A2473" s="876" t="s">
        <v>1214</v>
      </c>
      <c r="B2473" s="900">
        <f t="shared" ref="B2473:B2536" si="142">B605*0.656/100</f>
        <v>170931.14216799999</v>
      </c>
      <c r="C2473" s="886">
        <v>0</v>
      </c>
      <c r="D2473" s="814">
        <v>0</v>
      </c>
      <c r="E2473" s="814">
        <v>0</v>
      </c>
      <c r="F2473" s="814">
        <v>0</v>
      </c>
      <c r="G2473" s="814">
        <v>949</v>
      </c>
      <c r="H2473" s="814">
        <v>0</v>
      </c>
      <c r="I2473" s="898">
        <f t="shared" si="141"/>
        <v>171880.14216799999</v>
      </c>
      <c r="J2473" s="203" t="s">
        <v>1215</v>
      </c>
    </row>
    <row r="2474" spans="1:10" hidden="1" outlineLevel="1">
      <c r="A2474" s="876" t="s">
        <v>1216</v>
      </c>
      <c r="B2474" s="900">
        <f t="shared" si="142"/>
        <v>240367.79392</v>
      </c>
      <c r="C2474" s="886">
        <v>0</v>
      </c>
      <c r="D2474" s="814">
        <v>0</v>
      </c>
      <c r="E2474" s="814">
        <v>0</v>
      </c>
      <c r="F2474" s="814">
        <v>0</v>
      </c>
      <c r="G2474" s="814">
        <v>0</v>
      </c>
      <c r="H2474" s="814">
        <v>0</v>
      </c>
      <c r="I2474" s="898">
        <f t="shared" si="141"/>
        <v>240367.79392</v>
      </c>
      <c r="J2474" s="203" t="s">
        <v>1217</v>
      </c>
    </row>
    <row r="2475" spans="1:10" hidden="1" outlineLevel="1">
      <c r="A2475" s="876" t="s">
        <v>1218</v>
      </c>
      <c r="B2475" s="900">
        <f t="shared" si="142"/>
        <v>392600.98415999999</v>
      </c>
      <c r="C2475" s="886">
        <v>0</v>
      </c>
      <c r="D2475" s="814">
        <v>0</v>
      </c>
      <c r="E2475" s="814">
        <v>0</v>
      </c>
      <c r="F2475" s="814">
        <v>0</v>
      </c>
      <c r="G2475" s="814">
        <v>0</v>
      </c>
      <c r="H2475" s="814">
        <v>0</v>
      </c>
      <c r="I2475" s="898">
        <f t="shared" si="141"/>
        <v>392600.98415999999</v>
      </c>
      <c r="J2475" s="203" t="s">
        <v>1219</v>
      </c>
    </row>
    <row r="2476" spans="1:10" hidden="1" outlineLevel="1">
      <c r="A2476" s="876" t="s">
        <v>1220</v>
      </c>
      <c r="B2476" s="900">
        <f t="shared" si="142"/>
        <v>405568.83807999996</v>
      </c>
      <c r="C2476" s="886">
        <v>0</v>
      </c>
      <c r="D2476" s="814">
        <v>0</v>
      </c>
      <c r="E2476" s="814">
        <v>0</v>
      </c>
      <c r="F2476" s="814">
        <v>0</v>
      </c>
      <c r="G2476" s="814">
        <v>0</v>
      </c>
      <c r="H2476" s="814">
        <v>0</v>
      </c>
      <c r="I2476" s="898">
        <f t="shared" si="141"/>
        <v>405568.83807999996</v>
      </c>
      <c r="J2476" s="203" t="s">
        <v>1221</v>
      </c>
    </row>
    <row r="2477" spans="1:10" hidden="1" outlineLevel="1">
      <c r="A2477" s="876" t="s">
        <v>1476</v>
      </c>
      <c r="B2477" s="900">
        <f t="shared" si="142"/>
        <v>1555188.10192</v>
      </c>
      <c r="C2477" s="886">
        <v>0</v>
      </c>
      <c r="D2477" s="814">
        <v>0</v>
      </c>
      <c r="E2477" s="814">
        <v>0</v>
      </c>
      <c r="F2477" s="814">
        <v>0</v>
      </c>
      <c r="G2477" s="814">
        <v>0</v>
      </c>
      <c r="H2477" s="814">
        <v>0</v>
      </c>
      <c r="I2477" s="898">
        <f t="shared" si="141"/>
        <v>1555188.10192</v>
      </c>
      <c r="J2477" s="203" t="s">
        <v>1477</v>
      </c>
    </row>
    <row r="2478" spans="1:10" hidden="1" outlineLevel="1">
      <c r="A2478" s="876" t="s">
        <v>1222</v>
      </c>
      <c r="B2478" s="900">
        <f t="shared" si="142"/>
        <v>376214.44528000004</v>
      </c>
      <c r="C2478" s="886">
        <v>0</v>
      </c>
      <c r="D2478" s="814">
        <v>0</v>
      </c>
      <c r="E2478" s="814">
        <v>0</v>
      </c>
      <c r="F2478" s="814">
        <v>0</v>
      </c>
      <c r="G2478" s="814">
        <v>0</v>
      </c>
      <c r="H2478" s="814">
        <v>0</v>
      </c>
      <c r="I2478" s="898">
        <f t="shared" si="141"/>
        <v>376214.44528000004</v>
      </c>
      <c r="J2478" s="203" t="s">
        <v>1223</v>
      </c>
    </row>
    <row r="2479" spans="1:10" hidden="1" outlineLevel="1">
      <c r="A2479" s="876" t="s">
        <v>1224</v>
      </c>
      <c r="B2479" s="900">
        <f t="shared" si="142"/>
        <v>355002.07520000002</v>
      </c>
      <c r="C2479" s="886">
        <v>0</v>
      </c>
      <c r="D2479" s="814">
        <v>0</v>
      </c>
      <c r="E2479" s="814">
        <v>0</v>
      </c>
      <c r="F2479" s="814">
        <v>0</v>
      </c>
      <c r="G2479" s="814">
        <v>0</v>
      </c>
      <c r="H2479" s="814">
        <v>0</v>
      </c>
      <c r="I2479" s="898">
        <f t="shared" si="141"/>
        <v>355002.07520000002</v>
      </c>
      <c r="J2479" s="203" t="s">
        <v>1225</v>
      </c>
    </row>
    <row r="2480" spans="1:10" hidden="1" outlineLevel="1">
      <c r="A2480" s="876" t="s">
        <v>1226</v>
      </c>
      <c r="B2480" s="900">
        <f t="shared" si="142"/>
        <v>385647.53503999999</v>
      </c>
      <c r="C2480" s="886">
        <v>0</v>
      </c>
      <c r="D2480" s="814">
        <v>0</v>
      </c>
      <c r="E2480" s="814">
        <v>0</v>
      </c>
      <c r="F2480" s="814">
        <v>0</v>
      </c>
      <c r="G2480" s="814">
        <v>0</v>
      </c>
      <c r="H2480" s="814">
        <v>0</v>
      </c>
      <c r="I2480" s="898">
        <f t="shared" si="141"/>
        <v>385647.53503999999</v>
      </c>
      <c r="J2480" s="203" t="s">
        <v>1227</v>
      </c>
    </row>
    <row r="2481" spans="1:10" hidden="1" outlineLevel="1">
      <c r="A2481" s="876" t="s">
        <v>1228</v>
      </c>
      <c r="B2481" s="900">
        <f t="shared" si="142"/>
        <v>943533.74128000007</v>
      </c>
      <c r="C2481" s="886">
        <v>0</v>
      </c>
      <c r="D2481" s="814">
        <v>0</v>
      </c>
      <c r="E2481" s="814">
        <v>0</v>
      </c>
      <c r="F2481" s="814">
        <v>0</v>
      </c>
      <c r="G2481" s="814">
        <v>0</v>
      </c>
      <c r="H2481" s="814">
        <v>0</v>
      </c>
      <c r="I2481" s="898">
        <f t="shared" si="141"/>
        <v>943533.74128000007</v>
      </c>
      <c r="J2481" s="203" t="s">
        <v>1229</v>
      </c>
    </row>
    <row r="2482" spans="1:10" hidden="1" outlineLevel="1">
      <c r="A2482" s="876" t="s">
        <v>1230</v>
      </c>
      <c r="B2482" s="900">
        <f t="shared" si="142"/>
        <v>342257.85167999996</v>
      </c>
      <c r="C2482" s="886">
        <v>0</v>
      </c>
      <c r="D2482" s="814">
        <v>0</v>
      </c>
      <c r="E2482" s="814">
        <v>0</v>
      </c>
      <c r="F2482" s="814">
        <v>0</v>
      </c>
      <c r="G2482" s="814">
        <v>0</v>
      </c>
      <c r="H2482" s="814">
        <v>0</v>
      </c>
      <c r="I2482" s="898">
        <f t="shared" si="141"/>
        <v>342257.85167999996</v>
      </c>
      <c r="J2482" s="203" t="s">
        <v>1231</v>
      </c>
    </row>
    <row r="2483" spans="1:10" hidden="1" outlineLevel="1">
      <c r="A2483" s="876" t="s">
        <v>1232</v>
      </c>
      <c r="B2483" s="900">
        <f t="shared" si="142"/>
        <v>133129.76176000002</v>
      </c>
      <c r="C2483" s="886">
        <v>0</v>
      </c>
      <c r="D2483" s="814">
        <v>0</v>
      </c>
      <c r="E2483" s="814">
        <v>0</v>
      </c>
      <c r="F2483" s="814">
        <v>0</v>
      </c>
      <c r="G2483" s="814">
        <v>0</v>
      </c>
      <c r="H2483" s="814">
        <v>0</v>
      </c>
      <c r="I2483" s="898">
        <f t="shared" si="141"/>
        <v>133129.76176000002</v>
      </c>
      <c r="J2483" s="203" t="s">
        <v>1233</v>
      </c>
    </row>
    <row r="2484" spans="1:10" hidden="1" outlineLevel="1">
      <c r="A2484" s="876" t="s">
        <v>1234</v>
      </c>
      <c r="B2484" s="900">
        <f t="shared" si="142"/>
        <v>155450.06906720001</v>
      </c>
      <c r="C2484" s="886">
        <v>0</v>
      </c>
      <c r="D2484" s="814">
        <v>0</v>
      </c>
      <c r="E2484" s="814">
        <v>0</v>
      </c>
      <c r="F2484" s="814">
        <v>0</v>
      </c>
      <c r="G2484" s="814">
        <v>0</v>
      </c>
      <c r="H2484" s="814">
        <v>0</v>
      </c>
      <c r="I2484" s="898">
        <f t="shared" si="141"/>
        <v>155450.06906720001</v>
      </c>
      <c r="J2484" s="203" t="s">
        <v>1235</v>
      </c>
    </row>
    <row r="2485" spans="1:10" hidden="1" outlineLevel="1">
      <c r="A2485" s="876" t="s">
        <v>1236</v>
      </c>
      <c r="B2485" s="900">
        <f t="shared" si="142"/>
        <v>366343.35744000005</v>
      </c>
      <c r="C2485" s="886">
        <v>0</v>
      </c>
      <c r="D2485" s="814">
        <v>0</v>
      </c>
      <c r="E2485" s="814">
        <v>0</v>
      </c>
      <c r="F2485" s="814">
        <v>0</v>
      </c>
      <c r="G2485" s="814">
        <v>0</v>
      </c>
      <c r="H2485" s="814">
        <v>0</v>
      </c>
      <c r="I2485" s="898">
        <f t="shared" si="141"/>
        <v>366343.35744000005</v>
      </c>
      <c r="J2485" s="203" t="s">
        <v>1237</v>
      </c>
    </row>
    <row r="2486" spans="1:10" hidden="1" outlineLevel="1">
      <c r="A2486" s="876" t="s">
        <v>1238</v>
      </c>
      <c r="B2486" s="900">
        <f t="shared" si="142"/>
        <v>5595246.4430400003</v>
      </c>
      <c r="C2486" s="886">
        <v>0</v>
      </c>
      <c r="D2486" s="814">
        <v>0</v>
      </c>
      <c r="E2486" s="814">
        <v>0</v>
      </c>
      <c r="F2486" s="814">
        <v>0</v>
      </c>
      <c r="G2486" s="815">
        <v>10286</v>
      </c>
      <c r="H2486" s="814">
        <v>0</v>
      </c>
      <c r="I2486" s="898">
        <f t="shared" si="141"/>
        <v>5605532.4430400003</v>
      </c>
      <c r="J2486" s="203" t="s">
        <v>1239</v>
      </c>
    </row>
    <row r="2487" spans="1:10" hidden="1" outlineLevel="1">
      <c r="A2487" s="876" t="s">
        <v>1879</v>
      </c>
      <c r="B2487" s="900">
        <f t="shared" si="142"/>
        <v>39875.760320000001</v>
      </c>
      <c r="C2487" s="886">
        <v>0</v>
      </c>
      <c r="D2487" s="814">
        <v>0</v>
      </c>
      <c r="E2487" s="814">
        <v>0</v>
      </c>
      <c r="F2487" s="814">
        <v>0</v>
      </c>
      <c r="G2487" s="814">
        <v>0</v>
      </c>
      <c r="H2487" s="814">
        <v>0</v>
      </c>
      <c r="I2487" s="898">
        <f t="shared" si="141"/>
        <v>39875.760320000001</v>
      </c>
      <c r="J2487" s="203" t="s">
        <v>1880</v>
      </c>
    </row>
    <row r="2488" spans="1:10" hidden="1" outlineLevel="1">
      <c r="A2488" s="876" t="s">
        <v>1240</v>
      </c>
      <c r="B2488" s="900">
        <f t="shared" si="142"/>
        <v>125730.57376</v>
      </c>
      <c r="C2488" s="886">
        <v>0</v>
      </c>
      <c r="D2488" s="814">
        <v>0</v>
      </c>
      <c r="E2488" s="814">
        <v>0</v>
      </c>
      <c r="F2488" s="814">
        <v>0</v>
      </c>
      <c r="G2488" s="814">
        <v>0</v>
      </c>
      <c r="H2488" s="814">
        <v>0</v>
      </c>
      <c r="I2488" s="898">
        <f t="shared" si="141"/>
        <v>125730.57376</v>
      </c>
      <c r="J2488" s="203" t="s">
        <v>1241</v>
      </c>
    </row>
    <row r="2489" spans="1:10" hidden="1" outlineLevel="1">
      <c r="A2489" s="876" t="s">
        <v>1242</v>
      </c>
      <c r="B2489" s="900">
        <f t="shared" si="142"/>
        <v>1165729.5086400001</v>
      </c>
      <c r="C2489" s="886">
        <v>0</v>
      </c>
      <c r="D2489" s="814">
        <v>0</v>
      </c>
      <c r="E2489" s="814">
        <v>0</v>
      </c>
      <c r="F2489" s="814">
        <v>0</v>
      </c>
      <c r="G2489" s="814">
        <v>0</v>
      </c>
      <c r="H2489" s="814">
        <v>0</v>
      </c>
      <c r="I2489" s="898">
        <f t="shared" si="141"/>
        <v>1165729.5086400001</v>
      </c>
      <c r="J2489" s="203" t="s">
        <v>1243</v>
      </c>
    </row>
    <row r="2490" spans="1:10" hidden="1" outlineLevel="1">
      <c r="A2490" s="876" t="s">
        <v>1244</v>
      </c>
      <c r="B2490" s="900">
        <f t="shared" si="142"/>
        <v>106761.26448000001</v>
      </c>
      <c r="C2490" s="886">
        <v>0</v>
      </c>
      <c r="D2490" s="814">
        <v>0</v>
      </c>
      <c r="E2490" s="814">
        <v>0</v>
      </c>
      <c r="F2490" s="814">
        <v>0</v>
      </c>
      <c r="G2490" s="814">
        <v>0</v>
      </c>
      <c r="H2490" s="814">
        <v>0</v>
      </c>
      <c r="I2490" s="898">
        <f t="shared" si="141"/>
        <v>106761.26448000001</v>
      </c>
      <c r="J2490" s="203" t="s">
        <v>1245</v>
      </c>
    </row>
    <row r="2491" spans="1:10" hidden="1" outlineLevel="1">
      <c r="A2491" s="876" t="s">
        <v>1246</v>
      </c>
      <c r="B2491" s="900">
        <f t="shared" si="142"/>
        <v>759534.41359999997</v>
      </c>
      <c r="C2491" s="886">
        <v>0</v>
      </c>
      <c r="D2491" s="814">
        <v>0</v>
      </c>
      <c r="E2491" s="814">
        <v>0</v>
      </c>
      <c r="F2491" s="814">
        <v>0</v>
      </c>
      <c r="G2491" s="814">
        <v>0</v>
      </c>
      <c r="H2491" s="814">
        <v>0</v>
      </c>
      <c r="I2491" s="898">
        <f t="shared" si="141"/>
        <v>759534.41359999997</v>
      </c>
      <c r="J2491" s="203" t="s">
        <v>1247</v>
      </c>
    </row>
    <row r="2492" spans="1:10" hidden="1" outlineLevel="1">
      <c r="A2492" s="876" t="s">
        <v>1248</v>
      </c>
      <c r="B2492" s="900">
        <f t="shared" si="142"/>
        <v>96325.563999999998</v>
      </c>
      <c r="C2492" s="886">
        <v>0</v>
      </c>
      <c r="D2492" s="814">
        <v>0</v>
      </c>
      <c r="E2492" s="814">
        <v>0</v>
      </c>
      <c r="F2492" s="814">
        <v>0</v>
      </c>
      <c r="G2492" s="814">
        <v>0</v>
      </c>
      <c r="H2492" s="814">
        <v>0</v>
      </c>
      <c r="I2492" s="898">
        <f t="shared" si="141"/>
        <v>96325.563999999998</v>
      </c>
      <c r="J2492" s="203" t="s">
        <v>1249</v>
      </c>
    </row>
    <row r="2493" spans="1:10" hidden="1" outlineLevel="1">
      <c r="A2493" s="876" t="s">
        <v>1250</v>
      </c>
      <c r="B2493" s="900">
        <f t="shared" si="142"/>
        <v>2249548.5219200002</v>
      </c>
      <c r="C2493" s="886">
        <v>0</v>
      </c>
      <c r="D2493" s="814">
        <v>0</v>
      </c>
      <c r="E2493" s="814">
        <v>0</v>
      </c>
      <c r="F2493" s="814">
        <v>0</v>
      </c>
      <c r="G2493" s="814">
        <v>0</v>
      </c>
      <c r="H2493" s="814">
        <v>0</v>
      </c>
      <c r="I2493" s="898">
        <f t="shared" si="141"/>
        <v>2249548.5219200002</v>
      </c>
      <c r="J2493" s="203" t="s">
        <v>1251</v>
      </c>
    </row>
    <row r="2494" spans="1:10" hidden="1" outlineLevel="1">
      <c r="A2494" s="876" t="s">
        <v>1252</v>
      </c>
      <c r="B2494" s="900">
        <f t="shared" si="142"/>
        <v>299188.09951999999</v>
      </c>
      <c r="C2494" s="886">
        <v>0</v>
      </c>
      <c r="D2494" s="814">
        <v>0</v>
      </c>
      <c r="E2494" s="814">
        <v>0</v>
      </c>
      <c r="F2494" s="814">
        <v>0</v>
      </c>
      <c r="G2494" s="814">
        <v>0</v>
      </c>
      <c r="H2494" s="814">
        <v>0</v>
      </c>
      <c r="I2494" s="898">
        <f t="shared" si="141"/>
        <v>299188.09951999999</v>
      </c>
      <c r="J2494" s="203" t="s">
        <v>1253</v>
      </c>
    </row>
    <row r="2495" spans="1:10" hidden="1" outlineLevel="1">
      <c r="A2495" s="876" t="s">
        <v>1254</v>
      </c>
      <c r="B2495" s="900">
        <f t="shared" si="142"/>
        <v>651364.92703999998</v>
      </c>
      <c r="C2495" s="886">
        <v>0</v>
      </c>
      <c r="D2495" s="814">
        <v>0</v>
      </c>
      <c r="E2495" s="814">
        <v>0</v>
      </c>
      <c r="F2495" s="814">
        <v>0</v>
      </c>
      <c r="G2495" s="814">
        <v>0</v>
      </c>
      <c r="H2495" s="814">
        <v>0</v>
      </c>
      <c r="I2495" s="898">
        <f t="shared" si="141"/>
        <v>651364.92703999998</v>
      </c>
      <c r="J2495" s="203" t="s">
        <v>1255</v>
      </c>
    </row>
    <row r="2496" spans="1:10" hidden="1" outlineLevel="1">
      <c r="A2496" s="876" t="s">
        <v>1256</v>
      </c>
      <c r="B2496" s="900">
        <f t="shared" si="142"/>
        <v>94815.858719999989</v>
      </c>
      <c r="C2496" s="886">
        <v>0</v>
      </c>
      <c r="D2496" s="814">
        <v>0</v>
      </c>
      <c r="E2496" s="814">
        <v>0</v>
      </c>
      <c r="F2496" s="814">
        <v>0</v>
      </c>
      <c r="G2496" s="814">
        <v>0</v>
      </c>
      <c r="H2496" s="814">
        <v>0</v>
      </c>
      <c r="I2496" s="898">
        <f t="shared" si="141"/>
        <v>94815.858719999989</v>
      </c>
      <c r="J2496" s="203" t="s">
        <v>1257</v>
      </c>
    </row>
    <row r="2497" spans="1:10" hidden="1" outlineLevel="1">
      <c r="A2497" s="876" t="s">
        <v>1258</v>
      </c>
      <c r="B2497" s="900">
        <f t="shared" si="142"/>
        <v>120521.05472000001</v>
      </c>
      <c r="C2497" s="886">
        <v>0</v>
      </c>
      <c r="D2497" s="814">
        <v>0</v>
      </c>
      <c r="E2497" s="814">
        <v>0</v>
      </c>
      <c r="F2497" s="814">
        <v>0</v>
      </c>
      <c r="G2497" s="814">
        <v>0</v>
      </c>
      <c r="H2497" s="814">
        <v>0</v>
      </c>
      <c r="I2497" s="898">
        <f t="shared" si="141"/>
        <v>120521.05472000001</v>
      </c>
      <c r="J2497" s="203" t="s">
        <v>1259</v>
      </c>
    </row>
    <row r="2498" spans="1:10" hidden="1" outlineLevel="1">
      <c r="A2498" s="876" t="s">
        <v>1260</v>
      </c>
      <c r="B2498" s="900">
        <f t="shared" si="142"/>
        <v>7225771.4480000008</v>
      </c>
      <c r="C2498" s="886">
        <v>0</v>
      </c>
      <c r="D2498" s="814">
        <v>0</v>
      </c>
      <c r="E2498" s="814">
        <v>0</v>
      </c>
      <c r="F2498" s="815">
        <v>10196</v>
      </c>
      <c r="G2498" s="814">
        <v>0</v>
      </c>
      <c r="H2498" s="814">
        <v>0</v>
      </c>
      <c r="I2498" s="898">
        <f t="shared" si="141"/>
        <v>7235967.4480000008</v>
      </c>
      <c r="J2498" s="203" t="s">
        <v>1261</v>
      </c>
    </row>
    <row r="2499" spans="1:10" hidden="1" outlineLevel="1">
      <c r="A2499" s="876" t="s">
        <v>1262</v>
      </c>
      <c r="B2499" s="900">
        <f t="shared" si="142"/>
        <v>1078070.9969600001</v>
      </c>
      <c r="C2499" s="886">
        <v>0</v>
      </c>
      <c r="D2499" s="814">
        <v>0</v>
      </c>
      <c r="E2499" s="814">
        <v>0</v>
      </c>
      <c r="F2499" s="814">
        <v>0</v>
      </c>
      <c r="G2499" s="814">
        <v>0</v>
      </c>
      <c r="H2499" s="814">
        <v>0</v>
      </c>
      <c r="I2499" s="898">
        <f t="shared" si="141"/>
        <v>1078070.9969600001</v>
      </c>
      <c r="J2499" s="203" t="s">
        <v>1263</v>
      </c>
    </row>
    <row r="2500" spans="1:10" hidden="1" outlineLevel="1">
      <c r="A2500" s="876" t="s">
        <v>1881</v>
      </c>
      <c r="B2500" s="900">
        <f t="shared" si="142"/>
        <v>11327.7752</v>
      </c>
      <c r="C2500" s="886">
        <v>0</v>
      </c>
      <c r="D2500" s="814">
        <v>0</v>
      </c>
      <c r="E2500" s="814">
        <v>0</v>
      </c>
      <c r="F2500" s="814">
        <v>0</v>
      </c>
      <c r="G2500" s="814">
        <v>0</v>
      </c>
      <c r="H2500" s="814">
        <v>0</v>
      </c>
      <c r="I2500" s="898">
        <f t="shared" si="141"/>
        <v>11327.7752</v>
      </c>
      <c r="J2500" s="203" t="s">
        <v>1882</v>
      </c>
    </row>
    <row r="2501" spans="1:10" hidden="1" outlineLevel="1">
      <c r="A2501" s="876" t="s">
        <v>1883</v>
      </c>
      <c r="B2501" s="900">
        <f t="shared" si="142"/>
        <v>143189.42992</v>
      </c>
      <c r="C2501" s="886">
        <v>0</v>
      </c>
      <c r="D2501" s="814">
        <v>0</v>
      </c>
      <c r="E2501" s="814">
        <v>0</v>
      </c>
      <c r="F2501" s="814">
        <v>0</v>
      </c>
      <c r="G2501" s="814">
        <v>0</v>
      </c>
      <c r="H2501" s="814">
        <v>0</v>
      </c>
      <c r="I2501" s="898">
        <f t="shared" si="141"/>
        <v>143189.42992</v>
      </c>
      <c r="J2501" s="203" t="s">
        <v>1884</v>
      </c>
    </row>
    <row r="2502" spans="1:10" hidden="1" outlineLevel="1">
      <c r="A2502" s="876" t="s">
        <v>1264</v>
      </c>
      <c r="B2502" s="900">
        <f t="shared" si="142"/>
        <v>137622.58111999999</v>
      </c>
      <c r="C2502" s="886">
        <v>0</v>
      </c>
      <c r="D2502" s="814">
        <v>0</v>
      </c>
      <c r="E2502" s="814">
        <v>0</v>
      </c>
      <c r="F2502" s="814">
        <v>0</v>
      </c>
      <c r="G2502" s="814">
        <v>0</v>
      </c>
      <c r="H2502" s="814">
        <v>0</v>
      </c>
      <c r="I2502" s="898">
        <f t="shared" si="141"/>
        <v>137622.58111999999</v>
      </c>
      <c r="J2502" s="203" t="s">
        <v>1265</v>
      </c>
    </row>
    <row r="2503" spans="1:10" hidden="1" outlineLevel="1">
      <c r="A2503" s="876" t="s">
        <v>1482</v>
      </c>
      <c r="B2503" s="900">
        <f t="shared" si="142"/>
        <v>569238.39120000007</v>
      </c>
      <c r="C2503" s="886">
        <v>0</v>
      </c>
      <c r="D2503" s="814">
        <v>0</v>
      </c>
      <c r="E2503" s="814">
        <v>0</v>
      </c>
      <c r="F2503" s="814">
        <v>0</v>
      </c>
      <c r="G2503" s="814">
        <v>0</v>
      </c>
      <c r="H2503" s="814">
        <v>0</v>
      </c>
      <c r="I2503" s="898">
        <f t="shared" si="141"/>
        <v>569238.39120000007</v>
      </c>
      <c r="J2503" s="203" t="s">
        <v>1483</v>
      </c>
    </row>
    <row r="2504" spans="1:10" hidden="1" outlineLevel="1">
      <c r="A2504" s="876" t="s">
        <v>1266</v>
      </c>
      <c r="B2504" s="900">
        <f t="shared" si="142"/>
        <v>285836.95136000001</v>
      </c>
      <c r="C2504" s="886">
        <v>0</v>
      </c>
      <c r="D2504" s="814">
        <v>0</v>
      </c>
      <c r="E2504" s="814">
        <v>0</v>
      </c>
      <c r="F2504" s="814">
        <v>0</v>
      </c>
      <c r="G2504" s="814">
        <v>0</v>
      </c>
      <c r="H2504" s="814">
        <v>0</v>
      </c>
      <c r="I2504" s="898">
        <f t="shared" si="141"/>
        <v>285836.95136000001</v>
      </c>
      <c r="J2504" s="203" t="s">
        <v>1267</v>
      </c>
    </row>
    <row r="2505" spans="1:10" hidden="1" outlineLevel="1">
      <c r="A2505" s="876" t="s">
        <v>1268</v>
      </c>
      <c r="B2505" s="900">
        <f t="shared" si="142"/>
        <v>5106252.3531200001</v>
      </c>
      <c r="C2505" s="886">
        <v>0</v>
      </c>
      <c r="D2505" s="814">
        <v>0</v>
      </c>
      <c r="E2505" s="814">
        <v>0</v>
      </c>
      <c r="F2505" s="814">
        <v>0</v>
      </c>
      <c r="G2505" s="814">
        <v>0</v>
      </c>
      <c r="H2505" s="814">
        <v>0</v>
      </c>
      <c r="I2505" s="898">
        <f t="shared" si="141"/>
        <v>5106252.3531200001</v>
      </c>
      <c r="J2505" s="203" t="s">
        <v>1269</v>
      </c>
    </row>
    <row r="2506" spans="1:10" hidden="1" outlineLevel="1">
      <c r="A2506" s="876" t="s">
        <v>1270</v>
      </c>
      <c r="B2506" s="900">
        <f t="shared" si="142"/>
        <v>436480.99340800004</v>
      </c>
      <c r="C2506" s="886">
        <v>0</v>
      </c>
      <c r="D2506" s="814">
        <v>0</v>
      </c>
      <c r="E2506" s="814">
        <v>0</v>
      </c>
      <c r="F2506" s="814">
        <v>0</v>
      </c>
      <c r="G2506" s="814">
        <v>0</v>
      </c>
      <c r="H2506" s="814">
        <v>0</v>
      </c>
      <c r="I2506" s="898">
        <f t="shared" si="141"/>
        <v>436480.99340800004</v>
      </c>
      <c r="J2506" s="203" t="s">
        <v>1271</v>
      </c>
    </row>
    <row r="2507" spans="1:10" hidden="1" outlineLevel="1">
      <c r="A2507" s="876" t="s">
        <v>1272</v>
      </c>
      <c r="B2507" s="900">
        <f t="shared" si="142"/>
        <v>227650.40080000003</v>
      </c>
      <c r="C2507" s="886">
        <v>0</v>
      </c>
      <c r="D2507" s="814">
        <v>0</v>
      </c>
      <c r="E2507" s="814">
        <v>0</v>
      </c>
      <c r="F2507" s="814">
        <v>0</v>
      </c>
      <c r="G2507" s="814">
        <v>0</v>
      </c>
      <c r="H2507" s="814">
        <v>0</v>
      </c>
      <c r="I2507" s="898">
        <f t="shared" si="141"/>
        <v>227650.40080000003</v>
      </c>
      <c r="J2507" s="203" t="s">
        <v>1273</v>
      </c>
    </row>
    <row r="2508" spans="1:10" hidden="1" outlineLevel="1">
      <c r="A2508" s="876" t="s">
        <v>1274</v>
      </c>
      <c r="B2508" s="900">
        <f t="shared" si="142"/>
        <v>921814.3094400001</v>
      </c>
      <c r="C2508" s="886">
        <v>0</v>
      </c>
      <c r="D2508" s="814">
        <v>0</v>
      </c>
      <c r="E2508" s="814">
        <v>0</v>
      </c>
      <c r="F2508" s="814">
        <v>0</v>
      </c>
      <c r="G2508" s="814">
        <v>0</v>
      </c>
      <c r="H2508" s="814">
        <v>0</v>
      </c>
      <c r="I2508" s="898">
        <f t="shared" si="141"/>
        <v>921814.3094400001</v>
      </c>
      <c r="J2508" s="203" t="s">
        <v>1275</v>
      </c>
    </row>
    <row r="2509" spans="1:10" hidden="1" outlineLevel="1">
      <c r="A2509" s="876" t="s">
        <v>1276</v>
      </c>
      <c r="B2509" s="900">
        <f t="shared" si="142"/>
        <v>453162.64832000004</v>
      </c>
      <c r="C2509" s="886">
        <v>0</v>
      </c>
      <c r="D2509" s="814">
        <v>0</v>
      </c>
      <c r="E2509" s="814">
        <v>0</v>
      </c>
      <c r="F2509" s="814">
        <v>0</v>
      </c>
      <c r="G2509" s="814">
        <v>0</v>
      </c>
      <c r="H2509" s="814">
        <v>0</v>
      </c>
      <c r="I2509" s="898">
        <f t="shared" si="141"/>
        <v>453162.64832000004</v>
      </c>
      <c r="J2509" s="203" t="s">
        <v>1277</v>
      </c>
    </row>
    <row r="2510" spans="1:10" hidden="1" outlineLevel="1">
      <c r="A2510" s="876" t="s">
        <v>1278</v>
      </c>
      <c r="B2510" s="900">
        <f t="shared" si="142"/>
        <v>220354.42784000002</v>
      </c>
      <c r="C2510" s="886">
        <v>0</v>
      </c>
      <c r="D2510" s="814">
        <v>0</v>
      </c>
      <c r="E2510" s="814">
        <v>0</v>
      </c>
      <c r="F2510" s="814">
        <v>0</v>
      </c>
      <c r="G2510" s="814">
        <v>0</v>
      </c>
      <c r="H2510" s="814">
        <v>0</v>
      </c>
      <c r="I2510" s="898">
        <f t="shared" si="141"/>
        <v>220354.42784000002</v>
      </c>
      <c r="J2510" s="203" t="s">
        <v>1279</v>
      </c>
    </row>
    <row r="2511" spans="1:10" hidden="1" outlineLevel="1">
      <c r="A2511" s="876" t="s">
        <v>1885</v>
      </c>
      <c r="B2511" s="900">
        <f t="shared" si="142"/>
        <v>74349.944480000006</v>
      </c>
      <c r="C2511" s="886">
        <v>0</v>
      </c>
      <c r="D2511" s="814">
        <v>0</v>
      </c>
      <c r="E2511" s="814">
        <v>0</v>
      </c>
      <c r="F2511" s="814">
        <v>0</v>
      </c>
      <c r="G2511" s="814">
        <v>0</v>
      </c>
      <c r="H2511" s="814">
        <v>0</v>
      </c>
      <c r="I2511" s="898">
        <f t="shared" si="141"/>
        <v>74349.944480000006</v>
      </c>
      <c r="J2511" s="203" t="s">
        <v>1886</v>
      </c>
    </row>
    <row r="2512" spans="1:10" hidden="1" outlineLevel="1">
      <c r="A2512" s="876" t="s">
        <v>1280</v>
      </c>
      <c r="B2512" s="900">
        <f t="shared" si="142"/>
        <v>310271.59344000003</v>
      </c>
      <c r="C2512" s="886">
        <v>0</v>
      </c>
      <c r="D2512" s="814">
        <v>0</v>
      </c>
      <c r="E2512" s="814">
        <v>0</v>
      </c>
      <c r="F2512" s="814">
        <v>0</v>
      </c>
      <c r="G2512" s="814">
        <v>0</v>
      </c>
      <c r="H2512" s="814">
        <v>0</v>
      </c>
      <c r="I2512" s="898">
        <f t="shared" si="141"/>
        <v>310271.59344000003</v>
      </c>
      <c r="J2512" s="203" t="s">
        <v>1281</v>
      </c>
    </row>
    <row r="2513" spans="1:10" hidden="1" outlineLevel="1">
      <c r="A2513" s="876" t="s">
        <v>1282</v>
      </c>
      <c r="B2513" s="900">
        <f t="shared" si="142"/>
        <v>28521428.41632</v>
      </c>
      <c r="C2513" s="886">
        <v>0</v>
      </c>
      <c r="D2513" s="814">
        <v>0</v>
      </c>
      <c r="E2513" s="814">
        <v>0</v>
      </c>
      <c r="F2513" s="815">
        <v>65507</v>
      </c>
      <c r="G2513" s="814">
        <v>0</v>
      </c>
      <c r="H2513" s="814">
        <v>0</v>
      </c>
      <c r="I2513" s="898">
        <f t="shared" si="141"/>
        <v>28586935.41632</v>
      </c>
      <c r="J2513" s="203" t="s">
        <v>1283</v>
      </c>
    </row>
    <row r="2514" spans="1:10" hidden="1" outlineLevel="1">
      <c r="A2514" s="876" t="s">
        <v>1284</v>
      </c>
      <c r="B2514" s="900">
        <f t="shared" si="142"/>
        <v>238321.34288000001</v>
      </c>
      <c r="C2514" s="886">
        <v>0</v>
      </c>
      <c r="D2514" s="814">
        <v>0</v>
      </c>
      <c r="E2514" s="814">
        <v>0</v>
      </c>
      <c r="F2514" s="814">
        <v>0</v>
      </c>
      <c r="G2514" s="814">
        <v>0</v>
      </c>
      <c r="H2514" s="814">
        <v>0</v>
      </c>
      <c r="I2514" s="898">
        <f t="shared" si="141"/>
        <v>238321.34288000001</v>
      </c>
      <c r="J2514" s="203" t="s">
        <v>1285</v>
      </c>
    </row>
    <row r="2515" spans="1:10" hidden="1" outlineLevel="1">
      <c r="A2515" s="876" t="s">
        <v>1286</v>
      </c>
      <c r="B2515" s="900">
        <f t="shared" si="142"/>
        <v>1285548.64992</v>
      </c>
      <c r="C2515" s="886">
        <v>0</v>
      </c>
      <c r="D2515" s="814">
        <v>0</v>
      </c>
      <c r="E2515" s="814">
        <v>0</v>
      </c>
      <c r="F2515" s="814">
        <v>0</v>
      </c>
      <c r="G2515" s="814">
        <v>0</v>
      </c>
      <c r="H2515" s="814">
        <v>0</v>
      </c>
      <c r="I2515" s="898">
        <f t="shared" si="141"/>
        <v>1285548.64992</v>
      </c>
      <c r="J2515" s="203" t="s">
        <v>1287</v>
      </c>
    </row>
    <row r="2516" spans="1:10" hidden="1" outlineLevel="1">
      <c r="A2516" s="876" t="s">
        <v>1887</v>
      </c>
      <c r="B2516" s="900">
        <f t="shared" si="142"/>
        <v>43198.452799999999</v>
      </c>
      <c r="C2516" s="886">
        <v>0</v>
      </c>
      <c r="D2516" s="814">
        <v>0</v>
      </c>
      <c r="E2516" s="814">
        <v>0</v>
      </c>
      <c r="F2516" s="814">
        <v>0</v>
      </c>
      <c r="G2516" s="814">
        <v>0</v>
      </c>
      <c r="H2516" s="814">
        <v>0</v>
      </c>
      <c r="I2516" s="898">
        <f t="shared" si="141"/>
        <v>43198.452799999999</v>
      </c>
      <c r="J2516" s="203" t="s">
        <v>1888</v>
      </c>
    </row>
    <row r="2517" spans="1:10" hidden="1" outlineLevel="1">
      <c r="A2517" s="876" t="s">
        <v>1288</v>
      </c>
      <c r="B2517" s="900">
        <f t="shared" si="142"/>
        <v>7082878.2283199998</v>
      </c>
      <c r="C2517" s="886">
        <v>0</v>
      </c>
      <c r="D2517" s="815">
        <v>8196</v>
      </c>
      <c r="E2517" s="814">
        <v>0</v>
      </c>
      <c r="F2517" s="814">
        <v>0</v>
      </c>
      <c r="G2517" s="814">
        <v>0</v>
      </c>
      <c r="H2517" s="814">
        <v>0</v>
      </c>
      <c r="I2517" s="898">
        <f t="shared" si="141"/>
        <v>7091074.2283199998</v>
      </c>
      <c r="J2517" s="203" t="s">
        <v>1289</v>
      </c>
    </row>
    <row r="2518" spans="1:10" hidden="1" outlineLevel="1">
      <c r="A2518" s="876" t="s">
        <v>1889</v>
      </c>
      <c r="B2518" s="900">
        <f t="shared" si="142"/>
        <v>40265.076640000007</v>
      </c>
      <c r="C2518" s="886">
        <v>0</v>
      </c>
      <c r="D2518" s="814">
        <v>0</v>
      </c>
      <c r="E2518" s="814">
        <v>0</v>
      </c>
      <c r="F2518" s="814">
        <v>0</v>
      </c>
      <c r="G2518" s="814">
        <v>0</v>
      </c>
      <c r="H2518" s="814">
        <v>0</v>
      </c>
      <c r="I2518" s="898">
        <f t="shared" si="141"/>
        <v>40265.076640000007</v>
      </c>
      <c r="J2518" s="203" t="s">
        <v>1890</v>
      </c>
    </row>
    <row r="2519" spans="1:10" hidden="1" outlineLevel="1">
      <c r="A2519" s="876" t="s">
        <v>1290</v>
      </c>
      <c r="B2519" s="900">
        <f t="shared" si="142"/>
        <v>383870.75248000002</v>
      </c>
      <c r="C2519" s="886">
        <v>0</v>
      </c>
      <c r="D2519" s="814">
        <v>0</v>
      </c>
      <c r="E2519" s="814">
        <v>0</v>
      </c>
      <c r="F2519" s="814">
        <v>0</v>
      </c>
      <c r="G2519" s="814">
        <v>0</v>
      </c>
      <c r="H2519" s="814">
        <v>0</v>
      </c>
      <c r="I2519" s="898">
        <f t="shared" si="141"/>
        <v>383870.75248000002</v>
      </c>
      <c r="J2519" s="203" t="s">
        <v>1291</v>
      </c>
    </row>
    <row r="2520" spans="1:10" hidden="1" outlineLevel="1">
      <c r="A2520" s="876" t="s">
        <v>1292</v>
      </c>
      <c r="B2520" s="900">
        <f t="shared" si="142"/>
        <v>40238.200320000004</v>
      </c>
      <c r="C2520" s="886">
        <v>0</v>
      </c>
      <c r="D2520" s="814">
        <v>0</v>
      </c>
      <c r="E2520" s="814">
        <v>0</v>
      </c>
      <c r="F2520" s="814">
        <v>0</v>
      </c>
      <c r="G2520" s="814">
        <v>0</v>
      </c>
      <c r="H2520" s="814">
        <v>0</v>
      </c>
      <c r="I2520" s="898">
        <f t="shared" si="141"/>
        <v>40238.200320000004</v>
      </c>
      <c r="J2520" s="203" t="s">
        <v>1293</v>
      </c>
    </row>
    <row r="2521" spans="1:10" hidden="1" outlineLevel="1">
      <c r="A2521" s="876" t="s">
        <v>1294</v>
      </c>
      <c r="B2521" s="900">
        <f t="shared" si="142"/>
        <v>119376.42656000001</v>
      </c>
      <c r="C2521" s="886">
        <v>0</v>
      </c>
      <c r="D2521" s="814">
        <v>0</v>
      </c>
      <c r="E2521" s="814">
        <v>0</v>
      </c>
      <c r="F2521" s="814">
        <v>0</v>
      </c>
      <c r="G2521" s="814">
        <v>0</v>
      </c>
      <c r="H2521" s="814">
        <v>0</v>
      </c>
      <c r="I2521" s="898">
        <f t="shared" si="141"/>
        <v>119376.42656000001</v>
      </c>
      <c r="J2521" s="203" t="s">
        <v>1295</v>
      </c>
    </row>
    <row r="2522" spans="1:10" hidden="1" outlineLevel="1">
      <c r="A2522" s="876" t="s">
        <v>1296</v>
      </c>
      <c r="B2522" s="900">
        <f t="shared" si="142"/>
        <v>50760.446880000003</v>
      </c>
      <c r="C2522" s="886">
        <v>0</v>
      </c>
      <c r="D2522" s="814">
        <v>0</v>
      </c>
      <c r="E2522" s="814">
        <v>0</v>
      </c>
      <c r="F2522" s="814">
        <v>0</v>
      </c>
      <c r="G2522" s="814">
        <v>0</v>
      </c>
      <c r="H2522" s="814">
        <v>0</v>
      </c>
      <c r="I2522" s="898">
        <f t="shared" si="141"/>
        <v>50760.446880000003</v>
      </c>
      <c r="J2522" s="203" t="s">
        <v>1297</v>
      </c>
    </row>
    <row r="2523" spans="1:10" hidden="1" outlineLevel="1">
      <c r="A2523" s="876" t="s">
        <v>1298</v>
      </c>
      <c r="B2523" s="900">
        <f t="shared" si="142"/>
        <v>65347.912319999996</v>
      </c>
      <c r="C2523" s="886">
        <v>0</v>
      </c>
      <c r="D2523" s="814">
        <v>0</v>
      </c>
      <c r="E2523" s="814">
        <v>0</v>
      </c>
      <c r="F2523" s="814">
        <v>0</v>
      </c>
      <c r="G2523" s="814">
        <v>0</v>
      </c>
      <c r="H2523" s="814">
        <v>0</v>
      </c>
      <c r="I2523" s="898">
        <f t="shared" si="141"/>
        <v>65347.912319999996</v>
      </c>
      <c r="J2523" s="203" t="s">
        <v>1299</v>
      </c>
    </row>
    <row r="2524" spans="1:10" hidden="1" outlineLevel="1">
      <c r="A2524" s="876" t="s">
        <v>1300</v>
      </c>
      <c r="B2524" s="900">
        <f t="shared" si="142"/>
        <v>505732.20543999999</v>
      </c>
      <c r="C2524" s="886">
        <v>0</v>
      </c>
      <c r="D2524" s="814">
        <v>0</v>
      </c>
      <c r="E2524" s="814">
        <v>0</v>
      </c>
      <c r="F2524" s="814">
        <v>0</v>
      </c>
      <c r="G2524" s="814">
        <v>0</v>
      </c>
      <c r="H2524" s="814">
        <v>0</v>
      </c>
      <c r="I2524" s="898">
        <f t="shared" si="141"/>
        <v>505732.20543999999</v>
      </c>
      <c r="J2524" s="203" t="s">
        <v>1301</v>
      </c>
    </row>
    <row r="2525" spans="1:10" hidden="1" outlineLevel="1">
      <c r="A2525" s="876" t="s">
        <v>1891</v>
      </c>
      <c r="B2525" s="900">
        <f t="shared" si="142"/>
        <v>106806.10208000001</v>
      </c>
      <c r="C2525" s="886">
        <v>0</v>
      </c>
      <c r="D2525" s="814">
        <v>0</v>
      </c>
      <c r="E2525" s="814">
        <v>0</v>
      </c>
      <c r="F2525" s="814">
        <v>0</v>
      </c>
      <c r="G2525" s="814">
        <v>0</v>
      </c>
      <c r="H2525" s="814">
        <v>0</v>
      </c>
      <c r="I2525" s="898">
        <f t="shared" si="141"/>
        <v>106806.10208000001</v>
      </c>
      <c r="J2525" s="203" t="s">
        <v>1892</v>
      </c>
    </row>
    <row r="2526" spans="1:10" hidden="1" outlineLevel="1">
      <c r="A2526" s="876" t="s">
        <v>1302</v>
      </c>
      <c r="B2526" s="900">
        <f t="shared" si="142"/>
        <v>171064.66080000001</v>
      </c>
      <c r="C2526" s="886">
        <v>0</v>
      </c>
      <c r="D2526" s="814">
        <v>0</v>
      </c>
      <c r="E2526" s="814">
        <v>0</v>
      </c>
      <c r="F2526" s="814">
        <v>0</v>
      </c>
      <c r="G2526" s="814">
        <v>0</v>
      </c>
      <c r="H2526" s="814">
        <v>0</v>
      </c>
      <c r="I2526" s="898">
        <f t="shared" si="141"/>
        <v>171064.66080000001</v>
      </c>
      <c r="J2526" s="203" t="s">
        <v>1303</v>
      </c>
    </row>
    <row r="2527" spans="1:10" hidden="1" outlineLevel="1">
      <c r="A2527" s="876" t="s">
        <v>1484</v>
      </c>
      <c r="B2527" s="900">
        <f t="shared" si="142"/>
        <v>234875.99808000002</v>
      </c>
      <c r="C2527" s="886">
        <v>0</v>
      </c>
      <c r="D2527" s="814">
        <v>0</v>
      </c>
      <c r="E2527" s="814">
        <v>0</v>
      </c>
      <c r="F2527" s="814">
        <v>0</v>
      </c>
      <c r="G2527" s="814">
        <v>0</v>
      </c>
      <c r="H2527" s="814">
        <v>0</v>
      </c>
      <c r="I2527" s="898">
        <f t="shared" si="141"/>
        <v>234875.99808000002</v>
      </c>
      <c r="J2527" s="203" t="s">
        <v>1485</v>
      </c>
    </row>
    <row r="2528" spans="1:10" hidden="1" outlineLevel="1">
      <c r="A2528" s="876" t="s">
        <v>1304</v>
      </c>
      <c r="B2528" s="900">
        <f t="shared" si="142"/>
        <v>503305.09727999999</v>
      </c>
      <c r="C2528" s="886">
        <v>0</v>
      </c>
      <c r="D2528" s="814">
        <v>0</v>
      </c>
      <c r="E2528" s="814">
        <v>0</v>
      </c>
      <c r="F2528" s="814">
        <v>0</v>
      </c>
      <c r="G2528" s="814">
        <v>0</v>
      </c>
      <c r="H2528" s="814">
        <v>0</v>
      </c>
      <c r="I2528" s="898">
        <f t="shared" si="141"/>
        <v>503305.09727999999</v>
      </c>
      <c r="J2528" s="203" t="s">
        <v>1305</v>
      </c>
    </row>
    <row r="2529" spans="1:10" hidden="1" outlineLevel="1">
      <c r="A2529" s="876" t="s">
        <v>1306</v>
      </c>
      <c r="B2529" s="900">
        <f t="shared" si="142"/>
        <v>295759.51951503998</v>
      </c>
      <c r="C2529" s="886">
        <v>0</v>
      </c>
      <c r="D2529" s="814">
        <v>0</v>
      </c>
      <c r="E2529" s="814">
        <v>0</v>
      </c>
      <c r="F2529" s="814">
        <v>0</v>
      </c>
      <c r="G2529" s="814">
        <v>0</v>
      </c>
      <c r="H2529" s="814">
        <v>0</v>
      </c>
      <c r="I2529" s="898">
        <f t="shared" si="141"/>
        <v>295759.51951503998</v>
      </c>
      <c r="J2529" s="203" t="s">
        <v>1307</v>
      </c>
    </row>
    <row r="2530" spans="1:10" hidden="1" outlineLevel="1">
      <c r="A2530" s="876" t="s">
        <v>1308</v>
      </c>
      <c r="B2530" s="900">
        <f t="shared" si="142"/>
        <v>474412.48256000003</v>
      </c>
      <c r="C2530" s="886">
        <v>0</v>
      </c>
      <c r="D2530" s="814">
        <v>0</v>
      </c>
      <c r="E2530" s="814">
        <v>0</v>
      </c>
      <c r="F2530" s="814">
        <v>0</v>
      </c>
      <c r="G2530" s="814">
        <v>0</v>
      </c>
      <c r="H2530" s="814">
        <v>0</v>
      </c>
      <c r="I2530" s="898">
        <f t="shared" si="141"/>
        <v>474412.48256000003</v>
      </c>
      <c r="J2530" s="203" t="s">
        <v>1309</v>
      </c>
    </row>
    <row r="2531" spans="1:10" hidden="1" outlineLevel="1">
      <c r="A2531" s="876" t="s">
        <v>1893</v>
      </c>
      <c r="B2531" s="900">
        <f t="shared" si="142"/>
        <v>59187.055520000002</v>
      </c>
      <c r="C2531" s="886">
        <v>0</v>
      </c>
      <c r="D2531" s="814">
        <v>0</v>
      </c>
      <c r="E2531" s="814">
        <v>0</v>
      </c>
      <c r="F2531" s="814">
        <v>0</v>
      </c>
      <c r="G2531" s="814">
        <v>0</v>
      </c>
      <c r="H2531" s="814">
        <v>0</v>
      </c>
      <c r="I2531" s="898">
        <f t="shared" si="141"/>
        <v>59187.055520000002</v>
      </c>
      <c r="J2531" s="203" t="s">
        <v>1894</v>
      </c>
    </row>
    <row r="2532" spans="1:10" hidden="1" outlineLevel="1">
      <c r="A2532" s="876" t="s">
        <v>1310</v>
      </c>
      <c r="B2532" s="900">
        <f t="shared" si="142"/>
        <v>364956.95392000006</v>
      </c>
      <c r="C2532" s="886">
        <v>0</v>
      </c>
      <c r="D2532" s="814">
        <v>0</v>
      </c>
      <c r="E2532" s="814">
        <v>0</v>
      </c>
      <c r="F2532" s="814">
        <v>0</v>
      </c>
      <c r="G2532" s="814">
        <v>0</v>
      </c>
      <c r="H2532" s="814">
        <v>0</v>
      </c>
      <c r="I2532" s="898">
        <f t="shared" si="141"/>
        <v>364956.95392000006</v>
      </c>
      <c r="J2532" s="203" t="s">
        <v>1311</v>
      </c>
    </row>
    <row r="2533" spans="1:10" hidden="1" outlineLevel="1">
      <c r="A2533" s="876" t="s">
        <v>1312</v>
      </c>
      <c r="B2533" s="900">
        <f t="shared" si="142"/>
        <v>975211.73200000008</v>
      </c>
      <c r="C2533" s="886">
        <v>0</v>
      </c>
      <c r="D2533" s="814">
        <v>0</v>
      </c>
      <c r="E2533" s="814">
        <v>0</v>
      </c>
      <c r="F2533" s="814">
        <v>0</v>
      </c>
      <c r="G2533" s="814">
        <v>0</v>
      </c>
      <c r="H2533" s="814">
        <v>0</v>
      </c>
      <c r="I2533" s="898">
        <f t="shared" si="141"/>
        <v>975211.73200000008</v>
      </c>
      <c r="J2533" s="203" t="s">
        <v>1313</v>
      </c>
    </row>
    <row r="2534" spans="1:10" hidden="1" outlineLevel="1">
      <c r="A2534" s="876" t="s">
        <v>1314</v>
      </c>
      <c r="B2534" s="900">
        <f t="shared" si="142"/>
        <v>335218.90608000004</v>
      </c>
      <c r="C2534" s="886">
        <v>0</v>
      </c>
      <c r="D2534" s="814">
        <v>0</v>
      </c>
      <c r="E2534" s="814">
        <v>0</v>
      </c>
      <c r="F2534" s="814">
        <v>0</v>
      </c>
      <c r="G2534" s="814">
        <v>0</v>
      </c>
      <c r="H2534" s="814">
        <v>0</v>
      </c>
      <c r="I2534" s="898">
        <f t="shared" si="141"/>
        <v>335218.90608000004</v>
      </c>
      <c r="J2534" s="203" t="s">
        <v>1315</v>
      </c>
    </row>
    <row r="2535" spans="1:10" hidden="1" outlineLevel="1">
      <c r="A2535" s="876" t="s">
        <v>1316</v>
      </c>
      <c r="B2535" s="900">
        <f t="shared" si="142"/>
        <v>1842611.00544</v>
      </c>
      <c r="C2535" s="886">
        <v>0</v>
      </c>
      <c r="D2535" s="814">
        <v>0</v>
      </c>
      <c r="E2535" s="814">
        <v>0</v>
      </c>
      <c r="F2535" s="814">
        <v>0</v>
      </c>
      <c r="G2535" s="814">
        <v>0</v>
      </c>
      <c r="H2535" s="814">
        <v>0</v>
      </c>
      <c r="I2535" s="898">
        <f t="shared" si="141"/>
        <v>1842611.00544</v>
      </c>
      <c r="J2535" s="203" t="s">
        <v>1317</v>
      </c>
    </row>
    <row r="2536" spans="1:10" hidden="1" outlineLevel="1">
      <c r="A2536" s="876" t="s">
        <v>1318</v>
      </c>
      <c r="B2536" s="900">
        <f t="shared" si="142"/>
        <v>1133776.9819199999</v>
      </c>
      <c r="C2536" s="886">
        <v>0</v>
      </c>
      <c r="D2536" s="814">
        <v>0</v>
      </c>
      <c r="E2536" s="814">
        <v>0</v>
      </c>
      <c r="F2536" s="814">
        <v>0</v>
      </c>
      <c r="G2536" s="814">
        <v>0</v>
      </c>
      <c r="H2536" s="814">
        <v>0</v>
      </c>
      <c r="I2536" s="898">
        <f t="shared" ref="I2536:I2599" si="143">SUM(B2536:H2536)</f>
        <v>1133776.9819199999</v>
      </c>
      <c r="J2536" s="203" t="s">
        <v>1319</v>
      </c>
    </row>
    <row r="2537" spans="1:10" hidden="1" outlineLevel="1">
      <c r="A2537" s="876" t="s">
        <v>1320</v>
      </c>
      <c r="B2537" s="900">
        <f t="shared" ref="B2537:B2600" si="144">B669*0.656/100</f>
        <v>2153960.22976</v>
      </c>
      <c r="C2537" s="886">
        <v>0</v>
      </c>
      <c r="D2537" s="814">
        <v>0</v>
      </c>
      <c r="E2537" s="814">
        <v>0</v>
      </c>
      <c r="F2537" s="814">
        <v>0</v>
      </c>
      <c r="G2537" s="814">
        <v>0</v>
      </c>
      <c r="H2537" s="814">
        <v>0</v>
      </c>
      <c r="I2537" s="898">
        <f t="shared" si="143"/>
        <v>2153960.22976</v>
      </c>
      <c r="J2537" s="203" t="s">
        <v>1321</v>
      </c>
    </row>
    <row r="2538" spans="1:10" hidden="1" outlineLevel="1">
      <c r="A2538" s="876" t="s">
        <v>1322</v>
      </c>
      <c r="B2538" s="900">
        <f t="shared" si="144"/>
        <v>83594.473599999998</v>
      </c>
      <c r="C2538" s="886">
        <v>0</v>
      </c>
      <c r="D2538" s="814">
        <v>0</v>
      </c>
      <c r="E2538" s="814">
        <v>0</v>
      </c>
      <c r="F2538" s="814">
        <v>0</v>
      </c>
      <c r="G2538" s="814">
        <v>0</v>
      </c>
      <c r="H2538" s="814">
        <v>0</v>
      </c>
      <c r="I2538" s="898">
        <f t="shared" si="143"/>
        <v>83594.473599999998</v>
      </c>
      <c r="J2538" s="203" t="s">
        <v>1323</v>
      </c>
    </row>
    <row r="2539" spans="1:10" hidden="1" outlineLevel="1">
      <c r="A2539" s="876" t="s">
        <v>1324</v>
      </c>
      <c r="B2539" s="900">
        <f t="shared" si="144"/>
        <v>92853.126400000008</v>
      </c>
      <c r="C2539" s="886">
        <v>0</v>
      </c>
      <c r="D2539" s="814">
        <v>0</v>
      </c>
      <c r="E2539" s="814">
        <v>0</v>
      </c>
      <c r="F2539" s="814">
        <v>0</v>
      </c>
      <c r="G2539" s="814">
        <v>0</v>
      </c>
      <c r="H2539" s="814">
        <v>0</v>
      </c>
      <c r="I2539" s="898">
        <f t="shared" si="143"/>
        <v>92853.126400000008</v>
      </c>
      <c r="J2539" s="203" t="s">
        <v>1325</v>
      </c>
    </row>
    <row r="2540" spans="1:10" hidden="1" outlineLevel="1">
      <c r="A2540" s="876" t="s">
        <v>1326</v>
      </c>
      <c r="B2540" s="900">
        <f t="shared" si="144"/>
        <v>390667.11583999998</v>
      </c>
      <c r="C2540" s="886">
        <v>0</v>
      </c>
      <c r="D2540" s="814">
        <v>0</v>
      </c>
      <c r="E2540" s="814">
        <v>0</v>
      </c>
      <c r="F2540" s="814">
        <v>0</v>
      </c>
      <c r="G2540" s="814">
        <v>0</v>
      </c>
      <c r="H2540" s="814">
        <v>0</v>
      </c>
      <c r="I2540" s="898">
        <f t="shared" si="143"/>
        <v>390667.11583999998</v>
      </c>
      <c r="J2540" s="203" t="s">
        <v>1327</v>
      </c>
    </row>
    <row r="2541" spans="1:10" hidden="1" outlineLevel="1">
      <c r="A2541" s="876" t="s">
        <v>1328</v>
      </c>
      <c r="B2541" s="900">
        <f t="shared" si="144"/>
        <v>2123453.3695999999</v>
      </c>
      <c r="C2541" s="886">
        <v>0</v>
      </c>
      <c r="D2541" s="814">
        <v>0</v>
      </c>
      <c r="E2541" s="814">
        <v>0</v>
      </c>
      <c r="F2541" s="814">
        <v>0</v>
      </c>
      <c r="G2541" s="814">
        <v>276</v>
      </c>
      <c r="H2541" s="814">
        <v>0</v>
      </c>
      <c r="I2541" s="898">
        <f t="shared" si="143"/>
        <v>2123729.3695999999</v>
      </c>
      <c r="J2541" s="203" t="s">
        <v>1329</v>
      </c>
    </row>
    <row r="2542" spans="1:10" hidden="1" outlineLevel="1">
      <c r="A2542" s="876" t="s">
        <v>1330</v>
      </c>
      <c r="B2542" s="900">
        <f t="shared" si="144"/>
        <v>5309872.3259199997</v>
      </c>
      <c r="C2542" s="886">
        <v>0</v>
      </c>
      <c r="D2542" s="814">
        <v>0</v>
      </c>
      <c r="E2542" s="814">
        <v>0</v>
      </c>
      <c r="F2542" s="814">
        <v>0</v>
      </c>
      <c r="G2542" s="814">
        <v>0</v>
      </c>
      <c r="H2542" s="814">
        <v>0</v>
      </c>
      <c r="I2542" s="898">
        <f t="shared" si="143"/>
        <v>5309872.3259199997</v>
      </c>
      <c r="J2542" s="203" t="s">
        <v>1331</v>
      </c>
    </row>
    <row r="2543" spans="1:10" hidden="1" outlineLevel="1">
      <c r="A2543" s="876" t="s">
        <v>1332</v>
      </c>
      <c r="B2543" s="900">
        <f t="shared" si="144"/>
        <v>3804580.2367593604</v>
      </c>
      <c r="C2543" s="886">
        <v>0</v>
      </c>
      <c r="D2543" s="814">
        <v>0</v>
      </c>
      <c r="E2543" s="814">
        <v>0</v>
      </c>
      <c r="F2543" s="814">
        <v>0</v>
      </c>
      <c r="G2543" s="814">
        <v>0</v>
      </c>
      <c r="H2543" s="814">
        <v>0</v>
      </c>
      <c r="I2543" s="898">
        <f t="shared" si="143"/>
        <v>3804580.2367593604</v>
      </c>
      <c r="J2543" s="203" t="s">
        <v>1333</v>
      </c>
    </row>
    <row r="2544" spans="1:10" hidden="1" outlineLevel="1">
      <c r="A2544" s="876" t="s">
        <v>499</v>
      </c>
      <c r="B2544" s="900">
        <f t="shared" si="144"/>
        <v>215829.07087999998</v>
      </c>
      <c r="C2544" s="886">
        <v>0</v>
      </c>
      <c r="D2544" s="814">
        <v>0</v>
      </c>
      <c r="E2544" s="814">
        <v>0</v>
      </c>
      <c r="F2544" s="814">
        <v>0</v>
      </c>
      <c r="G2544" s="814">
        <v>0</v>
      </c>
      <c r="H2544" s="814">
        <v>0</v>
      </c>
      <c r="I2544" s="898">
        <f t="shared" si="143"/>
        <v>215829.07087999998</v>
      </c>
      <c r="J2544" s="203" t="s">
        <v>500</v>
      </c>
    </row>
    <row r="2545" spans="1:10" hidden="1" outlineLevel="1">
      <c r="A2545" s="876" t="s">
        <v>1334</v>
      </c>
      <c r="B2545" s="900">
        <f t="shared" si="144"/>
        <v>2352030.2916800003</v>
      </c>
      <c r="C2545" s="886">
        <v>0</v>
      </c>
      <c r="D2545" s="814">
        <v>0</v>
      </c>
      <c r="E2545" s="814">
        <v>0</v>
      </c>
      <c r="F2545" s="814">
        <v>0</v>
      </c>
      <c r="G2545" s="814">
        <v>0</v>
      </c>
      <c r="H2545" s="814">
        <v>0</v>
      </c>
      <c r="I2545" s="898">
        <f t="shared" si="143"/>
        <v>2352030.2916800003</v>
      </c>
      <c r="J2545" s="203" t="s">
        <v>1335</v>
      </c>
    </row>
    <row r="2546" spans="1:10" hidden="1" outlineLevel="1">
      <c r="A2546" s="876" t="s">
        <v>1336</v>
      </c>
      <c r="B2546" s="900">
        <f t="shared" si="144"/>
        <v>430923.25776000001</v>
      </c>
      <c r="C2546" s="886">
        <v>0</v>
      </c>
      <c r="D2546" s="814">
        <v>0</v>
      </c>
      <c r="E2546" s="814">
        <v>0</v>
      </c>
      <c r="F2546" s="814">
        <v>0</v>
      </c>
      <c r="G2546" s="814">
        <v>0</v>
      </c>
      <c r="H2546" s="814">
        <v>0</v>
      </c>
      <c r="I2546" s="898">
        <f t="shared" si="143"/>
        <v>430923.25776000001</v>
      </c>
      <c r="J2546" s="203" t="s">
        <v>1337</v>
      </c>
    </row>
    <row r="2547" spans="1:10" hidden="1" outlineLevel="1">
      <c r="A2547" s="876" t="s">
        <v>1895</v>
      </c>
      <c r="B2547" s="900">
        <f t="shared" si="144"/>
        <v>74327.509279999998</v>
      </c>
      <c r="C2547" s="886">
        <v>0</v>
      </c>
      <c r="D2547" s="814">
        <v>0</v>
      </c>
      <c r="E2547" s="814">
        <v>0</v>
      </c>
      <c r="F2547" s="814">
        <v>0</v>
      </c>
      <c r="G2547" s="814">
        <v>0</v>
      </c>
      <c r="H2547" s="814">
        <v>0</v>
      </c>
      <c r="I2547" s="898">
        <f t="shared" si="143"/>
        <v>74327.509279999998</v>
      </c>
      <c r="J2547" s="203" t="s">
        <v>1896</v>
      </c>
    </row>
    <row r="2548" spans="1:10" hidden="1" outlineLevel="1">
      <c r="A2548" s="876" t="s">
        <v>748</v>
      </c>
      <c r="B2548" s="900">
        <f t="shared" si="144"/>
        <v>470978.28976000001</v>
      </c>
      <c r="C2548" s="886">
        <v>0</v>
      </c>
      <c r="D2548" s="814">
        <v>0</v>
      </c>
      <c r="E2548" s="814">
        <v>0</v>
      </c>
      <c r="F2548" s="814">
        <v>0</v>
      </c>
      <c r="G2548" s="814">
        <v>0</v>
      </c>
      <c r="H2548" s="814">
        <v>0</v>
      </c>
      <c r="I2548" s="898">
        <f t="shared" si="143"/>
        <v>470978.28976000001</v>
      </c>
      <c r="J2548" s="203" t="s">
        <v>1338</v>
      </c>
    </row>
    <row r="2549" spans="1:10" hidden="1" outlineLevel="1">
      <c r="A2549" s="876" t="s">
        <v>1339</v>
      </c>
      <c r="B2549" s="900">
        <f t="shared" si="144"/>
        <v>248462.63712</v>
      </c>
      <c r="C2549" s="886">
        <v>0</v>
      </c>
      <c r="D2549" s="814">
        <v>0</v>
      </c>
      <c r="E2549" s="814">
        <v>0</v>
      </c>
      <c r="F2549" s="814">
        <v>0</v>
      </c>
      <c r="G2549" s="814">
        <v>0</v>
      </c>
      <c r="H2549" s="814">
        <v>0</v>
      </c>
      <c r="I2549" s="898">
        <f t="shared" si="143"/>
        <v>248462.63712</v>
      </c>
      <c r="J2549" s="203" t="s">
        <v>1340</v>
      </c>
    </row>
    <row r="2550" spans="1:10" hidden="1" outlineLevel="1">
      <c r="A2550" s="876" t="s">
        <v>1341</v>
      </c>
      <c r="B2550" s="900">
        <f t="shared" si="144"/>
        <v>1024587.44816</v>
      </c>
      <c r="C2550" s="886">
        <v>0</v>
      </c>
      <c r="D2550" s="814">
        <v>0</v>
      </c>
      <c r="E2550" s="814">
        <v>0</v>
      </c>
      <c r="F2550" s="814">
        <v>0</v>
      </c>
      <c r="G2550" s="814">
        <v>0</v>
      </c>
      <c r="H2550" s="814">
        <v>0</v>
      </c>
      <c r="I2550" s="898">
        <f t="shared" si="143"/>
        <v>1024587.44816</v>
      </c>
      <c r="J2550" s="203" t="s">
        <v>1342</v>
      </c>
    </row>
    <row r="2551" spans="1:10" hidden="1" outlineLevel="1">
      <c r="A2551" s="876" t="s">
        <v>1343</v>
      </c>
      <c r="B2551" s="900">
        <f t="shared" si="144"/>
        <v>392910.73424000002</v>
      </c>
      <c r="C2551" s="886">
        <v>0</v>
      </c>
      <c r="D2551" s="814">
        <v>0</v>
      </c>
      <c r="E2551" s="814">
        <v>0</v>
      </c>
      <c r="F2551" s="814">
        <v>0</v>
      </c>
      <c r="G2551" s="814">
        <v>0</v>
      </c>
      <c r="H2551" s="814">
        <v>0</v>
      </c>
      <c r="I2551" s="898">
        <f t="shared" si="143"/>
        <v>392910.73424000002</v>
      </c>
      <c r="J2551" s="203" t="s">
        <v>1344</v>
      </c>
    </row>
    <row r="2552" spans="1:10" hidden="1" outlineLevel="1">
      <c r="A2552" s="876" t="s">
        <v>1345</v>
      </c>
      <c r="B2552" s="900">
        <f t="shared" si="144"/>
        <v>58433.941280000006</v>
      </c>
      <c r="C2552" s="886">
        <v>0</v>
      </c>
      <c r="D2552" s="814">
        <v>0</v>
      </c>
      <c r="E2552" s="814">
        <v>0</v>
      </c>
      <c r="F2552" s="814">
        <v>0</v>
      </c>
      <c r="G2552" s="814">
        <v>0</v>
      </c>
      <c r="H2552" s="814">
        <v>0</v>
      </c>
      <c r="I2552" s="898">
        <f t="shared" si="143"/>
        <v>58433.941280000006</v>
      </c>
      <c r="J2552" s="203" t="s">
        <v>1346</v>
      </c>
    </row>
    <row r="2553" spans="1:10" hidden="1" outlineLevel="1">
      <c r="A2553" s="876" t="s">
        <v>1347</v>
      </c>
      <c r="B2553" s="900">
        <f t="shared" si="144"/>
        <v>411085.26016000001</v>
      </c>
      <c r="C2553" s="886">
        <v>0</v>
      </c>
      <c r="D2553" s="814">
        <v>0</v>
      </c>
      <c r="E2553" s="814">
        <v>0</v>
      </c>
      <c r="F2553" s="814">
        <v>0</v>
      </c>
      <c r="G2553" s="814">
        <v>0</v>
      </c>
      <c r="H2553" s="814">
        <v>0</v>
      </c>
      <c r="I2553" s="898">
        <f t="shared" si="143"/>
        <v>411085.26016000001</v>
      </c>
      <c r="J2553" s="203" t="s">
        <v>1348</v>
      </c>
    </row>
    <row r="2554" spans="1:10" hidden="1" outlineLevel="1">
      <c r="A2554" s="876" t="s">
        <v>1897</v>
      </c>
      <c r="B2554" s="900">
        <f t="shared" si="144"/>
        <v>36839.969440000001</v>
      </c>
      <c r="C2554" s="886">
        <v>0</v>
      </c>
      <c r="D2554" s="814">
        <v>0</v>
      </c>
      <c r="E2554" s="814">
        <v>0</v>
      </c>
      <c r="F2554" s="814">
        <v>0</v>
      </c>
      <c r="G2554" s="814">
        <v>0</v>
      </c>
      <c r="H2554" s="814">
        <v>0</v>
      </c>
      <c r="I2554" s="898">
        <f t="shared" si="143"/>
        <v>36839.969440000001</v>
      </c>
      <c r="J2554" s="203" t="s">
        <v>1898</v>
      </c>
    </row>
    <row r="2555" spans="1:10" hidden="1" outlineLevel="1">
      <c r="A2555" s="876" t="s">
        <v>1349</v>
      </c>
      <c r="B2555" s="900">
        <f t="shared" si="144"/>
        <v>10308.488960000001</v>
      </c>
      <c r="C2555" s="886">
        <v>0</v>
      </c>
      <c r="D2555" s="814">
        <v>0</v>
      </c>
      <c r="E2555" s="814">
        <v>0</v>
      </c>
      <c r="F2555" s="814">
        <v>0</v>
      </c>
      <c r="G2555" s="814">
        <v>0</v>
      </c>
      <c r="H2555" s="814">
        <v>0</v>
      </c>
      <c r="I2555" s="898">
        <f t="shared" si="143"/>
        <v>10308.488960000001</v>
      </c>
      <c r="J2555" s="203" t="s">
        <v>1350</v>
      </c>
    </row>
    <row r="2556" spans="1:10" hidden="1" outlineLevel="1">
      <c r="A2556" s="876" t="s">
        <v>1899</v>
      </c>
      <c r="B2556" s="900">
        <f t="shared" si="144"/>
        <v>30107.087200000002</v>
      </c>
      <c r="C2556" s="886">
        <v>0</v>
      </c>
      <c r="D2556" s="814">
        <v>0</v>
      </c>
      <c r="E2556" s="814">
        <v>0</v>
      </c>
      <c r="F2556" s="814">
        <v>0</v>
      </c>
      <c r="G2556" s="814">
        <v>0</v>
      </c>
      <c r="H2556" s="814">
        <v>0</v>
      </c>
      <c r="I2556" s="898">
        <f t="shared" si="143"/>
        <v>30107.087200000002</v>
      </c>
      <c r="J2556" s="203" t="s">
        <v>1900</v>
      </c>
    </row>
    <row r="2557" spans="1:10" hidden="1" outlineLevel="1">
      <c r="A2557" s="876" t="s">
        <v>1351</v>
      </c>
      <c r="B2557" s="900">
        <f t="shared" si="144"/>
        <v>2235169.01504</v>
      </c>
      <c r="C2557" s="886">
        <v>0</v>
      </c>
      <c r="D2557" s="814">
        <v>0</v>
      </c>
      <c r="E2557" s="814">
        <v>0</v>
      </c>
      <c r="F2557" s="814">
        <v>0</v>
      </c>
      <c r="G2557" s="814">
        <v>0</v>
      </c>
      <c r="H2557" s="814">
        <v>0</v>
      </c>
      <c r="I2557" s="898">
        <f t="shared" si="143"/>
        <v>2235169.01504</v>
      </c>
      <c r="J2557" s="203" t="s">
        <v>1352</v>
      </c>
    </row>
    <row r="2558" spans="1:10" hidden="1" outlineLevel="1">
      <c r="A2558" s="876" t="s">
        <v>1901</v>
      </c>
      <c r="B2558" s="900">
        <f t="shared" si="144"/>
        <v>0</v>
      </c>
      <c r="C2558" s="886">
        <v>0</v>
      </c>
      <c r="D2558" s="814">
        <v>0</v>
      </c>
      <c r="E2558" s="814">
        <v>0</v>
      </c>
      <c r="F2558" s="814">
        <v>0</v>
      </c>
      <c r="G2558" s="814">
        <v>0</v>
      </c>
      <c r="H2558" s="814">
        <v>0</v>
      </c>
      <c r="I2558" s="898">
        <f t="shared" si="143"/>
        <v>0</v>
      </c>
      <c r="J2558" s="203" t="s">
        <v>1902</v>
      </c>
    </row>
    <row r="2559" spans="1:10" hidden="1" outlineLevel="1">
      <c r="A2559" s="876" t="s">
        <v>1353</v>
      </c>
      <c r="B2559" s="900">
        <f t="shared" si="144"/>
        <v>282327.63344000001</v>
      </c>
      <c r="C2559" s="886">
        <v>0</v>
      </c>
      <c r="D2559" s="814">
        <v>0</v>
      </c>
      <c r="E2559" s="814">
        <v>0</v>
      </c>
      <c r="F2559" s="814">
        <v>0</v>
      </c>
      <c r="G2559" s="814">
        <v>0</v>
      </c>
      <c r="H2559" s="814">
        <v>0</v>
      </c>
      <c r="I2559" s="898">
        <f t="shared" si="143"/>
        <v>282327.63344000001</v>
      </c>
      <c r="J2559" s="203" t="s">
        <v>1354</v>
      </c>
    </row>
    <row r="2560" spans="1:10" hidden="1" outlineLevel="1">
      <c r="A2560" s="876" t="s">
        <v>1355</v>
      </c>
      <c r="B2560" s="900">
        <f t="shared" si="144"/>
        <v>186447.76764800001</v>
      </c>
      <c r="C2560" s="886">
        <v>0</v>
      </c>
      <c r="D2560" s="814">
        <v>0</v>
      </c>
      <c r="E2560" s="814">
        <v>0</v>
      </c>
      <c r="F2560" s="814">
        <v>0</v>
      </c>
      <c r="G2560" s="814">
        <v>0</v>
      </c>
      <c r="H2560" s="814">
        <v>0</v>
      </c>
      <c r="I2560" s="898">
        <f t="shared" si="143"/>
        <v>186447.76764800001</v>
      </c>
      <c r="J2560" s="203" t="s">
        <v>1356</v>
      </c>
    </row>
    <row r="2561" spans="1:10" hidden="1" outlineLevel="1">
      <c r="A2561" s="876" t="s">
        <v>1357</v>
      </c>
      <c r="B2561" s="900">
        <f t="shared" si="144"/>
        <v>641208.65631999995</v>
      </c>
      <c r="C2561" s="886">
        <v>0</v>
      </c>
      <c r="D2561" s="814">
        <v>0</v>
      </c>
      <c r="E2561" s="814">
        <v>0</v>
      </c>
      <c r="F2561" s="814">
        <v>0</v>
      </c>
      <c r="G2561" s="814">
        <v>0</v>
      </c>
      <c r="H2561" s="814">
        <v>0</v>
      </c>
      <c r="I2561" s="898">
        <f t="shared" si="143"/>
        <v>641208.65631999995</v>
      </c>
      <c r="J2561" s="203" t="s">
        <v>1358</v>
      </c>
    </row>
    <row r="2562" spans="1:10" hidden="1" outlineLevel="1">
      <c r="A2562" s="876" t="s">
        <v>1359</v>
      </c>
      <c r="B2562" s="900">
        <f t="shared" si="144"/>
        <v>69204.044320000001</v>
      </c>
      <c r="C2562" s="886">
        <v>0</v>
      </c>
      <c r="D2562" s="814">
        <v>0</v>
      </c>
      <c r="E2562" s="814">
        <v>0</v>
      </c>
      <c r="F2562" s="814">
        <v>0</v>
      </c>
      <c r="G2562" s="814">
        <v>0</v>
      </c>
      <c r="H2562" s="814">
        <v>0</v>
      </c>
      <c r="I2562" s="898">
        <f t="shared" si="143"/>
        <v>69204.044320000001</v>
      </c>
      <c r="J2562" s="203" t="s">
        <v>1360</v>
      </c>
    </row>
    <row r="2563" spans="1:10" hidden="1" outlineLevel="1">
      <c r="A2563" s="876" t="s">
        <v>1903</v>
      </c>
      <c r="B2563" s="900">
        <f t="shared" si="144"/>
        <v>40255.216959999998</v>
      </c>
      <c r="C2563" s="886">
        <v>0</v>
      </c>
      <c r="D2563" s="814">
        <v>0</v>
      </c>
      <c r="E2563" s="814">
        <v>0</v>
      </c>
      <c r="F2563" s="814">
        <v>0</v>
      </c>
      <c r="G2563" s="814">
        <v>0</v>
      </c>
      <c r="H2563" s="814">
        <v>0</v>
      </c>
      <c r="I2563" s="898">
        <f t="shared" si="143"/>
        <v>40255.216959999998</v>
      </c>
      <c r="J2563" s="203" t="s">
        <v>1904</v>
      </c>
    </row>
    <row r="2564" spans="1:10" hidden="1" outlineLevel="1">
      <c r="A2564" s="876" t="s">
        <v>1361</v>
      </c>
      <c r="B2564" s="900">
        <f t="shared" si="144"/>
        <v>716983.74112000002</v>
      </c>
      <c r="C2564" s="886">
        <v>0</v>
      </c>
      <c r="D2564" s="814">
        <v>0</v>
      </c>
      <c r="E2564" s="814">
        <v>0</v>
      </c>
      <c r="F2564" s="814">
        <v>0</v>
      </c>
      <c r="G2564" s="814">
        <v>0</v>
      </c>
      <c r="H2564" s="814">
        <v>0</v>
      </c>
      <c r="I2564" s="898">
        <f t="shared" si="143"/>
        <v>716983.74112000002</v>
      </c>
      <c r="J2564" s="203" t="s">
        <v>1362</v>
      </c>
    </row>
    <row r="2565" spans="1:10" hidden="1" outlineLevel="1">
      <c r="A2565" s="876" t="s">
        <v>1363</v>
      </c>
      <c r="B2565" s="900">
        <f t="shared" si="144"/>
        <v>860317.45824000007</v>
      </c>
      <c r="C2565" s="886">
        <v>0</v>
      </c>
      <c r="D2565" s="814">
        <v>0</v>
      </c>
      <c r="E2565" s="814">
        <v>0</v>
      </c>
      <c r="F2565" s="814">
        <v>0</v>
      </c>
      <c r="G2565" s="814">
        <v>0</v>
      </c>
      <c r="H2565" s="814">
        <v>0</v>
      </c>
      <c r="I2565" s="898">
        <f t="shared" si="143"/>
        <v>860317.45824000007</v>
      </c>
      <c r="J2565" s="203" t="s">
        <v>1364</v>
      </c>
    </row>
    <row r="2566" spans="1:10" hidden="1" outlineLevel="1">
      <c r="A2566" s="876" t="s">
        <v>1365</v>
      </c>
      <c r="B2566" s="900">
        <f t="shared" si="144"/>
        <v>328803.62624000001</v>
      </c>
      <c r="C2566" s="886">
        <v>0</v>
      </c>
      <c r="D2566" s="814">
        <v>0</v>
      </c>
      <c r="E2566" s="814">
        <v>0</v>
      </c>
      <c r="F2566" s="814">
        <v>0</v>
      </c>
      <c r="G2566" s="814">
        <v>0</v>
      </c>
      <c r="H2566" s="814">
        <v>0</v>
      </c>
      <c r="I2566" s="898">
        <f t="shared" si="143"/>
        <v>328803.62624000001</v>
      </c>
      <c r="J2566" s="203" t="s">
        <v>1366</v>
      </c>
    </row>
    <row r="2567" spans="1:10" hidden="1" outlineLevel="1">
      <c r="A2567" s="876" t="s">
        <v>1367</v>
      </c>
      <c r="B2567" s="900">
        <f t="shared" si="144"/>
        <v>52759.718399999998</v>
      </c>
      <c r="C2567" s="886">
        <v>0</v>
      </c>
      <c r="D2567" s="814">
        <v>0</v>
      </c>
      <c r="E2567" s="814">
        <v>0</v>
      </c>
      <c r="F2567" s="814">
        <v>0</v>
      </c>
      <c r="G2567" s="814">
        <v>0</v>
      </c>
      <c r="H2567" s="814">
        <v>0</v>
      </c>
      <c r="I2567" s="898">
        <f t="shared" si="143"/>
        <v>52759.718399999998</v>
      </c>
      <c r="J2567" s="203" t="s">
        <v>1368</v>
      </c>
    </row>
    <row r="2568" spans="1:10" hidden="1" outlineLevel="1">
      <c r="A2568" s="876" t="s">
        <v>1369</v>
      </c>
      <c r="B2568" s="900">
        <f t="shared" si="144"/>
        <v>65631.26496</v>
      </c>
      <c r="C2568" s="886">
        <v>0</v>
      </c>
      <c r="D2568" s="814">
        <v>0</v>
      </c>
      <c r="E2568" s="814">
        <v>0</v>
      </c>
      <c r="F2568" s="814">
        <v>0</v>
      </c>
      <c r="G2568" s="814">
        <v>0</v>
      </c>
      <c r="H2568" s="814">
        <v>0</v>
      </c>
      <c r="I2568" s="898">
        <f t="shared" si="143"/>
        <v>65631.26496</v>
      </c>
      <c r="J2568" s="203" t="s">
        <v>1370</v>
      </c>
    </row>
    <row r="2569" spans="1:10" hidden="1" outlineLevel="1">
      <c r="A2569" s="876" t="s">
        <v>409</v>
      </c>
      <c r="B2569" s="900">
        <f t="shared" si="144"/>
        <v>348559.61728000001</v>
      </c>
      <c r="C2569" s="886">
        <v>0</v>
      </c>
      <c r="D2569" s="814">
        <v>0</v>
      </c>
      <c r="E2569" s="814">
        <v>0</v>
      </c>
      <c r="F2569" s="814">
        <v>0</v>
      </c>
      <c r="G2569" s="814">
        <v>0</v>
      </c>
      <c r="H2569" s="814">
        <v>0</v>
      </c>
      <c r="I2569" s="898">
        <f t="shared" si="143"/>
        <v>348559.61728000001</v>
      </c>
      <c r="J2569" s="203" t="s">
        <v>410</v>
      </c>
    </row>
    <row r="2570" spans="1:10" hidden="1" outlineLevel="1">
      <c r="A2570" s="876" t="s">
        <v>1371</v>
      </c>
      <c r="B2570" s="900">
        <f t="shared" si="144"/>
        <v>214703.55856000003</v>
      </c>
      <c r="C2570" s="886">
        <v>0</v>
      </c>
      <c r="D2570" s="814">
        <v>0</v>
      </c>
      <c r="E2570" s="814">
        <v>0</v>
      </c>
      <c r="F2570" s="814">
        <v>0</v>
      </c>
      <c r="G2570" s="814">
        <v>0</v>
      </c>
      <c r="H2570" s="814">
        <v>0</v>
      </c>
      <c r="I2570" s="898">
        <f t="shared" si="143"/>
        <v>214703.55856000003</v>
      </c>
      <c r="J2570" s="203" t="s">
        <v>1372</v>
      </c>
    </row>
    <row r="2571" spans="1:10" hidden="1" outlineLevel="1">
      <c r="A2571" s="876" t="s">
        <v>1478</v>
      </c>
      <c r="B2571" s="900">
        <f t="shared" si="144"/>
        <v>662113.17871999997</v>
      </c>
      <c r="C2571" s="886">
        <v>0</v>
      </c>
      <c r="D2571" s="814">
        <v>0</v>
      </c>
      <c r="E2571" s="814">
        <v>0</v>
      </c>
      <c r="F2571" s="814">
        <v>0</v>
      </c>
      <c r="G2571" s="814">
        <v>0</v>
      </c>
      <c r="H2571" s="814">
        <v>0</v>
      </c>
      <c r="I2571" s="898">
        <f t="shared" si="143"/>
        <v>662113.17871999997</v>
      </c>
      <c r="J2571" s="203" t="s">
        <v>1479</v>
      </c>
    </row>
    <row r="2572" spans="1:10" hidden="1" outlineLevel="1">
      <c r="A2572" s="876" t="s">
        <v>1373</v>
      </c>
      <c r="B2572" s="900">
        <f t="shared" si="144"/>
        <v>20638.166720000001</v>
      </c>
      <c r="C2572" s="886">
        <v>0</v>
      </c>
      <c r="D2572" s="814">
        <v>0</v>
      </c>
      <c r="E2572" s="814">
        <v>0</v>
      </c>
      <c r="F2572" s="814">
        <v>0</v>
      </c>
      <c r="G2572" s="814">
        <v>0</v>
      </c>
      <c r="H2572" s="814">
        <v>0</v>
      </c>
      <c r="I2572" s="898">
        <f t="shared" si="143"/>
        <v>20638.166720000001</v>
      </c>
      <c r="J2572" s="203" t="s">
        <v>1374</v>
      </c>
    </row>
    <row r="2573" spans="1:10" hidden="1" outlineLevel="1">
      <c r="A2573" s="876" t="s">
        <v>1905</v>
      </c>
      <c r="B2573" s="900">
        <f t="shared" si="144"/>
        <v>19005.389279999999</v>
      </c>
      <c r="C2573" s="886">
        <v>0</v>
      </c>
      <c r="D2573" s="814">
        <v>0</v>
      </c>
      <c r="E2573" s="814">
        <v>0</v>
      </c>
      <c r="F2573" s="814">
        <v>0</v>
      </c>
      <c r="G2573" s="814">
        <v>0</v>
      </c>
      <c r="H2573" s="814">
        <v>0</v>
      </c>
      <c r="I2573" s="898">
        <f t="shared" si="143"/>
        <v>19005.389279999999</v>
      </c>
      <c r="J2573" s="203" t="s">
        <v>1906</v>
      </c>
    </row>
    <row r="2574" spans="1:10" hidden="1" outlineLevel="1">
      <c r="A2574" s="876" t="s">
        <v>1375</v>
      </c>
      <c r="B2574" s="900">
        <f t="shared" si="144"/>
        <v>2446846.2947200001</v>
      </c>
      <c r="C2574" s="886">
        <v>0</v>
      </c>
      <c r="D2574" s="814">
        <v>0</v>
      </c>
      <c r="E2574" s="814">
        <v>0</v>
      </c>
      <c r="F2574" s="814">
        <v>0</v>
      </c>
      <c r="G2574" s="814">
        <v>0</v>
      </c>
      <c r="H2574" s="814">
        <v>0</v>
      </c>
      <c r="I2574" s="898">
        <f t="shared" si="143"/>
        <v>2446846.2947200001</v>
      </c>
      <c r="J2574" s="203" t="s">
        <v>1376</v>
      </c>
    </row>
    <row r="2575" spans="1:10" hidden="1" outlineLevel="1">
      <c r="A2575" s="876" t="s">
        <v>86</v>
      </c>
      <c r="B2575" s="900">
        <f t="shared" si="144"/>
        <v>1241416.3177503999</v>
      </c>
      <c r="C2575" s="886">
        <v>0</v>
      </c>
      <c r="D2575" s="814">
        <v>0</v>
      </c>
      <c r="E2575" s="814">
        <v>0</v>
      </c>
      <c r="F2575" s="814">
        <v>0</v>
      </c>
      <c r="G2575" s="814">
        <v>0</v>
      </c>
      <c r="H2575" s="814">
        <v>0</v>
      </c>
      <c r="I2575" s="898">
        <f t="shared" si="143"/>
        <v>1241416.3177503999</v>
      </c>
      <c r="J2575" s="203" t="s">
        <v>87</v>
      </c>
    </row>
    <row r="2576" spans="1:10" hidden="1" outlineLevel="1">
      <c r="A2576" s="876" t="s">
        <v>1377</v>
      </c>
      <c r="B2576" s="900">
        <f t="shared" si="144"/>
        <v>44316.77536</v>
      </c>
      <c r="C2576" s="886">
        <v>0</v>
      </c>
      <c r="D2576" s="814">
        <v>0</v>
      </c>
      <c r="E2576" s="814">
        <v>0</v>
      </c>
      <c r="F2576" s="814">
        <v>0</v>
      </c>
      <c r="G2576" s="814">
        <v>0</v>
      </c>
      <c r="H2576" s="814">
        <v>0</v>
      </c>
      <c r="I2576" s="898">
        <f t="shared" si="143"/>
        <v>44316.77536</v>
      </c>
      <c r="J2576" s="203" t="s">
        <v>1378</v>
      </c>
    </row>
    <row r="2577" spans="1:10" hidden="1" outlineLevel="1">
      <c r="A2577" s="876" t="s">
        <v>1907</v>
      </c>
      <c r="B2577" s="900">
        <f t="shared" si="144"/>
        <v>32171.781600000002</v>
      </c>
      <c r="C2577" s="886">
        <v>0</v>
      </c>
      <c r="D2577" s="814">
        <v>0</v>
      </c>
      <c r="E2577" s="814">
        <v>0</v>
      </c>
      <c r="F2577" s="814">
        <v>0</v>
      </c>
      <c r="G2577" s="814">
        <v>0</v>
      </c>
      <c r="H2577" s="814">
        <v>0</v>
      </c>
      <c r="I2577" s="898">
        <f t="shared" si="143"/>
        <v>32171.781600000002</v>
      </c>
      <c r="J2577" s="203" t="s">
        <v>1908</v>
      </c>
    </row>
    <row r="2578" spans="1:10" hidden="1" outlineLevel="1">
      <c r="A2578" s="876" t="s">
        <v>1379</v>
      </c>
      <c r="B2578" s="900">
        <f t="shared" si="144"/>
        <v>63536.624159999999</v>
      </c>
      <c r="C2578" s="886">
        <v>0</v>
      </c>
      <c r="D2578" s="814">
        <v>0</v>
      </c>
      <c r="E2578" s="814">
        <v>0</v>
      </c>
      <c r="F2578" s="814">
        <v>0</v>
      </c>
      <c r="G2578" s="814">
        <v>0</v>
      </c>
      <c r="H2578" s="814">
        <v>0</v>
      </c>
      <c r="I2578" s="898">
        <f t="shared" si="143"/>
        <v>63536.624159999999</v>
      </c>
      <c r="J2578" s="203" t="s">
        <v>1380</v>
      </c>
    </row>
    <row r="2579" spans="1:10" hidden="1" outlineLevel="1">
      <c r="A2579" s="876" t="s">
        <v>1381</v>
      </c>
      <c r="B2579" s="900">
        <f t="shared" si="144"/>
        <v>58439.763673600006</v>
      </c>
      <c r="C2579" s="886">
        <v>0</v>
      </c>
      <c r="D2579" s="814">
        <v>0</v>
      </c>
      <c r="E2579" s="814">
        <v>0</v>
      </c>
      <c r="F2579" s="814">
        <v>0</v>
      </c>
      <c r="G2579" s="814">
        <v>0</v>
      </c>
      <c r="H2579" s="814">
        <v>0</v>
      </c>
      <c r="I2579" s="898">
        <f t="shared" si="143"/>
        <v>58439.763673600006</v>
      </c>
      <c r="J2579" s="203" t="s">
        <v>1382</v>
      </c>
    </row>
    <row r="2580" spans="1:10" hidden="1" outlineLevel="1">
      <c r="A2580" s="876" t="s">
        <v>1383</v>
      </c>
      <c r="B2580" s="900">
        <f t="shared" si="144"/>
        <v>186288.36096000002</v>
      </c>
      <c r="C2580" s="886">
        <v>0</v>
      </c>
      <c r="D2580" s="814">
        <v>0</v>
      </c>
      <c r="E2580" s="814">
        <v>0</v>
      </c>
      <c r="F2580" s="814">
        <v>0</v>
      </c>
      <c r="G2580" s="814">
        <v>0</v>
      </c>
      <c r="H2580" s="814">
        <v>0</v>
      </c>
      <c r="I2580" s="898">
        <f t="shared" si="143"/>
        <v>186288.36096000002</v>
      </c>
      <c r="J2580" s="203" t="s">
        <v>1384</v>
      </c>
    </row>
    <row r="2581" spans="1:10" hidden="1" outlineLevel="1">
      <c r="A2581" s="876" t="s">
        <v>1909</v>
      </c>
      <c r="B2581" s="900">
        <f t="shared" si="144"/>
        <v>92278.225646400009</v>
      </c>
      <c r="C2581" s="886">
        <v>0</v>
      </c>
      <c r="D2581" s="814">
        <v>0</v>
      </c>
      <c r="E2581" s="814">
        <v>0</v>
      </c>
      <c r="F2581" s="814">
        <v>0</v>
      </c>
      <c r="G2581" s="814">
        <v>0</v>
      </c>
      <c r="H2581" s="814">
        <v>0</v>
      </c>
      <c r="I2581" s="898">
        <f t="shared" si="143"/>
        <v>92278.225646400009</v>
      </c>
      <c r="J2581" s="203" t="s">
        <v>1910</v>
      </c>
    </row>
    <row r="2582" spans="1:10" hidden="1" outlineLevel="1">
      <c r="A2582" s="876" t="s">
        <v>1385</v>
      </c>
      <c r="B2582" s="900">
        <f t="shared" si="144"/>
        <v>313853.32064000005</v>
      </c>
      <c r="C2582" s="886">
        <v>0</v>
      </c>
      <c r="D2582" s="814">
        <v>0</v>
      </c>
      <c r="E2582" s="814">
        <v>0</v>
      </c>
      <c r="F2582" s="814">
        <v>0</v>
      </c>
      <c r="G2582" s="814">
        <v>0</v>
      </c>
      <c r="H2582" s="814">
        <v>0</v>
      </c>
      <c r="I2582" s="898">
        <f t="shared" si="143"/>
        <v>313853.32064000005</v>
      </c>
      <c r="J2582" s="203" t="s">
        <v>1386</v>
      </c>
    </row>
    <row r="2583" spans="1:10" hidden="1" outlineLevel="1">
      <c r="A2583" s="876" t="s">
        <v>1387</v>
      </c>
      <c r="B2583" s="900">
        <f t="shared" si="144"/>
        <v>832595.94128000003</v>
      </c>
      <c r="C2583" s="886">
        <v>0</v>
      </c>
      <c r="D2583" s="814">
        <v>0</v>
      </c>
      <c r="E2583" s="814">
        <v>0</v>
      </c>
      <c r="F2583" s="814">
        <v>0</v>
      </c>
      <c r="G2583" s="814">
        <v>0</v>
      </c>
      <c r="H2583" s="814">
        <v>0</v>
      </c>
      <c r="I2583" s="898">
        <f t="shared" si="143"/>
        <v>832595.94128000003</v>
      </c>
      <c r="J2583" s="203" t="s">
        <v>1388</v>
      </c>
    </row>
    <row r="2584" spans="1:10" hidden="1" outlineLevel="1">
      <c r="A2584" s="876" t="s">
        <v>1911</v>
      </c>
      <c r="B2584" s="900">
        <f t="shared" si="144"/>
        <v>23398.424480000001</v>
      </c>
      <c r="C2584" s="886">
        <v>0</v>
      </c>
      <c r="D2584" s="814">
        <v>0</v>
      </c>
      <c r="E2584" s="814">
        <v>0</v>
      </c>
      <c r="F2584" s="814">
        <v>0</v>
      </c>
      <c r="G2584" s="814">
        <v>0</v>
      </c>
      <c r="H2584" s="814">
        <v>0</v>
      </c>
      <c r="I2584" s="898">
        <f t="shared" si="143"/>
        <v>23398.424480000001</v>
      </c>
      <c r="J2584" s="203" t="s">
        <v>1912</v>
      </c>
    </row>
    <row r="2585" spans="1:10" hidden="1" outlineLevel="1">
      <c r="A2585" s="876" t="s">
        <v>1913</v>
      </c>
      <c r="B2585" s="900">
        <f t="shared" si="144"/>
        <v>49447.574400000005</v>
      </c>
      <c r="C2585" s="886">
        <v>0</v>
      </c>
      <c r="D2585" s="814">
        <v>0</v>
      </c>
      <c r="E2585" s="814">
        <v>0</v>
      </c>
      <c r="F2585" s="814">
        <v>0</v>
      </c>
      <c r="G2585" s="814">
        <v>0</v>
      </c>
      <c r="H2585" s="814">
        <v>0</v>
      </c>
      <c r="I2585" s="898">
        <f t="shared" si="143"/>
        <v>49447.574400000005</v>
      </c>
      <c r="J2585" s="203" t="s">
        <v>1914</v>
      </c>
    </row>
    <row r="2586" spans="1:10" hidden="1" outlineLevel="1">
      <c r="A2586" s="876" t="s">
        <v>1389</v>
      </c>
      <c r="B2586" s="900">
        <f t="shared" si="144"/>
        <v>636088.84101600002</v>
      </c>
      <c r="C2586" s="886">
        <v>0</v>
      </c>
      <c r="D2586" s="814">
        <v>0</v>
      </c>
      <c r="E2586" s="814">
        <v>0</v>
      </c>
      <c r="F2586" s="814">
        <v>0</v>
      </c>
      <c r="G2586" s="814">
        <v>0</v>
      </c>
      <c r="H2586" s="814">
        <v>0</v>
      </c>
      <c r="I2586" s="898">
        <f t="shared" si="143"/>
        <v>636088.84101600002</v>
      </c>
      <c r="J2586" s="203" t="s">
        <v>1390</v>
      </c>
    </row>
    <row r="2587" spans="1:10" hidden="1" outlineLevel="1">
      <c r="A2587" s="876" t="s">
        <v>1915</v>
      </c>
      <c r="B2587" s="900">
        <f t="shared" si="144"/>
        <v>18103.7304</v>
      </c>
      <c r="C2587" s="886">
        <v>0</v>
      </c>
      <c r="D2587" s="814">
        <v>0</v>
      </c>
      <c r="E2587" s="814">
        <v>0</v>
      </c>
      <c r="F2587" s="814">
        <v>0</v>
      </c>
      <c r="G2587" s="814">
        <v>0</v>
      </c>
      <c r="H2587" s="814">
        <v>0</v>
      </c>
      <c r="I2587" s="898">
        <f t="shared" si="143"/>
        <v>18103.7304</v>
      </c>
      <c r="J2587" s="203" t="s">
        <v>1916</v>
      </c>
    </row>
    <row r="2588" spans="1:10" hidden="1" outlineLevel="1">
      <c r="A2588" s="876" t="s">
        <v>1391</v>
      </c>
      <c r="B2588" s="900">
        <f t="shared" si="144"/>
        <v>1683654.4055999999</v>
      </c>
      <c r="C2588" s="886">
        <v>0</v>
      </c>
      <c r="D2588" s="814">
        <v>0</v>
      </c>
      <c r="E2588" s="814">
        <v>0</v>
      </c>
      <c r="F2588" s="814">
        <v>0</v>
      </c>
      <c r="G2588" s="814">
        <v>0</v>
      </c>
      <c r="H2588" s="814">
        <v>0</v>
      </c>
      <c r="I2588" s="898">
        <f t="shared" si="143"/>
        <v>1683654.4055999999</v>
      </c>
      <c r="J2588" s="203" t="s">
        <v>1392</v>
      </c>
    </row>
    <row r="2589" spans="1:10" hidden="1" outlineLevel="1">
      <c r="A2589" s="876" t="s">
        <v>194</v>
      </c>
      <c r="B2589" s="900">
        <f t="shared" si="144"/>
        <v>5884526.2857599994</v>
      </c>
      <c r="C2589" s="886">
        <v>0</v>
      </c>
      <c r="D2589" s="814">
        <v>0</v>
      </c>
      <c r="E2589" s="814">
        <v>0</v>
      </c>
      <c r="F2589" s="814">
        <v>0</v>
      </c>
      <c r="G2589" s="814">
        <v>0</v>
      </c>
      <c r="H2589" s="814">
        <v>0</v>
      </c>
      <c r="I2589" s="898">
        <f t="shared" si="143"/>
        <v>5884526.2857599994</v>
      </c>
      <c r="J2589" s="203" t="s">
        <v>195</v>
      </c>
    </row>
    <row r="2590" spans="1:10" hidden="1" outlineLevel="1">
      <c r="A2590" s="876" t="s">
        <v>1917</v>
      </c>
      <c r="B2590" s="900">
        <f t="shared" si="144"/>
        <v>24133.000160000003</v>
      </c>
      <c r="C2590" s="886">
        <v>0</v>
      </c>
      <c r="D2590" s="814">
        <v>0</v>
      </c>
      <c r="E2590" s="814">
        <v>0</v>
      </c>
      <c r="F2590" s="814">
        <v>0</v>
      </c>
      <c r="G2590" s="814">
        <v>0</v>
      </c>
      <c r="H2590" s="814">
        <v>0</v>
      </c>
      <c r="I2590" s="898">
        <f t="shared" si="143"/>
        <v>24133.000160000003</v>
      </c>
      <c r="J2590" s="203" t="s">
        <v>1918</v>
      </c>
    </row>
    <row r="2591" spans="1:10" hidden="1" outlineLevel="1">
      <c r="A2591" s="876" t="s">
        <v>1393</v>
      </c>
      <c r="B2591" s="900">
        <f t="shared" si="144"/>
        <v>188553.41087999998</v>
      </c>
      <c r="C2591" s="886">
        <v>0</v>
      </c>
      <c r="D2591" s="814">
        <v>0</v>
      </c>
      <c r="E2591" s="814">
        <v>0</v>
      </c>
      <c r="F2591" s="814">
        <v>0</v>
      </c>
      <c r="G2591" s="814">
        <v>0</v>
      </c>
      <c r="H2591" s="814">
        <v>0</v>
      </c>
      <c r="I2591" s="898">
        <f t="shared" si="143"/>
        <v>188553.41087999998</v>
      </c>
      <c r="J2591" s="203" t="s">
        <v>1394</v>
      </c>
    </row>
    <row r="2592" spans="1:10" hidden="1" outlineLevel="1">
      <c r="A2592" s="876" t="s">
        <v>1395</v>
      </c>
      <c r="B2592" s="900">
        <f t="shared" si="144"/>
        <v>4920136.7825600002</v>
      </c>
      <c r="C2592" s="886">
        <v>0</v>
      </c>
      <c r="D2592" s="814">
        <v>0</v>
      </c>
      <c r="E2592" s="814">
        <v>0</v>
      </c>
      <c r="F2592" s="815">
        <v>2441</v>
      </c>
      <c r="G2592" s="814">
        <v>0</v>
      </c>
      <c r="H2592" s="814">
        <v>0</v>
      </c>
      <c r="I2592" s="898">
        <f t="shared" si="143"/>
        <v>4922577.7825600002</v>
      </c>
      <c r="J2592" s="203" t="s">
        <v>1396</v>
      </c>
    </row>
    <row r="2593" spans="1:10" hidden="1" outlineLevel="1">
      <c r="A2593" s="876" t="s">
        <v>1919</v>
      </c>
      <c r="B2593" s="900">
        <f t="shared" si="144"/>
        <v>19016.305120000001</v>
      </c>
      <c r="C2593" s="886">
        <v>0</v>
      </c>
      <c r="D2593" s="814">
        <v>0</v>
      </c>
      <c r="E2593" s="814">
        <v>0</v>
      </c>
      <c r="F2593" s="814">
        <v>0</v>
      </c>
      <c r="G2593" s="814">
        <v>0</v>
      </c>
      <c r="H2593" s="814">
        <v>0</v>
      </c>
      <c r="I2593" s="898">
        <f t="shared" si="143"/>
        <v>19016.305120000001</v>
      </c>
      <c r="J2593" s="203" t="s">
        <v>1920</v>
      </c>
    </row>
    <row r="2594" spans="1:10" hidden="1" outlineLevel="1">
      <c r="A2594" s="876" t="s">
        <v>1397</v>
      </c>
      <c r="B2594" s="900">
        <f t="shared" si="144"/>
        <v>1134584.84592</v>
      </c>
      <c r="C2594" s="886">
        <v>0</v>
      </c>
      <c r="D2594" s="814">
        <v>0</v>
      </c>
      <c r="E2594" s="814">
        <v>0</v>
      </c>
      <c r="F2594" s="814">
        <v>0</v>
      </c>
      <c r="G2594" s="814">
        <v>0</v>
      </c>
      <c r="H2594" s="814">
        <v>0</v>
      </c>
      <c r="I2594" s="898">
        <f t="shared" si="143"/>
        <v>1134584.84592</v>
      </c>
      <c r="J2594" s="203" t="s">
        <v>1398</v>
      </c>
    </row>
    <row r="2595" spans="1:10" hidden="1" outlineLevel="1">
      <c r="A2595" s="876" t="s">
        <v>1921</v>
      </c>
      <c r="B2595" s="900">
        <f t="shared" si="144"/>
        <v>462369.23440000007</v>
      </c>
      <c r="C2595" s="886">
        <v>0</v>
      </c>
      <c r="D2595" s="814">
        <v>0</v>
      </c>
      <c r="E2595" s="814">
        <v>0</v>
      </c>
      <c r="F2595" s="814">
        <v>0</v>
      </c>
      <c r="G2595" s="814">
        <v>0</v>
      </c>
      <c r="H2595" s="814">
        <v>0</v>
      </c>
      <c r="I2595" s="898">
        <f t="shared" si="143"/>
        <v>462369.23440000007</v>
      </c>
      <c r="J2595" s="203" t="s">
        <v>1922</v>
      </c>
    </row>
    <row r="2596" spans="1:10" hidden="1" outlineLevel="1">
      <c r="A2596" s="876" t="s">
        <v>1923</v>
      </c>
      <c r="B2596" s="900">
        <f t="shared" si="144"/>
        <v>14837.94592</v>
      </c>
      <c r="C2596" s="886">
        <v>0</v>
      </c>
      <c r="D2596" s="814">
        <v>0</v>
      </c>
      <c r="E2596" s="814">
        <v>0</v>
      </c>
      <c r="F2596" s="814">
        <v>0</v>
      </c>
      <c r="G2596" s="814">
        <v>0</v>
      </c>
      <c r="H2596" s="814">
        <v>0</v>
      </c>
      <c r="I2596" s="898">
        <f t="shared" si="143"/>
        <v>14837.94592</v>
      </c>
      <c r="J2596" s="203" t="s">
        <v>1924</v>
      </c>
    </row>
    <row r="2597" spans="1:10" hidden="1" outlineLevel="1">
      <c r="A2597" s="876" t="s">
        <v>1399</v>
      </c>
      <c r="B2597" s="900">
        <f t="shared" si="144"/>
        <v>8187683.1539200004</v>
      </c>
      <c r="C2597" s="886">
        <v>0</v>
      </c>
      <c r="D2597" s="814">
        <v>0</v>
      </c>
      <c r="E2597" s="814">
        <v>0</v>
      </c>
      <c r="F2597" s="814">
        <v>0</v>
      </c>
      <c r="G2597" s="814">
        <v>0</v>
      </c>
      <c r="H2597" s="814">
        <v>0</v>
      </c>
      <c r="I2597" s="898">
        <f t="shared" si="143"/>
        <v>8187683.1539200004</v>
      </c>
      <c r="J2597" s="203" t="s">
        <v>1400</v>
      </c>
    </row>
    <row r="2598" spans="1:10" hidden="1" outlineLevel="1">
      <c r="A2598" s="876" t="s">
        <v>1401</v>
      </c>
      <c r="B2598" s="900">
        <f t="shared" si="144"/>
        <v>49845206.713920005</v>
      </c>
      <c r="C2598" s="886">
        <v>0</v>
      </c>
      <c r="D2598" s="814">
        <v>0</v>
      </c>
      <c r="E2598" s="814">
        <v>0</v>
      </c>
      <c r="F2598" s="814">
        <v>0</v>
      </c>
      <c r="G2598" s="814">
        <v>0</v>
      </c>
      <c r="H2598" s="814">
        <v>0</v>
      </c>
      <c r="I2598" s="898">
        <f t="shared" si="143"/>
        <v>49845206.713920005</v>
      </c>
      <c r="J2598" s="203" t="s">
        <v>1402</v>
      </c>
    </row>
    <row r="2599" spans="1:10" hidden="1" outlineLevel="1">
      <c r="A2599" s="876" t="s">
        <v>1403</v>
      </c>
      <c r="B2599" s="900">
        <f t="shared" si="144"/>
        <v>158532.48928000001</v>
      </c>
      <c r="C2599" s="886">
        <v>0</v>
      </c>
      <c r="D2599" s="814">
        <v>0</v>
      </c>
      <c r="E2599" s="814">
        <v>0</v>
      </c>
      <c r="F2599" s="814">
        <v>0</v>
      </c>
      <c r="G2599" s="814">
        <v>0</v>
      </c>
      <c r="H2599" s="814">
        <v>0</v>
      </c>
      <c r="I2599" s="898">
        <f t="shared" si="143"/>
        <v>158532.48928000001</v>
      </c>
      <c r="J2599" s="203" t="s">
        <v>1404</v>
      </c>
    </row>
    <row r="2600" spans="1:10" hidden="1" outlineLevel="1">
      <c r="A2600" s="876" t="s">
        <v>1405</v>
      </c>
      <c r="B2600" s="900">
        <f t="shared" si="144"/>
        <v>108127331.48832001</v>
      </c>
      <c r="C2600" s="886">
        <v>0</v>
      </c>
      <c r="D2600" s="814">
        <v>0</v>
      </c>
      <c r="E2600" s="814">
        <v>0</v>
      </c>
      <c r="F2600" s="814">
        <v>0</v>
      </c>
      <c r="G2600" s="814">
        <v>0</v>
      </c>
      <c r="H2600" s="814">
        <v>0</v>
      </c>
      <c r="I2600" s="898">
        <f t="shared" ref="I2600:I2661" si="145">SUM(B2600:H2600)</f>
        <v>108127331.48832001</v>
      </c>
      <c r="J2600" s="203" t="s">
        <v>1406</v>
      </c>
    </row>
    <row r="2601" spans="1:10" hidden="1" outlineLevel="1">
      <c r="A2601" s="876" t="s">
        <v>1407</v>
      </c>
      <c r="B2601" s="900">
        <f t="shared" ref="B2601:B2660" si="146">B733*0.656/100</f>
        <v>23897348.691199999</v>
      </c>
      <c r="C2601" s="886">
        <v>0</v>
      </c>
      <c r="D2601" s="814">
        <v>0</v>
      </c>
      <c r="E2601" s="814">
        <v>0</v>
      </c>
      <c r="F2601" s="814">
        <v>0</v>
      </c>
      <c r="G2601" s="814">
        <v>0</v>
      </c>
      <c r="H2601" s="814">
        <v>0</v>
      </c>
      <c r="I2601" s="898">
        <f t="shared" si="145"/>
        <v>23897348.691199999</v>
      </c>
      <c r="J2601" s="203" t="s">
        <v>1408</v>
      </c>
    </row>
    <row r="2602" spans="1:10" hidden="1" outlineLevel="1">
      <c r="A2602" s="876" t="s">
        <v>1409</v>
      </c>
      <c r="B2602" s="900">
        <f t="shared" si="146"/>
        <v>4045388.5904000001</v>
      </c>
      <c r="C2602" s="886">
        <v>0</v>
      </c>
      <c r="D2602" s="814">
        <v>0</v>
      </c>
      <c r="E2602" s="814">
        <v>0</v>
      </c>
      <c r="F2602" s="814">
        <v>0</v>
      </c>
      <c r="G2602" s="814">
        <v>0</v>
      </c>
      <c r="H2602" s="814">
        <v>0</v>
      </c>
      <c r="I2602" s="898">
        <f t="shared" si="145"/>
        <v>4045388.5904000001</v>
      </c>
      <c r="J2602" s="203" t="s">
        <v>1410</v>
      </c>
    </row>
    <row r="2603" spans="1:10" hidden="1" outlineLevel="1">
      <c r="A2603" s="876" t="s">
        <v>1925</v>
      </c>
      <c r="B2603" s="900">
        <f t="shared" si="146"/>
        <v>1344178.72208</v>
      </c>
      <c r="C2603" s="886">
        <v>0</v>
      </c>
      <c r="D2603" s="814">
        <v>0</v>
      </c>
      <c r="E2603" s="814">
        <v>0</v>
      </c>
      <c r="F2603" s="814">
        <v>0</v>
      </c>
      <c r="G2603" s="814">
        <v>0</v>
      </c>
      <c r="H2603" s="814">
        <v>0</v>
      </c>
      <c r="I2603" s="898">
        <f t="shared" si="145"/>
        <v>1344178.72208</v>
      </c>
      <c r="J2603" s="203" t="s">
        <v>1926</v>
      </c>
    </row>
    <row r="2604" spans="1:10" hidden="1" outlineLevel="1">
      <c r="A2604" s="876" t="s">
        <v>509</v>
      </c>
      <c r="B2604" s="900">
        <f t="shared" si="146"/>
        <v>24743114.046008002</v>
      </c>
      <c r="C2604" s="886">
        <v>0</v>
      </c>
      <c r="D2604" s="814">
        <v>0</v>
      </c>
      <c r="E2604" s="814">
        <v>0</v>
      </c>
      <c r="F2604" s="814">
        <v>0</v>
      </c>
      <c r="G2604" s="814">
        <v>0</v>
      </c>
      <c r="H2604" s="814">
        <v>0</v>
      </c>
      <c r="I2604" s="898">
        <f t="shared" si="145"/>
        <v>24743114.046008002</v>
      </c>
      <c r="J2604" s="203" t="s">
        <v>510</v>
      </c>
    </row>
    <row r="2605" spans="1:10" hidden="1" outlineLevel="1">
      <c r="A2605" s="876" t="s">
        <v>1411</v>
      </c>
      <c r="B2605" s="900">
        <f t="shared" si="146"/>
        <v>459565.27392000007</v>
      </c>
      <c r="C2605" s="886">
        <v>0</v>
      </c>
      <c r="D2605" s="814">
        <v>0</v>
      </c>
      <c r="E2605" s="814">
        <v>0</v>
      </c>
      <c r="F2605" s="814">
        <v>0</v>
      </c>
      <c r="G2605" s="814">
        <v>0</v>
      </c>
      <c r="H2605" s="814">
        <v>0</v>
      </c>
      <c r="I2605" s="898">
        <f t="shared" si="145"/>
        <v>459565.27392000007</v>
      </c>
      <c r="J2605" s="203" t="s">
        <v>1412</v>
      </c>
    </row>
    <row r="2606" spans="1:10" hidden="1" outlineLevel="1">
      <c r="A2606" s="876" t="s">
        <v>1413</v>
      </c>
      <c r="B2606" s="900">
        <f t="shared" si="146"/>
        <v>26970034.146080002</v>
      </c>
      <c r="C2606" s="886">
        <v>0</v>
      </c>
      <c r="D2606" s="814">
        <v>0</v>
      </c>
      <c r="E2606" s="814">
        <v>0</v>
      </c>
      <c r="F2606" s="815">
        <v>38655</v>
      </c>
      <c r="G2606" s="814">
        <v>0</v>
      </c>
      <c r="H2606" s="814">
        <v>0</v>
      </c>
      <c r="I2606" s="898">
        <f t="shared" si="145"/>
        <v>27008689.146080002</v>
      </c>
      <c r="J2606" s="203" t="s">
        <v>1414</v>
      </c>
    </row>
    <row r="2607" spans="1:10" hidden="1" outlineLevel="1">
      <c r="A2607" s="876" t="s">
        <v>388</v>
      </c>
      <c r="B2607" s="900">
        <f t="shared" si="146"/>
        <v>31388933.51484368</v>
      </c>
      <c r="C2607" s="886">
        <v>0</v>
      </c>
      <c r="D2607" s="814">
        <v>0</v>
      </c>
      <c r="E2607" s="814">
        <v>0</v>
      </c>
      <c r="F2607" s="814">
        <v>0</v>
      </c>
      <c r="G2607" s="814">
        <v>0</v>
      </c>
      <c r="H2607" s="814">
        <v>0</v>
      </c>
      <c r="I2607" s="898">
        <f t="shared" si="145"/>
        <v>31388933.51484368</v>
      </c>
      <c r="J2607" s="203" t="s">
        <v>389</v>
      </c>
    </row>
    <row r="2608" spans="1:10" hidden="1" outlineLevel="1">
      <c r="A2608" s="876" t="s">
        <v>724</v>
      </c>
      <c r="B2608" s="900">
        <f t="shared" si="146"/>
        <v>24578499.468800001</v>
      </c>
      <c r="C2608" s="886">
        <v>0</v>
      </c>
      <c r="D2608" s="814">
        <v>0</v>
      </c>
      <c r="E2608" s="814">
        <v>0</v>
      </c>
      <c r="F2608" s="814">
        <v>0</v>
      </c>
      <c r="G2608" s="814">
        <v>0</v>
      </c>
      <c r="H2608" s="814">
        <v>0</v>
      </c>
      <c r="I2608" s="898">
        <f t="shared" si="145"/>
        <v>24578499.468800001</v>
      </c>
      <c r="J2608" s="203" t="s">
        <v>725</v>
      </c>
    </row>
    <row r="2609" spans="1:10" hidden="1" outlineLevel="1">
      <c r="A2609" s="876" t="s">
        <v>1927</v>
      </c>
      <c r="B2609" s="900">
        <f t="shared" si="146"/>
        <v>75097.410560000004</v>
      </c>
      <c r="C2609" s="886">
        <v>0</v>
      </c>
      <c r="D2609" s="814">
        <v>0</v>
      </c>
      <c r="E2609" s="814">
        <v>0</v>
      </c>
      <c r="F2609" s="814">
        <v>0</v>
      </c>
      <c r="G2609" s="814">
        <v>0</v>
      </c>
      <c r="H2609" s="814">
        <v>0</v>
      </c>
      <c r="I2609" s="898">
        <f t="shared" si="145"/>
        <v>75097.410560000004</v>
      </c>
      <c r="J2609" s="203" t="s">
        <v>1928</v>
      </c>
    </row>
    <row r="2610" spans="1:10" hidden="1" outlineLevel="1">
      <c r="A2610" s="876" t="s">
        <v>1415</v>
      </c>
      <c r="B2610" s="900">
        <f t="shared" si="146"/>
        <v>24327.156480000001</v>
      </c>
      <c r="C2610" s="886">
        <v>0</v>
      </c>
      <c r="D2610" s="814">
        <v>0</v>
      </c>
      <c r="E2610" s="814">
        <v>0</v>
      </c>
      <c r="F2610" s="814">
        <v>0</v>
      </c>
      <c r="G2610" s="814">
        <v>0</v>
      </c>
      <c r="H2610" s="814">
        <v>0</v>
      </c>
      <c r="I2610" s="898">
        <f t="shared" si="145"/>
        <v>24327.156480000001</v>
      </c>
      <c r="J2610" s="203" t="s">
        <v>1416</v>
      </c>
    </row>
    <row r="2611" spans="1:10" hidden="1" outlineLevel="1">
      <c r="A2611" s="876" t="s">
        <v>1929</v>
      </c>
      <c r="B2611" s="900">
        <f t="shared" si="146"/>
        <v>43727.510240000003</v>
      </c>
      <c r="C2611" s="886">
        <v>0</v>
      </c>
      <c r="D2611" s="814">
        <v>0</v>
      </c>
      <c r="E2611" s="814">
        <v>0</v>
      </c>
      <c r="F2611" s="814">
        <v>0</v>
      </c>
      <c r="G2611" s="814">
        <v>0</v>
      </c>
      <c r="H2611" s="814">
        <v>0</v>
      </c>
      <c r="I2611" s="898">
        <f t="shared" si="145"/>
        <v>43727.510240000003</v>
      </c>
      <c r="J2611" s="203" t="s">
        <v>1930</v>
      </c>
    </row>
    <row r="2612" spans="1:10" hidden="1" outlineLevel="1">
      <c r="A2612" s="876" t="s">
        <v>1931</v>
      </c>
      <c r="B2612" s="900">
        <f t="shared" si="146"/>
        <v>2615.7212799999998</v>
      </c>
      <c r="C2612" s="886">
        <v>0</v>
      </c>
      <c r="D2612" s="814">
        <v>0</v>
      </c>
      <c r="E2612" s="814">
        <v>0</v>
      </c>
      <c r="F2612" s="814">
        <v>0</v>
      </c>
      <c r="G2612" s="814">
        <v>0</v>
      </c>
      <c r="H2612" s="814">
        <v>0</v>
      </c>
      <c r="I2612" s="898">
        <f t="shared" si="145"/>
        <v>2615.7212799999998</v>
      </c>
      <c r="J2612" s="203" t="s">
        <v>1932</v>
      </c>
    </row>
    <row r="2613" spans="1:10" hidden="1" outlineLevel="1">
      <c r="A2613" s="876" t="s">
        <v>1417</v>
      </c>
      <c r="B2613" s="900">
        <f t="shared" si="146"/>
        <v>775659.16911999998</v>
      </c>
      <c r="C2613" s="886">
        <v>0</v>
      </c>
      <c r="D2613" s="814">
        <v>0</v>
      </c>
      <c r="E2613" s="814">
        <v>0</v>
      </c>
      <c r="F2613" s="814">
        <v>0</v>
      </c>
      <c r="G2613" s="814">
        <v>0</v>
      </c>
      <c r="H2613" s="814">
        <v>0</v>
      </c>
      <c r="I2613" s="898">
        <f t="shared" si="145"/>
        <v>775659.16911999998</v>
      </c>
      <c r="J2613" s="203" t="s">
        <v>1418</v>
      </c>
    </row>
    <row r="2614" spans="1:10" hidden="1" outlineLevel="1">
      <c r="A2614" s="876" t="s">
        <v>1419</v>
      </c>
      <c r="B2614" s="900">
        <f t="shared" si="146"/>
        <v>586580.02016000007</v>
      </c>
      <c r="C2614" s="886">
        <v>0</v>
      </c>
      <c r="D2614" s="814">
        <v>0</v>
      </c>
      <c r="E2614" s="814">
        <v>0</v>
      </c>
      <c r="F2614" s="814">
        <v>0</v>
      </c>
      <c r="G2614" s="814">
        <v>0</v>
      </c>
      <c r="H2614" s="814">
        <v>0</v>
      </c>
      <c r="I2614" s="898">
        <f t="shared" si="145"/>
        <v>586580.02016000007</v>
      </c>
      <c r="J2614" s="203" t="s">
        <v>1420</v>
      </c>
    </row>
    <row r="2615" spans="1:10" hidden="1" outlineLevel="1">
      <c r="A2615" s="876" t="s">
        <v>1421</v>
      </c>
      <c r="B2615" s="900">
        <f t="shared" si="146"/>
        <v>477091.52752000006</v>
      </c>
      <c r="C2615" s="886">
        <v>0</v>
      </c>
      <c r="D2615" s="814">
        <v>0</v>
      </c>
      <c r="E2615" s="814">
        <v>0</v>
      </c>
      <c r="F2615" s="814">
        <v>0</v>
      </c>
      <c r="G2615" s="814">
        <v>0</v>
      </c>
      <c r="H2615" s="814">
        <v>0</v>
      </c>
      <c r="I2615" s="898">
        <f t="shared" si="145"/>
        <v>477091.52752000006</v>
      </c>
      <c r="J2615" s="203" t="s">
        <v>1422</v>
      </c>
    </row>
    <row r="2616" spans="1:10" hidden="1" outlineLevel="1">
      <c r="A2616" s="876" t="s">
        <v>1933</v>
      </c>
      <c r="B2616" s="900">
        <f t="shared" si="146"/>
        <v>393.6</v>
      </c>
      <c r="C2616" s="886">
        <v>0</v>
      </c>
      <c r="D2616" s="814">
        <v>0</v>
      </c>
      <c r="E2616" s="814">
        <v>0</v>
      </c>
      <c r="F2616" s="814">
        <v>0</v>
      </c>
      <c r="G2616" s="814">
        <v>0</v>
      </c>
      <c r="H2616" s="814">
        <v>0</v>
      </c>
      <c r="I2616" s="898">
        <f t="shared" si="145"/>
        <v>393.6</v>
      </c>
      <c r="J2616" s="203" t="s">
        <v>1934</v>
      </c>
    </row>
    <row r="2617" spans="1:10" hidden="1" outlineLevel="1">
      <c r="A2617" s="876" t="s">
        <v>1423</v>
      </c>
      <c r="B2617" s="900">
        <f t="shared" si="146"/>
        <v>600791.28272000002</v>
      </c>
      <c r="C2617" s="886">
        <v>0</v>
      </c>
      <c r="D2617" s="814">
        <v>0</v>
      </c>
      <c r="E2617" s="814">
        <v>0</v>
      </c>
      <c r="F2617" s="814">
        <v>0</v>
      </c>
      <c r="G2617" s="814">
        <v>0</v>
      </c>
      <c r="H2617" s="814">
        <v>0</v>
      </c>
      <c r="I2617" s="898">
        <f t="shared" si="145"/>
        <v>600791.28272000002</v>
      </c>
      <c r="J2617" s="203" t="s">
        <v>1424</v>
      </c>
    </row>
    <row r="2618" spans="1:10" hidden="1" outlineLevel="1">
      <c r="A2618" s="876" t="s">
        <v>1425</v>
      </c>
      <c r="B2618" s="900">
        <f t="shared" si="146"/>
        <v>2075648.2486400001</v>
      </c>
      <c r="C2618" s="886">
        <v>0</v>
      </c>
      <c r="D2618" s="814">
        <v>0</v>
      </c>
      <c r="E2618" s="814">
        <v>0</v>
      </c>
      <c r="F2618" s="814">
        <v>0</v>
      </c>
      <c r="G2618" s="814">
        <v>0</v>
      </c>
      <c r="H2618" s="814">
        <v>0</v>
      </c>
      <c r="I2618" s="898">
        <f t="shared" si="145"/>
        <v>2075648.2486400001</v>
      </c>
      <c r="J2618" s="203" t="s">
        <v>1426</v>
      </c>
    </row>
    <row r="2619" spans="1:10" hidden="1" outlineLevel="1">
      <c r="A2619" s="876" t="s">
        <v>429</v>
      </c>
      <c r="B2619" s="900">
        <f t="shared" si="146"/>
        <v>136657.90688000002</v>
      </c>
      <c r="C2619" s="886">
        <v>0</v>
      </c>
      <c r="D2619" s="814">
        <v>0</v>
      </c>
      <c r="E2619" s="814">
        <v>0</v>
      </c>
      <c r="F2619" s="814">
        <v>0</v>
      </c>
      <c r="G2619" s="814">
        <v>0</v>
      </c>
      <c r="H2619" s="814">
        <v>0</v>
      </c>
      <c r="I2619" s="898">
        <f t="shared" si="145"/>
        <v>136657.90688000002</v>
      </c>
      <c r="J2619" s="203" t="s">
        <v>430</v>
      </c>
    </row>
    <row r="2620" spans="1:10" hidden="1" outlineLevel="1">
      <c r="A2620" s="876" t="s">
        <v>360</v>
      </c>
      <c r="B2620" s="900">
        <f t="shared" si="146"/>
        <v>84072.179360000009</v>
      </c>
      <c r="C2620" s="886">
        <v>0</v>
      </c>
      <c r="D2620" s="814">
        <v>0</v>
      </c>
      <c r="E2620" s="814">
        <v>0</v>
      </c>
      <c r="F2620" s="814">
        <v>0</v>
      </c>
      <c r="G2620" s="814">
        <v>0</v>
      </c>
      <c r="H2620" s="814">
        <v>0</v>
      </c>
      <c r="I2620" s="898">
        <f t="shared" si="145"/>
        <v>84072.179360000009</v>
      </c>
      <c r="J2620" s="203" t="s">
        <v>361</v>
      </c>
    </row>
    <row r="2621" spans="1:10" hidden="1" outlineLevel="1">
      <c r="A2621" s="876" t="s">
        <v>1427</v>
      </c>
      <c r="B2621" s="900">
        <f t="shared" si="146"/>
        <v>1835283.48544</v>
      </c>
      <c r="C2621" s="886">
        <v>0</v>
      </c>
      <c r="D2621" s="814">
        <v>0</v>
      </c>
      <c r="E2621" s="814">
        <v>0</v>
      </c>
      <c r="F2621" s="814">
        <v>0</v>
      </c>
      <c r="G2621" s="814">
        <v>0</v>
      </c>
      <c r="H2621" s="814">
        <v>0</v>
      </c>
      <c r="I2621" s="898">
        <f t="shared" si="145"/>
        <v>1835283.48544</v>
      </c>
      <c r="J2621" s="203" t="s">
        <v>1428</v>
      </c>
    </row>
    <row r="2622" spans="1:10" hidden="1" outlineLevel="1">
      <c r="A2622" s="876" t="s">
        <v>1429</v>
      </c>
      <c r="B2622" s="900">
        <f t="shared" si="146"/>
        <v>193031.16848000002</v>
      </c>
      <c r="C2622" s="886">
        <v>0</v>
      </c>
      <c r="D2622" s="814">
        <v>0</v>
      </c>
      <c r="E2622" s="814">
        <v>0</v>
      </c>
      <c r="F2622" s="814">
        <v>0</v>
      </c>
      <c r="G2622" s="814">
        <v>0</v>
      </c>
      <c r="H2622" s="814">
        <v>0</v>
      </c>
      <c r="I2622" s="898">
        <f t="shared" si="145"/>
        <v>193031.16848000002</v>
      </c>
      <c r="J2622" s="203" t="s">
        <v>1430</v>
      </c>
    </row>
    <row r="2623" spans="1:10" hidden="1" outlineLevel="1">
      <c r="A2623" s="876" t="s">
        <v>1935</v>
      </c>
      <c r="B2623" s="900">
        <f t="shared" si="146"/>
        <v>36916.801681919998</v>
      </c>
      <c r="C2623" s="886">
        <v>0</v>
      </c>
      <c r="D2623" s="814">
        <v>0</v>
      </c>
      <c r="E2623" s="814">
        <v>0</v>
      </c>
      <c r="F2623" s="814">
        <v>0</v>
      </c>
      <c r="G2623" s="814">
        <v>0</v>
      </c>
      <c r="H2623" s="814">
        <v>0</v>
      </c>
      <c r="I2623" s="898">
        <f t="shared" si="145"/>
        <v>36916.801681919998</v>
      </c>
      <c r="J2623" s="203" t="s">
        <v>1936</v>
      </c>
    </row>
    <row r="2624" spans="1:10" hidden="1" outlineLevel="1">
      <c r="A2624" s="876" t="s">
        <v>1431</v>
      </c>
      <c r="B2624" s="900">
        <f t="shared" si="146"/>
        <v>591475.36112000002</v>
      </c>
      <c r="C2624" s="886">
        <v>0</v>
      </c>
      <c r="D2624" s="814">
        <v>0</v>
      </c>
      <c r="E2624" s="814">
        <v>0</v>
      </c>
      <c r="F2624" s="814">
        <v>0</v>
      </c>
      <c r="G2624" s="814">
        <v>0</v>
      </c>
      <c r="H2624" s="814">
        <v>122</v>
      </c>
      <c r="I2624" s="898">
        <f t="shared" si="145"/>
        <v>591597.36112000002</v>
      </c>
      <c r="J2624" s="203" t="s">
        <v>1432</v>
      </c>
    </row>
    <row r="2625" spans="1:10" hidden="1" outlineLevel="1">
      <c r="A2625" s="876" t="s">
        <v>1433</v>
      </c>
      <c r="B2625" s="900">
        <f t="shared" si="146"/>
        <v>598311.0976000001</v>
      </c>
      <c r="C2625" s="886">
        <v>0</v>
      </c>
      <c r="D2625" s="814">
        <v>0</v>
      </c>
      <c r="E2625" s="814">
        <v>0</v>
      </c>
      <c r="F2625" s="814">
        <v>0</v>
      </c>
      <c r="G2625" s="814">
        <v>0</v>
      </c>
      <c r="H2625" s="814">
        <v>0</v>
      </c>
      <c r="I2625" s="898">
        <f t="shared" si="145"/>
        <v>598311.0976000001</v>
      </c>
      <c r="J2625" s="203" t="s">
        <v>1434</v>
      </c>
    </row>
    <row r="2626" spans="1:10" hidden="1" outlineLevel="1">
      <c r="A2626" s="876" t="s">
        <v>577</v>
      </c>
      <c r="B2626" s="900">
        <f t="shared" si="146"/>
        <v>2734241.5609600004</v>
      </c>
      <c r="C2626" s="886">
        <v>0</v>
      </c>
      <c r="D2626" s="814">
        <v>0</v>
      </c>
      <c r="E2626" s="814">
        <v>0</v>
      </c>
      <c r="F2626" s="815">
        <v>3086506</v>
      </c>
      <c r="G2626" s="814">
        <v>0</v>
      </c>
      <c r="H2626" s="814">
        <v>0</v>
      </c>
      <c r="I2626" s="898">
        <f t="shared" si="145"/>
        <v>5820747.5609600004</v>
      </c>
      <c r="J2626" s="203" t="s">
        <v>578</v>
      </c>
    </row>
    <row r="2627" spans="1:10" hidden="1" outlineLevel="1">
      <c r="A2627" s="876" t="s">
        <v>680</v>
      </c>
      <c r="B2627" s="900">
        <f t="shared" si="146"/>
        <v>1841038.58</v>
      </c>
      <c r="C2627" s="886">
        <v>0</v>
      </c>
      <c r="D2627" s="814">
        <v>0</v>
      </c>
      <c r="E2627" s="814">
        <v>0</v>
      </c>
      <c r="F2627" s="814">
        <v>0</v>
      </c>
      <c r="G2627" s="814">
        <v>0</v>
      </c>
      <c r="H2627" s="814">
        <v>0</v>
      </c>
      <c r="I2627" s="898">
        <f t="shared" si="145"/>
        <v>1841038.58</v>
      </c>
      <c r="J2627" s="203" t="s">
        <v>681</v>
      </c>
    </row>
    <row r="2628" spans="1:10" hidden="1" outlineLevel="1">
      <c r="A2628" s="876" t="s">
        <v>1435</v>
      </c>
      <c r="B2628" s="900">
        <f t="shared" si="146"/>
        <v>423896.42848000006</v>
      </c>
      <c r="C2628" s="886">
        <v>0</v>
      </c>
      <c r="D2628" s="814">
        <v>0</v>
      </c>
      <c r="E2628" s="814">
        <v>0</v>
      </c>
      <c r="F2628" s="814">
        <v>0</v>
      </c>
      <c r="G2628" s="814">
        <v>0</v>
      </c>
      <c r="H2628" s="814">
        <v>0</v>
      </c>
      <c r="I2628" s="898">
        <f t="shared" si="145"/>
        <v>423896.42848000006</v>
      </c>
      <c r="J2628" s="203" t="s">
        <v>1436</v>
      </c>
    </row>
    <row r="2629" spans="1:10" hidden="1" outlineLevel="1">
      <c r="A2629" s="876" t="s">
        <v>1937</v>
      </c>
      <c r="B2629" s="900">
        <f t="shared" si="146"/>
        <v>48504.53504000001</v>
      </c>
      <c r="C2629" s="886">
        <v>0</v>
      </c>
      <c r="D2629" s="814">
        <v>0</v>
      </c>
      <c r="E2629" s="814">
        <v>0</v>
      </c>
      <c r="F2629" s="814">
        <v>0</v>
      </c>
      <c r="G2629" s="814">
        <v>0</v>
      </c>
      <c r="H2629" s="814">
        <v>0</v>
      </c>
      <c r="I2629" s="898">
        <f t="shared" si="145"/>
        <v>48504.53504000001</v>
      </c>
      <c r="J2629" s="203" t="s">
        <v>1938</v>
      </c>
    </row>
    <row r="2630" spans="1:10" hidden="1" outlineLevel="1">
      <c r="A2630" s="876" t="s">
        <v>664</v>
      </c>
      <c r="B2630" s="900">
        <f t="shared" si="146"/>
        <v>443222.10320000001</v>
      </c>
      <c r="C2630" s="886">
        <v>0</v>
      </c>
      <c r="D2630" s="814">
        <v>0</v>
      </c>
      <c r="E2630" s="814">
        <v>0</v>
      </c>
      <c r="F2630" s="814">
        <v>0</v>
      </c>
      <c r="G2630" s="814">
        <v>0</v>
      </c>
      <c r="H2630" s="814">
        <v>0</v>
      </c>
      <c r="I2630" s="898">
        <f t="shared" si="145"/>
        <v>443222.10320000001</v>
      </c>
      <c r="J2630" s="203" t="s">
        <v>665</v>
      </c>
    </row>
    <row r="2631" spans="1:10" hidden="1" outlineLevel="1">
      <c r="A2631" s="876" t="s">
        <v>1939</v>
      </c>
      <c r="B2631" s="900">
        <f t="shared" si="146"/>
        <v>34222.148959999999</v>
      </c>
      <c r="C2631" s="886">
        <v>0</v>
      </c>
      <c r="D2631" s="814">
        <v>0</v>
      </c>
      <c r="E2631" s="814">
        <v>0</v>
      </c>
      <c r="F2631" s="814">
        <v>0</v>
      </c>
      <c r="G2631" s="814">
        <v>0</v>
      </c>
      <c r="H2631" s="814">
        <v>0</v>
      </c>
      <c r="I2631" s="898">
        <f t="shared" si="145"/>
        <v>34222.148959999999</v>
      </c>
      <c r="J2631" s="203" t="s">
        <v>1940</v>
      </c>
    </row>
    <row r="2632" spans="1:10" hidden="1" outlineLevel="1">
      <c r="A2632" s="876" t="s">
        <v>469</v>
      </c>
      <c r="B2632" s="900">
        <f t="shared" si="146"/>
        <v>1351335.19664</v>
      </c>
      <c r="C2632" s="886">
        <v>0</v>
      </c>
      <c r="D2632" s="814">
        <v>0</v>
      </c>
      <c r="E2632" s="814">
        <v>0</v>
      </c>
      <c r="F2632" s="814">
        <v>0</v>
      </c>
      <c r="G2632" s="814">
        <v>0</v>
      </c>
      <c r="H2632" s="814">
        <v>0</v>
      </c>
      <c r="I2632" s="898">
        <f t="shared" si="145"/>
        <v>1351335.19664</v>
      </c>
      <c r="J2632" s="203" t="s">
        <v>1437</v>
      </c>
    </row>
    <row r="2633" spans="1:10" hidden="1" outlineLevel="1">
      <c r="A2633" s="876" t="s">
        <v>1438</v>
      </c>
      <c r="B2633" s="900">
        <f t="shared" si="146"/>
        <v>916362.39184000005</v>
      </c>
      <c r="C2633" s="886">
        <v>0</v>
      </c>
      <c r="D2633" s="814">
        <v>0</v>
      </c>
      <c r="E2633" s="814">
        <v>0</v>
      </c>
      <c r="F2633" s="814">
        <v>0</v>
      </c>
      <c r="G2633" s="814">
        <v>0</v>
      </c>
      <c r="H2633" s="814">
        <v>0</v>
      </c>
      <c r="I2633" s="898">
        <f t="shared" si="145"/>
        <v>916362.39184000005</v>
      </c>
      <c r="J2633" s="203" t="s">
        <v>1439</v>
      </c>
    </row>
    <row r="2634" spans="1:10" hidden="1" outlineLevel="1">
      <c r="A2634" s="876" t="s">
        <v>1440</v>
      </c>
      <c r="B2634" s="900">
        <f t="shared" si="146"/>
        <v>77448.658880000003</v>
      </c>
      <c r="C2634" s="886">
        <v>0</v>
      </c>
      <c r="D2634" s="814">
        <v>0</v>
      </c>
      <c r="E2634" s="814">
        <v>0</v>
      </c>
      <c r="F2634" s="814">
        <v>0</v>
      </c>
      <c r="G2634" s="814">
        <v>0</v>
      </c>
      <c r="H2634" s="814">
        <v>0</v>
      </c>
      <c r="I2634" s="898">
        <f t="shared" si="145"/>
        <v>77448.658880000003</v>
      </c>
      <c r="J2634" s="203" t="s">
        <v>1441</v>
      </c>
    </row>
    <row r="2635" spans="1:10" hidden="1" outlineLevel="1">
      <c r="A2635" s="876" t="s">
        <v>1442</v>
      </c>
      <c r="B2635" s="900">
        <f t="shared" si="146"/>
        <v>722798.11840000004</v>
      </c>
      <c r="C2635" s="886">
        <v>0</v>
      </c>
      <c r="D2635" s="814">
        <v>0</v>
      </c>
      <c r="E2635" s="814">
        <v>0</v>
      </c>
      <c r="F2635" s="814">
        <v>0</v>
      </c>
      <c r="G2635" s="814">
        <v>0</v>
      </c>
      <c r="H2635" s="814">
        <v>0</v>
      </c>
      <c r="I2635" s="898">
        <f t="shared" si="145"/>
        <v>722798.11840000004</v>
      </c>
      <c r="J2635" s="203" t="s">
        <v>1443</v>
      </c>
    </row>
    <row r="2636" spans="1:10" hidden="1" outlineLevel="1">
      <c r="A2636" s="876" t="s">
        <v>1444</v>
      </c>
      <c r="B2636" s="900">
        <f t="shared" si="146"/>
        <v>943926.71808000002</v>
      </c>
      <c r="C2636" s="886">
        <v>0</v>
      </c>
      <c r="D2636" s="814">
        <v>0</v>
      </c>
      <c r="E2636" s="814">
        <v>0</v>
      </c>
      <c r="F2636" s="814">
        <v>0</v>
      </c>
      <c r="G2636" s="814">
        <v>0</v>
      </c>
      <c r="H2636" s="814">
        <v>0</v>
      </c>
      <c r="I2636" s="898">
        <f t="shared" si="145"/>
        <v>943926.71808000002</v>
      </c>
      <c r="J2636" s="203" t="s">
        <v>1445</v>
      </c>
    </row>
    <row r="2637" spans="1:10" hidden="1" outlineLevel="1">
      <c r="A2637" s="876" t="s">
        <v>1446</v>
      </c>
      <c r="B2637" s="900">
        <f t="shared" si="146"/>
        <v>1108566.3968</v>
      </c>
      <c r="C2637" s="886">
        <v>0</v>
      </c>
      <c r="D2637" s="814">
        <v>0</v>
      </c>
      <c r="E2637" s="814">
        <v>0</v>
      </c>
      <c r="F2637" s="814">
        <v>0</v>
      </c>
      <c r="G2637" s="814">
        <v>0</v>
      </c>
      <c r="H2637" s="814">
        <v>0</v>
      </c>
      <c r="I2637" s="898">
        <f t="shared" si="145"/>
        <v>1108566.3968</v>
      </c>
      <c r="J2637" s="203" t="s">
        <v>1447</v>
      </c>
    </row>
    <row r="2638" spans="1:10" hidden="1" outlineLevel="1">
      <c r="A2638" s="876" t="s">
        <v>1448</v>
      </c>
      <c r="B2638" s="900">
        <f t="shared" si="146"/>
        <v>115039.53184000001</v>
      </c>
      <c r="C2638" s="886">
        <v>0</v>
      </c>
      <c r="D2638" s="814">
        <v>0</v>
      </c>
      <c r="E2638" s="814">
        <v>0</v>
      </c>
      <c r="F2638" s="814">
        <v>0</v>
      </c>
      <c r="G2638" s="814">
        <v>0</v>
      </c>
      <c r="H2638" s="814">
        <v>0</v>
      </c>
      <c r="I2638" s="898">
        <f t="shared" si="145"/>
        <v>115039.53184000001</v>
      </c>
      <c r="J2638" s="203" t="s">
        <v>1449</v>
      </c>
    </row>
    <row r="2639" spans="1:10" hidden="1" outlineLevel="1">
      <c r="A2639" s="876" t="s">
        <v>1450</v>
      </c>
      <c r="B2639" s="900">
        <f t="shared" si="146"/>
        <v>267431.36911999999</v>
      </c>
      <c r="C2639" s="886">
        <v>0</v>
      </c>
      <c r="D2639" s="814">
        <v>0</v>
      </c>
      <c r="E2639" s="814">
        <v>0</v>
      </c>
      <c r="F2639" s="814">
        <v>0</v>
      </c>
      <c r="G2639" s="814">
        <v>0</v>
      </c>
      <c r="H2639" s="814">
        <v>0</v>
      </c>
      <c r="I2639" s="898">
        <f t="shared" si="145"/>
        <v>267431.36911999999</v>
      </c>
      <c r="J2639" s="203" t="s">
        <v>1451</v>
      </c>
    </row>
    <row r="2640" spans="1:10" hidden="1" outlineLevel="1">
      <c r="A2640" s="876" t="s">
        <v>1941</v>
      </c>
      <c r="B2640" s="900">
        <f t="shared" si="146"/>
        <v>108374.02735999999</v>
      </c>
      <c r="C2640" s="886">
        <v>0</v>
      </c>
      <c r="D2640" s="814">
        <v>0</v>
      </c>
      <c r="E2640" s="814">
        <v>0</v>
      </c>
      <c r="F2640" s="814">
        <v>0</v>
      </c>
      <c r="G2640" s="814">
        <v>0</v>
      </c>
      <c r="H2640" s="814">
        <v>0</v>
      </c>
      <c r="I2640" s="898">
        <f t="shared" si="145"/>
        <v>108374.02735999999</v>
      </c>
      <c r="J2640" s="203" t="s">
        <v>1942</v>
      </c>
    </row>
    <row r="2641" spans="1:10" hidden="1" outlineLevel="1">
      <c r="A2641" s="876" t="s">
        <v>1452</v>
      </c>
      <c r="B2641" s="900">
        <f t="shared" si="146"/>
        <v>730948.61008000001</v>
      </c>
      <c r="C2641" s="886">
        <v>0</v>
      </c>
      <c r="D2641" s="814">
        <v>0</v>
      </c>
      <c r="E2641" s="814">
        <v>0</v>
      </c>
      <c r="F2641" s="814">
        <v>0</v>
      </c>
      <c r="G2641" s="814">
        <v>0</v>
      </c>
      <c r="H2641" s="814">
        <v>0</v>
      </c>
      <c r="I2641" s="898">
        <f t="shared" si="145"/>
        <v>730948.61008000001</v>
      </c>
      <c r="J2641" s="203" t="s">
        <v>1453</v>
      </c>
    </row>
    <row r="2642" spans="1:10" hidden="1" outlineLevel="1">
      <c r="A2642" s="876" t="s">
        <v>1943</v>
      </c>
      <c r="B2642" s="900">
        <f t="shared" si="146"/>
        <v>581486.08175999997</v>
      </c>
      <c r="C2642" s="886">
        <v>0</v>
      </c>
      <c r="D2642" s="814">
        <v>0</v>
      </c>
      <c r="E2642" s="814">
        <v>0</v>
      </c>
      <c r="F2642" s="814">
        <v>0</v>
      </c>
      <c r="G2642" s="814">
        <v>0</v>
      </c>
      <c r="H2642" s="814">
        <v>0</v>
      </c>
      <c r="I2642" s="898">
        <f t="shared" si="145"/>
        <v>581486.08175999997</v>
      </c>
      <c r="J2642" s="203" t="s">
        <v>1944</v>
      </c>
    </row>
    <row r="2643" spans="1:10" hidden="1" outlineLevel="1">
      <c r="A2643" s="876" t="s">
        <v>1454</v>
      </c>
      <c r="B2643" s="900">
        <f t="shared" si="146"/>
        <v>37138.2592</v>
      </c>
      <c r="C2643" s="886">
        <v>0</v>
      </c>
      <c r="D2643" s="814">
        <v>0</v>
      </c>
      <c r="E2643" s="814">
        <v>0</v>
      </c>
      <c r="F2643" s="814">
        <v>0</v>
      </c>
      <c r="G2643" s="814">
        <v>0</v>
      </c>
      <c r="H2643" s="814">
        <v>0</v>
      </c>
      <c r="I2643" s="898">
        <f t="shared" si="145"/>
        <v>37138.2592</v>
      </c>
      <c r="J2643" s="203" t="s">
        <v>1455</v>
      </c>
    </row>
    <row r="2644" spans="1:10" hidden="1" outlineLevel="1">
      <c r="A2644" s="876" t="s">
        <v>1480</v>
      </c>
      <c r="B2644" s="900">
        <f t="shared" si="146"/>
        <v>979939.84543999995</v>
      </c>
      <c r="C2644" s="886">
        <v>0</v>
      </c>
      <c r="D2644" s="814">
        <v>0</v>
      </c>
      <c r="E2644" s="814">
        <v>0</v>
      </c>
      <c r="F2644" s="814">
        <v>0</v>
      </c>
      <c r="G2644" s="814">
        <v>0</v>
      </c>
      <c r="H2644" s="814">
        <v>0</v>
      </c>
      <c r="I2644" s="898">
        <f t="shared" si="145"/>
        <v>979939.84543999995</v>
      </c>
      <c r="J2644" s="203" t="s">
        <v>1481</v>
      </c>
    </row>
    <row r="2645" spans="1:10" hidden="1" outlineLevel="1">
      <c r="A2645" s="876" t="s">
        <v>1456</v>
      </c>
      <c r="B2645" s="900">
        <f t="shared" si="146"/>
        <v>1911794.1168</v>
      </c>
      <c r="C2645" s="886">
        <v>0</v>
      </c>
      <c r="D2645" s="814">
        <v>0</v>
      </c>
      <c r="E2645" s="814">
        <v>0</v>
      </c>
      <c r="F2645" s="814">
        <v>0</v>
      </c>
      <c r="G2645" s="814">
        <v>0</v>
      </c>
      <c r="H2645" s="814">
        <v>0</v>
      </c>
      <c r="I2645" s="898">
        <f t="shared" si="145"/>
        <v>1911794.1168</v>
      </c>
      <c r="J2645" s="203" t="s">
        <v>1457</v>
      </c>
    </row>
    <row r="2646" spans="1:10" hidden="1" outlineLevel="1">
      <c r="A2646" s="876" t="s">
        <v>1458</v>
      </c>
      <c r="B2646" s="900">
        <f t="shared" si="146"/>
        <v>453917.54688000004</v>
      </c>
      <c r="C2646" s="886">
        <v>0</v>
      </c>
      <c r="D2646" s="814">
        <v>0</v>
      </c>
      <c r="E2646" s="814">
        <v>0</v>
      </c>
      <c r="F2646" s="814">
        <v>0</v>
      </c>
      <c r="G2646" s="814">
        <v>0</v>
      </c>
      <c r="H2646" s="814">
        <v>0</v>
      </c>
      <c r="I2646" s="898">
        <f t="shared" si="145"/>
        <v>453917.54688000004</v>
      </c>
      <c r="J2646" s="203" t="s">
        <v>1459</v>
      </c>
    </row>
    <row r="2647" spans="1:10" hidden="1" outlineLevel="1">
      <c r="A2647" s="876" t="s">
        <v>172</v>
      </c>
      <c r="B2647" s="900">
        <f t="shared" si="146"/>
        <v>0</v>
      </c>
      <c r="C2647" s="886">
        <v>0</v>
      </c>
      <c r="D2647" s="814">
        <v>0</v>
      </c>
      <c r="E2647" s="814">
        <v>0</v>
      </c>
      <c r="F2647" s="814">
        <v>0</v>
      </c>
      <c r="G2647" s="814">
        <v>0</v>
      </c>
      <c r="H2647" s="814">
        <v>0</v>
      </c>
      <c r="I2647" s="898">
        <f t="shared" si="145"/>
        <v>0</v>
      </c>
      <c r="J2647" s="203" t="s">
        <v>173</v>
      </c>
    </row>
    <row r="2648" spans="1:10" hidden="1" outlineLevel="1">
      <c r="A2648" s="876" t="s">
        <v>1945</v>
      </c>
      <c r="B2648" s="900">
        <f t="shared" si="146"/>
        <v>365682.27344000002</v>
      </c>
      <c r="C2648" s="886">
        <v>0</v>
      </c>
      <c r="D2648" s="814">
        <v>0</v>
      </c>
      <c r="E2648" s="814">
        <v>0</v>
      </c>
      <c r="F2648" s="814">
        <v>0</v>
      </c>
      <c r="G2648" s="814">
        <v>0</v>
      </c>
      <c r="H2648" s="814">
        <v>0</v>
      </c>
      <c r="I2648" s="898">
        <f t="shared" si="145"/>
        <v>365682.27344000002</v>
      </c>
      <c r="J2648" s="203" t="s">
        <v>1946</v>
      </c>
    </row>
    <row r="2649" spans="1:10" hidden="1" outlineLevel="1">
      <c r="A2649" s="876" t="s">
        <v>356</v>
      </c>
      <c r="B2649" s="900">
        <f t="shared" si="146"/>
        <v>227423.73312000002</v>
      </c>
      <c r="C2649" s="886">
        <v>0</v>
      </c>
      <c r="D2649" s="814">
        <v>0</v>
      </c>
      <c r="E2649" s="814">
        <v>0</v>
      </c>
      <c r="F2649" s="814">
        <v>0</v>
      </c>
      <c r="G2649" s="814">
        <v>0</v>
      </c>
      <c r="H2649" s="814">
        <v>0</v>
      </c>
      <c r="I2649" s="898">
        <f t="shared" si="145"/>
        <v>227423.73312000002</v>
      </c>
      <c r="J2649" s="203" t="s">
        <v>357</v>
      </c>
    </row>
    <row r="2650" spans="1:10" hidden="1" outlineLevel="1">
      <c r="A2650" s="876" t="s">
        <v>1460</v>
      </c>
      <c r="B2650" s="900">
        <f t="shared" si="146"/>
        <v>150036.63984000002</v>
      </c>
      <c r="C2650" s="886">
        <v>0</v>
      </c>
      <c r="D2650" s="814">
        <v>0</v>
      </c>
      <c r="E2650" s="814">
        <v>0</v>
      </c>
      <c r="F2650" s="814">
        <v>0</v>
      </c>
      <c r="G2650" s="814">
        <v>0</v>
      </c>
      <c r="H2650" s="814">
        <v>0</v>
      </c>
      <c r="I2650" s="898">
        <f t="shared" si="145"/>
        <v>150036.63984000002</v>
      </c>
      <c r="J2650" s="203" t="s">
        <v>1461</v>
      </c>
    </row>
    <row r="2651" spans="1:10" hidden="1" outlineLevel="1">
      <c r="A2651" s="876" t="s">
        <v>1462</v>
      </c>
      <c r="B2651" s="900">
        <f t="shared" si="146"/>
        <v>1909208.6961600001</v>
      </c>
      <c r="C2651" s="886">
        <v>0</v>
      </c>
      <c r="D2651" s="814">
        <v>0</v>
      </c>
      <c r="E2651" s="814">
        <v>0</v>
      </c>
      <c r="F2651" s="814">
        <v>0</v>
      </c>
      <c r="G2651" s="814">
        <v>0</v>
      </c>
      <c r="H2651" s="814">
        <v>0</v>
      </c>
      <c r="I2651" s="898">
        <f t="shared" si="145"/>
        <v>1909208.6961600001</v>
      </c>
      <c r="J2651" s="203" t="s">
        <v>1463</v>
      </c>
    </row>
    <row r="2652" spans="1:10" hidden="1" outlineLevel="1">
      <c r="A2652" s="876" t="s">
        <v>1464</v>
      </c>
      <c r="B2652" s="900">
        <f t="shared" si="146"/>
        <v>446585.67214207997</v>
      </c>
      <c r="C2652" s="886">
        <v>0</v>
      </c>
      <c r="D2652" s="814">
        <v>0</v>
      </c>
      <c r="E2652" s="814">
        <v>0</v>
      </c>
      <c r="F2652" s="814">
        <v>0</v>
      </c>
      <c r="G2652" s="814">
        <v>0</v>
      </c>
      <c r="H2652" s="814">
        <v>0</v>
      </c>
      <c r="I2652" s="898">
        <f t="shared" si="145"/>
        <v>446585.67214207997</v>
      </c>
      <c r="J2652" s="203" t="s">
        <v>1465</v>
      </c>
    </row>
    <row r="2653" spans="1:10" hidden="1" outlineLevel="1">
      <c r="A2653" s="876" t="s">
        <v>1466</v>
      </c>
      <c r="B2653" s="900">
        <f t="shared" si="146"/>
        <v>446458.16432000004</v>
      </c>
      <c r="C2653" s="886">
        <v>0</v>
      </c>
      <c r="D2653" s="814">
        <v>0</v>
      </c>
      <c r="E2653" s="814">
        <v>0</v>
      </c>
      <c r="F2653" s="814">
        <v>0</v>
      </c>
      <c r="G2653" s="814">
        <v>0</v>
      </c>
      <c r="H2653" s="814">
        <v>0</v>
      </c>
      <c r="I2653" s="898">
        <f t="shared" si="145"/>
        <v>446458.16432000004</v>
      </c>
      <c r="J2653" s="203" t="s">
        <v>1467</v>
      </c>
    </row>
    <row r="2654" spans="1:10" hidden="1" outlineLevel="1">
      <c r="A2654" s="876" t="s">
        <v>1468</v>
      </c>
      <c r="B2654" s="900">
        <f t="shared" si="146"/>
        <v>478273.48332639999</v>
      </c>
      <c r="C2654" s="886">
        <v>0</v>
      </c>
      <c r="D2654" s="814">
        <v>0</v>
      </c>
      <c r="E2654" s="814">
        <v>0</v>
      </c>
      <c r="F2654" s="814">
        <v>0</v>
      </c>
      <c r="G2654" s="814">
        <v>0</v>
      </c>
      <c r="H2654" s="814">
        <v>0</v>
      </c>
      <c r="I2654" s="898">
        <f t="shared" si="145"/>
        <v>478273.48332639999</v>
      </c>
      <c r="J2654" s="203" t="s">
        <v>1469</v>
      </c>
    </row>
    <row r="2655" spans="1:10" hidden="1" outlineLevel="1">
      <c r="A2655" s="876" t="s">
        <v>1470</v>
      </c>
      <c r="B2655" s="900">
        <f t="shared" si="146"/>
        <v>162527.83103999999</v>
      </c>
      <c r="C2655" s="886">
        <v>0</v>
      </c>
      <c r="D2655" s="814">
        <v>0</v>
      </c>
      <c r="E2655" s="814">
        <v>0</v>
      </c>
      <c r="F2655" s="814">
        <v>0</v>
      </c>
      <c r="G2655" s="814">
        <v>0</v>
      </c>
      <c r="H2655" s="814">
        <v>0</v>
      </c>
      <c r="I2655" s="898">
        <f t="shared" si="145"/>
        <v>162527.83103999999</v>
      </c>
      <c r="J2655" s="203" t="s">
        <v>1471</v>
      </c>
    </row>
    <row r="2656" spans="1:10" hidden="1" outlineLevel="1">
      <c r="A2656" s="876" t="s">
        <v>1472</v>
      </c>
      <c r="B2656" s="900">
        <f t="shared" si="146"/>
        <v>369176.136</v>
      </c>
      <c r="C2656" s="886">
        <v>0</v>
      </c>
      <c r="D2656" s="814">
        <v>0</v>
      </c>
      <c r="E2656" s="814">
        <v>0</v>
      </c>
      <c r="F2656" s="814">
        <v>0</v>
      </c>
      <c r="G2656" s="814">
        <v>0</v>
      </c>
      <c r="H2656" s="814">
        <v>0</v>
      </c>
      <c r="I2656" s="898">
        <f t="shared" si="145"/>
        <v>369176.136</v>
      </c>
      <c r="J2656" s="203" t="s">
        <v>1473</v>
      </c>
    </row>
    <row r="2657" spans="1:10" hidden="1" outlineLevel="1">
      <c r="A2657" s="876" t="s">
        <v>398</v>
      </c>
      <c r="B2657" s="900">
        <f t="shared" si="146"/>
        <v>131365.11192</v>
      </c>
      <c r="C2657" s="886">
        <v>0</v>
      </c>
      <c r="D2657" s="814">
        <v>0</v>
      </c>
      <c r="E2657" s="814">
        <v>0</v>
      </c>
      <c r="F2657" s="814">
        <v>0</v>
      </c>
      <c r="G2657" s="814">
        <v>0</v>
      </c>
      <c r="H2657" s="814">
        <v>0</v>
      </c>
      <c r="I2657" s="898">
        <f t="shared" si="145"/>
        <v>131365.11192</v>
      </c>
      <c r="J2657" s="203" t="s">
        <v>399</v>
      </c>
    </row>
    <row r="2658" spans="1:10" hidden="1" outlineLevel="1">
      <c r="A2658" s="876" t="s">
        <v>1947</v>
      </c>
      <c r="B2658" s="900">
        <f t="shared" si="146"/>
        <v>57417.914376000001</v>
      </c>
      <c r="C2658" s="886">
        <v>0</v>
      </c>
      <c r="D2658" s="814">
        <v>0</v>
      </c>
      <c r="E2658" s="814">
        <v>0</v>
      </c>
      <c r="F2658" s="814">
        <v>0</v>
      </c>
      <c r="G2658" s="814">
        <v>0</v>
      </c>
      <c r="H2658" s="814">
        <v>0</v>
      </c>
      <c r="I2658" s="898">
        <f t="shared" si="145"/>
        <v>57417.914376000001</v>
      </c>
      <c r="J2658" s="203" t="s">
        <v>1948</v>
      </c>
    </row>
    <row r="2659" spans="1:10" hidden="1" outlineLevel="1">
      <c r="A2659" s="876" t="s">
        <v>1949</v>
      </c>
      <c r="B2659" s="900">
        <f t="shared" si="146"/>
        <v>199771.57504</v>
      </c>
      <c r="C2659" s="886">
        <v>0</v>
      </c>
      <c r="D2659" s="814">
        <v>0</v>
      </c>
      <c r="E2659" s="814">
        <v>0</v>
      </c>
      <c r="F2659" s="814">
        <v>0</v>
      </c>
      <c r="G2659" s="814">
        <v>0</v>
      </c>
      <c r="H2659" s="814">
        <v>0</v>
      </c>
      <c r="I2659" s="898">
        <f t="shared" si="145"/>
        <v>199771.57504</v>
      </c>
      <c r="J2659" s="203" t="s">
        <v>1950</v>
      </c>
    </row>
    <row r="2660" spans="1:10" hidden="1" outlineLevel="1">
      <c r="A2660" s="876" t="s">
        <v>1951</v>
      </c>
      <c r="B2660" s="900">
        <f t="shared" si="146"/>
        <v>23040.833632000002</v>
      </c>
      <c r="C2660" s="886">
        <v>0</v>
      </c>
      <c r="D2660" s="814">
        <v>0</v>
      </c>
      <c r="E2660" s="814">
        <v>0</v>
      </c>
      <c r="F2660" s="814">
        <v>0</v>
      </c>
      <c r="G2660" s="814">
        <v>0</v>
      </c>
      <c r="H2660" s="814">
        <v>0</v>
      </c>
      <c r="I2660" s="898">
        <f t="shared" si="145"/>
        <v>23040.833632000002</v>
      </c>
      <c r="J2660" s="203" t="s">
        <v>1952</v>
      </c>
    </row>
    <row r="2661" spans="1:10" hidden="1" outlineLevel="1">
      <c r="A2661" s="876" t="s">
        <v>1951</v>
      </c>
      <c r="B2661" s="900">
        <f>B793*0.591/100</f>
        <v>0</v>
      </c>
      <c r="C2661" s="882">
        <v>0</v>
      </c>
      <c r="D2661" s="220">
        <v>0</v>
      </c>
      <c r="E2661" s="135">
        <v>0</v>
      </c>
      <c r="F2661" s="135">
        <v>0</v>
      </c>
      <c r="G2661" s="135">
        <v>0</v>
      </c>
      <c r="H2661" s="135">
        <v>0</v>
      </c>
      <c r="I2661" s="898">
        <f t="shared" si="145"/>
        <v>0</v>
      </c>
      <c r="J2661" s="203" t="e">
        <v>#N/A</v>
      </c>
    </row>
    <row r="2662" spans="1:10" ht="13.5" collapsed="1" thickBot="1">
      <c r="A2662" s="857" t="str">
        <f>A794</f>
        <v>Regelzone TransnetBW (gesamt)</v>
      </c>
      <c r="B2662" s="901">
        <f t="shared" ref="B2662:G2662" si="147">SUM(B2663:B2800)</f>
        <v>299933887.02999997</v>
      </c>
      <c r="C2662" s="883">
        <f t="shared" si="147"/>
        <v>0</v>
      </c>
      <c r="D2662" s="212">
        <f t="shared" si="147"/>
        <v>0</v>
      </c>
      <c r="E2662" s="213">
        <f t="shared" si="147"/>
        <v>0</v>
      </c>
      <c r="F2662" s="213">
        <f t="shared" si="147"/>
        <v>1282878.4900000002</v>
      </c>
      <c r="G2662" s="213">
        <f t="shared" si="147"/>
        <v>0</v>
      </c>
      <c r="H2662" s="213">
        <v>0</v>
      </c>
      <c r="I2662" s="898">
        <f>SUM(B2662:H2662)</f>
        <v>301216765.51999998</v>
      </c>
    </row>
    <row r="2663" spans="1:10" hidden="1" outlineLevel="1">
      <c r="A2663" s="425" t="s">
        <v>1487</v>
      </c>
      <c r="B2663" s="902">
        <v>1460962.26</v>
      </c>
      <c r="C2663" s="135">
        <v>0</v>
      </c>
      <c r="D2663" s="135">
        <v>0</v>
      </c>
      <c r="E2663" s="135">
        <v>0</v>
      </c>
      <c r="F2663" s="220">
        <v>0</v>
      </c>
      <c r="G2663" s="210">
        <v>0</v>
      </c>
      <c r="H2663" s="210">
        <v>0</v>
      </c>
      <c r="I2663" s="898">
        <f t="shared" ref="I2663:I2726" si="148">SUM(B2663:H2663)</f>
        <v>1460962.26</v>
      </c>
      <c r="J2663" s="203" t="s">
        <v>1488</v>
      </c>
    </row>
    <row r="2664" spans="1:10" hidden="1" outlineLevel="1">
      <c r="A2664" s="425" t="s">
        <v>1489</v>
      </c>
      <c r="B2664" s="902">
        <v>2966485.38</v>
      </c>
      <c r="C2664" s="135">
        <v>0</v>
      </c>
      <c r="D2664" s="135">
        <v>0</v>
      </c>
      <c r="E2664" s="135">
        <v>0</v>
      </c>
      <c r="F2664" s="220">
        <v>0</v>
      </c>
      <c r="G2664" s="210">
        <v>0</v>
      </c>
      <c r="H2664" s="210">
        <v>0</v>
      </c>
      <c r="I2664" s="898">
        <f t="shared" si="148"/>
        <v>2966485.38</v>
      </c>
      <c r="J2664" s="203" t="s">
        <v>1490</v>
      </c>
    </row>
    <row r="2665" spans="1:10" hidden="1" outlineLevel="1">
      <c r="A2665" s="425" t="s">
        <v>1491</v>
      </c>
      <c r="B2665" s="902">
        <v>8068085.3399999999</v>
      </c>
      <c r="C2665" s="135">
        <v>0</v>
      </c>
      <c r="D2665" s="135">
        <v>0</v>
      </c>
      <c r="E2665" s="135">
        <v>0</v>
      </c>
      <c r="F2665" s="220">
        <v>10200.84</v>
      </c>
      <c r="G2665" s="210">
        <v>0</v>
      </c>
      <c r="H2665" s="210">
        <v>0</v>
      </c>
      <c r="I2665" s="898">
        <f t="shared" si="148"/>
        <v>8078286.1799999997</v>
      </c>
      <c r="J2665" s="203" t="s">
        <v>1492</v>
      </c>
    </row>
    <row r="2666" spans="1:10" hidden="1" outlineLevel="1">
      <c r="A2666" s="425" t="s">
        <v>1953</v>
      </c>
      <c r="B2666" s="902">
        <v>73481.66</v>
      </c>
      <c r="C2666" s="135">
        <v>0</v>
      </c>
      <c r="D2666" s="135">
        <v>0</v>
      </c>
      <c r="E2666" s="135">
        <v>0</v>
      </c>
      <c r="F2666" s="220">
        <v>0</v>
      </c>
      <c r="G2666" s="210">
        <v>0</v>
      </c>
      <c r="H2666" s="210">
        <v>0</v>
      </c>
      <c r="I2666" s="898">
        <f t="shared" si="148"/>
        <v>73481.66</v>
      </c>
      <c r="J2666" s="203" t="s">
        <v>1954</v>
      </c>
    </row>
    <row r="2667" spans="1:10" hidden="1" outlineLevel="1">
      <c r="A2667" s="425" t="s">
        <v>655</v>
      </c>
      <c r="B2667" s="902">
        <v>664715.93000000005</v>
      </c>
      <c r="C2667" s="135">
        <v>0</v>
      </c>
      <c r="D2667" s="135">
        <v>0</v>
      </c>
      <c r="E2667" s="135">
        <v>0</v>
      </c>
      <c r="F2667" s="220">
        <v>1184203.6100000001</v>
      </c>
      <c r="G2667" s="210">
        <v>0</v>
      </c>
      <c r="H2667" s="210">
        <v>0</v>
      </c>
      <c r="I2667" s="898">
        <f t="shared" si="148"/>
        <v>1848919.54</v>
      </c>
      <c r="J2667" s="203" t="s">
        <v>578</v>
      </c>
    </row>
    <row r="2668" spans="1:10" hidden="1" outlineLevel="1">
      <c r="A2668" s="425" t="s">
        <v>1493</v>
      </c>
      <c r="B2668" s="902">
        <v>854543.35999999999</v>
      </c>
      <c r="C2668" s="135">
        <v>0</v>
      </c>
      <c r="D2668" s="135">
        <v>0</v>
      </c>
      <c r="E2668" s="135">
        <v>0</v>
      </c>
      <c r="F2668" s="220">
        <v>0</v>
      </c>
      <c r="G2668" s="210">
        <v>0</v>
      </c>
      <c r="H2668" s="210">
        <v>0</v>
      </c>
      <c r="I2668" s="898">
        <f t="shared" si="148"/>
        <v>854543.35999999999</v>
      </c>
      <c r="J2668" s="203" t="s">
        <v>1494</v>
      </c>
    </row>
    <row r="2669" spans="1:10" hidden="1" outlineLevel="1">
      <c r="A2669" s="425" t="s">
        <v>429</v>
      </c>
      <c r="B2669" s="902">
        <v>35658.49</v>
      </c>
      <c r="C2669" s="135">
        <v>0</v>
      </c>
      <c r="D2669" s="135">
        <v>0</v>
      </c>
      <c r="E2669" s="135">
        <v>0</v>
      </c>
      <c r="F2669" s="220">
        <v>0</v>
      </c>
      <c r="G2669" s="210">
        <v>0</v>
      </c>
      <c r="H2669" s="210">
        <v>0</v>
      </c>
      <c r="I2669" s="898">
        <f t="shared" si="148"/>
        <v>35658.49</v>
      </c>
      <c r="J2669" s="203" t="s">
        <v>430</v>
      </c>
    </row>
    <row r="2670" spans="1:10" hidden="1" outlineLevel="1">
      <c r="A2670" s="425" t="s">
        <v>172</v>
      </c>
      <c r="B2670" s="902">
        <v>12651.03</v>
      </c>
      <c r="C2670" s="135">
        <v>0</v>
      </c>
      <c r="D2670" s="135">
        <v>0</v>
      </c>
      <c r="E2670" s="135">
        <v>0</v>
      </c>
      <c r="F2670" s="220">
        <v>0</v>
      </c>
      <c r="G2670" s="210">
        <v>0</v>
      </c>
      <c r="H2670" s="210">
        <v>0</v>
      </c>
      <c r="I2670" s="898">
        <f t="shared" si="148"/>
        <v>12651.03</v>
      </c>
      <c r="J2670" s="203" t="s">
        <v>173</v>
      </c>
    </row>
    <row r="2671" spans="1:10" hidden="1" outlineLevel="1">
      <c r="A2671" s="425" t="s">
        <v>1495</v>
      </c>
      <c r="B2671" s="902">
        <v>1010109.71</v>
      </c>
      <c r="C2671" s="135">
        <v>0</v>
      </c>
      <c r="D2671" s="135">
        <v>0</v>
      </c>
      <c r="E2671" s="135">
        <v>0</v>
      </c>
      <c r="F2671" s="220">
        <v>0</v>
      </c>
      <c r="G2671" s="210">
        <v>0</v>
      </c>
      <c r="H2671" s="210">
        <v>0</v>
      </c>
      <c r="I2671" s="898">
        <f t="shared" si="148"/>
        <v>1010109.71</v>
      </c>
      <c r="J2671" s="203" t="s">
        <v>1496</v>
      </c>
    </row>
    <row r="2672" spans="1:10" hidden="1" outlineLevel="1">
      <c r="A2672" s="425" t="s">
        <v>1497</v>
      </c>
      <c r="B2672" s="902">
        <v>529393.47</v>
      </c>
      <c r="C2672" s="135">
        <v>0</v>
      </c>
      <c r="D2672" s="135">
        <v>0</v>
      </c>
      <c r="E2672" s="135">
        <v>0</v>
      </c>
      <c r="F2672" s="220">
        <v>0</v>
      </c>
      <c r="G2672" s="210">
        <v>0</v>
      </c>
      <c r="H2672" s="210">
        <v>0</v>
      </c>
      <c r="I2672" s="898">
        <f t="shared" si="148"/>
        <v>529393.47</v>
      </c>
      <c r="J2672" s="203" t="s">
        <v>1498</v>
      </c>
    </row>
    <row r="2673" spans="1:10" hidden="1" outlineLevel="1">
      <c r="A2673" s="425" t="s">
        <v>1499</v>
      </c>
      <c r="B2673" s="902">
        <v>112899.94</v>
      </c>
      <c r="C2673" s="135">
        <v>0</v>
      </c>
      <c r="D2673" s="135">
        <v>0</v>
      </c>
      <c r="E2673" s="135">
        <v>0</v>
      </c>
      <c r="F2673" s="220">
        <v>0</v>
      </c>
      <c r="G2673" s="210">
        <v>0</v>
      </c>
      <c r="H2673" s="210">
        <v>0</v>
      </c>
      <c r="I2673" s="898">
        <f t="shared" si="148"/>
        <v>112899.94</v>
      </c>
      <c r="J2673" s="203" t="s">
        <v>1500</v>
      </c>
    </row>
    <row r="2674" spans="1:10" hidden="1" outlineLevel="1">
      <c r="A2674" s="425" t="s">
        <v>1501</v>
      </c>
      <c r="B2674" s="902">
        <v>237441.54</v>
      </c>
      <c r="C2674" s="135">
        <v>0</v>
      </c>
      <c r="D2674" s="135">
        <v>0</v>
      </c>
      <c r="E2674" s="135">
        <v>0</v>
      </c>
      <c r="F2674" s="220">
        <v>0</v>
      </c>
      <c r="G2674" s="210">
        <v>0</v>
      </c>
      <c r="H2674" s="210">
        <v>0</v>
      </c>
      <c r="I2674" s="898">
        <f t="shared" si="148"/>
        <v>237441.54</v>
      </c>
      <c r="J2674" s="203" t="s">
        <v>1502</v>
      </c>
    </row>
    <row r="2675" spans="1:10" hidden="1" outlineLevel="1">
      <c r="A2675" s="425" t="s">
        <v>1503</v>
      </c>
      <c r="B2675" s="902">
        <v>999290.07</v>
      </c>
      <c r="C2675" s="135">
        <v>0</v>
      </c>
      <c r="D2675" s="135">
        <v>0</v>
      </c>
      <c r="E2675" s="135">
        <v>0</v>
      </c>
      <c r="F2675" s="220">
        <v>0</v>
      </c>
      <c r="G2675" s="210">
        <v>0</v>
      </c>
      <c r="H2675" s="210">
        <v>0</v>
      </c>
      <c r="I2675" s="898">
        <f t="shared" si="148"/>
        <v>999290.07</v>
      </c>
      <c r="J2675" s="203" t="s">
        <v>1504</v>
      </c>
    </row>
    <row r="2676" spans="1:10" hidden="1" outlineLevel="1">
      <c r="A2676" s="425" t="s">
        <v>1505</v>
      </c>
      <c r="B2676" s="902">
        <v>265398.98</v>
      </c>
      <c r="C2676" s="135">
        <v>0</v>
      </c>
      <c r="D2676" s="135">
        <v>0</v>
      </c>
      <c r="E2676" s="135">
        <v>0</v>
      </c>
      <c r="F2676" s="220">
        <v>0</v>
      </c>
      <c r="G2676" s="210">
        <v>0</v>
      </c>
      <c r="H2676" s="210">
        <v>0</v>
      </c>
      <c r="I2676" s="898">
        <f t="shared" si="148"/>
        <v>265398.98</v>
      </c>
      <c r="J2676" s="203" t="s">
        <v>1506</v>
      </c>
    </row>
    <row r="2677" spans="1:10" hidden="1" outlineLevel="1">
      <c r="A2677" s="425" t="s">
        <v>1955</v>
      </c>
      <c r="B2677" s="902">
        <v>62661.26</v>
      </c>
      <c r="C2677" s="135">
        <v>0</v>
      </c>
      <c r="D2677" s="135">
        <v>0</v>
      </c>
      <c r="E2677" s="135">
        <v>0</v>
      </c>
      <c r="F2677" s="220">
        <v>0</v>
      </c>
      <c r="G2677" s="210">
        <v>0</v>
      </c>
      <c r="H2677" s="210">
        <v>0</v>
      </c>
      <c r="I2677" s="898">
        <f t="shared" si="148"/>
        <v>62661.26</v>
      </c>
      <c r="J2677" s="203" t="s">
        <v>1956</v>
      </c>
    </row>
    <row r="2678" spans="1:10" hidden="1" outlineLevel="1">
      <c r="A2678" s="425" t="s">
        <v>1507</v>
      </c>
      <c r="B2678" s="902">
        <v>268900.25</v>
      </c>
      <c r="C2678" s="135">
        <v>0</v>
      </c>
      <c r="D2678" s="135">
        <v>0</v>
      </c>
      <c r="E2678" s="135">
        <v>0</v>
      </c>
      <c r="F2678" s="220">
        <v>0</v>
      </c>
      <c r="G2678" s="210">
        <v>0</v>
      </c>
      <c r="H2678" s="210">
        <v>0</v>
      </c>
      <c r="I2678" s="898">
        <f t="shared" si="148"/>
        <v>268900.25</v>
      </c>
      <c r="J2678" s="203" t="s">
        <v>1508</v>
      </c>
    </row>
    <row r="2679" spans="1:10" hidden="1" outlineLevel="1">
      <c r="A2679" s="425" t="s">
        <v>1509</v>
      </c>
      <c r="B2679" s="902">
        <v>232078.49</v>
      </c>
      <c r="C2679" s="135">
        <v>0</v>
      </c>
      <c r="D2679" s="135">
        <v>0</v>
      </c>
      <c r="E2679" s="135">
        <v>0</v>
      </c>
      <c r="F2679" s="220">
        <v>0</v>
      </c>
      <c r="G2679" s="210">
        <v>0</v>
      </c>
      <c r="H2679" s="210">
        <v>0</v>
      </c>
      <c r="I2679" s="898">
        <f t="shared" si="148"/>
        <v>232078.49</v>
      </c>
      <c r="J2679" s="203" t="s">
        <v>1510</v>
      </c>
    </row>
    <row r="2680" spans="1:10" hidden="1" outlineLevel="1">
      <c r="A2680" s="425" t="s">
        <v>1511</v>
      </c>
      <c r="B2680" s="902">
        <v>531141.76</v>
      </c>
      <c r="C2680" s="135">
        <v>0</v>
      </c>
      <c r="D2680" s="135">
        <v>0</v>
      </c>
      <c r="E2680" s="135">
        <v>0</v>
      </c>
      <c r="F2680" s="220">
        <v>0</v>
      </c>
      <c r="G2680" s="210">
        <v>0</v>
      </c>
      <c r="H2680" s="210">
        <v>0</v>
      </c>
      <c r="I2680" s="898">
        <f t="shared" si="148"/>
        <v>531141.76</v>
      </c>
      <c r="J2680" s="203" t="s">
        <v>1512</v>
      </c>
    </row>
    <row r="2681" spans="1:10" hidden="1" outlineLevel="1">
      <c r="A2681" s="425" t="s">
        <v>1513</v>
      </c>
      <c r="B2681" s="902">
        <v>1634288.52</v>
      </c>
      <c r="C2681" s="135">
        <v>0</v>
      </c>
      <c r="D2681" s="135">
        <v>0</v>
      </c>
      <c r="E2681" s="135">
        <v>0</v>
      </c>
      <c r="F2681" s="220">
        <v>0</v>
      </c>
      <c r="G2681" s="210">
        <v>0</v>
      </c>
      <c r="H2681" s="210">
        <v>0</v>
      </c>
      <c r="I2681" s="898">
        <f t="shared" si="148"/>
        <v>1634288.52</v>
      </c>
      <c r="J2681" s="203" t="s">
        <v>1514</v>
      </c>
    </row>
    <row r="2682" spans="1:10" hidden="1" outlineLevel="1">
      <c r="A2682" s="425" t="s">
        <v>1515</v>
      </c>
      <c r="B2682" s="902">
        <v>161565.26</v>
      </c>
      <c r="C2682" s="135">
        <v>0</v>
      </c>
      <c r="D2682" s="135">
        <v>0</v>
      </c>
      <c r="E2682" s="135">
        <v>0</v>
      </c>
      <c r="F2682" s="220">
        <v>0</v>
      </c>
      <c r="G2682" s="210">
        <v>0</v>
      </c>
      <c r="H2682" s="210">
        <v>0</v>
      </c>
      <c r="I2682" s="898">
        <f t="shared" si="148"/>
        <v>161565.26</v>
      </c>
      <c r="J2682" s="203" t="s">
        <v>1516</v>
      </c>
    </row>
    <row r="2683" spans="1:10" hidden="1" outlineLevel="1">
      <c r="A2683" s="425" t="s">
        <v>1517</v>
      </c>
      <c r="B2683" s="902">
        <v>1458731.73</v>
      </c>
      <c r="C2683" s="135">
        <v>0</v>
      </c>
      <c r="D2683" s="135">
        <v>0</v>
      </c>
      <c r="E2683" s="135">
        <v>0</v>
      </c>
      <c r="F2683" s="220">
        <v>0</v>
      </c>
      <c r="G2683" s="210">
        <v>0</v>
      </c>
      <c r="H2683" s="210">
        <v>0</v>
      </c>
      <c r="I2683" s="898">
        <f t="shared" si="148"/>
        <v>1458731.73</v>
      </c>
      <c r="J2683" s="203" t="s">
        <v>1518</v>
      </c>
    </row>
    <row r="2684" spans="1:10" hidden="1" outlineLevel="1">
      <c r="A2684" s="425" t="s">
        <v>1519</v>
      </c>
      <c r="B2684" s="902">
        <v>409388.88</v>
      </c>
      <c r="C2684" s="135">
        <v>0</v>
      </c>
      <c r="D2684" s="135">
        <v>0</v>
      </c>
      <c r="E2684" s="135">
        <v>0</v>
      </c>
      <c r="F2684" s="220">
        <v>0</v>
      </c>
      <c r="G2684" s="210">
        <v>0</v>
      </c>
      <c r="H2684" s="210">
        <v>0</v>
      </c>
      <c r="I2684" s="898">
        <f t="shared" si="148"/>
        <v>409388.88</v>
      </c>
      <c r="J2684" s="203" t="s">
        <v>1520</v>
      </c>
    </row>
    <row r="2685" spans="1:10" hidden="1" outlineLevel="1">
      <c r="A2685" s="425" t="s">
        <v>1521</v>
      </c>
      <c r="B2685" s="902">
        <v>789551.46</v>
      </c>
      <c r="C2685" s="135">
        <v>0</v>
      </c>
      <c r="D2685" s="135">
        <v>0</v>
      </c>
      <c r="E2685" s="135">
        <v>0</v>
      </c>
      <c r="F2685" s="220">
        <v>0</v>
      </c>
      <c r="G2685" s="210">
        <v>0</v>
      </c>
      <c r="H2685" s="210">
        <v>0</v>
      </c>
      <c r="I2685" s="898">
        <f t="shared" si="148"/>
        <v>789551.46</v>
      </c>
      <c r="J2685" s="203" t="s">
        <v>1522</v>
      </c>
    </row>
    <row r="2686" spans="1:10" hidden="1" outlineLevel="1">
      <c r="A2686" s="425" t="s">
        <v>1523</v>
      </c>
      <c r="B2686" s="902">
        <v>831113.62</v>
      </c>
      <c r="C2686" s="135">
        <v>0</v>
      </c>
      <c r="D2686" s="135">
        <v>0</v>
      </c>
      <c r="E2686" s="135">
        <v>0</v>
      </c>
      <c r="F2686" s="220">
        <v>0</v>
      </c>
      <c r="G2686" s="210">
        <v>0</v>
      </c>
      <c r="H2686" s="210">
        <v>0</v>
      </c>
      <c r="I2686" s="898">
        <f t="shared" si="148"/>
        <v>831113.62</v>
      </c>
      <c r="J2686" s="203" t="s">
        <v>1524</v>
      </c>
    </row>
    <row r="2687" spans="1:10" hidden="1" outlineLevel="1">
      <c r="A2687" s="425" t="s">
        <v>1525</v>
      </c>
      <c r="B2687" s="902">
        <v>266223</v>
      </c>
      <c r="C2687" s="135">
        <v>0</v>
      </c>
      <c r="D2687" s="135">
        <v>0</v>
      </c>
      <c r="E2687" s="135">
        <v>0</v>
      </c>
      <c r="F2687" s="220">
        <v>0</v>
      </c>
      <c r="G2687" s="210">
        <v>0</v>
      </c>
      <c r="H2687" s="210">
        <v>0</v>
      </c>
      <c r="I2687" s="898">
        <f t="shared" si="148"/>
        <v>266223</v>
      </c>
      <c r="J2687" s="203" t="s">
        <v>1526</v>
      </c>
    </row>
    <row r="2688" spans="1:10" hidden="1" outlineLevel="1">
      <c r="A2688" s="425" t="s">
        <v>1527</v>
      </c>
      <c r="B2688" s="902">
        <v>352071.61</v>
      </c>
      <c r="C2688" s="135">
        <v>0</v>
      </c>
      <c r="D2688" s="135">
        <v>0</v>
      </c>
      <c r="E2688" s="135">
        <v>0</v>
      </c>
      <c r="F2688" s="220">
        <v>0</v>
      </c>
      <c r="G2688" s="210">
        <v>0</v>
      </c>
      <c r="H2688" s="210">
        <v>0</v>
      </c>
      <c r="I2688" s="898">
        <f t="shared" si="148"/>
        <v>352071.61</v>
      </c>
      <c r="J2688" s="203" t="s">
        <v>1528</v>
      </c>
    </row>
    <row r="2689" spans="1:10" hidden="1" outlineLevel="1">
      <c r="A2689" s="425" t="s">
        <v>1529</v>
      </c>
      <c r="B2689" s="902">
        <v>1288767.25</v>
      </c>
      <c r="C2689" s="135">
        <v>0</v>
      </c>
      <c r="D2689" s="135">
        <v>0</v>
      </c>
      <c r="E2689" s="135">
        <v>0</v>
      </c>
      <c r="F2689" s="220">
        <v>0</v>
      </c>
      <c r="G2689" s="210">
        <v>0</v>
      </c>
      <c r="H2689" s="210">
        <v>0</v>
      </c>
      <c r="I2689" s="898">
        <f t="shared" si="148"/>
        <v>1288767.25</v>
      </c>
      <c r="J2689" s="203" t="s">
        <v>1530</v>
      </c>
    </row>
    <row r="2690" spans="1:10" hidden="1" outlineLevel="1">
      <c r="A2690" s="425" t="s">
        <v>1531</v>
      </c>
      <c r="B2690" s="902">
        <v>114845.98</v>
      </c>
      <c r="C2690" s="135">
        <v>0</v>
      </c>
      <c r="D2690" s="135">
        <v>0</v>
      </c>
      <c r="E2690" s="135">
        <v>0</v>
      </c>
      <c r="F2690" s="220">
        <v>0</v>
      </c>
      <c r="G2690" s="210">
        <v>0</v>
      </c>
      <c r="H2690" s="210">
        <v>0</v>
      </c>
      <c r="I2690" s="898">
        <f t="shared" si="148"/>
        <v>114845.98</v>
      </c>
      <c r="J2690" s="203" t="s">
        <v>1532</v>
      </c>
    </row>
    <row r="2691" spans="1:10" hidden="1" outlineLevel="1">
      <c r="A2691" s="425" t="s">
        <v>1533</v>
      </c>
      <c r="B2691" s="902">
        <v>6063201.6799999997</v>
      </c>
      <c r="C2691" s="135">
        <v>0</v>
      </c>
      <c r="D2691" s="135">
        <v>0</v>
      </c>
      <c r="E2691" s="135">
        <v>0</v>
      </c>
      <c r="F2691" s="220">
        <v>0</v>
      </c>
      <c r="G2691" s="210">
        <v>0</v>
      </c>
      <c r="H2691" s="210">
        <v>0</v>
      </c>
      <c r="I2691" s="898">
        <f t="shared" si="148"/>
        <v>6063201.6799999997</v>
      </c>
      <c r="J2691" s="203" t="s">
        <v>1534</v>
      </c>
    </row>
    <row r="2692" spans="1:10" hidden="1" outlineLevel="1">
      <c r="A2692" s="425" t="s">
        <v>1957</v>
      </c>
      <c r="B2692" s="902">
        <v>338862.68</v>
      </c>
      <c r="C2692" s="135">
        <v>0</v>
      </c>
      <c r="D2692" s="135">
        <v>0</v>
      </c>
      <c r="E2692" s="135">
        <v>0</v>
      </c>
      <c r="F2692" s="220">
        <v>0</v>
      </c>
      <c r="G2692" s="210">
        <v>0</v>
      </c>
      <c r="H2692" s="210">
        <v>0</v>
      </c>
      <c r="I2692" s="898">
        <f t="shared" si="148"/>
        <v>338862.68</v>
      </c>
      <c r="J2692" s="203" t="s">
        <v>1958</v>
      </c>
    </row>
    <row r="2693" spans="1:10" hidden="1" outlineLevel="1">
      <c r="A2693" s="425" t="s">
        <v>1959</v>
      </c>
      <c r="B2693" s="902">
        <v>321034.78999999998</v>
      </c>
      <c r="C2693" s="135">
        <v>0</v>
      </c>
      <c r="D2693" s="135">
        <v>0</v>
      </c>
      <c r="E2693" s="135">
        <v>0</v>
      </c>
      <c r="F2693" s="220">
        <v>0</v>
      </c>
      <c r="G2693" s="210">
        <v>0</v>
      </c>
      <c r="H2693" s="210">
        <v>0</v>
      </c>
      <c r="I2693" s="898">
        <f t="shared" si="148"/>
        <v>321034.78999999998</v>
      </c>
      <c r="J2693" s="203" t="s">
        <v>1960</v>
      </c>
    </row>
    <row r="2694" spans="1:10" hidden="1" outlineLevel="1">
      <c r="A2694" s="425" t="s">
        <v>1961</v>
      </c>
      <c r="B2694" s="902">
        <v>154070.89000000001</v>
      </c>
      <c r="C2694" s="135">
        <v>0</v>
      </c>
      <c r="D2694" s="135">
        <v>0</v>
      </c>
      <c r="E2694" s="135">
        <v>0</v>
      </c>
      <c r="F2694" s="220">
        <v>0</v>
      </c>
      <c r="G2694" s="210">
        <v>0</v>
      </c>
      <c r="H2694" s="210">
        <v>0</v>
      </c>
      <c r="I2694" s="898">
        <f t="shared" si="148"/>
        <v>154070.89000000001</v>
      </c>
      <c r="J2694" s="203" t="s">
        <v>1962</v>
      </c>
    </row>
    <row r="2695" spans="1:10" hidden="1" outlineLevel="1">
      <c r="A2695" s="425" t="s">
        <v>1535</v>
      </c>
      <c r="B2695" s="902">
        <v>70973.11</v>
      </c>
      <c r="C2695" s="135">
        <v>0</v>
      </c>
      <c r="D2695" s="135">
        <v>0</v>
      </c>
      <c r="E2695" s="135">
        <v>0</v>
      </c>
      <c r="F2695" s="220">
        <v>0</v>
      </c>
      <c r="G2695" s="210">
        <v>0</v>
      </c>
      <c r="H2695" s="210">
        <v>0</v>
      </c>
      <c r="I2695" s="898">
        <f t="shared" si="148"/>
        <v>70973.11</v>
      </c>
      <c r="J2695" s="203" t="s">
        <v>1536</v>
      </c>
    </row>
    <row r="2696" spans="1:10" hidden="1" outlineLevel="1">
      <c r="A2696" s="425" t="s">
        <v>1537</v>
      </c>
      <c r="B2696" s="902">
        <v>287513.84000000003</v>
      </c>
      <c r="C2696" s="135">
        <v>0</v>
      </c>
      <c r="D2696" s="135">
        <v>0</v>
      </c>
      <c r="E2696" s="135">
        <v>0</v>
      </c>
      <c r="F2696" s="220">
        <v>0</v>
      </c>
      <c r="G2696" s="210">
        <v>0</v>
      </c>
      <c r="H2696" s="210">
        <v>0</v>
      </c>
      <c r="I2696" s="898">
        <f t="shared" si="148"/>
        <v>287513.84000000003</v>
      </c>
      <c r="J2696" s="203" t="s">
        <v>1538</v>
      </c>
    </row>
    <row r="2697" spans="1:10" hidden="1" outlineLevel="1">
      <c r="A2697" s="425" t="s">
        <v>1539</v>
      </c>
      <c r="B2697" s="902">
        <v>174493.8</v>
      </c>
      <c r="C2697" s="135">
        <v>0</v>
      </c>
      <c r="D2697" s="135">
        <v>0</v>
      </c>
      <c r="E2697" s="135">
        <v>0</v>
      </c>
      <c r="F2697" s="220">
        <v>0</v>
      </c>
      <c r="G2697" s="210">
        <v>0</v>
      </c>
      <c r="H2697" s="210">
        <v>0</v>
      </c>
      <c r="I2697" s="898">
        <f t="shared" si="148"/>
        <v>174493.8</v>
      </c>
      <c r="J2697" s="203" t="s">
        <v>1540</v>
      </c>
    </row>
    <row r="2698" spans="1:10" hidden="1" outlineLevel="1">
      <c r="A2698" s="425" t="s">
        <v>1541</v>
      </c>
      <c r="B2698" s="902">
        <v>334011.52000000002</v>
      </c>
      <c r="C2698" s="135">
        <v>0</v>
      </c>
      <c r="D2698" s="135">
        <v>0</v>
      </c>
      <c r="E2698" s="135">
        <v>0</v>
      </c>
      <c r="F2698" s="220">
        <v>0</v>
      </c>
      <c r="G2698" s="210">
        <v>0</v>
      </c>
      <c r="H2698" s="210">
        <v>0</v>
      </c>
      <c r="I2698" s="898">
        <f t="shared" si="148"/>
        <v>334011.52000000002</v>
      </c>
      <c r="J2698" s="203" t="s">
        <v>1542</v>
      </c>
    </row>
    <row r="2699" spans="1:10" hidden="1" outlineLevel="1">
      <c r="A2699" s="425" t="s">
        <v>1543</v>
      </c>
      <c r="B2699" s="902">
        <v>148477.76999999999</v>
      </c>
      <c r="C2699" s="135">
        <v>0</v>
      </c>
      <c r="D2699" s="135">
        <v>0</v>
      </c>
      <c r="E2699" s="135">
        <v>0</v>
      </c>
      <c r="F2699" s="220">
        <v>0</v>
      </c>
      <c r="G2699" s="210">
        <v>0</v>
      </c>
      <c r="H2699" s="210">
        <v>0</v>
      </c>
      <c r="I2699" s="898">
        <f t="shared" si="148"/>
        <v>148477.76999999999</v>
      </c>
      <c r="J2699" s="203" t="s">
        <v>1544</v>
      </c>
    </row>
    <row r="2700" spans="1:10" hidden="1" outlineLevel="1">
      <c r="A2700" s="425" t="s">
        <v>1545</v>
      </c>
      <c r="B2700" s="902">
        <v>125039.6</v>
      </c>
      <c r="C2700" s="135">
        <v>0</v>
      </c>
      <c r="D2700" s="135">
        <v>0</v>
      </c>
      <c r="E2700" s="135">
        <v>0</v>
      </c>
      <c r="F2700" s="220">
        <v>0</v>
      </c>
      <c r="G2700" s="210">
        <v>0</v>
      </c>
      <c r="H2700" s="210">
        <v>0</v>
      </c>
      <c r="I2700" s="898">
        <f t="shared" si="148"/>
        <v>125039.6</v>
      </c>
      <c r="J2700" s="203" t="s">
        <v>1546</v>
      </c>
    </row>
    <row r="2701" spans="1:10" hidden="1" outlineLevel="1">
      <c r="A2701" s="425" t="s">
        <v>86</v>
      </c>
      <c r="B2701" s="902">
        <v>271267.03000000003</v>
      </c>
      <c r="C2701" s="135">
        <v>0</v>
      </c>
      <c r="D2701" s="135">
        <v>0</v>
      </c>
      <c r="E2701" s="135">
        <v>0</v>
      </c>
      <c r="F2701" s="220">
        <v>0</v>
      </c>
      <c r="G2701" s="210">
        <v>0</v>
      </c>
      <c r="H2701" s="210">
        <v>0</v>
      </c>
      <c r="I2701" s="898">
        <f t="shared" si="148"/>
        <v>271267.03000000003</v>
      </c>
      <c r="J2701" s="203" t="s">
        <v>87</v>
      </c>
    </row>
    <row r="2702" spans="1:10" hidden="1" outlineLevel="1">
      <c r="A2702" s="425" t="s">
        <v>398</v>
      </c>
      <c r="B2702" s="902">
        <v>47455.55</v>
      </c>
      <c r="C2702" s="135">
        <v>0</v>
      </c>
      <c r="D2702" s="135">
        <v>0</v>
      </c>
      <c r="E2702" s="135">
        <v>0</v>
      </c>
      <c r="F2702" s="220">
        <v>0</v>
      </c>
      <c r="G2702" s="210">
        <v>0</v>
      </c>
      <c r="H2702" s="210">
        <v>0</v>
      </c>
      <c r="I2702" s="898">
        <f t="shared" si="148"/>
        <v>47455.55</v>
      </c>
      <c r="J2702" s="203" t="s">
        <v>399</v>
      </c>
    </row>
    <row r="2703" spans="1:10" hidden="1" outlineLevel="1">
      <c r="A2703" s="425" t="s">
        <v>1547</v>
      </c>
      <c r="B2703" s="902">
        <v>31661.18</v>
      </c>
      <c r="C2703" s="135">
        <v>0</v>
      </c>
      <c r="D2703" s="135">
        <v>0</v>
      </c>
      <c r="E2703" s="135">
        <v>0</v>
      </c>
      <c r="F2703" s="220">
        <v>0</v>
      </c>
      <c r="G2703" s="210">
        <v>0</v>
      </c>
      <c r="H2703" s="210">
        <v>0</v>
      </c>
      <c r="I2703" s="898">
        <f t="shared" si="148"/>
        <v>31661.18</v>
      </c>
      <c r="J2703" s="203" t="s">
        <v>1548</v>
      </c>
    </row>
    <row r="2704" spans="1:10" hidden="1" outlineLevel="1">
      <c r="A2704" s="425" t="s">
        <v>1549</v>
      </c>
      <c r="B2704" s="902">
        <v>165514.10999999999</v>
      </c>
      <c r="C2704" s="135">
        <v>0</v>
      </c>
      <c r="D2704" s="135">
        <v>0</v>
      </c>
      <c r="E2704" s="135">
        <v>0</v>
      </c>
      <c r="F2704" s="220">
        <v>0</v>
      </c>
      <c r="G2704" s="210">
        <v>0</v>
      </c>
      <c r="H2704" s="210">
        <v>0</v>
      </c>
      <c r="I2704" s="898">
        <f t="shared" si="148"/>
        <v>165514.10999999999</v>
      </c>
      <c r="J2704" s="203" t="s">
        <v>1550</v>
      </c>
    </row>
    <row r="2705" spans="1:10" hidden="1" outlineLevel="1">
      <c r="A2705" s="425" t="s">
        <v>1963</v>
      </c>
      <c r="B2705" s="902">
        <v>11159.15</v>
      </c>
      <c r="C2705" s="135">
        <v>0</v>
      </c>
      <c r="D2705" s="135">
        <v>0</v>
      </c>
      <c r="E2705" s="135">
        <v>0</v>
      </c>
      <c r="F2705" s="220">
        <v>0</v>
      </c>
      <c r="G2705" s="210">
        <v>0</v>
      </c>
      <c r="H2705" s="210">
        <v>0</v>
      </c>
      <c r="I2705" s="898">
        <f t="shared" si="148"/>
        <v>11159.15</v>
      </c>
      <c r="J2705" s="203" t="s">
        <v>1964</v>
      </c>
    </row>
    <row r="2706" spans="1:10" hidden="1" outlineLevel="1">
      <c r="A2706" s="425" t="s">
        <v>1551</v>
      </c>
      <c r="B2706" s="902">
        <v>1140473.75</v>
      </c>
      <c r="C2706" s="135">
        <v>0</v>
      </c>
      <c r="D2706" s="135">
        <v>0</v>
      </c>
      <c r="E2706" s="135">
        <v>0</v>
      </c>
      <c r="F2706" s="220">
        <v>0</v>
      </c>
      <c r="G2706" s="210">
        <v>0</v>
      </c>
      <c r="H2706" s="210">
        <v>0</v>
      </c>
      <c r="I2706" s="898">
        <f t="shared" si="148"/>
        <v>1140473.75</v>
      </c>
      <c r="J2706" s="203" t="s">
        <v>1552</v>
      </c>
    </row>
    <row r="2707" spans="1:10" hidden="1" outlineLevel="1">
      <c r="A2707" s="425" t="s">
        <v>1965</v>
      </c>
      <c r="B2707" s="902">
        <v>9026.76</v>
      </c>
      <c r="C2707" s="135">
        <v>0</v>
      </c>
      <c r="D2707" s="135">
        <v>0</v>
      </c>
      <c r="E2707" s="135">
        <v>0</v>
      </c>
      <c r="F2707" s="220">
        <v>0</v>
      </c>
      <c r="G2707" s="210">
        <v>0</v>
      </c>
      <c r="H2707" s="210">
        <v>0</v>
      </c>
      <c r="I2707" s="898">
        <f t="shared" si="148"/>
        <v>9026.76</v>
      </c>
      <c r="J2707" s="203" t="s">
        <v>1966</v>
      </c>
    </row>
    <row r="2708" spans="1:10" hidden="1" outlineLevel="1">
      <c r="A2708" s="425" t="s">
        <v>1967</v>
      </c>
      <c r="B2708" s="902">
        <v>13989.7</v>
      </c>
      <c r="C2708" s="135">
        <v>0</v>
      </c>
      <c r="D2708" s="135">
        <v>0</v>
      </c>
      <c r="E2708" s="135">
        <v>0</v>
      </c>
      <c r="F2708" s="220">
        <v>0</v>
      </c>
      <c r="G2708" s="210">
        <v>0</v>
      </c>
      <c r="H2708" s="210">
        <v>0</v>
      </c>
      <c r="I2708" s="898">
        <f t="shared" si="148"/>
        <v>13989.7</v>
      </c>
      <c r="J2708" s="203" t="s">
        <v>1968</v>
      </c>
    </row>
    <row r="2709" spans="1:10" hidden="1" outlineLevel="1">
      <c r="A2709" s="425" t="s">
        <v>1553</v>
      </c>
      <c r="B2709" s="902">
        <v>713123.02</v>
      </c>
      <c r="C2709" s="135">
        <v>0</v>
      </c>
      <c r="D2709" s="135">
        <v>0</v>
      </c>
      <c r="E2709" s="135">
        <v>0</v>
      </c>
      <c r="F2709" s="220">
        <v>0</v>
      </c>
      <c r="G2709" s="210">
        <v>0</v>
      </c>
      <c r="H2709" s="210">
        <v>0</v>
      </c>
      <c r="I2709" s="898">
        <f t="shared" si="148"/>
        <v>713123.02</v>
      </c>
      <c r="J2709" s="203" t="s">
        <v>1554</v>
      </c>
    </row>
    <row r="2710" spans="1:10" hidden="1" outlineLevel="1">
      <c r="A2710" s="425" t="s">
        <v>1555</v>
      </c>
      <c r="B2710" s="902">
        <v>36212.68</v>
      </c>
      <c r="C2710" s="135">
        <v>0</v>
      </c>
      <c r="D2710" s="135">
        <v>0</v>
      </c>
      <c r="E2710" s="135">
        <v>0</v>
      </c>
      <c r="F2710" s="220">
        <v>0</v>
      </c>
      <c r="G2710" s="210">
        <v>0</v>
      </c>
      <c r="H2710" s="210">
        <v>0</v>
      </c>
      <c r="I2710" s="898">
        <f t="shared" si="148"/>
        <v>36212.68</v>
      </c>
      <c r="J2710" s="203" t="s">
        <v>1556</v>
      </c>
    </row>
    <row r="2711" spans="1:10" hidden="1" outlineLevel="1">
      <c r="A2711" s="425" t="s">
        <v>1557</v>
      </c>
      <c r="B2711" s="902">
        <v>8356.42</v>
      </c>
      <c r="C2711" s="135">
        <v>0</v>
      </c>
      <c r="D2711" s="135">
        <v>0</v>
      </c>
      <c r="E2711" s="135">
        <v>0</v>
      </c>
      <c r="F2711" s="220">
        <v>0</v>
      </c>
      <c r="G2711" s="210">
        <v>0</v>
      </c>
      <c r="H2711" s="210">
        <v>0</v>
      </c>
      <c r="I2711" s="898">
        <f t="shared" si="148"/>
        <v>8356.42</v>
      </c>
      <c r="J2711" s="203" t="s">
        <v>1558</v>
      </c>
    </row>
    <row r="2712" spans="1:10" hidden="1" outlineLevel="1">
      <c r="A2712" s="425" t="s">
        <v>585</v>
      </c>
      <c r="B2712" s="902">
        <v>2692.48</v>
      </c>
      <c r="C2712" s="135">
        <v>0</v>
      </c>
      <c r="D2712" s="135">
        <v>0</v>
      </c>
      <c r="E2712" s="135">
        <v>0</v>
      </c>
      <c r="F2712" s="220">
        <v>0</v>
      </c>
      <c r="G2712" s="210">
        <v>0</v>
      </c>
      <c r="H2712" s="210">
        <v>0</v>
      </c>
      <c r="I2712" s="898">
        <f t="shared" si="148"/>
        <v>2692.48</v>
      </c>
      <c r="J2712" s="203" t="s">
        <v>1969</v>
      </c>
    </row>
    <row r="2713" spans="1:10" hidden="1" outlineLevel="1">
      <c r="A2713" s="425" t="s">
        <v>1559</v>
      </c>
      <c r="B2713" s="902">
        <v>10162176.119999999</v>
      </c>
      <c r="C2713" s="135">
        <v>0</v>
      </c>
      <c r="D2713" s="135">
        <v>0</v>
      </c>
      <c r="E2713" s="135">
        <v>0</v>
      </c>
      <c r="F2713" s="220">
        <v>0</v>
      </c>
      <c r="G2713" s="210">
        <v>0</v>
      </c>
      <c r="H2713" s="210">
        <v>0</v>
      </c>
      <c r="I2713" s="898">
        <f t="shared" si="148"/>
        <v>10162176.119999999</v>
      </c>
      <c r="J2713" s="203" t="s">
        <v>1560</v>
      </c>
    </row>
    <row r="2714" spans="1:10" hidden="1" outlineLevel="1">
      <c r="A2714" s="425" t="s">
        <v>1561</v>
      </c>
      <c r="B2714" s="902">
        <v>11010725.68</v>
      </c>
      <c r="C2714" s="135">
        <v>0</v>
      </c>
      <c r="D2714" s="135">
        <v>0</v>
      </c>
      <c r="E2714" s="135">
        <v>0</v>
      </c>
      <c r="F2714" s="220">
        <v>0</v>
      </c>
      <c r="G2714" s="210">
        <v>0</v>
      </c>
      <c r="H2714" s="210">
        <v>0</v>
      </c>
      <c r="I2714" s="898">
        <f t="shared" si="148"/>
        <v>11010725.68</v>
      </c>
      <c r="J2714" s="203" t="s">
        <v>1562</v>
      </c>
    </row>
    <row r="2715" spans="1:10" hidden="1" outlineLevel="1">
      <c r="A2715" s="425" t="s">
        <v>1413</v>
      </c>
      <c r="B2715" s="902">
        <v>1154932.72</v>
      </c>
      <c r="C2715" s="135">
        <v>0</v>
      </c>
      <c r="D2715" s="135">
        <v>0</v>
      </c>
      <c r="E2715" s="135">
        <v>0</v>
      </c>
      <c r="F2715" s="220">
        <v>0</v>
      </c>
      <c r="G2715" s="210">
        <v>0</v>
      </c>
      <c r="H2715" s="210">
        <v>0</v>
      </c>
      <c r="I2715" s="898">
        <f t="shared" si="148"/>
        <v>1154932.72</v>
      </c>
      <c r="J2715" s="203" t="s">
        <v>1414</v>
      </c>
    </row>
    <row r="2716" spans="1:10" hidden="1" outlineLevel="1">
      <c r="A2716" s="425" t="s">
        <v>1563</v>
      </c>
      <c r="B2716" s="902">
        <v>197644.93</v>
      </c>
      <c r="C2716" s="135">
        <v>0</v>
      </c>
      <c r="D2716" s="135">
        <v>0</v>
      </c>
      <c r="E2716" s="135">
        <v>0</v>
      </c>
      <c r="F2716" s="220">
        <v>0</v>
      </c>
      <c r="G2716" s="210">
        <v>0</v>
      </c>
      <c r="H2716" s="210">
        <v>0</v>
      </c>
      <c r="I2716" s="898">
        <f t="shared" si="148"/>
        <v>197644.93</v>
      </c>
      <c r="J2716" s="203" t="s">
        <v>1564</v>
      </c>
    </row>
    <row r="2717" spans="1:10" hidden="1" outlineLevel="1">
      <c r="A2717" s="425" t="s">
        <v>613</v>
      </c>
      <c r="B2717" s="902">
        <v>105024995.19</v>
      </c>
      <c r="C2717" s="135">
        <v>0</v>
      </c>
      <c r="D2717" s="135">
        <v>0</v>
      </c>
      <c r="E2717" s="135">
        <v>0</v>
      </c>
      <c r="F2717" s="220">
        <v>6783.63</v>
      </c>
      <c r="G2717" s="210">
        <v>0</v>
      </c>
      <c r="H2717" s="210">
        <v>0</v>
      </c>
      <c r="I2717" s="898">
        <f t="shared" si="148"/>
        <v>105031778.81999999</v>
      </c>
      <c r="J2717" s="203" t="s">
        <v>614</v>
      </c>
    </row>
    <row r="2718" spans="1:10" hidden="1" outlineLevel="1">
      <c r="A2718" s="425" t="s">
        <v>1565</v>
      </c>
      <c r="B2718" s="902">
        <v>560987.82999999996</v>
      </c>
      <c r="C2718" s="135">
        <v>0</v>
      </c>
      <c r="D2718" s="135">
        <v>0</v>
      </c>
      <c r="E2718" s="135">
        <v>0</v>
      </c>
      <c r="F2718" s="220">
        <v>0</v>
      </c>
      <c r="G2718" s="210">
        <v>0</v>
      </c>
      <c r="H2718" s="210">
        <v>0</v>
      </c>
      <c r="I2718" s="898">
        <f t="shared" si="148"/>
        <v>560987.82999999996</v>
      </c>
      <c r="J2718" s="203" t="s">
        <v>1566</v>
      </c>
    </row>
    <row r="2719" spans="1:10" hidden="1" outlineLevel="1">
      <c r="A2719" s="425" t="s">
        <v>1567</v>
      </c>
      <c r="B2719" s="902">
        <v>729051.54</v>
      </c>
      <c r="C2719" s="135">
        <v>0</v>
      </c>
      <c r="D2719" s="135">
        <v>0</v>
      </c>
      <c r="E2719" s="135">
        <v>0</v>
      </c>
      <c r="F2719" s="220">
        <v>0</v>
      </c>
      <c r="G2719" s="210">
        <v>0</v>
      </c>
      <c r="H2719" s="210">
        <v>0</v>
      </c>
      <c r="I2719" s="898">
        <f t="shared" si="148"/>
        <v>729051.54</v>
      </c>
      <c r="J2719" s="203" t="s">
        <v>1568</v>
      </c>
    </row>
    <row r="2720" spans="1:10" hidden="1" outlineLevel="1">
      <c r="A2720" s="425" t="s">
        <v>1569</v>
      </c>
      <c r="B2720" s="902">
        <v>12280207.52</v>
      </c>
      <c r="C2720" s="135">
        <v>0</v>
      </c>
      <c r="D2720" s="135">
        <v>0</v>
      </c>
      <c r="E2720" s="135">
        <v>0</v>
      </c>
      <c r="F2720" s="220">
        <v>0</v>
      </c>
      <c r="G2720" s="210">
        <v>0</v>
      </c>
      <c r="H2720" s="210">
        <v>0</v>
      </c>
      <c r="I2720" s="898">
        <f t="shared" si="148"/>
        <v>12280207.52</v>
      </c>
      <c r="J2720" s="203" t="s">
        <v>1570</v>
      </c>
    </row>
    <row r="2721" spans="1:10" hidden="1" outlineLevel="1">
      <c r="A2721" s="425" t="s">
        <v>1571</v>
      </c>
      <c r="B2721" s="902">
        <v>4043981.2</v>
      </c>
      <c r="C2721" s="135">
        <v>0</v>
      </c>
      <c r="D2721" s="135">
        <v>0</v>
      </c>
      <c r="E2721" s="135">
        <v>0</v>
      </c>
      <c r="F2721" s="220">
        <v>0</v>
      </c>
      <c r="G2721" s="210">
        <v>0</v>
      </c>
      <c r="H2721" s="210">
        <v>0</v>
      </c>
      <c r="I2721" s="898">
        <f t="shared" si="148"/>
        <v>4043981.2</v>
      </c>
      <c r="J2721" s="203" t="s">
        <v>1572</v>
      </c>
    </row>
    <row r="2722" spans="1:10" hidden="1" outlineLevel="1">
      <c r="A2722" s="425" t="s">
        <v>1573</v>
      </c>
      <c r="B2722" s="902">
        <v>96592.63</v>
      </c>
      <c r="C2722" s="135">
        <v>0</v>
      </c>
      <c r="D2722" s="135">
        <v>0</v>
      </c>
      <c r="E2722" s="135">
        <v>0</v>
      </c>
      <c r="F2722" s="220">
        <v>0</v>
      </c>
      <c r="G2722" s="210">
        <v>0</v>
      </c>
      <c r="H2722" s="210">
        <v>0</v>
      </c>
      <c r="I2722" s="898">
        <f t="shared" si="148"/>
        <v>96592.63</v>
      </c>
      <c r="J2722" s="203" t="s">
        <v>1574</v>
      </c>
    </row>
    <row r="2723" spans="1:10" hidden="1" outlineLevel="1">
      <c r="A2723" s="425" t="s">
        <v>1970</v>
      </c>
      <c r="B2723" s="902">
        <v>675872.3</v>
      </c>
      <c r="C2723" s="135">
        <v>0</v>
      </c>
      <c r="D2723" s="135">
        <v>0</v>
      </c>
      <c r="E2723" s="135">
        <v>0</v>
      </c>
      <c r="F2723" s="220">
        <v>0</v>
      </c>
      <c r="G2723" s="210">
        <v>0</v>
      </c>
      <c r="H2723" s="210">
        <v>0</v>
      </c>
      <c r="I2723" s="898">
        <f t="shared" si="148"/>
        <v>675872.3</v>
      </c>
      <c r="J2723" s="203" t="s">
        <v>1971</v>
      </c>
    </row>
    <row r="2724" spans="1:10" hidden="1" outlineLevel="1">
      <c r="A2724" s="425" t="s">
        <v>1575</v>
      </c>
      <c r="B2724" s="902">
        <v>480333.01</v>
      </c>
      <c r="C2724" s="135">
        <v>0</v>
      </c>
      <c r="D2724" s="135">
        <v>0</v>
      </c>
      <c r="E2724" s="135">
        <v>0</v>
      </c>
      <c r="F2724" s="220">
        <v>0</v>
      </c>
      <c r="G2724" s="210">
        <v>0</v>
      </c>
      <c r="H2724" s="210">
        <v>0</v>
      </c>
      <c r="I2724" s="898">
        <f t="shared" si="148"/>
        <v>480333.01</v>
      </c>
      <c r="J2724" s="203" t="s">
        <v>1576</v>
      </c>
    </row>
    <row r="2725" spans="1:10" hidden="1" outlineLevel="1">
      <c r="A2725" s="425" t="s">
        <v>1577</v>
      </c>
      <c r="B2725" s="902">
        <v>1402355.85</v>
      </c>
      <c r="C2725" s="135">
        <v>0</v>
      </c>
      <c r="D2725" s="135">
        <v>0</v>
      </c>
      <c r="E2725" s="135">
        <v>0</v>
      </c>
      <c r="F2725" s="220">
        <v>0</v>
      </c>
      <c r="G2725" s="210">
        <v>0</v>
      </c>
      <c r="H2725" s="210">
        <v>0</v>
      </c>
      <c r="I2725" s="898">
        <f t="shared" si="148"/>
        <v>1402355.85</v>
      </c>
      <c r="J2725" s="203" t="s">
        <v>1578</v>
      </c>
    </row>
    <row r="2726" spans="1:10" hidden="1" outlineLevel="1">
      <c r="A2726" s="425" t="s">
        <v>1579</v>
      </c>
      <c r="B2726" s="902">
        <v>960975.94</v>
      </c>
      <c r="C2726" s="135">
        <v>0</v>
      </c>
      <c r="D2726" s="135">
        <v>0</v>
      </c>
      <c r="E2726" s="135">
        <v>0</v>
      </c>
      <c r="F2726" s="220">
        <v>0</v>
      </c>
      <c r="G2726" s="210">
        <v>0</v>
      </c>
      <c r="H2726" s="210">
        <v>0</v>
      </c>
      <c r="I2726" s="898">
        <f t="shared" si="148"/>
        <v>960975.94</v>
      </c>
      <c r="J2726" s="203" t="s">
        <v>1580</v>
      </c>
    </row>
    <row r="2727" spans="1:10" hidden="1" outlineLevel="1">
      <c r="A2727" s="425" t="s">
        <v>1581</v>
      </c>
      <c r="B2727" s="902">
        <v>2762244.88</v>
      </c>
      <c r="C2727" s="135">
        <v>0</v>
      </c>
      <c r="D2727" s="135">
        <v>0</v>
      </c>
      <c r="E2727" s="135">
        <v>0</v>
      </c>
      <c r="F2727" s="220">
        <v>0</v>
      </c>
      <c r="G2727" s="210">
        <v>0</v>
      </c>
      <c r="H2727" s="210">
        <v>0</v>
      </c>
      <c r="I2727" s="898">
        <f t="shared" ref="I2727:I2790" si="149">SUM(B2727:H2727)</f>
        <v>2762244.88</v>
      </c>
      <c r="J2727" s="203" t="s">
        <v>1582</v>
      </c>
    </row>
    <row r="2728" spans="1:10" hidden="1" outlineLevel="1">
      <c r="A2728" s="425" t="s">
        <v>1583</v>
      </c>
      <c r="B2728" s="902">
        <v>600921.43000000005</v>
      </c>
      <c r="C2728" s="135">
        <v>0</v>
      </c>
      <c r="D2728" s="135">
        <v>0</v>
      </c>
      <c r="E2728" s="135">
        <v>0</v>
      </c>
      <c r="F2728" s="220">
        <v>0</v>
      </c>
      <c r="G2728" s="210">
        <v>0</v>
      </c>
      <c r="H2728" s="210">
        <v>0</v>
      </c>
      <c r="I2728" s="898">
        <f t="shared" si="149"/>
        <v>600921.43000000005</v>
      </c>
      <c r="J2728" s="203" t="s">
        <v>1584</v>
      </c>
    </row>
    <row r="2729" spans="1:10" hidden="1" outlineLevel="1">
      <c r="A2729" s="425" t="s">
        <v>1585</v>
      </c>
      <c r="B2729" s="902">
        <v>1188178.6399999999</v>
      </c>
      <c r="C2729" s="135">
        <v>0</v>
      </c>
      <c r="D2729" s="135">
        <v>0</v>
      </c>
      <c r="E2729" s="135">
        <v>0</v>
      </c>
      <c r="F2729" s="220">
        <v>0</v>
      </c>
      <c r="G2729" s="210">
        <v>0</v>
      </c>
      <c r="H2729" s="210">
        <v>0</v>
      </c>
      <c r="I2729" s="898">
        <f t="shared" si="149"/>
        <v>1188178.6399999999</v>
      </c>
      <c r="J2729" s="203" t="s">
        <v>1586</v>
      </c>
    </row>
    <row r="2730" spans="1:10" hidden="1" outlineLevel="1">
      <c r="A2730" s="425" t="s">
        <v>1587</v>
      </c>
      <c r="B2730" s="902">
        <v>271618.44</v>
      </c>
      <c r="C2730" s="135">
        <v>0</v>
      </c>
      <c r="D2730" s="135">
        <v>0</v>
      </c>
      <c r="E2730" s="135">
        <v>0</v>
      </c>
      <c r="F2730" s="220">
        <v>0</v>
      </c>
      <c r="G2730" s="210">
        <v>0</v>
      </c>
      <c r="H2730" s="210">
        <v>0</v>
      </c>
      <c r="I2730" s="898">
        <f t="shared" si="149"/>
        <v>271618.44</v>
      </c>
      <c r="J2730" s="203" t="s">
        <v>1588</v>
      </c>
    </row>
    <row r="2731" spans="1:10" hidden="1" outlineLevel="1">
      <c r="A2731" s="425" t="s">
        <v>1589</v>
      </c>
      <c r="B2731" s="902">
        <v>129571.29</v>
      </c>
      <c r="C2731" s="135">
        <v>0</v>
      </c>
      <c r="D2731" s="135">
        <v>0</v>
      </c>
      <c r="E2731" s="135">
        <v>0</v>
      </c>
      <c r="F2731" s="220">
        <v>0</v>
      </c>
      <c r="G2731" s="210">
        <v>0</v>
      </c>
      <c r="H2731" s="210">
        <v>0</v>
      </c>
      <c r="I2731" s="898">
        <f t="shared" si="149"/>
        <v>129571.29</v>
      </c>
      <c r="J2731" s="203" t="s">
        <v>1590</v>
      </c>
    </row>
    <row r="2732" spans="1:10" hidden="1" outlineLevel="1">
      <c r="A2732" s="425" t="s">
        <v>1591</v>
      </c>
      <c r="B2732" s="902">
        <v>485024.33</v>
      </c>
      <c r="C2732" s="135">
        <v>0</v>
      </c>
      <c r="D2732" s="135">
        <v>0</v>
      </c>
      <c r="E2732" s="135">
        <v>0</v>
      </c>
      <c r="F2732" s="220">
        <v>0</v>
      </c>
      <c r="G2732" s="210">
        <v>0</v>
      </c>
      <c r="H2732" s="210">
        <v>0</v>
      </c>
      <c r="I2732" s="898">
        <f t="shared" si="149"/>
        <v>485024.33</v>
      </c>
      <c r="J2732" s="203" t="s">
        <v>1592</v>
      </c>
    </row>
    <row r="2733" spans="1:10" hidden="1" outlineLevel="1">
      <c r="A2733" s="425" t="s">
        <v>1593</v>
      </c>
      <c r="B2733" s="902">
        <v>383200.13</v>
      </c>
      <c r="C2733" s="135">
        <v>0</v>
      </c>
      <c r="D2733" s="135">
        <v>0</v>
      </c>
      <c r="E2733" s="135">
        <v>0</v>
      </c>
      <c r="F2733" s="220">
        <v>0</v>
      </c>
      <c r="G2733" s="210">
        <v>0</v>
      </c>
      <c r="H2733" s="210">
        <v>0</v>
      </c>
      <c r="I2733" s="898">
        <f t="shared" si="149"/>
        <v>383200.13</v>
      </c>
      <c r="J2733" s="203" t="s">
        <v>1594</v>
      </c>
    </row>
    <row r="2734" spans="1:10" hidden="1" outlineLevel="1">
      <c r="A2734" s="425" t="s">
        <v>1595</v>
      </c>
      <c r="B2734" s="902">
        <v>243042.96</v>
      </c>
      <c r="C2734" s="135">
        <v>0</v>
      </c>
      <c r="D2734" s="135">
        <v>0</v>
      </c>
      <c r="E2734" s="135">
        <v>0</v>
      </c>
      <c r="F2734" s="220">
        <v>0</v>
      </c>
      <c r="G2734" s="210">
        <v>0</v>
      </c>
      <c r="H2734" s="210">
        <v>0</v>
      </c>
      <c r="I2734" s="898">
        <f t="shared" si="149"/>
        <v>243042.96</v>
      </c>
      <c r="J2734" s="203" t="s">
        <v>1596</v>
      </c>
    </row>
    <row r="2735" spans="1:10" hidden="1" outlineLevel="1">
      <c r="A2735" s="425" t="s">
        <v>1597</v>
      </c>
      <c r="B2735" s="902">
        <v>1433058.63</v>
      </c>
      <c r="C2735" s="135">
        <v>0</v>
      </c>
      <c r="D2735" s="135">
        <v>0</v>
      </c>
      <c r="E2735" s="135">
        <v>0</v>
      </c>
      <c r="F2735" s="220">
        <v>0</v>
      </c>
      <c r="G2735" s="210">
        <v>0</v>
      </c>
      <c r="H2735" s="210">
        <v>0</v>
      </c>
      <c r="I2735" s="898">
        <f t="shared" si="149"/>
        <v>1433058.63</v>
      </c>
      <c r="J2735" s="203" t="s">
        <v>1598</v>
      </c>
    </row>
    <row r="2736" spans="1:10" hidden="1" outlineLevel="1">
      <c r="A2736" s="425" t="s">
        <v>1599</v>
      </c>
      <c r="B2736" s="902">
        <v>854794.75</v>
      </c>
      <c r="C2736" s="135">
        <v>0</v>
      </c>
      <c r="D2736" s="135">
        <v>0</v>
      </c>
      <c r="E2736" s="135">
        <v>0</v>
      </c>
      <c r="F2736" s="220">
        <v>0</v>
      </c>
      <c r="G2736" s="210">
        <v>0</v>
      </c>
      <c r="H2736" s="210">
        <v>0</v>
      </c>
      <c r="I2736" s="898">
        <f t="shared" si="149"/>
        <v>854794.75</v>
      </c>
      <c r="J2736" s="203" t="s">
        <v>1600</v>
      </c>
    </row>
    <row r="2737" spans="1:10" hidden="1" outlineLevel="1">
      <c r="A2737" s="425" t="s">
        <v>1601</v>
      </c>
      <c r="B2737" s="902">
        <v>1286254.45</v>
      </c>
      <c r="C2737" s="135">
        <v>0</v>
      </c>
      <c r="D2737" s="135">
        <v>0</v>
      </c>
      <c r="E2737" s="135">
        <v>0</v>
      </c>
      <c r="F2737" s="220">
        <v>0</v>
      </c>
      <c r="G2737" s="210">
        <v>0</v>
      </c>
      <c r="H2737" s="210">
        <v>0</v>
      </c>
      <c r="I2737" s="898">
        <f t="shared" si="149"/>
        <v>1286254.45</v>
      </c>
      <c r="J2737" s="203" t="s">
        <v>1602</v>
      </c>
    </row>
    <row r="2738" spans="1:10" hidden="1" outlineLevel="1">
      <c r="A2738" s="425" t="s">
        <v>1603</v>
      </c>
      <c r="B2738" s="902">
        <v>892025.44</v>
      </c>
      <c r="C2738" s="135">
        <v>0</v>
      </c>
      <c r="D2738" s="135">
        <v>0</v>
      </c>
      <c r="E2738" s="135">
        <v>0</v>
      </c>
      <c r="F2738" s="220">
        <v>0</v>
      </c>
      <c r="G2738" s="210">
        <v>0</v>
      </c>
      <c r="H2738" s="210">
        <v>0</v>
      </c>
      <c r="I2738" s="898">
        <f t="shared" si="149"/>
        <v>892025.44</v>
      </c>
      <c r="J2738" s="203" t="s">
        <v>1604</v>
      </c>
    </row>
    <row r="2739" spans="1:10" hidden="1" outlineLevel="1">
      <c r="A2739" s="425" t="s">
        <v>1605</v>
      </c>
      <c r="B2739" s="902">
        <v>351960.82</v>
      </c>
      <c r="C2739" s="135">
        <v>0</v>
      </c>
      <c r="D2739" s="135">
        <v>0</v>
      </c>
      <c r="E2739" s="135">
        <v>0</v>
      </c>
      <c r="F2739" s="220">
        <v>0</v>
      </c>
      <c r="G2739" s="210">
        <v>0</v>
      </c>
      <c r="H2739" s="210">
        <v>0</v>
      </c>
      <c r="I2739" s="898">
        <f t="shared" si="149"/>
        <v>351960.82</v>
      </c>
      <c r="J2739" s="203" t="s">
        <v>1606</v>
      </c>
    </row>
    <row r="2740" spans="1:10" hidden="1" outlineLevel="1">
      <c r="A2740" s="425" t="s">
        <v>1607</v>
      </c>
      <c r="B2740" s="902">
        <v>1332292.58</v>
      </c>
      <c r="C2740" s="135">
        <v>0</v>
      </c>
      <c r="D2740" s="135">
        <v>0</v>
      </c>
      <c r="E2740" s="135">
        <v>0</v>
      </c>
      <c r="F2740" s="220">
        <v>0</v>
      </c>
      <c r="G2740" s="210">
        <v>0</v>
      </c>
      <c r="H2740" s="210">
        <v>0</v>
      </c>
      <c r="I2740" s="898">
        <f t="shared" si="149"/>
        <v>1332292.58</v>
      </c>
      <c r="J2740" s="203" t="s">
        <v>1608</v>
      </c>
    </row>
    <row r="2741" spans="1:10" hidden="1" outlineLevel="1">
      <c r="A2741" s="425" t="s">
        <v>1609</v>
      </c>
      <c r="B2741" s="902">
        <v>1419016.16</v>
      </c>
      <c r="C2741" s="135">
        <v>0</v>
      </c>
      <c r="D2741" s="135">
        <v>0</v>
      </c>
      <c r="E2741" s="135">
        <v>0</v>
      </c>
      <c r="F2741" s="220">
        <v>0</v>
      </c>
      <c r="G2741" s="210">
        <v>0</v>
      </c>
      <c r="H2741" s="210">
        <v>0</v>
      </c>
      <c r="I2741" s="898">
        <f t="shared" si="149"/>
        <v>1419016.16</v>
      </c>
      <c r="J2741" s="203" t="s">
        <v>1610</v>
      </c>
    </row>
    <row r="2742" spans="1:10" hidden="1" outlineLevel="1">
      <c r="A2742" s="425" t="s">
        <v>1611</v>
      </c>
      <c r="B2742" s="902">
        <v>918605.31</v>
      </c>
      <c r="C2742" s="135">
        <v>0</v>
      </c>
      <c r="D2742" s="135">
        <v>0</v>
      </c>
      <c r="E2742" s="135">
        <v>0</v>
      </c>
      <c r="F2742" s="220">
        <v>0</v>
      </c>
      <c r="G2742" s="210">
        <v>0</v>
      </c>
      <c r="H2742" s="210">
        <v>0</v>
      </c>
      <c r="I2742" s="898">
        <f t="shared" si="149"/>
        <v>918605.31</v>
      </c>
      <c r="J2742" s="203" t="s">
        <v>1612</v>
      </c>
    </row>
    <row r="2743" spans="1:10" hidden="1" outlineLevel="1">
      <c r="A2743" s="425" t="s">
        <v>1613</v>
      </c>
      <c r="B2743" s="902">
        <v>365843.78</v>
      </c>
      <c r="C2743" s="135">
        <v>0</v>
      </c>
      <c r="D2743" s="135">
        <v>0</v>
      </c>
      <c r="E2743" s="135">
        <v>0</v>
      </c>
      <c r="F2743" s="220">
        <v>0</v>
      </c>
      <c r="G2743" s="210">
        <v>0</v>
      </c>
      <c r="H2743" s="210">
        <v>0</v>
      </c>
      <c r="I2743" s="898">
        <f t="shared" si="149"/>
        <v>365843.78</v>
      </c>
      <c r="J2743" s="203" t="s">
        <v>1614</v>
      </c>
    </row>
    <row r="2744" spans="1:10" hidden="1" outlineLevel="1">
      <c r="A2744" s="425" t="s">
        <v>1615</v>
      </c>
      <c r="B2744" s="902">
        <v>725673.37</v>
      </c>
      <c r="C2744" s="135">
        <v>0</v>
      </c>
      <c r="D2744" s="135">
        <v>0</v>
      </c>
      <c r="E2744" s="135">
        <v>0</v>
      </c>
      <c r="F2744" s="220">
        <v>0</v>
      </c>
      <c r="G2744" s="210">
        <v>0</v>
      </c>
      <c r="H2744" s="210">
        <v>0</v>
      </c>
      <c r="I2744" s="898">
        <f t="shared" si="149"/>
        <v>725673.37</v>
      </c>
      <c r="J2744" s="203" t="s">
        <v>1616</v>
      </c>
    </row>
    <row r="2745" spans="1:10" hidden="1" outlineLevel="1">
      <c r="A2745" s="425" t="s">
        <v>1617</v>
      </c>
      <c r="B2745" s="902">
        <v>220729.37</v>
      </c>
      <c r="C2745" s="135">
        <v>0</v>
      </c>
      <c r="D2745" s="135">
        <v>0</v>
      </c>
      <c r="E2745" s="135">
        <v>0</v>
      </c>
      <c r="F2745" s="220">
        <v>0</v>
      </c>
      <c r="G2745" s="210">
        <v>0</v>
      </c>
      <c r="H2745" s="210">
        <v>0</v>
      </c>
      <c r="I2745" s="898">
        <f t="shared" si="149"/>
        <v>220729.37</v>
      </c>
      <c r="J2745" s="203" t="s">
        <v>1618</v>
      </c>
    </row>
    <row r="2746" spans="1:10" hidden="1" outlineLevel="1">
      <c r="A2746" s="425" t="s">
        <v>1619</v>
      </c>
      <c r="B2746" s="902">
        <v>1064409.48</v>
      </c>
      <c r="C2746" s="135">
        <v>0</v>
      </c>
      <c r="D2746" s="135">
        <v>0</v>
      </c>
      <c r="E2746" s="135">
        <v>0</v>
      </c>
      <c r="F2746" s="220">
        <v>349.72</v>
      </c>
      <c r="G2746" s="210">
        <v>0</v>
      </c>
      <c r="H2746" s="210">
        <v>0</v>
      </c>
      <c r="I2746" s="898">
        <f t="shared" si="149"/>
        <v>1064759.2</v>
      </c>
      <c r="J2746" s="203" t="s">
        <v>1620</v>
      </c>
    </row>
    <row r="2747" spans="1:10" hidden="1" outlineLevel="1">
      <c r="A2747" s="425" t="s">
        <v>1621</v>
      </c>
      <c r="B2747" s="902">
        <v>832007.04</v>
      </c>
      <c r="C2747" s="135">
        <v>0</v>
      </c>
      <c r="D2747" s="135">
        <v>0</v>
      </c>
      <c r="E2747" s="135">
        <v>0</v>
      </c>
      <c r="F2747" s="220">
        <v>0</v>
      </c>
      <c r="G2747" s="210">
        <v>0</v>
      </c>
      <c r="H2747" s="210">
        <v>0</v>
      </c>
      <c r="I2747" s="898">
        <f t="shared" si="149"/>
        <v>832007.04</v>
      </c>
      <c r="J2747" s="203" t="s">
        <v>1622</v>
      </c>
    </row>
    <row r="2748" spans="1:10" hidden="1" outlineLevel="1">
      <c r="A2748" s="425" t="s">
        <v>1623</v>
      </c>
      <c r="B2748" s="902">
        <v>629265.05000000005</v>
      </c>
      <c r="C2748" s="135">
        <v>0</v>
      </c>
      <c r="D2748" s="135">
        <v>0</v>
      </c>
      <c r="E2748" s="135">
        <v>0</v>
      </c>
      <c r="F2748" s="220">
        <v>0</v>
      </c>
      <c r="G2748" s="210">
        <v>0</v>
      </c>
      <c r="H2748" s="210">
        <v>0</v>
      </c>
      <c r="I2748" s="898">
        <f t="shared" si="149"/>
        <v>629265.05000000005</v>
      </c>
      <c r="J2748" s="203" t="s">
        <v>1624</v>
      </c>
    </row>
    <row r="2749" spans="1:10" hidden="1" outlineLevel="1">
      <c r="A2749" s="425" t="s">
        <v>1625</v>
      </c>
      <c r="B2749" s="902">
        <v>155283.28</v>
      </c>
      <c r="C2749" s="135">
        <v>0</v>
      </c>
      <c r="D2749" s="135">
        <v>0</v>
      </c>
      <c r="E2749" s="135">
        <v>0</v>
      </c>
      <c r="F2749" s="220">
        <v>0</v>
      </c>
      <c r="G2749" s="210">
        <v>0</v>
      </c>
      <c r="H2749" s="210">
        <v>0</v>
      </c>
      <c r="I2749" s="898">
        <f t="shared" si="149"/>
        <v>155283.28</v>
      </c>
      <c r="J2749" s="203" t="s">
        <v>1626</v>
      </c>
    </row>
    <row r="2750" spans="1:10" hidden="1" outlineLevel="1">
      <c r="A2750" s="425" t="s">
        <v>1627</v>
      </c>
      <c r="B2750" s="902">
        <v>241392.82</v>
      </c>
      <c r="C2750" s="135">
        <v>0</v>
      </c>
      <c r="D2750" s="135">
        <v>0</v>
      </c>
      <c r="E2750" s="135">
        <v>0</v>
      </c>
      <c r="F2750" s="220">
        <v>0</v>
      </c>
      <c r="G2750" s="210">
        <v>0</v>
      </c>
      <c r="H2750" s="210">
        <v>0</v>
      </c>
      <c r="I2750" s="898">
        <f t="shared" si="149"/>
        <v>241392.82</v>
      </c>
      <c r="J2750" s="203" t="s">
        <v>1628</v>
      </c>
    </row>
    <row r="2751" spans="1:10" hidden="1" outlineLevel="1">
      <c r="A2751" s="425" t="s">
        <v>1629</v>
      </c>
      <c r="B2751" s="902">
        <v>5060063.9400000004</v>
      </c>
      <c r="C2751" s="135">
        <v>0</v>
      </c>
      <c r="D2751" s="135">
        <v>0</v>
      </c>
      <c r="E2751" s="135">
        <v>0</v>
      </c>
      <c r="F2751" s="220">
        <v>0</v>
      </c>
      <c r="G2751" s="210">
        <v>0</v>
      </c>
      <c r="H2751" s="210">
        <v>0</v>
      </c>
      <c r="I2751" s="898">
        <f t="shared" si="149"/>
        <v>5060063.9400000004</v>
      </c>
      <c r="J2751" s="203" t="s">
        <v>1630</v>
      </c>
    </row>
    <row r="2752" spans="1:10" hidden="1" outlineLevel="1">
      <c r="A2752" s="425" t="s">
        <v>1631</v>
      </c>
      <c r="B2752" s="902">
        <v>522118.36</v>
      </c>
      <c r="C2752" s="135">
        <v>0</v>
      </c>
      <c r="D2752" s="135">
        <v>0</v>
      </c>
      <c r="E2752" s="135">
        <v>0</v>
      </c>
      <c r="F2752" s="220">
        <v>0</v>
      </c>
      <c r="G2752" s="210">
        <v>0</v>
      </c>
      <c r="H2752" s="210">
        <v>0</v>
      </c>
      <c r="I2752" s="898">
        <f t="shared" si="149"/>
        <v>522118.36</v>
      </c>
      <c r="J2752" s="203" t="s">
        <v>1632</v>
      </c>
    </row>
    <row r="2753" spans="1:10" hidden="1" outlineLevel="1">
      <c r="A2753" s="425" t="s">
        <v>1633</v>
      </c>
      <c r="B2753" s="902">
        <v>8305713.0800000001</v>
      </c>
      <c r="C2753" s="135">
        <v>0</v>
      </c>
      <c r="D2753" s="135">
        <v>0</v>
      </c>
      <c r="E2753" s="135">
        <v>0</v>
      </c>
      <c r="F2753" s="220">
        <v>19209.34</v>
      </c>
      <c r="G2753" s="210">
        <v>0</v>
      </c>
      <c r="H2753" s="210">
        <v>0</v>
      </c>
      <c r="I2753" s="898">
        <f t="shared" si="149"/>
        <v>8324922.4199999999</v>
      </c>
      <c r="J2753" s="203" t="s">
        <v>1634</v>
      </c>
    </row>
    <row r="2754" spans="1:10" hidden="1" outlineLevel="1">
      <c r="A2754" s="425" t="s">
        <v>1635</v>
      </c>
      <c r="B2754" s="902">
        <v>1675016.66</v>
      </c>
      <c r="C2754" s="135">
        <v>0</v>
      </c>
      <c r="D2754" s="135">
        <v>0</v>
      </c>
      <c r="E2754" s="135">
        <v>0</v>
      </c>
      <c r="F2754" s="220">
        <v>0</v>
      </c>
      <c r="G2754" s="210">
        <v>0</v>
      </c>
      <c r="H2754" s="210">
        <v>0</v>
      </c>
      <c r="I2754" s="898">
        <f t="shared" si="149"/>
        <v>1675016.66</v>
      </c>
      <c r="J2754" s="203" t="s">
        <v>1636</v>
      </c>
    </row>
    <row r="2755" spans="1:10" hidden="1" outlineLevel="1">
      <c r="A2755" s="425" t="s">
        <v>1637</v>
      </c>
      <c r="B2755" s="902">
        <v>914909.5</v>
      </c>
      <c r="C2755" s="135">
        <v>0</v>
      </c>
      <c r="D2755" s="135">
        <v>0</v>
      </c>
      <c r="E2755" s="135">
        <v>0</v>
      </c>
      <c r="F2755" s="220">
        <v>0</v>
      </c>
      <c r="G2755" s="210">
        <v>0</v>
      </c>
      <c r="H2755" s="210">
        <v>0</v>
      </c>
      <c r="I2755" s="898">
        <f t="shared" si="149"/>
        <v>914909.5</v>
      </c>
      <c r="J2755" s="203" t="s">
        <v>1638</v>
      </c>
    </row>
    <row r="2756" spans="1:10" hidden="1" outlineLevel="1">
      <c r="A2756" s="425" t="s">
        <v>767</v>
      </c>
      <c r="B2756" s="902">
        <v>2510309.23</v>
      </c>
      <c r="C2756" s="135">
        <v>0</v>
      </c>
      <c r="D2756" s="135">
        <v>0</v>
      </c>
      <c r="E2756" s="135">
        <v>0</v>
      </c>
      <c r="F2756" s="220">
        <v>0</v>
      </c>
      <c r="G2756" s="210">
        <v>0</v>
      </c>
      <c r="H2756" s="210">
        <v>0</v>
      </c>
      <c r="I2756" s="898">
        <f t="shared" si="149"/>
        <v>2510309.23</v>
      </c>
      <c r="J2756" s="203" t="s">
        <v>768</v>
      </c>
    </row>
    <row r="2757" spans="1:10" hidden="1" outlineLevel="1">
      <c r="A2757" s="425" t="s">
        <v>1639</v>
      </c>
      <c r="B2757" s="902">
        <v>252278.88</v>
      </c>
      <c r="C2757" s="135">
        <v>0</v>
      </c>
      <c r="D2757" s="135">
        <v>0</v>
      </c>
      <c r="E2757" s="135">
        <v>0</v>
      </c>
      <c r="F2757" s="220">
        <v>0</v>
      </c>
      <c r="G2757" s="210">
        <v>0</v>
      </c>
      <c r="H2757" s="210">
        <v>0</v>
      </c>
      <c r="I2757" s="898">
        <f t="shared" si="149"/>
        <v>252278.88</v>
      </c>
      <c r="J2757" s="203" t="s">
        <v>1640</v>
      </c>
    </row>
    <row r="2758" spans="1:10" hidden="1" outlineLevel="1">
      <c r="A2758" s="425" t="s">
        <v>1641</v>
      </c>
      <c r="B2758" s="902">
        <v>556010.26</v>
      </c>
      <c r="C2758" s="135">
        <v>0</v>
      </c>
      <c r="D2758" s="135">
        <v>0</v>
      </c>
      <c r="E2758" s="135">
        <v>0</v>
      </c>
      <c r="F2758" s="220">
        <v>0</v>
      </c>
      <c r="G2758" s="210">
        <v>0</v>
      </c>
      <c r="H2758" s="210">
        <v>0</v>
      </c>
      <c r="I2758" s="898">
        <f t="shared" si="149"/>
        <v>556010.26</v>
      </c>
      <c r="J2758" s="203" t="s">
        <v>1642</v>
      </c>
    </row>
    <row r="2759" spans="1:10" hidden="1" outlineLevel="1">
      <c r="A2759" s="425" t="s">
        <v>1643</v>
      </c>
      <c r="B2759" s="902">
        <v>752261.48</v>
      </c>
      <c r="C2759" s="135">
        <v>0</v>
      </c>
      <c r="D2759" s="135">
        <v>0</v>
      </c>
      <c r="E2759" s="135">
        <v>0</v>
      </c>
      <c r="F2759" s="220">
        <v>0</v>
      </c>
      <c r="G2759" s="210">
        <v>0</v>
      </c>
      <c r="H2759" s="210">
        <v>0</v>
      </c>
      <c r="I2759" s="898">
        <f t="shared" si="149"/>
        <v>752261.48</v>
      </c>
      <c r="J2759" s="203" t="s">
        <v>1644</v>
      </c>
    </row>
    <row r="2760" spans="1:10" hidden="1" outlineLevel="1">
      <c r="A2760" s="425" t="s">
        <v>1645</v>
      </c>
      <c r="B2760" s="902">
        <v>347200.02</v>
      </c>
      <c r="C2760" s="135">
        <v>0</v>
      </c>
      <c r="D2760" s="135">
        <v>0</v>
      </c>
      <c r="E2760" s="135">
        <v>0</v>
      </c>
      <c r="F2760" s="220">
        <v>0</v>
      </c>
      <c r="G2760" s="210">
        <v>0</v>
      </c>
      <c r="H2760" s="210">
        <v>0</v>
      </c>
      <c r="I2760" s="898">
        <f t="shared" si="149"/>
        <v>347200.02</v>
      </c>
      <c r="J2760" s="203" t="s">
        <v>1646</v>
      </c>
    </row>
    <row r="2761" spans="1:10" hidden="1" outlineLevel="1">
      <c r="A2761" s="425" t="s">
        <v>1647</v>
      </c>
      <c r="B2761" s="902">
        <v>535736.27</v>
      </c>
      <c r="C2761" s="135">
        <v>0</v>
      </c>
      <c r="D2761" s="135">
        <v>0</v>
      </c>
      <c r="E2761" s="135">
        <v>0</v>
      </c>
      <c r="F2761" s="220">
        <v>0</v>
      </c>
      <c r="G2761" s="210">
        <v>0</v>
      </c>
      <c r="H2761" s="210">
        <v>0</v>
      </c>
      <c r="I2761" s="898">
        <f t="shared" si="149"/>
        <v>535736.27</v>
      </c>
      <c r="J2761" s="203" t="s">
        <v>1648</v>
      </c>
    </row>
    <row r="2762" spans="1:10" hidden="1" outlineLevel="1">
      <c r="A2762" s="425" t="s">
        <v>1649</v>
      </c>
      <c r="B2762" s="902">
        <v>170103.67</v>
      </c>
      <c r="C2762" s="135">
        <v>0</v>
      </c>
      <c r="D2762" s="135">
        <v>0</v>
      </c>
      <c r="E2762" s="135">
        <v>0</v>
      </c>
      <c r="F2762" s="220">
        <v>0</v>
      </c>
      <c r="G2762" s="210">
        <v>0</v>
      </c>
      <c r="H2762" s="210">
        <v>0</v>
      </c>
      <c r="I2762" s="898">
        <f t="shared" si="149"/>
        <v>170103.67</v>
      </c>
      <c r="J2762" s="203" t="s">
        <v>1650</v>
      </c>
    </row>
    <row r="2763" spans="1:10" hidden="1" outlineLevel="1">
      <c r="A2763" s="425" t="s">
        <v>1651</v>
      </c>
      <c r="B2763" s="902">
        <v>843554.65</v>
      </c>
      <c r="C2763" s="135">
        <v>0</v>
      </c>
      <c r="D2763" s="135">
        <v>0</v>
      </c>
      <c r="E2763" s="135">
        <v>0</v>
      </c>
      <c r="F2763" s="220">
        <v>0</v>
      </c>
      <c r="G2763" s="210">
        <v>0</v>
      </c>
      <c r="H2763" s="210">
        <v>0</v>
      </c>
      <c r="I2763" s="898">
        <f t="shared" si="149"/>
        <v>843554.65</v>
      </c>
      <c r="J2763" s="203" t="s">
        <v>1652</v>
      </c>
    </row>
    <row r="2764" spans="1:10" hidden="1" outlineLevel="1">
      <c r="A2764" s="425" t="s">
        <v>1653</v>
      </c>
      <c r="B2764" s="902">
        <v>356537.71</v>
      </c>
      <c r="C2764" s="135">
        <v>0</v>
      </c>
      <c r="D2764" s="135">
        <v>0</v>
      </c>
      <c r="E2764" s="135">
        <v>0</v>
      </c>
      <c r="F2764" s="220">
        <v>0</v>
      </c>
      <c r="G2764" s="210">
        <v>0</v>
      </c>
      <c r="H2764" s="210">
        <v>0</v>
      </c>
      <c r="I2764" s="898">
        <f t="shared" si="149"/>
        <v>356537.71</v>
      </c>
      <c r="J2764" s="203" t="s">
        <v>1654</v>
      </c>
    </row>
    <row r="2765" spans="1:10" hidden="1" outlineLevel="1">
      <c r="A2765" s="425" t="s">
        <v>1655</v>
      </c>
      <c r="B2765" s="902">
        <v>701866.9</v>
      </c>
      <c r="C2765" s="135">
        <v>0</v>
      </c>
      <c r="D2765" s="135">
        <v>0</v>
      </c>
      <c r="E2765" s="135">
        <v>0</v>
      </c>
      <c r="F2765" s="220">
        <v>0</v>
      </c>
      <c r="G2765" s="210">
        <v>0</v>
      </c>
      <c r="H2765" s="210">
        <v>0</v>
      </c>
      <c r="I2765" s="898">
        <f t="shared" si="149"/>
        <v>701866.9</v>
      </c>
      <c r="J2765" s="203" t="s">
        <v>1656</v>
      </c>
    </row>
    <row r="2766" spans="1:10" hidden="1" outlineLevel="1">
      <c r="A2766" s="425" t="s">
        <v>1657</v>
      </c>
      <c r="B2766" s="902">
        <v>1012067.11</v>
      </c>
      <c r="C2766" s="135">
        <v>0</v>
      </c>
      <c r="D2766" s="135">
        <v>0</v>
      </c>
      <c r="E2766" s="135">
        <v>0</v>
      </c>
      <c r="F2766" s="220">
        <v>0</v>
      </c>
      <c r="G2766" s="210">
        <v>0</v>
      </c>
      <c r="H2766" s="210">
        <v>0</v>
      </c>
      <c r="I2766" s="898">
        <f t="shared" si="149"/>
        <v>1012067.11</v>
      </c>
      <c r="J2766" s="203" t="s">
        <v>1658</v>
      </c>
    </row>
    <row r="2767" spans="1:10" hidden="1" outlineLevel="1">
      <c r="A2767" s="425" t="s">
        <v>1659</v>
      </c>
      <c r="B2767" s="902">
        <v>608087.56000000006</v>
      </c>
      <c r="C2767" s="135">
        <v>0</v>
      </c>
      <c r="D2767" s="135">
        <v>0</v>
      </c>
      <c r="E2767" s="135">
        <v>0</v>
      </c>
      <c r="F2767" s="220">
        <v>0</v>
      </c>
      <c r="G2767" s="210">
        <v>0</v>
      </c>
      <c r="H2767" s="210">
        <v>0</v>
      </c>
      <c r="I2767" s="898">
        <f t="shared" si="149"/>
        <v>608087.56000000006</v>
      </c>
      <c r="J2767" s="203" t="s">
        <v>1660</v>
      </c>
    </row>
    <row r="2768" spans="1:10" hidden="1" outlineLevel="1">
      <c r="A2768" s="425" t="s">
        <v>1661</v>
      </c>
      <c r="B2768" s="902">
        <v>962787.3</v>
      </c>
      <c r="C2768" s="135">
        <v>0</v>
      </c>
      <c r="D2768" s="135">
        <v>0</v>
      </c>
      <c r="E2768" s="135">
        <v>0</v>
      </c>
      <c r="F2768" s="220">
        <v>0</v>
      </c>
      <c r="G2768" s="210">
        <v>0</v>
      </c>
      <c r="H2768" s="210">
        <v>0</v>
      </c>
      <c r="I2768" s="898">
        <f t="shared" si="149"/>
        <v>962787.3</v>
      </c>
      <c r="J2768" s="203" t="s">
        <v>1662</v>
      </c>
    </row>
    <row r="2769" spans="1:10" hidden="1" outlineLevel="1">
      <c r="A2769" s="425" t="s">
        <v>1663</v>
      </c>
      <c r="B2769" s="902">
        <v>2020169.01</v>
      </c>
      <c r="C2769" s="135">
        <v>0</v>
      </c>
      <c r="D2769" s="135">
        <v>0</v>
      </c>
      <c r="E2769" s="135">
        <v>0</v>
      </c>
      <c r="F2769" s="220">
        <v>0</v>
      </c>
      <c r="G2769" s="210">
        <v>0</v>
      </c>
      <c r="H2769" s="210">
        <v>0</v>
      </c>
      <c r="I2769" s="898">
        <f t="shared" si="149"/>
        <v>2020169.01</v>
      </c>
      <c r="J2769" s="203" t="s">
        <v>1664</v>
      </c>
    </row>
    <row r="2770" spans="1:10" hidden="1" outlineLevel="1">
      <c r="A2770" s="425" t="s">
        <v>789</v>
      </c>
      <c r="B2770" s="902">
        <v>1598006.26</v>
      </c>
      <c r="C2770" s="135">
        <v>0</v>
      </c>
      <c r="D2770" s="135">
        <v>0</v>
      </c>
      <c r="E2770" s="135">
        <v>0</v>
      </c>
      <c r="F2770" s="220">
        <v>0</v>
      </c>
      <c r="G2770" s="210">
        <v>0</v>
      </c>
      <c r="H2770" s="210">
        <v>0</v>
      </c>
      <c r="I2770" s="898">
        <f t="shared" si="149"/>
        <v>1598006.26</v>
      </c>
      <c r="J2770" s="203" t="s">
        <v>790</v>
      </c>
    </row>
    <row r="2771" spans="1:10" hidden="1" outlineLevel="1">
      <c r="A2771" s="425" t="s">
        <v>1665</v>
      </c>
      <c r="B2771" s="902">
        <v>475629.69</v>
      </c>
      <c r="C2771" s="135">
        <v>0</v>
      </c>
      <c r="D2771" s="135">
        <v>0</v>
      </c>
      <c r="E2771" s="135">
        <v>0</v>
      </c>
      <c r="F2771" s="220">
        <v>0</v>
      </c>
      <c r="G2771" s="210">
        <v>0</v>
      </c>
      <c r="H2771" s="210">
        <v>0</v>
      </c>
      <c r="I2771" s="898">
        <f t="shared" si="149"/>
        <v>475629.69</v>
      </c>
      <c r="J2771" s="203" t="s">
        <v>1666</v>
      </c>
    </row>
    <row r="2772" spans="1:10" hidden="1" outlineLevel="1">
      <c r="A2772" s="425" t="s">
        <v>1667</v>
      </c>
      <c r="B2772" s="902">
        <v>1388934.52</v>
      </c>
      <c r="C2772" s="135">
        <v>0</v>
      </c>
      <c r="D2772" s="135">
        <v>0</v>
      </c>
      <c r="E2772" s="135">
        <v>0</v>
      </c>
      <c r="F2772" s="220">
        <v>0</v>
      </c>
      <c r="G2772" s="210">
        <v>0</v>
      </c>
      <c r="H2772" s="210">
        <v>0</v>
      </c>
      <c r="I2772" s="898">
        <f t="shared" si="149"/>
        <v>1388934.52</v>
      </c>
      <c r="J2772" s="203" t="s">
        <v>1668</v>
      </c>
    </row>
    <row r="2773" spans="1:10" hidden="1" outlineLevel="1">
      <c r="A2773" s="425" t="s">
        <v>1669</v>
      </c>
      <c r="B2773" s="902">
        <v>426619.58</v>
      </c>
      <c r="C2773" s="135">
        <v>0</v>
      </c>
      <c r="D2773" s="135">
        <v>0</v>
      </c>
      <c r="E2773" s="135">
        <v>0</v>
      </c>
      <c r="F2773" s="220">
        <v>0</v>
      </c>
      <c r="G2773" s="210">
        <v>0</v>
      </c>
      <c r="H2773" s="210">
        <v>0</v>
      </c>
      <c r="I2773" s="898">
        <f t="shared" si="149"/>
        <v>426619.58</v>
      </c>
      <c r="J2773" s="203" t="s">
        <v>1670</v>
      </c>
    </row>
    <row r="2774" spans="1:10" hidden="1" outlineLevel="1">
      <c r="A2774" s="425" t="s">
        <v>1671</v>
      </c>
      <c r="B2774" s="902">
        <v>2846043.56</v>
      </c>
      <c r="C2774" s="135">
        <v>0</v>
      </c>
      <c r="D2774" s="135">
        <v>0</v>
      </c>
      <c r="E2774" s="135">
        <v>0</v>
      </c>
      <c r="F2774" s="220">
        <v>0</v>
      </c>
      <c r="G2774" s="210">
        <v>0</v>
      </c>
      <c r="H2774" s="210">
        <v>0</v>
      </c>
      <c r="I2774" s="898">
        <f t="shared" si="149"/>
        <v>2846043.56</v>
      </c>
      <c r="J2774" s="203" t="s">
        <v>1672</v>
      </c>
    </row>
    <row r="2775" spans="1:10" hidden="1" outlineLevel="1">
      <c r="A2775" s="425" t="s">
        <v>1673</v>
      </c>
      <c r="B2775" s="902">
        <v>1379415.64</v>
      </c>
      <c r="C2775" s="135">
        <v>0</v>
      </c>
      <c r="D2775" s="135">
        <v>0</v>
      </c>
      <c r="E2775" s="135">
        <v>0</v>
      </c>
      <c r="F2775" s="220">
        <v>0</v>
      </c>
      <c r="G2775" s="210">
        <v>0</v>
      </c>
      <c r="H2775" s="210">
        <v>0</v>
      </c>
      <c r="I2775" s="898">
        <f t="shared" si="149"/>
        <v>1379415.64</v>
      </c>
      <c r="J2775" s="203" t="s">
        <v>1674</v>
      </c>
    </row>
    <row r="2776" spans="1:10" hidden="1" outlineLevel="1">
      <c r="A2776" s="425" t="s">
        <v>543</v>
      </c>
      <c r="B2776" s="902">
        <v>5463360.5599999996</v>
      </c>
      <c r="C2776" s="135">
        <v>0</v>
      </c>
      <c r="D2776" s="135">
        <v>0</v>
      </c>
      <c r="E2776" s="135">
        <v>0</v>
      </c>
      <c r="F2776" s="220">
        <v>2986.33</v>
      </c>
      <c r="G2776" s="210">
        <v>0</v>
      </c>
      <c r="H2776" s="210">
        <v>0</v>
      </c>
      <c r="I2776" s="898">
        <f t="shared" si="149"/>
        <v>5466346.8899999997</v>
      </c>
      <c r="J2776" s="203" t="s">
        <v>544</v>
      </c>
    </row>
    <row r="2777" spans="1:10" hidden="1" outlineLevel="1">
      <c r="A2777" s="425" t="s">
        <v>1675</v>
      </c>
      <c r="B2777" s="902">
        <v>627373.56000000006</v>
      </c>
      <c r="C2777" s="135">
        <v>0</v>
      </c>
      <c r="D2777" s="135">
        <v>0</v>
      </c>
      <c r="E2777" s="135">
        <v>0</v>
      </c>
      <c r="F2777" s="220">
        <v>0</v>
      </c>
      <c r="G2777" s="210">
        <v>0</v>
      </c>
      <c r="H2777" s="210">
        <v>0</v>
      </c>
      <c r="I2777" s="898">
        <f t="shared" si="149"/>
        <v>627373.56000000006</v>
      </c>
      <c r="J2777" s="203" t="s">
        <v>1676</v>
      </c>
    </row>
    <row r="2778" spans="1:10" hidden="1" outlineLevel="1">
      <c r="A2778" s="425" t="s">
        <v>1677</v>
      </c>
      <c r="B2778" s="902">
        <v>2363642.84</v>
      </c>
      <c r="C2778" s="135">
        <v>0</v>
      </c>
      <c r="D2778" s="135">
        <v>0</v>
      </c>
      <c r="E2778" s="135">
        <v>0</v>
      </c>
      <c r="F2778" s="220">
        <v>0</v>
      </c>
      <c r="G2778" s="210">
        <v>0</v>
      </c>
      <c r="H2778" s="210">
        <v>0</v>
      </c>
      <c r="I2778" s="898">
        <f t="shared" si="149"/>
        <v>2363642.84</v>
      </c>
      <c r="J2778" s="203" t="s">
        <v>1678</v>
      </c>
    </row>
    <row r="2779" spans="1:10" hidden="1" outlineLevel="1">
      <c r="A2779" s="425" t="s">
        <v>1679</v>
      </c>
      <c r="B2779" s="902">
        <v>563403.41</v>
      </c>
      <c r="C2779" s="135">
        <v>0</v>
      </c>
      <c r="D2779" s="135">
        <v>0</v>
      </c>
      <c r="E2779" s="135">
        <v>0</v>
      </c>
      <c r="F2779" s="220">
        <v>0</v>
      </c>
      <c r="G2779" s="210">
        <v>0</v>
      </c>
      <c r="H2779" s="210">
        <v>0</v>
      </c>
      <c r="I2779" s="898">
        <f t="shared" si="149"/>
        <v>563403.41</v>
      </c>
      <c r="J2779" s="203" t="s">
        <v>1680</v>
      </c>
    </row>
    <row r="2780" spans="1:10" hidden="1" outlineLevel="1">
      <c r="A2780" s="425" t="s">
        <v>1681</v>
      </c>
      <c r="B2780" s="902">
        <v>553623.09</v>
      </c>
      <c r="C2780" s="135">
        <v>0</v>
      </c>
      <c r="D2780" s="135">
        <v>0</v>
      </c>
      <c r="E2780" s="135">
        <v>0</v>
      </c>
      <c r="F2780" s="220">
        <v>0</v>
      </c>
      <c r="G2780" s="210">
        <v>0</v>
      </c>
      <c r="H2780" s="210">
        <v>0</v>
      </c>
      <c r="I2780" s="898">
        <f t="shared" si="149"/>
        <v>553623.09</v>
      </c>
      <c r="J2780" s="203" t="s">
        <v>1682</v>
      </c>
    </row>
    <row r="2781" spans="1:10" hidden="1" outlineLevel="1">
      <c r="A2781" s="425" t="s">
        <v>1683</v>
      </c>
      <c r="B2781" s="902">
        <v>389538.63</v>
      </c>
      <c r="C2781" s="135">
        <v>0</v>
      </c>
      <c r="D2781" s="135">
        <v>0</v>
      </c>
      <c r="E2781" s="135">
        <v>0</v>
      </c>
      <c r="F2781" s="220">
        <v>0</v>
      </c>
      <c r="G2781" s="210">
        <v>0</v>
      </c>
      <c r="H2781" s="210">
        <v>0</v>
      </c>
      <c r="I2781" s="898">
        <f t="shared" si="149"/>
        <v>389538.63</v>
      </c>
      <c r="J2781" s="203" t="s">
        <v>1684</v>
      </c>
    </row>
    <row r="2782" spans="1:10" hidden="1" outlineLevel="1">
      <c r="A2782" s="425" t="s">
        <v>1685</v>
      </c>
      <c r="B2782" s="902">
        <v>381160.03</v>
      </c>
      <c r="C2782" s="135">
        <v>0</v>
      </c>
      <c r="D2782" s="135">
        <v>0</v>
      </c>
      <c r="E2782" s="135">
        <v>0</v>
      </c>
      <c r="F2782" s="220">
        <v>0</v>
      </c>
      <c r="G2782" s="210">
        <v>0</v>
      </c>
      <c r="H2782" s="210">
        <v>0</v>
      </c>
      <c r="I2782" s="898">
        <f t="shared" si="149"/>
        <v>381160.03</v>
      </c>
      <c r="J2782" s="203" t="s">
        <v>1686</v>
      </c>
    </row>
    <row r="2783" spans="1:10" hidden="1" outlineLevel="1">
      <c r="A2783" s="425" t="s">
        <v>1687</v>
      </c>
      <c r="B2783" s="902">
        <v>1186128.45</v>
      </c>
      <c r="C2783" s="135">
        <v>0</v>
      </c>
      <c r="D2783" s="135">
        <v>0</v>
      </c>
      <c r="E2783" s="135">
        <v>0</v>
      </c>
      <c r="F2783" s="220">
        <v>0</v>
      </c>
      <c r="G2783" s="210">
        <v>0</v>
      </c>
      <c r="H2783" s="210">
        <v>0</v>
      </c>
      <c r="I2783" s="898">
        <f t="shared" si="149"/>
        <v>1186128.45</v>
      </c>
      <c r="J2783" s="203" t="s">
        <v>1688</v>
      </c>
    </row>
    <row r="2784" spans="1:10" hidden="1" outlineLevel="1">
      <c r="A2784" s="425" t="s">
        <v>1132</v>
      </c>
      <c r="B2784" s="902">
        <v>889123.75</v>
      </c>
      <c r="C2784" s="135">
        <v>0</v>
      </c>
      <c r="D2784" s="135">
        <v>0</v>
      </c>
      <c r="E2784" s="135">
        <v>0</v>
      </c>
      <c r="F2784" s="220">
        <v>0</v>
      </c>
      <c r="G2784" s="210">
        <v>0</v>
      </c>
      <c r="H2784" s="210">
        <v>0</v>
      </c>
      <c r="I2784" s="898">
        <f t="shared" si="149"/>
        <v>889123.75</v>
      </c>
      <c r="J2784" s="203" t="s">
        <v>1133</v>
      </c>
    </row>
    <row r="2785" spans="1:10" hidden="1" outlineLevel="1">
      <c r="A2785" s="425" t="s">
        <v>1689</v>
      </c>
      <c r="B2785" s="902">
        <v>629521.32999999996</v>
      </c>
      <c r="C2785" s="135">
        <v>0</v>
      </c>
      <c r="D2785" s="135">
        <v>0</v>
      </c>
      <c r="E2785" s="135">
        <v>0</v>
      </c>
      <c r="F2785" s="220">
        <v>0</v>
      </c>
      <c r="G2785" s="210">
        <v>0</v>
      </c>
      <c r="H2785" s="210">
        <v>0</v>
      </c>
      <c r="I2785" s="898">
        <f t="shared" si="149"/>
        <v>629521.32999999996</v>
      </c>
      <c r="J2785" s="203" t="s">
        <v>1690</v>
      </c>
    </row>
    <row r="2786" spans="1:10" hidden="1" outlineLevel="1">
      <c r="A2786" s="425" t="s">
        <v>1691</v>
      </c>
      <c r="B2786" s="902">
        <v>658212.07999999996</v>
      </c>
      <c r="C2786" s="135">
        <v>0</v>
      </c>
      <c r="D2786" s="135">
        <v>0</v>
      </c>
      <c r="E2786" s="135">
        <v>0</v>
      </c>
      <c r="F2786" s="220">
        <v>0</v>
      </c>
      <c r="G2786" s="210">
        <v>0</v>
      </c>
      <c r="H2786" s="210">
        <v>0</v>
      </c>
      <c r="I2786" s="898">
        <f t="shared" si="149"/>
        <v>658212.07999999996</v>
      </c>
      <c r="J2786" s="203" t="s">
        <v>1692</v>
      </c>
    </row>
    <row r="2787" spans="1:10" hidden="1" outlineLevel="1">
      <c r="A2787" s="425" t="s">
        <v>1693</v>
      </c>
      <c r="B2787" s="902">
        <v>240178.23</v>
      </c>
      <c r="C2787" s="135">
        <v>0</v>
      </c>
      <c r="D2787" s="135">
        <v>0</v>
      </c>
      <c r="E2787" s="135">
        <v>0</v>
      </c>
      <c r="F2787" s="220">
        <v>0</v>
      </c>
      <c r="G2787" s="210">
        <v>0</v>
      </c>
      <c r="H2787" s="210">
        <v>0</v>
      </c>
      <c r="I2787" s="898">
        <f t="shared" si="149"/>
        <v>240178.23</v>
      </c>
      <c r="J2787" s="203" t="s">
        <v>1694</v>
      </c>
    </row>
    <row r="2788" spans="1:10" hidden="1" outlineLevel="1">
      <c r="A2788" s="425" t="s">
        <v>1695</v>
      </c>
      <c r="B2788" s="902">
        <v>18469798.210000001</v>
      </c>
      <c r="C2788" s="135">
        <v>0</v>
      </c>
      <c r="D2788" s="135">
        <v>0</v>
      </c>
      <c r="E2788" s="135">
        <v>0</v>
      </c>
      <c r="F2788" s="220">
        <v>58528.98</v>
      </c>
      <c r="G2788" s="210">
        <v>0</v>
      </c>
      <c r="H2788" s="210">
        <v>0</v>
      </c>
      <c r="I2788" s="898">
        <f t="shared" si="149"/>
        <v>18528327.190000001</v>
      </c>
      <c r="J2788" s="203" t="s">
        <v>1696</v>
      </c>
    </row>
    <row r="2789" spans="1:10" hidden="1" outlineLevel="1">
      <c r="A2789" s="425" t="s">
        <v>1697</v>
      </c>
      <c r="B2789" s="902">
        <v>936467.86</v>
      </c>
      <c r="C2789" s="135">
        <v>0</v>
      </c>
      <c r="D2789" s="135">
        <v>0</v>
      </c>
      <c r="E2789" s="135">
        <v>0</v>
      </c>
      <c r="F2789" s="220">
        <v>616.04</v>
      </c>
      <c r="G2789" s="210">
        <v>0</v>
      </c>
      <c r="H2789" s="210">
        <v>0</v>
      </c>
      <c r="I2789" s="898">
        <f t="shared" si="149"/>
        <v>937083.9</v>
      </c>
      <c r="J2789" s="203" t="s">
        <v>1698</v>
      </c>
    </row>
    <row r="2790" spans="1:10" hidden="1" outlineLevel="1">
      <c r="A2790" s="425" t="s">
        <v>1699</v>
      </c>
      <c r="B2790" s="902">
        <v>3760672.93</v>
      </c>
      <c r="C2790" s="135">
        <v>0</v>
      </c>
      <c r="D2790" s="135">
        <v>0</v>
      </c>
      <c r="E2790" s="135">
        <v>0</v>
      </c>
      <c r="F2790" s="220">
        <v>0</v>
      </c>
      <c r="G2790" s="210">
        <v>0</v>
      </c>
      <c r="H2790" s="210">
        <v>0</v>
      </c>
      <c r="I2790" s="898">
        <f t="shared" si="149"/>
        <v>3760672.93</v>
      </c>
      <c r="J2790" s="203" t="s">
        <v>1700</v>
      </c>
    </row>
    <row r="2791" spans="1:10" hidden="1" outlineLevel="1">
      <c r="A2791" s="425" t="s">
        <v>449</v>
      </c>
      <c r="B2791" s="902">
        <v>1855745.33</v>
      </c>
      <c r="C2791" s="135">
        <v>0</v>
      </c>
      <c r="D2791" s="135">
        <v>0</v>
      </c>
      <c r="E2791" s="135">
        <v>0</v>
      </c>
      <c r="F2791" s="220">
        <v>0</v>
      </c>
      <c r="G2791" s="210">
        <v>0</v>
      </c>
      <c r="H2791" s="210">
        <v>0</v>
      </c>
      <c r="I2791" s="898">
        <f t="shared" ref="I2791:I2800" si="150">SUM(B2791:H2791)</f>
        <v>1855745.33</v>
      </c>
      <c r="J2791" s="203" t="s">
        <v>450</v>
      </c>
    </row>
    <row r="2792" spans="1:10" hidden="1" outlineLevel="1">
      <c r="A2792" s="425" t="s">
        <v>1701</v>
      </c>
      <c r="B2792" s="902">
        <v>28165.58</v>
      </c>
      <c r="C2792" s="135">
        <v>0</v>
      </c>
      <c r="D2792" s="135">
        <v>0</v>
      </c>
      <c r="E2792" s="135">
        <v>0</v>
      </c>
      <c r="F2792" s="220">
        <v>0</v>
      </c>
      <c r="G2792" s="210">
        <v>0</v>
      </c>
      <c r="H2792" s="210">
        <v>0</v>
      </c>
      <c r="I2792" s="898">
        <f t="shared" si="150"/>
        <v>28165.58</v>
      </c>
      <c r="J2792" s="203" t="s">
        <v>1702</v>
      </c>
    </row>
    <row r="2793" spans="1:10" hidden="1" outlineLevel="1">
      <c r="A2793" s="425" t="s">
        <v>837</v>
      </c>
      <c r="B2793" s="902">
        <v>1581737.17</v>
      </c>
      <c r="C2793" s="135">
        <v>0</v>
      </c>
      <c r="D2793" s="135">
        <v>0</v>
      </c>
      <c r="E2793" s="135">
        <v>0</v>
      </c>
      <c r="F2793" s="220">
        <v>0</v>
      </c>
      <c r="G2793" s="210">
        <v>0</v>
      </c>
      <c r="H2793" s="210">
        <v>0</v>
      </c>
      <c r="I2793" s="898">
        <f t="shared" si="150"/>
        <v>1581737.17</v>
      </c>
      <c r="J2793" s="203" t="s">
        <v>838</v>
      </c>
    </row>
    <row r="2794" spans="1:10" hidden="1" outlineLevel="1">
      <c r="A2794" s="425" t="s">
        <v>1703</v>
      </c>
      <c r="B2794" s="902">
        <v>5860155.75</v>
      </c>
      <c r="C2794" s="135">
        <v>0</v>
      </c>
      <c r="D2794" s="135">
        <v>0</v>
      </c>
      <c r="E2794" s="135">
        <v>0</v>
      </c>
      <c r="F2794" s="220">
        <v>0</v>
      </c>
      <c r="G2794" s="210">
        <v>0</v>
      </c>
      <c r="H2794" s="210">
        <v>0</v>
      </c>
      <c r="I2794" s="898">
        <f t="shared" si="150"/>
        <v>5860155.75</v>
      </c>
      <c r="J2794" s="203" t="s">
        <v>1704</v>
      </c>
    </row>
    <row r="2795" spans="1:10" hidden="1" outlineLevel="1">
      <c r="A2795" s="425" t="s">
        <v>1705</v>
      </c>
      <c r="B2795" s="902">
        <v>2103762.62</v>
      </c>
      <c r="C2795" s="135">
        <v>0</v>
      </c>
      <c r="D2795" s="135">
        <v>0</v>
      </c>
      <c r="E2795" s="135">
        <v>0</v>
      </c>
      <c r="F2795" s="220">
        <v>0</v>
      </c>
      <c r="G2795" s="210">
        <v>0</v>
      </c>
      <c r="H2795" s="210">
        <v>0</v>
      </c>
      <c r="I2795" s="898">
        <f t="shared" si="150"/>
        <v>2103762.62</v>
      </c>
      <c r="J2795" s="203" t="s">
        <v>1706</v>
      </c>
    </row>
    <row r="2796" spans="1:10" hidden="1" outlineLevel="1">
      <c r="A2796" s="425" t="s">
        <v>1707</v>
      </c>
      <c r="B2796" s="902">
        <v>250807.99</v>
      </c>
      <c r="C2796" s="135">
        <v>0</v>
      </c>
      <c r="D2796" s="135">
        <v>0</v>
      </c>
      <c r="E2796" s="135">
        <v>0</v>
      </c>
      <c r="F2796" s="220">
        <v>0</v>
      </c>
      <c r="G2796" s="210">
        <v>0</v>
      </c>
      <c r="H2796" s="210">
        <v>0</v>
      </c>
      <c r="I2796" s="898">
        <f t="shared" si="150"/>
        <v>250807.99</v>
      </c>
      <c r="J2796" s="203" t="s">
        <v>1708</v>
      </c>
    </row>
    <row r="2797" spans="1:10" hidden="1" outlineLevel="1">
      <c r="A2797" s="425" t="s">
        <v>1709</v>
      </c>
      <c r="B2797" s="902">
        <v>10854487.279999999</v>
      </c>
      <c r="C2797" s="135">
        <v>0</v>
      </c>
      <c r="D2797" s="135">
        <v>0</v>
      </c>
      <c r="E2797" s="135">
        <v>0</v>
      </c>
      <c r="F2797" s="220">
        <v>0</v>
      </c>
      <c r="G2797" s="210">
        <v>0</v>
      </c>
      <c r="H2797" s="210">
        <v>0</v>
      </c>
      <c r="I2797" s="898">
        <f t="shared" si="150"/>
        <v>10854487.279999999</v>
      </c>
      <c r="J2797" s="203" t="s">
        <v>1710</v>
      </c>
    </row>
    <row r="2798" spans="1:10" hidden="1" outlineLevel="1">
      <c r="A2798" s="425" t="s">
        <v>1972</v>
      </c>
      <c r="B2798" s="902">
        <v>28865.82</v>
      </c>
      <c r="C2798" s="135">
        <v>0</v>
      </c>
      <c r="D2798" s="135">
        <v>0</v>
      </c>
      <c r="E2798" s="135">
        <v>0</v>
      </c>
      <c r="F2798" s="220">
        <v>0</v>
      </c>
      <c r="G2798" s="210">
        <v>0</v>
      </c>
      <c r="H2798" s="210">
        <v>0</v>
      </c>
      <c r="I2798" s="898">
        <f t="shared" si="150"/>
        <v>28865.82</v>
      </c>
      <c r="J2798" s="203" t="s">
        <v>1973</v>
      </c>
    </row>
    <row r="2799" spans="1:10" hidden="1" outlineLevel="1">
      <c r="A2799" s="425" t="s">
        <v>1711</v>
      </c>
      <c r="B2799" s="902">
        <v>280327.34999999998</v>
      </c>
      <c r="C2799" s="135">
        <v>0</v>
      </c>
      <c r="D2799" s="135">
        <v>0</v>
      </c>
      <c r="E2799" s="135">
        <v>0</v>
      </c>
      <c r="F2799" s="220">
        <v>0</v>
      </c>
      <c r="G2799" s="210">
        <v>0</v>
      </c>
      <c r="H2799" s="210">
        <v>0</v>
      </c>
      <c r="I2799" s="898">
        <f t="shared" si="150"/>
        <v>280327.34999999998</v>
      </c>
      <c r="J2799" s="203" t="s">
        <v>1712</v>
      </c>
    </row>
    <row r="2800" spans="1:10" hidden="1" outlineLevel="1">
      <c r="A2800" s="425" t="s">
        <v>1713</v>
      </c>
      <c r="B2800" s="902">
        <v>27881.71</v>
      </c>
      <c r="C2800" s="135">
        <v>0</v>
      </c>
      <c r="D2800" s="135">
        <v>0</v>
      </c>
      <c r="E2800" s="135">
        <v>0</v>
      </c>
      <c r="F2800" s="220">
        <v>0</v>
      </c>
      <c r="G2800" s="210">
        <v>0</v>
      </c>
      <c r="H2800" s="210">
        <v>0</v>
      </c>
      <c r="I2800" s="898">
        <f t="shared" si="150"/>
        <v>27881.71</v>
      </c>
      <c r="J2800" s="203" t="s">
        <v>1714</v>
      </c>
    </row>
    <row r="2801" spans="1:11" ht="13.5" collapsed="1" thickBot="1">
      <c r="A2801" s="427" t="s">
        <v>1715</v>
      </c>
      <c r="B2801" s="903">
        <f t="shared" ref="B2801:I2801" si="151">B1875+B2045+B2280+B2662</f>
        <v>2085566723.6440792</v>
      </c>
      <c r="C2801" s="904">
        <f t="shared" si="151"/>
        <v>0</v>
      </c>
      <c r="D2801" s="904">
        <f t="shared" si="151"/>
        <v>825158.63373599993</v>
      </c>
      <c r="E2801" s="904">
        <f t="shared" si="151"/>
        <v>0</v>
      </c>
      <c r="F2801" s="904">
        <f t="shared" si="151"/>
        <v>9404168.4149280004</v>
      </c>
      <c r="G2801" s="904">
        <f t="shared" si="151"/>
        <v>50529.931968000004</v>
      </c>
      <c r="H2801" s="904">
        <f t="shared" si="151"/>
        <v>9203.5499999999993</v>
      </c>
      <c r="I2801" s="905">
        <f t="shared" si="151"/>
        <v>2095855784.1747115</v>
      </c>
    </row>
    <row r="2802" spans="1:11">
      <c r="A2802" s="6"/>
      <c r="B2802" s="278"/>
      <c r="C2802" s="278"/>
      <c r="D2802" s="278"/>
      <c r="E2802" s="278"/>
      <c r="F2802" s="278"/>
      <c r="G2802" s="278"/>
    </row>
    <row r="2803" spans="1:11" ht="10.5" customHeight="1">
      <c r="A2803" s="6"/>
      <c r="B2803" s="187"/>
      <c r="C2803" s="187"/>
      <c r="D2803" s="187"/>
      <c r="E2803" s="187"/>
      <c r="F2803" s="187"/>
    </row>
    <row r="2804" spans="1:11" ht="12" customHeight="1">
      <c r="A2804" s="35" t="s">
        <v>1984</v>
      </c>
      <c r="H2804" s="185"/>
    </row>
    <row r="2805" spans="1:11" ht="12" customHeight="1" thickBot="1">
      <c r="D2805" s="25"/>
    </row>
    <row r="2806" spans="1:11" ht="27" customHeight="1" thickBot="1">
      <c r="A2806" s="906"/>
      <c r="B2806" s="1175" t="s">
        <v>1985</v>
      </c>
      <c r="C2806" s="1176"/>
      <c r="D2806" s="1177"/>
      <c r="E2806" s="1172" t="s">
        <v>1986</v>
      </c>
      <c r="F2806" s="1172"/>
      <c r="G2806" s="1172"/>
      <c r="H2806" s="1175" t="s">
        <v>1987</v>
      </c>
      <c r="I2806" s="1176"/>
      <c r="J2806" s="1177"/>
    </row>
    <row r="2807" spans="1:11" s="28" customFormat="1" ht="38.25" customHeight="1">
      <c r="A2807" s="907"/>
      <c r="B2807" s="912" t="s">
        <v>1988</v>
      </c>
      <c r="C2807" s="561" t="s">
        <v>1989</v>
      </c>
      <c r="D2807" s="913" t="s">
        <v>1990</v>
      </c>
      <c r="E2807" s="910" t="s">
        <v>1988</v>
      </c>
      <c r="F2807" s="561" t="s">
        <v>1989</v>
      </c>
      <c r="G2807" s="563" t="s">
        <v>1990</v>
      </c>
      <c r="H2807" s="912" t="s">
        <v>1988</v>
      </c>
      <c r="I2807" s="561" t="s">
        <v>1989</v>
      </c>
      <c r="J2807" s="913" t="s">
        <v>1990</v>
      </c>
    </row>
    <row r="2808" spans="1:11" s="597" customFormat="1" ht="19.5" customHeight="1" thickBot="1">
      <c r="A2808" s="908"/>
      <c r="B2808" s="914" t="s">
        <v>84</v>
      </c>
      <c r="C2808" s="592" t="s">
        <v>1722</v>
      </c>
      <c r="D2808" s="915" t="s">
        <v>1722</v>
      </c>
      <c r="E2808" s="911" t="s">
        <v>84</v>
      </c>
      <c r="F2808" s="592" t="s">
        <v>1722</v>
      </c>
      <c r="G2808" s="593" t="s">
        <v>1722</v>
      </c>
      <c r="H2808" s="914" t="s">
        <v>84</v>
      </c>
      <c r="I2808" s="592" t="s">
        <v>1722</v>
      </c>
      <c r="J2808" s="915" t="s">
        <v>1722</v>
      </c>
    </row>
    <row r="2809" spans="1:11">
      <c r="A2809" s="872" t="str">
        <f>A7</f>
        <v>Regelzone 50Hertz (gesamt)</v>
      </c>
      <c r="B2809" s="916">
        <f>+SUM(B2810:B2819)</f>
        <v>4459845235</v>
      </c>
      <c r="C2809" s="207">
        <f t="shared" ref="C2809:D2809" si="152">+SUM(C2810:C2819)</f>
        <v>-12264574.399999999</v>
      </c>
      <c r="D2809" s="917">
        <f t="shared" si="152"/>
        <v>-29256584.739999998</v>
      </c>
      <c r="E2809" s="206">
        <v>0</v>
      </c>
      <c r="F2809" s="207">
        <v>0</v>
      </c>
      <c r="G2809" s="260">
        <v>0</v>
      </c>
      <c r="H2809" s="916">
        <v>0</v>
      </c>
      <c r="I2809" s="207">
        <v>0</v>
      </c>
      <c r="J2809" s="917">
        <v>0</v>
      </c>
    </row>
    <row r="2810" spans="1:11" ht="12" hidden="1" customHeight="1" outlineLevel="1">
      <c r="A2810" s="874" t="s">
        <v>402</v>
      </c>
      <c r="B2810" s="918">
        <v>4254262651</v>
      </c>
      <c r="C2810" s="211">
        <v>-11699222.289999999</v>
      </c>
      <c r="D2810" s="919">
        <f t="shared" ref="D2810:D2819" si="153">ROUND(-B2810*0.656/100,2)</f>
        <v>-27907962.989999998</v>
      </c>
      <c r="E2810" s="210">
        <v>0</v>
      </c>
      <c r="F2810" s="211">
        <f>-0.357/100*E2810</f>
        <v>0</v>
      </c>
      <c r="G2810" s="265">
        <f>+E2810*-0.591/100</f>
        <v>0</v>
      </c>
      <c r="H2810" s="918">
        <v>0</v>
      </c>
      <c r="I2810" s="211">
        <f>-0.357/100*H2810</f>
        <v>0</v>
      </c>
      <c r="J2810" s="922">
        <f>+H2810*-0.591/100</f>
        <v>0</v>
      </c>
      <c r="K2810" s="8" t="s">
        <v>403</v>
      </c>
    </row>
    <row r="2811" spans="1:11" ht="12" hidden="1" customHeight="1" outlineLevel="1">
      <c r="A2811" s="874" t="s">
        <v>388</v>
      </c>
      <c r="B2811" s="918">
        <v>136578334</v>
      </c>
      <c r="C2811" s="211">
        <v>-375590.42</v>
      </c>
      <c r="D2811" s="920">
        <f t="shared" si="153"/>
        <v>-895953.87</v>
      </c>
      <c r="E2811" s="210">
        <v>0</v>
      </c>
      <c r="F2811" s="211">
        <f t="shared" ref="F2811:F2819" si="154">-0.357/100*E2811</f>
        <v>0</v>
      </c>
      <c r="G2811" s="265">
        <f t="shared" ref="G2811:G2819" si="155">+E2811*-0.591/100</f>
        <v>0</v>
      </c>
      <c r="H2811" s="918">
        <v>0</v>
      </c>
      <c r="I2811" s="211">
        <f t="shared" ref="I2811:I2816" si="156">-0.357/100*H2811</f>
        <v>0</v>
      </c>
      <c r="J2811" s="922">
        <f t="shared" ref="J2811:J2816" si="157">+H2811*-0.591/100</f>
        <v>0</v>
      </c>
      <c r="K2811" s="8" t="s">
        <v>389</v>
      </c>
    </row>
    <row r="2812" spans="1:11" ht="12" hidden="1" customHeight="1" outlineLevel="1">
      <c r="A2812" s="874" t="s">
        <v>358</v>
      </c>
      <c r="B2812" s="918">
        <v>714373</v>
      </c>
      <c r="C2812" s="211">
        <v>-1964.53</v>
      </c>
      <c r="D2812" s="920">
        <f t="shared" si="153"/>
        <v>-4686.29</v>
      </c>
      <c r="E2812" s="210">
        <v>0</v>
      </c>
      <c r="F2812" s="211">
        <f t="shared" si="154"/>
        <v>0</v>
      </c>
      <c r="G2812" s="265">
        <f t="shared" si="155"/>
        <v>0</v>
      </c>
      <c r="H2812" s="918">
        <v>0</v>
      </c>
      <c r="I2812" s="211">
        <f t="shared" si="156"/>
        <v>0</v>
      </c>
      <c r="J2812" s="922">
        <f t="shared" si="157"/>
        <v>0</v>
      </c>
      <c r="K2812" s="8" t="s">
        <v>359</v>
      </c>
    </row>
    <row r="2813" spans="1:11" ht="12" hidden="1" customHeight="1" outlineLevel="1">
      <c r="A2813" s="874" t="s">
        <v>228</v>
      </c>
      <c r="B2813" s="918">
        <v>456763</v>
      </c>
      <c r="C2813" s="211">
        <v>-1256.0999999999999</v>
      </c>
      <c r="D2813" s="920">
        <f t="shared" si="153"/>
        <v>-2996.37</v>
      </c>
      <c r="E2813" s="210">
        <v>0</v>
      </c>
      <c r="F2813" s="211">
        <f t="shared" si="154"/>
        <v>0</v>
      </c>
      <c r="G2813" s="265">
        <f t="shared" si="155"/>
        <v>0</v>
      </c>
      <c r="H2813" s="918">
        <v>0</v>
      </c>
      <c r="I2813" s="211">
        <f t="shared" si="156"/>
        <v>0</v>
      </c>
      <c r="J2813" s="922">
        <f t="shared" si="157"/>
        <v>0</v>
      </c>
      <c r="K2813" s="8" t="s">
        <v>229</v>
      </c>
    </row>
    <row r="2814" spans="1:11" ht="12" hidden="1" customHeight="1" outlineLevel="1">
      <c r="A2814" s="874" t="s">
        <v>312</v>
      </c>
      <c r="B2814" s="918">
        <v>2025455</v>
      </c>
      <c r="C2814" s="211">
        <v>-5570</v>
      </c>
      <c r="D2814" s="920">
        <f t="shared" si="153"/>
        <v>-13286.98</v>
      </c>
      <c r="E2814" s="210">
        <v>0</v>
      </c>
      <c r="F2814" s="211">
        <f t="shared" si="154"/>
        <v>0</v>
      </c>
      <c r="G2814" s="265">
        <f t="shared" si="155"/>
        <v>0</v>
      </c>
      <c r="H2814" s="918">
        <v>0</v>
      </c>
      <c r="I2814" s="211">
        <f t="shared" si="156"/>
        <v>0</v>
      </c>
      <c r="J2814" s="922">
        <f t="shared" si="157"/>
        <v>0</v>
      </c>
      <c r="K2814" s="8" t="s">
        <v>313</v>
      </c>
    </row>
    <row r="2815" spans="1:11" ht="12" hidden="1" customHeight="1" outlineLevel="1">
      <c r="A2815" s="874" t="s">
        <v>310</v>
      </c>
      <c r="B2815" s="918">
        <v>13564814</v>
      </c>
      <c r="C2815" s="211">
        <v>-37303.24</v>
      </c>
      <c r="D2815" s="920">
        <f t="shared" si="153"/>
        <v>-88985.18</v>
      </c>
      <c r="E2815" s="210">
        <v>0</v>
      </c>
      <c r="F2815" s="211">
        <f t="shared" si="154"/>
        <v>0</v>
      </c>
      <c r="G2815" s="265">
        <f t="shared" si="155"/>
        <v>0</v>
      </c>
      <c r="H2815" s="918">
        <v>0</v>
      </c>
      <c r="I2815" s="211">
        <f t="shared" si="156"/>
        <v>0</v>
      </c>
      <c r="J2815" s="922">
        <f t="shared" si="157"/>
        <v>0</v>
      </c>
      <c r="K2815" s="8" t="s">
        <v>311</v>
      </c>
    </row>
    <row r="2816" spans="1:11" ht="12" hidden="1" customHeight="1" outlineLevel="1">
      <c r="A2816" s="874" t="s">
        <v>116</v>
      </c>
      <c r="B2816" s="918">
        <v>4868334</v>
      </c>
      <c r="C2816" s="211">
        <v>-13387.92</v>
      </c>
      <c r="D2816" s="920">
        <f t="shared" si="153"/>
        <v>-31936.27</v>
      </c>
      <c r="E2816" s="210">
        <v>0</v>
      </c>
      <c r="F2816" s="211">
        <f t="shared" si="154"/>
        <v>0</v>
      </c>
      <c r="G2816" s="265">
        <f t="shared" si="155"/>
        <v>0</v>
      </c>
      <c r="H2816" s="918">
        <v>0</v>
      </c>
      <c r="I2816" s="211">
        <f t="shared" si="156"/>
        <v>0</v>
      </c>
      <c r="J2816" s="922">
        <f t="shared" si="157"/>
        <v>0</v>
      </c>
      <c r="K2816" s="8" t="s">
        <v>117</v>
      </c>
    </row>
    <row r="2817" spans="1:11" ht="12" hidden="1" customHeight="1" outlineLevel="1">
      <c r="A2817" s="874" t="s">
        <v>248</v>
      </c>
      <c r="B2817" s="918">
        <v>317142</v>
      </c>
      <c r="C2817" s="211">
        <v>-872.14</v>
      </c>
      <c r="D2817" s="920">
        <f t="shared" si="153"/>
        <v>-2080.4499999999998</v>
      </c>
      <c r="E2817" s="210">
        <v>0</v>
      </c>
      <c r="F2817" s="211">
        <f t="shared" si="154"/>
        <v>0</v>
      </c>
      <c r="G2817" s="265">
        <f t="shared" si="155"/>
        <v>0</v>
      </c>
      <c r="H2817" s="918">
        <v>0</v>
      </c>
      <c r="I2817" s="211">
        <f t="shared" ref="I2817:I2819" si="158">-0.357/100*H2817</f>
        <v>0</v>
      </c>
      <c r="J2817" s="922">
        <f t="shared" ref="J2817:J2819" si="159">+H2817*-0.591/100</f>
        <v>0</v>
      </c>
      <c r="K2817" s="8" t="s">
        <v>249</v>
      </c>
    </row>
    <row r="2818" spans="1:11" ht="12" hidden="1" customHeight="1" outlineLevel="1">
      <c r="A2818" s="874" t="s">
        <v>354</v>
      </c>
      <c r="B2818" s="918">
        <v>708678</v>
      </c>
      <c r="C2818" s="211">
        <v>-1948.86</v>
      </c>
      <c r="D2818" s="920">
        <f t="shared" si="153"/>
        <v>-4648.93</v>
      </c>
      <c r="E2818" s="210">
        <v>0</v>
      </c>
      <c r="F2818" s="211">
        <f t="shared" si="154"/>
        <v>0</v>
      </c>
      <c r="G2818" s="265">
        <f t="shared" si="155"/>
        <v>0</v>
      </c>
      <c r="H2818" s="918">
        <v>0</v>
      </c>
      <c r="I2818" s="211">
        <f t="shared" si="158"/>
        <v>0</v>
      </c>
      <c r="J2818" s="922">
        <f t="shared" si="159"/>
        <v>0</v>
      </c>
      <c r="K2818" s="8" t="s">
        <v>355</v>
      </c>
    </row>
    <row r="2819" spans="1:11" ht="12" hidden="1" customHeight="1" outlineLevel="1">
      <c r="A2819" s="874" t="s">
        <v>316</v>
      </c>
      <c r="B2819" s="918">
        <v>46348691</v>
      </c>
      <c r="C2819" s="211">
        <v>-127458.9</v>
      </c>
      <c r="D2819" s="920">
        <f t="shared" si="153"/>
        <v>-304047.40999999997</v>
      </c>
      <c r="E2819" s="210">
        <v>0</v>
      </c>
      <c r="F2819" s="211">
        <f t="shared" si="154"/>
        <v>0</v>
      </c>
      <c r="G2819" s="265">
        <f t="shared" si="155"/>
        <v>0</v>
      </c>
      <c r="H2819" s="918">
        <v>0</v>
      </c>
      <c r="I2819" s="211">
        <f t="shared" si="158"/>
        <v>0</v>
      </c>
      <c r="J2819" s="922">
        <f t="shared" si="159"/>
        <v>0</v>
      </c>
      <c r="K2819" s="8" t="s">
        <v>317</v>
      </c>
    </row>
    <row r="2820" spans="1:11" collapsed="1">
      <c r="A2820" s="856" t="str">
        <f>A177</f>
        <v>Regelzone Amprion (gesamt)</v>
      </c>
      <c r="B2820" s="916">
        <f t="shared" ref="B2820:G2820" si="160">SUM(B2821:B2829)</f>
        <v>3073751152</v>
      </c>
      <c r="C2820" s="206">
        <f t="shared" si="160"/>
        <v>-8452814.9000000004</v>
      </c>
      <c r="D2820" s="921">
        <f t="shared" si="160"/>
        <v>-20163805.240000002</v>
      </c>
      <c r="E2820" s="206">
        <f t="shared" si="160"/>
        <v>149705</v>
      </c>
      <c r="F2820" s="207">
        <f t="shared" si="160"/>
        <v>-411.69</v>
      </c>
      <c r="G2820" s="260">
        <f t="shared" si="160"/>
        <v>-982.06</v>
      </c>
      <c r="H2820" s="916">
        <f t="shared" ref="H2820:J2820" si="161">SUM(H2821:H2829)</f>
        <v>0</v>
      </c>
      <c r="I2820" s="207">
        <f t="shared" si="161"/>
        <v>0</v>
      </c>
      <c r="J2820" s="917">
        <f t="shared" si="161"/>
        <v>0</v>
      </c>
    </row>
    <row r="2821" spans="1:11" ht="12" hidden="1" customHeight="1" outlineLevel="1">
      <c r="A2821" s="874" t="s">
        <v>419</v>
      </c>
      <c r="B2821" s="918">
        <v>4187196</v>
      </c>
      <c r="C2821" s="211">
        <v>-11515</v>
      </c>
      <c r="D2821" s="922">
        <v>-27468</v>
      </c>
      <c r="E2821" s="210">
        <v>0</v>
      </c>
      <c r="F2821" s="211">
        <v>0</v>
      </c>
      <c r="G2821" s="265">
        <v>0</v>
      </c>
      <c r="H2821" s="918">
        <v>0</v>
      </c>
      <c r="I2821" s="211">
        <v>0</v>
      </c>
      <c r="J2821" s="922">
        <v>0</v>
      </c>
      <c r="K2821" s="7" t="s">
        <v>420</v>
      </c>
    </row>
    <row r="2822" spans="1:11" ht="12" hidden="1" customHeight="1" outlineLevel="1">
      <c r="A2822" s="874" t="s">
        <v>463</v>
      </c>
      <c r="B2822" s="918">
        <v>266236200</v>
      </c>
      <c r="C2822" s="211">
        <v>-732149.55</v>
      </c>
      <c r="D2822" s="922">
        <v>-1746509.47</v>
      </c>
      <c r="E2822" s="210">
        <v>0</v>
      </c>
      <c r="F2822" s="211">
        <v>0</v>
      </c>
      <c r="G2822" s="265">
        <v>0</v>
      </c>
      <c r="H2822" s="918">
        <v>0</v>
      </c>
      <c r="I2822" s="211">
        <v>0</v>
      </c>
      <c r="J2822" s="922">
        <v>0</v>
      </c>
      <c r="K2822" s="7" t="s">
        <v>464</v>
      </c>
    </row>
    <row r="2823" spans="1:11" ht="12" hidden="1" customHeight="1" outlineLevel="1">
      <c r="A2823" s="874" t="s">
        <v>469</v>
      </c>
      <c r="B2823" s="918">
        <v>265034043</v>
      </c>
      <c r="C2823" s="211">
        <v>-728843.61</v>
      </c>
      <c r="D2823" s="922">
        <v>-1738623.33</v>
      </c>
      <c r="E2823" s="210">
        <v>0</v>
      </c>
      <c r="F2823" s="211">
        <v>0</v>
      </c>
      <c r="G2823" s="265">
        <v>0</v>
      </c>
      <c r="H2823" s="918">
        <v>0</v>
      </c>
      <c r="I2823" s="211">
        <v>0</v>
      </c>
      <c r="J2823" s="922">
        <v>0</v>
      </c>
      <c r="K2823" s="7" t="s">
        <v>470</v>
      </c>
    </row>
    <row r="2824" spans="1:11" ht="12" hidden="1" customHeight="1" outlineLevel="1">
      <c r="A2824" s="874" t="s">
        <v>495</v>
      </c>
      <c r="B2824" s="918">
        <v>5193241</v>
      </c>
      <c r="C2824" s="211">
        <v>-14281.41</v>
      </c>
      <c r="D2824" s="922">
        <v>-34067.660000000003</v>
      </c>
      <c r="E2824" s="210">
        <v>0</v>
      </c>
      <c r="F2824" s="211">
        <v>0</v>
      </c>
      <c r="G2824" s="265">
        <v>0</v>
      </c>
      <c r="H2824" s="918">
        <v>0</v>
      </c>
      <c r="I2824" s="211">
        <v>0</v>
      </c>
      <c r="J2824" s="922">
        <v>0</v>
      </c>
      <c r="K2824" s="7" t="s">
        <v>496</v>
      </c>
    </row>
    <row r="2825" spans="1:11" ht="12" hidden="1" customHeight="1" outlineLevel="1">
      <c r="A2825" s="874" t="s">
        <v>547</v>
      </c>
      <c r="B2825" s="918">
        <v>0</v>
      </c>
      <c r="C2825" s="211">
        <v>0</v>
      </c>
      <c r="D2825" s="922">
        <v>0</v>
      </c>
      <c r="E2825" s="210">
        <v>149705</v>
      </c>
      <c r="F2825" s="211">
        <v>-411.69</v>
      </c>
      <c r="G2825" s="265">
        <v>-982.06</v>
      </c>
      <c r="H2825" s="918">
        <v>0</v>
      </c>
      <c r="I2825" s="211">
        <v>0</v>
      </c>
      <c r="J2825" s="922">
        <v>0</v>
      </c>
      <c r="K2825" s="7" t="s">
        <v>548</v>
      </c>
    </row>
    <row r="2826" spans="1:11" ht="12" hidden="1" customHeight="1" outlineLevel="1">
      <c r="A2826" s="874" t="s">
        <v>565</v>
      </c>
      <c r="B2826" s="918">
        <v>19229795</v>
      </c>
      <c r="C2826" s="211">
        <v>-52880.98</v>
      </c>
      <c r="D2826" s="922">
        <v>-126145.16</v>
      </c>
      <c r="E2826" s="210">
        <v>0</v>
      </c>
      <c r="F2826" s="211">
        <v>0</v>
      </c>
      <c r="G2826" s="265">
        <v>0</v>
      </c>
      <c r="H2826" s="918">
        <v>0</v>
      </c>
      <c r="I2826" s="211">
        <v>0</v>
      </c>
      <c r="J2826" s="922">
        <v>0</v>
      </c>
      <c r="K2826" s="7" t="s">
        <v>566</v>
      </c>
    </row>
    <row r="2827" spans="1:11" ht="12" hidden="1" customHeight="1" outlineLevel="1">
      <c r="A2827" s="874" t="s">
        <v>573</v>
      </c>
      <c r="B2827" s="918">
        <v>3743778</v>
      </c>
      <c r="C2827" s="211">
        <v>-10295.39</v>
      </c>
      <c r="D2827" s="922">
        <v>-24559.18</v>
      </c>
      <c r="E2827" s="210">
        <v>0</v>
      </c>
      <c r="F2827" s="211">
        <v>0</v>
      </c>
      <c r="G2827" s="265">
        <v>0</v>
      </c>
      <c r="H2827" s="918">
        <v>0</v>
      </c>
      <c r="I2827" s="211">
        <v>0</v>
      </c>
      <c r="J2827" s="922">
        <v>0</v>
      </c>
      <c r="K2827" s="7" t="s">
        <v>574</v>
      </c>
    </row>
    <row r="2828" spans="1:11" ht="12" hidden="1" customHeight="1" outlineLevel="1">
      <c r="A2828" s="874" t="s">
        <v>688</v>
      </c>
      <c r="B2828" s="918">
        <v>1907663</v>
      </c>
      <c r="C2828" s="211">
        <v>-5246.07</v>
      </c>
      <c r="D2828" s="922">
        <v>-12514.27</v>
      </c>
      <c r="E2828" s="210">
        <v>0</v>
      </c>
      <c r="F2828" s="211">
        <v>0</v>
      </c>
      <c r="G2828" s="265">
        <v>0</v>
      </c>
      <c r="H2828" s="918">
        <v>0</v>
      </c>
      <c r="I2828" s="211">
        <v>0</v>
      </c>
      <c r="J2828" s="922">
        <v>0</v>
      </c>
      <c r="K2828" s="7" t="s">
        <v>689</v>
      </c>
    </row>
    <row r="2829" spans="1:11" ht="12" hidden="1" customHeight="1" outlineLevel="1">
      <c r="A2829" s="874" t="s">
        <v>754</v>
      </c>
      <c r="B2829" s="918">
        <v>2508219236</v>
      </c>
      <c r="C2829" s="211">
        <v>-6897602.8899999997</v>
      </c>
      <c r="D2829" s="922">
        <v>-16453918.17</v>
      </c>
      <c r="E2829" s="210">
        <v>0</v>
      </c>
      <c r="F2829" s="211">
        <v>0</v>
      </c>
      <c r="G2829" s="265">
        <v>0</v>
      </c>
      <c r="H2829" s="918">
        <v>0</v>
      </c>
      <c r="I2829" s="211">
        <v>0</v>
      </c>
      <c r="J2829" s="922">
        <v>0</v>
      </c>
      <c r="K2829" s="7" t="s">
        <v>755</v>
      </c>
    </row>
    <row r="2830" spans="1:11" collapsed="1">
      <c r="A2830" s="856" t="str">
        <f>A412</f>
        <v>Regelzone TenneT (gesamt)</v>
      </c>
      <c r="B2830" s="923">
        <f>SUM(B2831:B2847)</f>
        <v>1762394491</v>
      </c>
      <c r="C2830" s="225">
        <f>SUM(C2831:C2847)</f>
        <v>-4845239</v>
      </c>
      <c r="D2830" s="921">
        <f>SUM(D2831:D2847)</f>
        <v>-11558097.25</v>
      </c>
      <c r="E2830" s="206">
        <v>0</v>
      </c>
      <c r="F2830" s="207">
        <v>0</v>
      </c>
      <c r="G2830" s="260">
        <v>0</v>
      </c>
      <c r="H2830" s="916">
        <v>0</v>
      </c>
      <c r="I2830" s="207">
        <v>0</v>
      </c>
      <c r="J2830" s="917">
        <v>0</v>
      </c>
    </row>
    <row r="2831" spans="1:11" ht="12" hidden="1" customHeight="1" outlineLevel="1">
      <c r="A2831" s="870" t="s">
        <v>934</v>
      </c>
      <c r="B2831" s="902">
        <v>1344905132</v>
      </c>
      <c r="C2831" s="135">
        <v>-3697144</v>
      </c>
      <c r="D2831" s="924">
        <v>-8819369.8300000001</v>
      </c>
      <c r="E2831" s="220">
        <v>0</v>
      </c>
      <c r="F2831" s="135">
        <v>0</v>
      </c>
      <c r="G2831" s="102">
        <v>0</v>
      </c>
      <c r="H2831" s="902">
        <v>0</v>
      </c>
      <c r="I2831" s="135">
        <v>0</v>
      </c>
      <c r="J2831" s="924">
        <v>0</v>
      </c>
      <c r="K2831" t="s">
        <v>935</v>
      </c>
    </row>
    <row r="2832" spans="1:11" ht="12" hidden="1" customHeight="1" outlineLevel="1">
      <c r="A2832" s="870" t="s">
        <v>964</v>
      </c>
      <c r="B2832" s="902">
        <v>398113</v>
      </c>
      <c r="C2832" s="135">
        <v>-1095</v>
      </c>
      <c r="D2832" s="924">
        <v>-2611.62</v>
      </c>
      <c r="E2832" s="220">
        <v>0</v>
      </c>
      <c r="F2832" s="135">
        <v>0</v>
      </c>
      <c r="G2832" s="102">
        <v>0</v>
      </c>
      <c r="H2832" s="902">
        <v>0</v>
      </c>
      <c r="I2832" s="135">
        <v>0</v>
      </c>
      <c r="J2832" s="924">
        <v>0</v>
      </c>
      <c r="K2832" t="s">
        <v>965</v>
      </c>
    </row>
    <row r="2833" spans="1:11" ht="12" hidden="1" customHeight="1" outlineLevel="1">
      <c r="A2833" s="870" t="s">
        <v>974</v>
      </c>
      <c r="B2833" s="902">
        <v>1038826</v>
      </c>
      <c r="C2833" s="135">
        <v>-2857</v>
      </c>
      <c r="D2833" s="924">
        <v>-6814.7</v>
      </c>
      <c r="E2833" s="220">
        <v>0</v>
      </c>
      <c r="F2833" s="135">
        <v>0</v>
      </c>
      <c r="G2833" s="102">
        <v>0</v>
      </c>
      <c r="H2833" s="902">
        <v>0</v>
      </c>
      <c r="I2833" s="135">
        <v>0</v>
      </c>
      <c r="J2833" s="924">
        <v>0</v>
      </c>
      <c r="K2833" t="s">
        <v>975</v>
      </c>
    </row>
    <row r="2834" spans="1:11" ht="12" hidden="1" customHeight="1" outlineLevel="1">
      <c r="A2834" s="870" t="s">
        <v>1022</v>
      </c>
      <c r="B2834" s="902">
        <v>5049394</v>
      </c>
      <c r="C2834" s="135">
        <v>-13886</v>
      </c>
      <c r="D2834" s="924">
        <v>-33124.03</v>
      </c>
      <c r="E2834" s="220">
        <v>0</v>
      </c>
      <c r="F2834" s="135">
        <v>0</v>
      </c>
      <c r="G2834" s="102">
        <v>0</v>
      </c>
      <c r="H2834" s="902">
        <v>0</v>
      </c>
      <c r="I2834" s="135">
        <v>0</v>
      </c>
      <c r="J2834" s="924">
        <v>0</v>
      </c>
      <c r="K2834" t="s">
        <v>1023</v>
      </c>
    </row>
    <row r="2835" spans="1:11" ht="12" hidden="1" customHeight="1" outlineLevel="1">
      <c r="A2835" s="870" t="s">
        <v>1094</v>
      </c>
      <c r="B2835" s="902">
        <v>646478</v>
      </c>
      <c r="C2835" s="135">
        <v>-1778</v>
      </c>
      <c r="D2835" s="924">
        <v>-4240.8999999999996</v>
      </c>
      <c r="E2835" s="220">
        <v>0</v>
      </c>
      <c r="F2835" s="135">
        <v>0</v>
      </c>
      <c r="G2835" s="102">
        <v>0</v>
      </c>
      <c r="H2835" s="902">
        <v>0</v>
      </c>
      <c r="I2835" s="135">
        <v>0</v>
      </c>
      <c r="J2835" s="924">
        <v>0</v>
      </c>
      <c r="K2835" t="s">
        <v>1095</v>
      </c>
    </row>
    <row r="2836" spans="1:11" ht="12" hidden="1" customHeight="1" outlineLevel="1">
      <c r="A2836" s="870" t="s">
        <v>1120</v>
      </c>
      <c r="B2836" s="902">
        <v>9325209</v>
      </c>
      <c r="C2836" s="135">
        <v>-25644</v>
      </c>
      <c r="D2836" s="924">
        <v>-61173.37</v>
      </c>
      <c r="E2836" s="220">
        <v>0</v>
      </c>
      <c r="F2836" s="135">
        <v>0</v>
      </c>
      <c r="G2836" s="102">
        <v>0</v>
      </c>
      <c r="H2836" s="902">
        <v>0</v>
      </c>
      <c r="I2836" s="135">
        <v>0</v>
      </c>
      <c r="J2836" s="924">
        <v>0</v>
      </c>
      <c r="K2836" t="s">
        <v>1121</v>
      </c>
    </row>
    <row r="2837" spans="1:11" ht="12" hidden="1" customHeight="1" outlineLevel="1">
      <c r="A2837" s="870" t="s">
        <v>1204</v>
      </c>
      <c r="B2837" s="902">
        <v>5337766</v>
      </c>
      <c r="C2837" s="135">
        <v>-14679</v>
      </c>
      <c r="D2837" s="924">
        <v>-35015.74</v>
      </c>
      <c r="E2837" s="220">
        <v>0</v>
      </c>
      <c r="F2837" s="135">
        <v>0</v>
      </c>
      <c r="G2837" s="102">
        <v>0</v>
      </c>
      <c r="H2837" s="902">
        <v>0</v>
      </c>
      <c r="I2837" s="135">
        <v>0</v>
      </c>
      <c r="J2837" s="924">
        <v>0</v>
      </c>
      <c r="K2837" t="s">
        <v>1205</v>
      </c>
    </row>
    <row r="2838" spans="1:11" ht="12" hidden="1" customHeight="1" outlineLevel="1">
      <c r="A2838" s="870" t="s">
        <v>1326</v>
      </c>
      <c r="B2838" s="902">
        <v>3671372</v>
      </c>
      <c r="C2838" s="135">
        <v>-10096</v>
      </c>
      <c r="D2838" s="924">
        <v>-24084.2</v>
      </c>
      <c r="E2838" s="220">
        <v>0</v>
      </c>
      <c r="F2838" s="135">
        <v>0</v>
      </c>
      <c r="G2838" s="102">
        <v>0</v>
      </c>
      <c r="H2838" s="902">
        <v>0</v>
      </c>
      <c r="I2838" s="135">
        <v>0</v>
      </c>
      <c r="J2838" s="924">
        <v>0</v>
      </c>
      <c r="K2838" t="s">
        <v>1327</v>
      </c>
    </row>
    <row r="2839" spans="1:11" ht="12" hidden="1" customHeight="1" outlineLevel="1">
      <c r="A2839" s="870" t="s">
        <v>1375</v>
      </c>
      <c r="B2839" s="902">
        <v>411960</v>
      </c>
      <c r="C2839" s="135">
        <v>-1133</v>
      </c>
      <c r="D2839" s="924">
        <v>-2702.46</v>
      </c>
      <c r="E2839" s="220">
        <v>0</v>
      </c>
      <c r="F2839" s="135">
        <v>0</v>
      </c>
      <c r="G2839" s="102">
        <v>0</v>
      </c>
      <c r="H2839" s="902">
        <v>0</v>
      </c>
      <c r="I2839" s="135">
        <v>0</v>
      </c>
      <c r="J2839" s="924">
        <v>0</v>
      </c>
      <c r="K2839" t="s">
        <v>1376</v>
      </c>
    </row>
    <row r="2840" spans="1:11" ht="12" hidden="1" customHeight="1" outlineLevel="1">
      <c r="A2840" s="870" t="s">
        <v>1401</v>
      </c>
      <c r="B2840" s="902">
        <v>3161313</v>
      </c>
      <c r="C2840" s="135">
        <v>-8694</v>
      </c>
      <c r="D2840" s="924">
        <v>-20738.21</v>
      </c>
      <c r="E2840" s="220">
        <v>0</v>
      </c>
      <c r="F2840" s="135">
        <v>0</v>
      </c>
      <c r="G2840" s="102">
        <v>0</v>
      </c>
      <c r="H2840" s="902">
        <v>0</v>
      </c>
      <c r="I2840" s="135">
        <v>0</v>
      </c>
      <c r="J2840" s="924">
        <v>0</v>
      </c>
      <c r="K2840" t="s">
        <v>1402</v>
      </c>
    </row>
    <row r="2841" spans="1:11" ht="12" hidden="1" customHeight="1" outlineLevel="1">
      <c r="A2841" s="870" t="s">
        <v>1405</v>
      </c>
      <c r="B2841" s="902">
        <v>193951241</v>
      </c>
      <c r="C2841" s="135">
        <v>-533367</v>
      </c>
      <c r="D2841" s="924">
        <v>-1272323.42</v>
      </c>
      <c r="E2841" s="220">
        <v>0</v>
      </c>
      <c r="F2841" s="135">
        <v>0</v>
      </c>
      <c r="G2841" s="102">
        <v>0</v>
      </c>
      <c r="H2841" s="902">
        <v>0</v>
      </c>
      <c r="I2841" s="135">
        <v>0</v>
      </c>
      <c r="J2841" s="924">
        <v>0</v>
      </c>
      <c r="K2841" t="s">
        <v>1406</v>
      </c>
    </row>
    <row r="2842" spans="1:11" ht="12" hidden="1" customHeight="1" outlineLevel="1">
      <c r="A2842" s="870" t="s">
        <v>1407</v>
      </c>
      <c r="B2842" s="902">
        <v>743612</v>
      </c>
      <c r="C2842" s="135">
        <v>-2045</v>
      </c>
      <c r="D2842" s="924">
        <v>-4878.09</v>
      </c>
      <c r="E2842" s="220">
        <v>0</v>
      </c>
      <c r="F2842" s="135">
        <v>0</v>
      </c>
      <c r="G2842" s="102">
        <v>0</v>
      </c>
      <c r="H2842" s="902">
        <v>0</v>
      </c>
      <c r="I2842" s="135">
        <v>0</v>
      </c>
      <c r="J2842" s="924">
        <v>0</v>
      </c>
      <c r="K2842" t="s">
        <v>1408</v>
      </c>
    </row>
    <row r="2843" spans="1:11" ht="12" hidden="1" customHeight="1" outlineLevel="1">
      <c r="A2843" s="870" t="s">
        <v>509</v>
      </c>
      <c r="B2843" s="902">
        <v>3897074</v>
      </c>
      <c r="C2843" s="135">
        <v>-10717</v>
      </c>
      <c r="D2843" s="924">
        <v>-25564.799999999999</v>
      </c>
      <c r="E2843" s="220">
        <v>0</v>
      </c>
      <c r="F2843" s="135">
        <v>0</v>
      </c>
      <c r="G2843" s="102">
        <v>0</v>
      </c>
      <c r="H2843" s="902">
        <v>0</v>
      </c>
      <c r="I2843" s="135">
        <v>0</v>
      </c>
      <c r="J2843" s="924">
        <v>0</v>
      </c>
      <c r="K2843" t="s">
        <v>510</v>
      </c>
    </row>
    <row r="2844" spans="1:11" ht="12" hidden="1" customHeight="1" outlineLevel="1">
      <c r="A2844" s="870" t="s">
        <v>1413</v>
      </c>
      <c r="B2844" s="902">
        <v>18063316</v>
      </c>
      <c r="C2844" s="135">
        <v>-49674</v>
      </c>
      <c r="D2844" s="924">
        <v>-118495.35</v>
      </c>
      <c r="E2844" s="220">
        <v>0</v>
      </c>
      <c r="F2844" s="135">
        <v>0</v>
      </c>
      <c r="G2844" s="102">
        <v>0</v>
      </c>
      <c r="H2844" s="902">
        <v>0</v>
      </c>
      <c r="I2844" s="135">
        <v>0</v>
      </c>
      <c r="J2844" s="924">
        <v>0</v>
      </c>
      <c r="K2844" t="s">
        <v>1414</v>
      </c>
    </row>
    <row r="2845" spans="1:11" ht="12" hidden="1" customHeight="1" outlineLevel="1">
      <c r="A2845" s="870" t="s">
        <v>388</v>
      </c>
      <c r="B2845" s="902">
        <v>151480868</v>
      </c>
      <c r="C2845" s="135">
        <v>-416572</v>
      </c>
      <c r="D2845" s="924">
        <v>-993714.49</v>
      </c>
      <c r="E2845" s="220">
        <v>0</v>
      </c>
      <c r="F2845" s="135">
        <v>0</v>
      </c>
      <c r="G2845" s="102">
        <v>0</v>
      </c>
      <c r="H2845" s="902">
        <v>0</v>
      </c>
      <c r="I2845" s="135">
        <v>0</v>
      </c>
      <c r="J2845" s="924">
        <v>0</v>
      </c>
      <c r="K2845" t="s">
        <v>389</v>
      </c>
    </row>
    <row r="2846" spans="1:11" ht="12" hidden="1" customHeight="1" outlineLevel="1">
      <c r="A2846" s="870" t="s">
        <v>724</v>
      </c>
      <c r="B2846" s="902">
        <v>13484070</v>
      </c>
      <c r="C2846" s="135">
        <v>-37081</v>
      </c>
      <c r="D2846" s="924">
        <v>-88455.49</v>
      </c>
      <c r="E2846" s="220">
        <v>0</v>
      </c>
      <c r="F2846" s="135">
        <v>0</v>
      </c>
      <c r="G2846" s="102">
        <v>0</v>
      </c>
      <c r="H2846" s="902">
        <v>0</v>
      </c>
      <c r="I2846" s="135">
        <v>0</v>
      </c>
      <c r="J2846" s="924">
        <v>0</v>
      </c>
      <c r="K2846" t="s">
        <v>725</v>
      </c>
    </row>
    <row r="2847" spans="1:11" ht="12" hidden="1" customHeight="1" outlineLevel="1">
      <c r="A2847" s="870" t="s">
        <v>1947</v>
      </c>
      <c r="B2847" s="902">
        <v>6828747</v>
      </c>
      <c r="C2847" s="135">
        <v>-18777</v>
      </c>
      <c r="D2847" s="924">
        <v>-44790.55</v>
      </c>
      <c r="E2847" s="220">
        <v>0</v>
      </c>
      <c r="F2847" s="135">
        <v>0</v>
      </c>
      <c r="G2847" s="102">
        <v>0</v>
      </c>
      <c r="H2847" s="902">
        <v>0</v>
      </c>
      <c r="I2847" s="135">
        <v>0</v>
      </c>
      <c r="J2847" s="924">
        <v>0</v>
      </c>
      <c r="K2847" t="s">
        <v>1948</v>
      </c>
    </row>
    <row r="2848" spans="1:11" ht="13.5" collapsed="1" thickBot="1">
      <c r="A2848" s="909" t="str">
        <f>A794</f>
        <v>Regelzone TransnetBW (gesamt)</v>
      </c>
      <c r="B2848" s="925">
        <f>SUM(B2849:B2852)</f>
        <v>905949214</v>
      </c>
      <c r="C2848" s="1109">
        <f t="shared" ref="C2848:J2848" si="162">SUM(C2849:C2852)</f>
        <v>-2491360.34</v>
      </c>
      <c r="D2848" s="927">
        <f t="shared" si="162"/>
        <v>-5943026.8399999999</v>
      </c>
      <c r="E2848" s="206">
        <f t="shared" si="162"/>
        <v>48353</v>
      </c>
      <c r="F2848" s="206">
        <f t="shared" si="162"/>
        <v>-132.97</v>
      </c>
      <c r="G2848" s="224">
        <f t="shared" si="162"/>
        <v>-317.2</v>
      </c>
      <c r="H2848" s="925">
        <f t="shared" si="162"/>
        <v>0</v>
      </c>
      <c r="I2848" s="926">
        <f t="shared" si="162"/>
        <v>0</v>
      </c>
      <c r="J2848" s="927">
        <f t="shared" si="162"/>
        <v>0</v>
      </c>
    </row>
    <row r="2849" spans="1:11" ht="12" hidden="1" customHeight="1" outlineLevel="1">
      <c r="A2849" s="433" t="s">
        <v>1561</v>
      </c>
      <c r="B2849" s="220">
        <v>63470234</v>
      </c>
      <c r="C2849" s="135">
        <v>-174543.14</v>
      </c>
      <c r="D2849" s="102">
        <v>-416364.74</v>
      </c>
      <c r="E2849" s="227">
        <v>0</v>
      </c>
      <c r="F2849" s="135">
        <v>0</v>
      </c>
      <c r="G2849" s="226">
        <v>0</v>
      </c>
      <c r="H2849" s="220">
        <v>0</v>
      </c>
      <c r="I2849" s="135">
        <v>0</v>
      </c>
      <c r="J2849" s="226">
        <v>0</v>
      </c>
      <c r="K2849" t="s">
        <v>1562</v>
      </c>
    </row>
    <row r="2850" spans="1:11" ht="12" hidden="1" customHeight="1" outlineLevel="1">
      <c r="A2850" s="433" t="s">
        <v>613</v>
      </c>
      <c r="B2850" s="220">
        <v>206054530</v>
      </c>
      <c r="C2850" s="135">
        <v>-566649.96</v>
      </c>
      <c r="D2850" s="102">
        <v>-1351717.71</v>
      </c>
      <c r="E2850" s="227">
        <v>0</v>
      </c>
      <c r="F2850" s="135">
        <v>0</v>
      </c>
      <c r="G2850" s="226">
        <v>0</v>
      </c>
      <c r="H2850" s="220">
        <v>0</v>
      </c>
      <c r="I2850" s="135">
        <v>0</v>
      </c>
      <c r="J2850" s="226">
        <v>0</v>
      </c>
      <c r="K2850" t="s">
        <v>614</v>
      </c>
    </row>
    <row r="2851" spans="1:11" ht="12" hidden="1" customHeight="1" outlineLevel="1">
      <c r="A2851" s="433" t="s">
        <v>1671</v>
      </c>
      <c r="B2851" s="220">
        <v>0</v>
      </c>
      <c r="C2851" s="135">
        <v>0</v>
      </c>
      <c r="D2851" s="102">
        <v>0</v>
      </c>
      <c r="E2851" s="227">
        <v>48353</v>
      </c>
      <c r="F2851" s="135">
        <v>-132.97</v>
      </c>
      <c r="G2851" s="226">
        <v>-317.2</v>
      </c>
      <c r="H2851" s="220">
        <v>0</v>
      </c>
      <c r="I2851" s="135">
        <v>0</v>
      </c>
      <c r="J2851" s="226">
        <v>0</v>
      </c>
      <c r="K2851" t="s">
        <v>1672</v>
      </c>
    </row>
    <row r="2852" spans="1:11" ht="13.5" hidden="1" outlineLevel="1" thickBot="1">
      <c r="A2852" s="433" t="s">
        <v>1703</v>
      </c>
      <c r="B2852" s="220">
        <v>636424450</v>
      </c>
      <c r="C2852" s="135">
        <v>-1750167.24</v>
      </c>
      <c r="D2852" s="102">
        <v>-4174944.39</v>
      </c>
      <c r="E2852" s="227">
        <v>0</v>
      </c>
      <c r="F2852" s="135">
        <v>0</v>
      </c>
      <c r="G2852" s="226">
        <v>0</v>
      </c>
      <c r="H2852" s="220">
        <v>0</v>
      </c>
      <c r="I2852" s="135">
        <v>0</v>
      </c>
      <c r="J2852" s="226">
        <v>0</v>
      </c>
      <c r="K2852" t="s">
        <v>1704</v>
      </c>
    </row>
    <row r="2853" spans="1:11" ht="13.5" collapsed="1" thickBot="1">
      <c r="A2853" s="421" t="s">
        <v>1715</v>
      </c>
      <c r="B2853" s="243">
        <f>B2809+B2820+B2830+B2848</f>
        <v>10201940092</v>
      </c>
      <c r="C2853" s="244">
        <f>C2809+C2820+C2830+C2848</f>
        <v>-28053988.639999997</v>
      </c>
      <c r="D2853" s="244">
        <f>D2809+D2820+D2830+D2848</f>
        <v>-66921514.070000008</v>
      </c>
      <c r="E2853" s="266">
        <f t="shared" ref="E2853:J2853" si="163">E2809+E2820+E2830+E2848</f>
        <v>198058</v>
      </c>
      <c r="F2853" s="244">
        <f t="shared" si="163"/>
        <v>-544.66</v>
      </c>
      <c r="G2853" s="246">
        <f t="shared" si="163"/>
        <v>-1299.26</v>
      </c>
      <c r="H2853" s="243">
        <f t="shared" si="163"/>
        <v>0</v>
      </c>
      <c r="I2853" s="244">
        <f t="shared" si="163"/>
        <v>0</v>
      </c>
      <c r="J2853" s="246">
        <f t="shared" si="163"/>
        <v>0</v>
      </c>
    </row>
    <row r="2854" spans="1:11">
      <c r="A2854" s="6"/>
      <c r="B2854" s="278"/>
      <c r="C2854" s="278"/>
      <c r="D2854" s="278"/>
      <c r="E2854" s="278"/>
      <c r="F2854" s="278"/>
      <c r="G2854" s="278"/>
      <c r="H2854" s="278"/>
      <c r="I2854" s="278"/>
      <c r="J2854" s="278"/>
    </row>
    <row r="2855" spans="1:11">
      <c r="A2855" s="7"/>
      <c r="H2855" s="228"/>
    </row>
    <row r="2856" spans="1:11">
      <c r="A2856" s="35" t="s">
        <v>1991</v>
      </c>
      <c r="H2856" s="185"/>
    </row>
    <row r="2857" spans="1:11" ht="13.5" thickBot="1">
      <c r="D2857" s="25"/>
    </row>
    <row r="2858" spans="1:11" ht="26.25" customHeight="1" thickBot="1">
      <c r="A2858" s="428"/>
      <c r="B2858" s="1172" t="s">
        <v>1992</v>
      </c>
      <c r="C2858" s="1172"/>
      <c r="D2858" s="1172"/>
      <c r="E2858" s="1173" t="s">
        <v>1993</v>
      </c>
      <c r="F2858" s="1172"/>
      <c r="G2858" s="1174"/>
      <c r="H2858" s="185"/>
      <c r="I2858" s="185"/>
      <c r="J2858" s="185"/>
    </row>
    <row r="2859" spans="1:11" s="28" customFormat="1" ht="38.25">
      <c r="A2859" s="564"/>
      <c r="B2859" s="552" t="s">
        <v>1994</v>
      </c>
      <c r="C2859" s="561" t="s">
        <v>1995</v>
      </c>
      <c r="D2859" s="563" t="s">
        <v>1996</v>
      </c>
      <c r="E2859" s="552" t="s">
        <v>1994</v>
      </c>
      <c r="F2859" s="561" t="s">
        <v>1995</v>
      </c>
      <c r="G2859" s="562" t="s">
        <v>1997</v>
      </c>
      <c r="H2859" s="187"/>
      <c r="I2859" s="187"/>
      <c r="J2859" s="187"/>
    </row>
    <row r="2860" spans="1:11" s="597" customFormat="1" ht="19.5" customHeight="1" thickBot="1">
      <c r="A2860" s="590"/>
      <c r="B2860" s="591" t="s">
        <v>84</v>
      </c>
      <c r="C2860" s="592" t="s">
        <v>1722</v>
      </c>
      <c r="D2860" s="593" t="s">
        <v>1722</v>
      </c>
      <c r="E2860" s="591" t="s">
        <v>84</v>
      </c>
      <c r="F2860" s="592" t="s">
        <v>1722</v>
      </c>
      <c r="G2860" s="594" t="s">
        <v>1722</v>
      </c>
      <c r="H2860" s="595"/>
      <c r="I2860" s="596"/>
      <c r="J2860" s="596"/>
    </row>
    <row r="2861" spans="1:11">
      <c r="A2861" s="432" t="str">
        <f>A7</f>
        <v>Regelzone 50Hertz (gesamt)</v>
      </c>
      <c r="B2861" s="217">
        <v>0</v>
      </c>
      <c r="C2861" s="218">
        <v>0</v>
      </c>
      <c r="D2861" s="259">
        <v>0</v>
      </c>
      <c r="E2861" s="229">
        <v>0</v>
      </c>
      <c r="F2861" s="218">
        <v>0</v>
      </c>
      <c r="G2861" s="219">
        <v>0</v>
      </c>
      <c r="H2861" s="185"/>
      <c r="I2861" s="185"/>
      <c r="J2861" s="185"/>
    </row>
    <row r="2862" spans="1:11">
      <c r="A2862" s="430" t="str">
        <f>A177</f>
        <v>Regelzone Amprion (gesamt)</v>
      </c>
      <c r="B2862" s="206">
        <f t="shared" ref="B2862:G2862" si="164">SUM(B2863:B2864)</f>
        <v>1961760</v>
      </c>
      <c r="C2862" s="206">
        <f t="shared" si="164"/>
        <v>5394.39</v>
      </c>
      <c r="D2862" s="224">
        <f t="shared" si="164"/>
        <v>12869.41</v>
      </c>
      <c r="E2862" s="879">
        <f t="shared" si="164"/>
        <v>58417</v>
      </c>
      <c r="F2862" s="881">
        <f t="shared" si="164"/>
        <v>32.130000000000003</v>
      </c>
      <c r="G2862" s="805">
        <f t="shared" si="164"/>
        <v>76.64</v>
      </c>
      <c r="H2862" s="185"/>
      <c r="I2862" s="185"/>
      <c r="J2862" s="185"/>
    </row>
    <row r="2863" spans="1:11" hidden="1" outlineLevel="1">
      <c r="A2863" s="424" t="s">
        <v>415</v>
      </c>
      <c r="B2863" s="210">
        <v>3416</v>
      </c>
      <c r="C2863" s="211">
        <v>9.39</v>
      </c>
      <c r="D2863" s="265">
        <v>22.41</v>
      </c>
      <c r="E2863" s="223">
        <v>58417</v>
      </c>
      <c r="F2863" s="211">
        <v>32.130000000000003</v>
      </c>
      <c r="G2863" s="222">
        <v>76.64</v>
      </c>
      <c r="H2863" s="230" t="s">
        <v>416</v>
      </c>
      <c r="I2863" s="185"/>
      <c r="J2863" s="185"/>
    </row>
    <row r="2864" spans="1:11" hidden="1" outlineLevel="1">
      <c r="A2864" s="424" t="s">
        <v>791</v>
      </c>
      <c r="B2864" s="210">
        <v>1958344</v>
      </c>
      <c r="C2864" s="211">
        <v>5385</v>
      </c>
      <c r="D2864" s="265">
        <v>12847</v>
      </c>
      <c r="E2864" s="223">
        <v>0</v>
      </c>
      <c r="F2864" s="211">
        <v>0</v>
      </c>
      <c r="G2864" s="222">
        <v>0</v>
      </c>
      <c r="H2864" s="230" t="s">
        <v>792</v>
      </c>
      <c r="I2864" s="185"/>
      <c r="J2864" s="185"/>
    </row>
    <row r="2865" spans="1:10" collapsed="1">
      <c r="A2865" s="430" t="str">
        <f>A412</f>
        <v>Regelzone TenneT (gesamt)</v>
      </c>
      <c r="B2865" s="206">
        <f t="shared" ref="B2865:G2865" si="165">SUM(B2866:B2868)</f>
        <v>0</v>
      </c>
      <c r="C2865" s="437">
        <f t="shared" si="165"/>
        <v>0</v>
      </c>
      <c r="D2865" s="261">
        <f t="shared" si="165"/>
        <v>0</v>
      </c>
      <c r="E2865" s="221">
        <f t="shared" si="165"/>
        <v>0</v>
      </c>
      <c r="F2865" s="225">
        <f t="shared" si="165"/>
        <v>0</v>
      </c>
      <c r="G2865" s="231">
        <f t="shared" si="165"/>
        <v>0</v>
      </c>
      <c r="H2865" s="185"/>
      <c r="I2865" s="185"/>
      <c r="J2865" s="185"/>
    </row>
    <row r="2866" spans="1:10" hidden="1" outlineLevel="1">
      <c r="A2866" s="435"/>
      <c r="B2866" s="220"/>
      <c r="C2866" s="135"/>
      <c r="D2866" s="102"/>
      <c r="E2866" s="227"/>
      <c r="F2866" s="135"/>
      <c r="G2866" s="226"/>
      <c r="H2866" s="185"/>
      <c r="I2866" s="185"/>
      <c r="J2866" s="185"/>
    </row>
    <row r="2867" spans="1:10" hidden="1" outlineLevel="1">
      <c r="A2867" s="435"/>
      <c r="B2867" s="220"/>
      <c r="C2867" s="135"/>
      <c r="D2867" s="102"/>
      <c r="E2867" s="227"/>
      <c r="F2867" s="135"/>
      <c r="G2867" s="226"/>
      <c r="H2867" s="185"/>
      <c r="I2867" s="185"/>
      <c r="J2867" s="185"/>
    </row>
    <row r="2868" spans="1:10" hidden="1" outlineLevel="1">
      <c r="A2868" s="435"/>
      <c r="B2868" s="220"/>
      <c r="C2868" s="135"/>
      <c r="D2868" s="102"/>
      <c r="E2868" s="227"/>
      <c r="F2868" s="135"/>
      <c r="G2868" s="226"/>
      <c r="H2868" s="185"/>
      <c r="I2868" s="185"/>
      <c r="J2868" s="185"/>
    </row>
    <row r="2869" spans="1:10" ht="13.5" collapsed="1" thickBot="1">
      <c r="A2869" s="436" t="str">
        <f>A794</f>
        <v>Regelzone TransnetBW (gesamt)</v>
      </c>
      <c r="B2869" s="257">
        <f t="shared" ref="B2869:G2869" si="166">B2870</f>
        <v>3336293</v>
      </c>
      <c r="C2869" s="438">
        <f t="shared" si="166"/>
        <v>9174.7999999999993</v>
      </c>
      <c r="D2869" s="439">
        <f t="shared" si="166"/>
        <v>21886.080000000002</v>
      </c>
      <c r="E2869" s="440">
        <f t="shared" si="166"/>
        <v>0</v>
      </c>
      <c r="F2869" s="438">
        <f t="shared" si="166"/>
        <v>0</v>
      </c>
      <c r="G2869" s="441">
        <f t="shared" si="166"/>
        <v>0</v>
      </c>
      <c r="H2869" s="185"/>
      <c r="I2869" s="185"/>
      <c r="J2869" s="185"/>
    </row>
    <row r="2870" spans="1:10" ht="13.5" hidden="1" outlineLevel="1" thickBot="1">
      <c r="A2870" s="435" t="s">
        <v>789</v>
      </c>
      <c r="B2870" s="220">
        <v>3336293</v>
      </c>
      <c r="C2870" s="135">
        <v>9174.7999999999993</v>
      </c>
      <c r="D2870" s="102">
        <v>21886.080000000002</v>
      </c>
      <c r="E2870" s="227">
        <v>0</v>
      </c>
      <c r="F2870" s="135">
        <v>0</v>
      </c>
      <c r="G2870" s="226">
        <v>0</v>
      </c>
      <c r="H2870" s="185" t="s">
        <v>790</v>
      </c>
      <c r="I2870" s="185"/>
      <c r="J2870" s="185"/>
    </row>
    <row r="2871" spans="1:10" ht="13.5" collapsed="1" thickBot="1">
      <c r="A2871" s="421" t="s">
        <v>1715</v>
      </c>
      <c r="B2871" s="243">
        <f t="shared" ref="B2871:G2871" si="167">B2861+B2862+B2865+B2869</f>
        <v>5298053</v>
      </c>
      <c r="C2871" s="244">
        <f t="shared" si="167"/>
        <v>14569.189999999999</v>
      </c>
      <c r="D2871" s="244">
        <f t="shared" si="167"/>
        <v>34755.490000000005</v>
      </c>
      <c r="E2871" s="442">
        <f t="shared" si="167"/>
        <v>58417</v>
      </c>
      <c r="F2871" s="245">
        <f t="shared" si="167"/>
        <v>32.130000000000003</v>
      </c>
      <c r="G2871" s="246">
        <f t="shared" si="167"/>
        <v>76.64</v>
      </c>
      <c r="H2871" s="185"/>
      <c r="I2871" s="185"/>
      <c r="J2871" s="185"/>
    </row>
    <row r="2873" spans="1:10">
      <c r="A2873" s="35" t="s">
        <v>1998</v>
      </c>
    </row>
    <row r="2874" spans="1:10" ht="13.5" thickBot="1"/>
    <row r="2875" spans="1:10" ht="25.5">
      <c r="A2875" s="428"/>
      <c r="B2875" s="552" t="s">
        <v>1999</v>
      </c>
      <c r="C2875" s="561" t="s">
        <v>2000</v>
      </c>
      <c r="D2875" s="562" t="s">
        <v>2001</v>
      </c>
    </row>
    <row r="2876" spans="1:10" s="597" customFormat="1" ht="19.5" customHeight="1" thickBot="1">
      <c r="A2876" s="590"/>
      <c r="B2876" s="591" t="s">
        <v>84</v>
      </c>
      <c r="C2876" s="592" t="s">
        <v>1722</v>
      </c>
      <c r="D2876" s="594" t="s">
        <v>1722</v>
      </c>
      <c r="E2876" s="596"/>
      <c r="F2876" s="596"/>
      <c r="G2876" s="596"/>
      <c r="H2876" s="596"/>
      <c r="I2876" s="596"/>
      <c r="J2876" s="596"/>
    </row>
    <row r="2877" spans="1:10">
      <c r="A2877" s="443" t="s">
        <v>85</v>
      </c>
      <c r="B2877" s="217">
        <v>21755888411</v>
      </c>
      <c r="C2877" s="1011">
        <v>9191102.5899999999</v>
      </c>
      <c r="D2877" s="236">
        <v>21882255.420000002</v>
      </c>
      <c r="E2877" s="862"/>
    </row>
    <row r="2878" spans="1:10">
      <c r="A2878" s="444" t="s">
        <v>404</v>
      </c>
      <c r="B2878" s="206">
        <v>42383808632</v>
      </c>
      <c r="C2878" s="131">
        <v>17216746.649999999</v>
      </c>
      <c r="D2878" s="237">
        <v>40986771.920000002</v>
      </c>
    </row>
    <row r="2879" spans="1:10">
      <c r="A2879" s="445" t="s">
        <v>855</v>
      </c>
      <c r="B2879" s="206">
        <v>25368573984</v>
      </c>
      <c r="C2879" s="131">
        <v>11387341</v>
      </c>
      <c r="D2879" s="237">
        <v>27137365</v>
      </c>
    </row>
    <row r="2880" spans="1:10" ht="13.5" thickBot="1">
      <c r="A2880" s="446" t="s">
        <v>1486</v>
      </c>
      <c r="B2880" s="212">
        <v>7594825476</v>
      </c>
      <c r="C2880" s="238">
        <v>3872456.47</v>
      </c>
      <c r="D2880" s="239">
        <v>9226022.25</v>
      </c>
    </row>
    <row r="2881" spans="1:11" ht="15.75" thickBot="1">
      <c r="A2881" s="447" t="s">
        <v>1715</v>
      </c>
      <c r="B2881" s="929">
        <f>SUM(B2877:B2880)</f>
        <v>97103096503</v>
      </c>
      <c r="C2881" s="232">
        <f>SUM(C2877:C2880)</f>
        <v>41667646.709999993</v>
      </c>
      <c r="D2881" s="216">
        <f>SUM(D2877:D2880)</f>
        <v>99232414.590000004</v>
      </c>
    </row>
    <row r="2883" spans="1:11">
      <c r="A2883" s="35" t="s">
        <v>2002</v>
      </c>
    </row>
    <row r="2884" spans="1:11" ht="13.5" thickBot="1"/>
    <row r="2885" spans="1:11" ht="63.75">
      <c r="A2885" s="428"/>
      <c r="B2885" s="552" t="s">
        <v>1846</v>
      </c>
      <c r="C2885" s="561" t="s">
        <v>1847</v>
      </c>
      <c r="D2885" s="561" t="s">
        <v>1848</v>
      </c>
      <c r="E2885" s="561" t="s">
        <v>1849</v>
      </c>
      <c r="F2885" s="561" t="s">
        <v>1850</v>
      </c>
      <c r="G2885" s="561" t="s">
        <v>1851</v>
      </c>
      <c r="H2885" s="561" t="s">
        <v>1852</v>
      </c>
      <c r="I2885" s="562" t="s">
        <v>1853</v>
      </c>
      <c r="J2885" s="275"/>
      <c r="K2885" s="3"/>
    </row>
    <row r="2886" spans="1:11" s="597" customFormat="1" ht="16.5" customHeight="1" thickBot="1">
      <c r="A2886" s="590"/>
      <c r="B2886" s="591" t="s">
        <v>84</v>
      </c>
      <c r="C2886" s="592" t="s">
        <v>84</v>
      </c>
      <c r="D2886" s="592" t="s">
        <v>84</v>
      </c>
      <c r="E2886" s="592" t="s">
        <v>84</v>
      </c>
      <c r="F2886" s="592" t="s">
        <v>84</v>
      </c>
      <c r="G2886" s="592" t="s">
        <v>84</v>
      </c>
      <c r="H2886" s="592" t="s">
        <v>84</v>
      </c>
      <c r="I2886" s="592" t="s">
        <v>84</v>
      </c>
      <c r="J2886" s="602"/>
    </row>
    <row r="2887" spans="1:11">
      <c r="A2887" s="430" t="s">
        <v>85</v>
      </c>
      <c r="B2887" s="229">
        <v>432919484</v>
      </c>
      <c r="C2887" s="218">
        <v>0</v>
      </c>
      <c r="D2887" s="218">
        <v>0</v>
      </c>
      <c r="E2887" s="218">
        <v>0</v>
      </c>
      <c r="F2887" s="218">
        <v>0</v>
      </c>
      <c r="G2887" s="218">
        <v>0</v>
      </c>
      <c r="H2887" s="218">
        <v>0</v>
      </c>
      <c r="I2887" s="236">
        <f>SUM(B2887:H2887)</f>
        <v>432919484</v>
      </c>
      <c r="J2887" s="598"/>
      <c r="K2887" s="18"/>
    </row>
    <row r="2888" spans="1:11">
      <c r="A2888" s="430" t="s">
        <v>404</v>
      </c>
      <c r="B2888" s="221">
        <v>1107311118</v>
      </c>
      <c r="C2888" s="207">
        <v>0</v>
      </c>
      <c r="D2888" s="207">
        <v>0</v>
      </c>
      <c r="E2888" s="207">
        <v>0</v>
      </c>
      <c r="F2888" s="207">
        <v>0</v>
      </c>
      <c r="G2888" s="207">
        <v>0</v>
      </c>
      <c r="H2888" s="207">
        <v>0</v>
      </c>
      <c r="I2888" s="237">
        <f t="shared" ref="I2888:I2890" si="168">SUM(B2888:H2888)</f>
        <v>1107311118</v>
      </c>
      <c r="J2888" s="598"/>
      <c r="K2888" s="18"/>
    </row>
    <row r="2889" spans="1:11">
      <c r="A2889" s="430" t="s">
        <v>855</v>
      </c>
      <c r="B2889" s="221">
        <v>773172258</v>
      </c>
      <c r="C2889" s="207">
        <v>0</v>
      </c>
      <c r="D2889" s="207">
        <v>0</v>
      </c>
      <c r="E2889" s="207">
        <v>0</v>
      </c>
      <c r="F2889" s="207">
        <v>0</v>
      </c>
      <c r="G2889" s="207">
        <v>0</v>
      </c>
      <c r="H2889" s="207">
        <v>0</v>
      </c>
      <c r="I2889" s="237">
        <f t="shared" si="168"/>
        <v>773172258</v>
      </c>
      <c r="J2889" s="598"/>
      <c r="K2889" s="18"/>
    </row>
    <row r="2890" spans="1:11" ht="13.5" thickBot="1">
      <c r="A2890" s="431" t="s">
        <v>1486</v>
      </c>
      <c r="B2890" s="601">
        <v>169798571</v>
      </c>
      <c r="C2890" s="213">
        <v>0</v>
      </c>
      <c r="D2890" s="213">
        <v>0</v>
      </c>
      <c r="E2890" s="213">
        <v>0</v>
      </c>
      <c r="F2890" s="213">
        <v>0</v>
      </c>
      <c r="G2890" s="213">
        <v>0</v>
      </c>
      <c r="H2890" s="213">
        <v>0</v>
      </c>
      <c r="I2890" s="239">
        <f t="shared" si="168"/>
        <v>169798571</v>
      </c>
      <c r="J2890" s="599"/>
      <c r="K2890" s="18"/>
    </row>
    <row r="2891" spans="1:11" ht="15.75" thickBot="1">
      <c r="A2891" s="448" t="s">
        <v>1715</v>
      </c>
      <c r="B2891" s="928">
        <f t="shared" ref="B2891" si="169">SUM(B2887:B2890)</f>
        <v>2483201431</v>
      </c>
      <c r="C2891" s="214">
        <f t="shared" ref="C2891:H2891" si="170">SUM(C2887:C2890)</f>
        <v>0</v>
      </c>
      <c r="D2891" s="232">
        <f t="shared" si="170"/>
        <v>0</v>
      </c>
      <c r="E2891" s="232">
        <f t="shared" si="170"/>
        <v>0</v>
      </c>
      <c r="F2891" s="232">
        <f t="shared" si="170"/>
        <v>0</v>
      </c>
      <c r="G2891" s="232">
        <f t="shared" si="170"/>
        <v>0</v>
      </c>
      <c r="H2891" s="232">
        <f t="shared" si="170"/>
        <v>0</v>
      </c>
      <c r="I2891" s="240">
        <f>SUM(I2887:I2890)</f>
        <v>2483201431</v>
      </c>
      <c r="J2891" s="600"/>
      <c r="K2891" s="10"/>
    </row>
    <row r="2892" spans="1:11" ht="15">
      <c r="A2892" s="6"/>
      <c r="B2892" s="278"/>
      <c r="C2892" s="278"/>
      <c r="D2892" s="278"/>
      <c r="E2892" s="278"/>
      <c r="F2892" s="278"/>
      <c r="G2892" s="278"/>
      <c r="H2892" s="278"/>
      <c r="I2892" s="277"/>
      <c r="J2892" s="350"/>
      <c r="K2892" s="10"/>
    </row>
    <row r="2893" spans="1:11" ht="15">
      <c r="A2893" s="6"/>
      <c r="B2893" s="278"/>
      <c r="C2893" s="278"/>
      <c r="D2893" s="278"/>
      <c r="E2893" s="278"/>
      <c r="F2893" s="278"/>
      <c r="G2893" s="278"/>
      <c r="H2893" s="278"/>
      <c r="I2893" s="277"/>
      <c r="J2893" s="350"/>
      <c r="K2893" s="10"/>
    </row>
    <row r="2894" spans="1:11">
      <c r="A2894" s="187" t="s">
        <v>2003</v>
      </c>
      <c r="J2894" s="8"/>
    </row>
    <row r="2895" spans="1:11" ht="13.5" thickBot="1"/>
    <row r="2896" spans="1:11" ht="63.75">
      <c r="A2896" s="428"/>
      <c r="B2896" s="552" t="s">
        <v>1975</v>
      </c>
      <c r="C2896" s="561" t="s">
        <v>1976</v>
      </c>
      <c r="D2896" s="561" t="s">
        <v>1977</v>
      </c>
      <c r="E2896" s="561" t="s">
        <v>1978</v>
      </c>
      <c r="F2896" s="561" t="s">
        <v>1979</v>
      </c>
      <c r="G2896" s="561" t="s">
        <v>1980</v>
      </c>
      <c r="H2896" s="561" t="s">
        <v>1981</v>
      </c>
      <c r="I2896" s="562" t="s">
        <v>1982</v>
      </c>
      <c r="J2896" s="603"/>
      <c r="K2896" s="3"/>
    </row>
    <row r="2897" spans="1:11">
      <c r="A2897" s="590"/>
      <c r="B2897" s="858" t="s">
        <v>1722</v>
      </c>
      <c r="C2897" s="583" t="s">
        <v>1722</v>
      </c>
      <c r="D2897" s="583" t="s">
        <v>1722</v>
      </c>
      <c r="E2897" s="583" t="s">
        <v>1722</v>
      </c>
      <c r="F2897" s="583" t="s">
        <v>1722</v>
      </c>
      <c r="G2897" s="583" t="s">
        <v>1722</v>
      </c>
      <c r="H2897" s="583" t="s">
        <v>1722</v>
      </c>
      <c r="I2897" s="585" t="s">
        <v>1722</v>
      </c>
      <c r="J2897" s="604"/>
    </row>
    <row r="2898" spans="1:11">
      <c r="A2898" s="856" t="s">
        <v>85</v>
      </c>
      <c r="B2898" s="934">
        <v>1190528.76</v>
      </c>
      <c r="C2898" s="217">
        <v>0</v>
      </c>
      <c r="D2898" s="218">
        <v>0</v>
      </c>
      <c r="E2898" s="218">
        <v>0</v>
      </c>
      <c r="F2898" s="218">
        <v>0</v>
      </c>
      <c r="G2898" s="218">
        <v>0</v>
      </c>
      <c r="H2898" s="218">
        <v>0</v>
      </c>
      <c r="I2898" s="236">
        <f>SUM(B2898:H2898)</f>
        <v>1190528.76</v>
      </c>
      <c r="J2898" s="25"/>
      <c r="K2898" s="18"/>
    </row>
    <row r="2899" spans="1:11">
      <c r="A2899" s="856" t="s">
        <v>404</v>
      </c>
      <c r="B2899" s="897">
        <f>ROUND(B2888*0.275/100,2)</f>
        <v>3045105.57</v>
      </c>
      <c r="C2899" s="206">
        <v>0</v>
      </c>
      <c r="D2899" s="207">
        <v>0</v>
      </c>
      <c r="E2899" s="207">
        <v>0</v>
      </c>
      <c r="F2899" s="207">
        <v>0</v>
      </c>
      <c r="G2899" s="207">
        <v>0</v>
      </c>
      <c r="H2899" s="207">
        <v>0</v>
      </c>
      <c r="I2899" s="237">
        <f t="shared" ref="I2899:I2901" si="171">SUM(B2899:H2899)</f>
        <v>3045105.57</v>
      </c>
      <c r="J2899" s="25"/>
      <c r="K2899" s="18"/>
    </row>
    <row r="2900" spans="1:11">
      <c r="A2900" s="856" t="s">
        <v>855</v>
      </c>
      <c r="B2900" s="897">
        <f>ROUND(B2889*0.275/100,2)</f>
        <v>2126223.71</v>
      </c>
      <c r="C2900" s="206">
        <v>0</v>
      </c>
      <c r="D2900" s="207">
        <v>0</v>
      </c>
      <c r="E2900" s="207">
        <v>0</v>
      </c>
      <c r="F2900" s="207">
        <v>0</v>
      </c>
      <c r="G2900" s="207">
        <v>0</v>
      </c>
      <c r="H2900" s="207">
        <v>0</v>
      </c>
      <c r="I2900" s="237">
        <f t="shared" si="171"/>
        <v>2126223.71</v>
      </c>
      <c r="J2900" s="25"/>
      <c r="K2900" s="18"/>
    </row>
    <row r="2901" spans="1:11">
      <c r="A2901" s="857" t="s">
        <v>1486</v>
      </c>
      <c r="B2901" s="935">
        <v>466946.07</v>
      </c>
      <c r="C2901" s="212">
        <v>0</v>
      </c>
      <c r="D2901" s="213">
        <v>0</v>
      </c>
      <c r="E2901" s="213">
        <v>0</v>
      </c>
      <c r="F2901" s="213">
        <v>0</v>
      </c>
      <c r="G2901" s="213">
        <v>0</v>
      </c>
      <c r="H2901" s="213">
        <v>0</v>
      </c>
      <c r="I2901" s="239">
        <f t="shared" si="171"/>
        <v>466946.07</v>
      </c>
      <c r="J2901" s="383"/>
      <c r="K2901" s="18"/>
    </row>
    <row r="2902" spans="1:11" ht="15">
      <c r="A2902" s="448" t="s">
        <v>1715</v>
      </c>
      <c r="B2902" s="928">
        <f t="shared" ref="B2902:I2902" si="172">SUM(B2898:B2901)</f>
        <v>6828804.1100000003</v>
      </c>
      <c r="C2902" s="214">
        <f t="shared" si="172"/>
        <v>0</v>
      </c>
      <c r="D2902" s="232">
        <f t="shared" si="172"/>
        <v>0</v>
      </c>
      <c r="E2902" s="232">
        <f t="shared" si="172"/>
        <v>0</v>
      </c>
      <c r="F2902" s="232">
        <f t="shared" si="172"/>
        <v>0</v>
      </c>
      <c r="G2902" s="232">
        <f t="shared" si="172"/>
        <v>0</v>
      </c>
      <c r="H2902" s="232">
        <f t="shared" si="172"/>
        <v>0</v>
      </c>
      <c r="I2902" s="240">
        <f t="shared" si="172"/>
        <v>6828804.1100000003</v>
      </c>
      <c r="J2902" s="605"/>
      <c r="K2902" s="10"/>
    </row>
    <row r="2905" spans="1:11">
      <c r="A2905" s="187" t="s">
        <v>2004</v>
      </c>
      <c r="J2905" s="8"/>
    </row>
    <row r="2906" spans="1:11" ht="13.5" thickBot="1"/>
    <row r="2907" spans="1:11" ht="63.75">
      <c r="A2907" s="428"/>
      <c r="B2907" s="552" t="s">
        <v>1975</v>
      </c>
      <c r="C2907" s="561" t="s">
        <v>1976</v>
      </c>
      <c r="D2907" s="561" t="s">
        <v>1977</v>
      </c>
      <c r="E2907" s="561" t="s">
        <v>1978</v>
      </c>
      <c r="F2907" s="561" t="s">
        <v>1979</v>
      </c>
      <c r="G2907" s="561" t="s">
        <v>1980</v>
      </c>
      <c r="H2907" s="561" t="s">
        <v>1981</v>
      </c>
      <c r="I2907" s="562" t="s">
        <v>1982</v>
      </c>
      <c r="J2907" s="603"/>
      <c r="K2907" s="3"/>
    </row>
    <row r="2908" spans="1:11" ht="13.5" thickBot="1">
      <c r="A2908" s="590"/>
      <c r="B2908" s="583" t="s">
        <v>1722</v>
      </c>
      <c r="C2908" s="583" t="s">
        <v>1722</v>
      </c>
      <c r="D2908" s="583" t="s">
        <v>1722</v>
      </c>
      <c r="E2908" s="583" t="s">
        <v>1722</v>
      </c>
      <c r="F2908" s="583" t="s">
        <v>1722</v>
      </c>
      <c r="G2908" s="583" t="s">
        <v>1722</v>
      </c>
      <c r="H2908" s="583" t="s">
        <v>1722</v>
      </c>
      <c r="I2908" s="585" t="s">
        <v>1722</v>
      </c>
      <c r="J2908" s="604"/>
    </row>
    <row r="2909" spans="1:11">
      <c r="A2909" s="430" t="s">
        <v>85</v>
      </c>
      <c r="B2909" s="229">
        <v>2839951.85</v>
      </c>
      <c r="C2909" s="218">
        <v>0</v>
      </c>
      <c r="D2909" s="218">
        <v>0</v>
      </c>
      <c r="E2909" s="218">
        <v>0</v>
      </c>
      <c r="F2909" s="218">
        <v>0</v>
      </c>
      <c r="G2909" s="218">
        <v>0</v>
      </c>
      <c r="H2909" s="218">
        <v>0</v>
      </c>
      <c r="I2909" s="236">
        <f>SUM(B2909:H2909)</f>
        <v>2839951.85</v>
      </c>
      <c r="J2909" s="25"/>
      <c r="K2909" s="18"/>
    </row>
    <row r="2910" spans="1:11">
      <c r="A2910" s="430" t="s">
        <v>404</v>
      </c>
      <c r="B2910" s="221">
        <f>ROUND(B2888*0.656/100,2)</f>
        <v>7263960.9299999997</v>
      </c>
      <c r="C2910" s="207">
        <v>0</v>
      </c>
      <c r="D2910" s="207">
        <v>0</v>
      </c>
      <c r="E2910" s="207">
        <v>0</v>
      </c>
      <c r="F2910" s="207">
        <v>0</v>
      </c>
      <c r="G2910" s="207">
        <v>0</v>
      </c>
      <c r="H2910" s="207">
        <v>0</v>
      </c>
      <c r="I2910" s="237">
        <f t="shared" ref="I2910:I2912" si="173">SUM(B2910:H2910)</f>
        <v>7263960.9299999997</v>
      </c>
      <c r="J2910" s="25"/>
      <c r="K2910" s="18"/>
    </row>
    <row r="2911" spans="1:11">
      <c r="A2911" s="430" t="s">
        <v>855</v>
      </c>
      <c r="B2911" s="221">
        <f>ROUND(B2889*0.656/100,2)</f>
        <v>5072010.01</v>
      </c>
      <c r="C2911" s="207">
        <v>0</v>
      </c>
      <c r="D2911" s="207">
        <v>0</v>
      </c>
      <c r="E2911" s="207">
        <v>0</v>
      </c>
      <c r="F2911" s="207">
        <v>0</v>
      </c>
      <c r="G2911" s="207">
        <v>0</v>
      </c>
      <c r="H2911" s="207">
        <v>0</v>
      </c>
      <c r="I2911" s="237">
        <f t="shared" si="173"/>
        <v>5072010.01</v>
      </c>
      <c r="J2911" s="25"/>
      <c r="K2911" s="18"/>
    </row>
    <row r="2912" spans="1:11">
      <c r="A2912" s="431" t="s">
        <v>1486</v>
      </c>
      <c r="B2912" s="601">
        <v>1113878.6299999999</v>
      </c>
      <c r="C2912" s="213">
        <v>0</v>
      </c>
      <c r="D2912" s="213">
        <v>0</v>
      </c>
      <c r="E2912" s="213">
        <v>0</v>
      </c>
      <c r="F2912" s="213">
        <v>0</v>
      </c>
      <c r="G2912" s="213">
        <v>0</v>
      </c>
      <c r="H2912" s="213">
        <v>0</v>
      </c>
      <c r="I2912" s="239">
        <f t="shared" si="173"/>
        <v>1113878.6299999999</v>
      </c>
      <c r="J2912" s="383"/>
      <c r="K2912" s="18"/>
    </row>
    <row r="2913" spans="1:11" ht="15">
      <c r="A2913" s="448" t="s">
        <v>1715</v>
      </c>
      <c r="B2913" s="928">
        <f t="shared" ref="B2913:I2913" si="174">SUM(B2909:B2912)</f>
        <v>16289801.419999998</v>
      </c>
      <c r="C2913" s="450">
        <f t="shared" si="174"/>
        <v>0</v>
      </c>
      <c r="D2913" s="232">
        <f t="shared" si="174"/>
        <v>0</v>
      </c>
      <c r="E2913" s="232">
        <f t="shared" si="174"/>
        <v>0</v>
      </c>
      <c r="F2913" s="232">
        <f t="shared" si="174"/>
        <v>0</v>
      </c>
      <c r="G2913" s="232">
        <f t="shared" si="174"/>
        <v>0</v>
      </c>
      <c r="H2913" s="232">
        <f t="shared" si="174"/>
        <v>0</v>
      </c>
      <c r="I2913" s="240">
        <f t="shared" si="174"/>
        <v>16289801.419999998</v>
      </c>
      <c r="J2913" s="605"/>
      <c r="K2913" s="10"/>
    </row>
    <row r="2914" spans="1:11">
      <c r="A2914" s="6"/>
      <c r="B2914" s="278"/>
      <c r="C2914" s="278"/>
      <c r="D2914" s="278"/>
    </row>
    <row r="2916" spans="1:11">
      <c r="A2916" s="35" t="s">
        <v>2005</v>
      </c>
      <c r="H2916" s="185"/>
    </row>
    <row r="2917" spans="1:11" ht="13.5" thickBot="1">
      <c r="D2917" s="25"/>
    </row>
    <row r="2918" spans="1:11" ht="13.5" thickBot="1">
      <c r="A2918" s="428"/>
      <c r="B2918" s="1172" t="s">
        <v>1985</v>
      </c>
      <c r="C2918" s="1172"/>
      <c r="D2918" s="1172"/>
      <c r="E2918" s="1173" t="s">
        <v>1986</v>
      </c>
      <c r="F2918" s="1172"/>
      <c r="G2918" s="1174"/>
      <c r="H2918" s="1178" t="s">
        <v>1987</v>
      </c>
      <c r="I2918" s="1179"/>
      <c r="J2918" s="1174"/>
    </row>
    <row r="2919" spans="1:11" ht="52.5" customHeight="1">
      <c r="A2919" s="564"/>
      <c r="B2919" s="565" t="s">
        <v>1988</v>
      </c>
      <c r="C2919" s="566" t="s">
        <v>2006</v>
      </c>
      <c r="D2919" s="567" t="s">
        <v>2007</v>
      </c>
      <c r="E2919" s="565" t="s">
        <v>1988</v>
      </c>
      <c r="F2919" s="566" t="s">
        <v>1989</v>
      </c>
      <c r="G2919" s="568" t="s">
        <v>1990</v>
      </c>
      <c r="H2919" s="569" t="s">
        <v>1988</v>
      </c>
      <c r="I2919" s="566" t="s">
        <v>1989</v>
      </c>
      <c r="J2919" s="570" t="s">
        <v>1990</v>
      </c>
    </row>
    <row r="2920" spans="1:11" ht="13.5" thickBot="1">
      <c r="A2920" s="448"/>
      <c r="B2920" s="582" t="s">
        <v>84</v>
      </c>
      <c r="C2920" s="583" t="s">
        <v>1722</v>
      </c>
      <c r="D2920" s="584" t="s">
        <v>1722</v>
      </c>
      <c r="E2920" s="582" t="s">
        <v>84</v>
      </c>
      <c r="F2920" s="583" t="s">
        <v>1722</v>
      </c>
      <c r="G2920" s="584" t="s">
        <v>1722</v>
      </c>
      <c r="H2920" s="582" t="s">
        <v>84</v>
      </c>
      <c r="I2920" s="583" t="s">
        <v>1722</v>
      </c>
      <c r="J2920" s="585" t="s">
        <v>1722</v>
      </c>
    </row>
    <row r="2921" spans="1:11">
      <c r="A2921" s="432" t="s">
        <v>85</v>
      </c>
      <c r="B2921" s="217">
        <v>0</v>
      </c>
      <c r="C2921" s="218">
        <v>0</v>
      </c>
      <c r="D2921" s="259">
        <v>0</v>
      </c>
      <c r="E2921" s="262">
        <v>0</v>
      </c>
      <c r="F2921" s="218">
        <v>0</v>
      </c>
      <c r="G2921" s="263">
        <v>0</v>
      </c>
      <c r="H2921" s="262">
        <v>0</v>
      </c>
      <c r="I2921" s="218">
        <v>0</v>
      </c>
      <c r="J2921" s="263">
        <v>0</v>
      </c>
    </row>
    <row r="2922" spans="1:11">
      <c r="A2922" s="430" t="s">
        <v>404</v>
      </c>
      <c r="B2922" s="206">
        <v>41240</v>
      </c>
      <c r="C2922" s="207">
        <v>-92.05</v>
      </c>
      <c r="D2922" s="260">
        <v>-219.58</v>
      </c>
      <c r="E2922" s="790">
        <v>22068</v>
      </c>
      <c r="F2922" s="207">
        <v>-60.69</v>
      </c>
      <c r="G2922" s="805">
        <v>-144.76</v>
      </c>
      <c r="H2922" s="258">
        <v>0</v>
      </c>
      <c r="I2922" s="225">
        <v>0</v>
      </c>
      <c r="J2922" s="231">
        <v>0</v>
      </c>
    </row>
    <row r="2923" spans="1:11">
      <c r="A2923" s="430" t="s">
        <v>855</v>
      </c>
      <c r="B2923" s="206">
        <v>0</v>
      </c>
      <c r="C2923" s="207">
        <v>0</v>
      </c>
      <c r="D2923" s="260">
        <v>0</v>
      </c>
      <c r="E2923" s="258">
        <v>0</v>
      </c>
      <c r="F2923" s="225">
        <v>0</v>
      </c>
      <c r="G2923" s="231">
        <v>0</v>
      </c>
      <c r="H2923" s="258">
        <v>0</v>
      </c>
      <c r="I2923" s="225">
        <v>0</v>
      </c>
      <c r="J2923" s="231">
        <v>0</v>
      </c>
    </row>
    <row r="2924" spans="1:11" ht="13.5" thickBot="1">
      <c r="A2924" s="434" t="s">
        <v>1486</v>
      </c>
      <c r="B2924" s="206">
        <v>20540</v>
      </c>
      <c r="C2924" s="207">
        <v>-19.38</v>
      </c>
      <c r="D2924" s="260">
        <v>-46.24</v>
      </c>
      <c r="E2924" s="264">
        <v>0</v>
      </c>
      <c r="F2924" s="241">
        <v>0</v>
      </c>
      <c r="G2924" s="242">
        <v>0</v>
      </c>
      <c r="H2924" s="264">
        <v>0</v>
      </c>
      <c r="I2924" s="241">
        <v>0</v>
      </c>
      <c r="J2924" s="242">
        <v>0</v>
      </c>
    </row>
    <row r="2925" spans="1:11" ht="13.5" thickBot="1">
      <c r="A2925" s="421" t="s">
        <v>1715</v>
      </c>
      <c r="B2925" s="243">
        <f>SUM(B2921:B2924)</f>
        <v>61780</v>
      </c>
      <c r="C2925" s="244">
        <f t="shared" ref="C2925:J2925" si="175">SUM(C2921:C2924)</f>
        <v>-111.42999999999999</v>
      </c>
      <c r="D2925" s="244">
        <f t="shared" si="175"/>
        <v>-265.82</v>
      </c>
      <c r="E2925" s="267">
        <f t="shared" si="175"/>
        <v>22068</v>
      </c>
      <c r="F2925" s="232">
        <f t="shared" si="175"/>
        <v>-60.69</v>
      </c>
      <c r="G2925" s="216">
        <f t="shared" si="175"/>
        <v>-144.76</v>
      </c>
      <c r="H2925" s="450">
        <f t="shared" si="175"/>
        <v>0</v>
      </c>
      <c r="I2925" s="232">
        <f t="shared" si="175"/>
        <v>0</v>
      </c>
      <c r="J2925" s="216">
        <f t="shared" si="175"/>
        <v>0</v>
      </c>
    </row>
    <row r="2927" spans="1:11">
      <c r="A2927" s="46"/>
    </row>
    <row r="2929" spans="1:7">
      <c r="A2929" s="35" t="s">
        <v>2008</v>
      </c>
    </row>
    <row r="2930" spans="1:7" ht="13.5" thickBot="1">
      <c r="D2930" s="25"/>
    </row>
    <row r="2931" spans="1:7" ht="13.5" thickBot="1">
      <c r="A2931" s="428"/>
      <c r="B2931" s="1172" t="s">
        <v>1992</v>
      </c>
      <c r="C2931" s="1172"/>
      <c r="D2931" s="1172"/>
      <c r="E2931" s="1173" t="s">
        <v>1993</v>
      </c>
      <c r="F2931" s="1172"/>
      <c r="G2931" s="1174"/>
    </row>
    <row r="2932" spans="1:7" ht="38.25">
      <c r="A2932" s="564"/>
      <c r="B2932" s="552" t="s">
        <v>1994</v>
      </c>
      <c r="C2932" s="561" t="s">
        <v>1995</v>
      </c>
      <c r="D2932" s="563" t="s">
        <v>1996</v>
      </c>
      <c r="E2932" s="552" t="s">
        <v>1994</v>
      </c>
      <c r="F2932" s="561" t="s">
        <v>1995</v>
      </c>
      <c r="G2932" s="562" t="s">
        <v>1997</v>
      </c>
    </row>
    <row r="2933" spans="1:7" ht="13.5" thickBot="1">
      <c r="A2933" s="590"/>
      <c r="B2933" s="591" t="s">
        <v>84</v>
      </c>
      <c r="C2933" s="592" t="s">
        <v>1722</v>
      </c>
      <c r="D2933" s="593" t="s">
        <v>1722</v>
      </c>
      <c r="E2933" s="591" t="s">
        <v>84</v>
      </c>
      <c r="F2933" s="592" t="s">
        <v>1722</v>
      </c>
      <c r="G2933" s="594" t="s">
        <v>1722</v>
      </c>
    </row>
    <row r="2934" spans="1:7">
      <c r="A2934" s="432" t="s">
        <v>85</v>
      </c>
      <c r="B2934" s="217">
        <v>15530310</v>
      </c>
      <c r="C2934" s="218">
        <v>22277.17</v>
      </c>
      <c r="D2934" s="259">
        <v>53140.98</v>
      </c>
      <c r="E2934" s="1101">
        <v>0</v>
      </c>
      <c r="F2934" s="1102">
        <v>0</v>
      </c>
      <c r="G2934" s="863">
        <v>0</v>
      </c>
    </row>
    <row r="2935" spans="1:7">
      <c r="A2935" s="430" t="s">
        <v>404</v>
      </c>
      <c r="B2935" s="206">
        <v>24557840</v>
      </c>
      <c r="C2935" s="207">
        <v>34749.269999999997</v>
      </c>
      <c r="D2935" s="260">
        <v>82892.83</v>
      </c>
      <c r="E2935" s="1103">
        <v>0</v>
      </c>
      <c r="F2935" s="1104">
        <v>0</v>
      </c>
      <c r="G2935" s="864">
        <v>0</v>
      </c>
    </row>
    <row r="2936" spans="1:7">
      <c r="A2936" s="430" t="s">
        <v>855</v>
      </c>
      <c r="B2936" s="206">
        <v>913724693</v>
      </c>
      <c r="C2936" s="207">
        <v>1922048</v>
      </c>
      <c r="D2936" s="260">
        <v>4584959</v>
      </c>
      <c r="E2936" s="1103">
        <v>0</v>
      </c>
      <c r="F2936" s="1104">
        <v>0</v>
      </c>
      <c r="G2936" s="864">
        <v>0</v>
      </c>
    </row>
    <row r="2937" spans="1:7" ht="13.5" thickBot="1">
      <c r="A2937" s="434" t="s">
        <v>1486</v>
      </c>
      <c r="B2937" s="206">
        <v>47830199</v>
      </c>
      <c r="C2937" s="207">
        <v>86088.38</v>
      </c>
      <c r="D2937" s="260">
        <v>205359.89</v>
      </c>
      <c r="E2937" s="1105">
        <v>0</v>
      </c>
      <c r="F2937" s="1106">
        <v>0</v>
      </c>
      <c r="G2937" s="865">
        <v>0</v>
      </c>
    </row>
    <row r="2938" spans="1:7" ht="13.5" thickBot="1">
      <c r="A2938" s="421" t="s">
        <v>1715</v>
      </c>
      <c r="B2938" s="930">
        <f>SUM(B2934:B2937)</f>
        <v>1001643042</v>
      </c>
      <c r="C2938" s="931">
        <f t="shared" ref="C2938:G2938" si="176">SUM(C2934:C2937)</f>
        <v>2065162.8199999998</v>
      </c>
      <c r="D2938" s="932">
        <f t="shared" si="176"/>
        <v>4926352.6999999993</v>
      </c>
      <c r="E2938" s="930">
        <f t="shared" si="176"/>
        <v>0</v>
      </c>
      <c r="F2938" s="931">
        <f t="shared" si="176"/>
        <v>0</v>
      </c>
      <c r="G2938" s="933">
        <f t="shared" si="176"/>
        <v>0</v>
      </c>
    </row>
  </sheetData>
  <sortState xmlns:xlrd2="http://schemas.microsoft.com/office/spreadsheetml/2017/richdata2" ref="A2863:H2864">
    <sortCondition ref="A2863:A2864"/>
  </sortState>
  <mergeCells count="10">
    <mergeCell ref="B2931:D2931"/>
    <mergeCell ref="E2931:G2931"/>
    <mergeCell ref="H2806:J2806"/>
    <mergeCell ref="B2858:D2858"/>
    <mergeCell ref="E2858:G2858"/>
    <mergeCell ref="B2918:D2918"/>
    <mergeCell ref="E2918:G2918"/>
    <mergeCell ref="H2918:J2918"/>
    <mergeCell ref="B2806:D2806"/>
    <mergeCell ref="E2806:G2806"/>
  </mergeCells>
  <pageMargins left="0.23622047244094491" right="0.23622047244094491" top="0.82677165354330717" bottom="0.74803149606299213" header="0.31496062992125984" footer="0.31496062992125984"/>
  <pageSetup paperSize="9" scale="43" fitToHeight="2" orientation="landscape" r:id="rId1"/>
  <headerFooter scaleWithDoc="0">
    <oddHeader>&amp;L&amp;G</oddHeader>
    <oddFooter>&amp;R&amp;U
Anlage 2a
&amp;USeite &amp;P</oddFooter>
  </headerFooter>
  <rowBreaks count="1" manualBreakCount="1">
    <brk id="2872" max="16383" man="1"/>
  </rowBreaks>
  <ignoredErrors>
    <ignoredError sqref="H2820:J2820 C177 C941 H2280 E2820:G2830" formulaRange="1"/>
    <ignoredError sqref="B2280 I1346" formula="1"/>
  </ignoredError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C501F3BAF22714CB7E7152BDDD4B823" ma:contentTypeVersion="20" ma:contentTypeDescription="Ein neues Dokument erstellen." ma:contentTypeScope="" ma:versionID="521609c067caadfe76e7e2b4d735141d">
  <xsd:schema xmlns:xsd="http://www.w3.org/2001/XMLSchema" xmlns:xs="http://www.w3.org/2001/XMLSchema" xmlns:p="http://schemas.microsoft.com/office/2006/metadata/properties" xmlns:ns2="5c6dfab4-252d-401e-a3da-0a884206eb77" xmlns:ns3="http://schemas.microsoft.com/sharepoint/v4" xmlns:ns4="4eee6405-2410-41a9-b466-84efdb81922d" targetNamespace="http://schemas.microsoft.com/office/2006/metadata/properties" ma:root="true" ma:fieldsID="9806c13b728897cc4a777efde39c0836" ns2:_="" ns3:_="" ns4:_="">
    <xsd:import namespace="5c6dfab4-252d-401e-a3da-0a884206eb77"/>
    <xsd:import namespace="http://schemas.microsoft.com/sharepoint/v4"/>
    <xsd:import namespace="4eee6405-2410-41a9-b466-84efdb81922d"/>
    <xsd:element name="properties">
      <xsd:complexType>
        <xsd:sequence>
          <xsd:element name="documentManagement">
            <xsd:complexType>
              <xsd:all>
                <xsd:element ref="ns2:Schlagw_x00f6_rter" minOccurs="0"/>
                <xsd:element ref="ns3:IconOverlay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6dfab4-252d-401e-a3da-0a884206eb77" elementFormDefault="qualified">
    <xsd:import namespace="http://schemas.microsoft.com/office/2006/documentManagement/types"/>
    <xsd:import namespace="http://schemas.microsoft.com/office/infopath/2007/PartnerControls"/>
    <xsd:element name="Schlagw_x00f6_rter" ma:index="8" nillable="true" ma:displayName="Schlagwörter" ma:internalName="Schlagw_x00f6_rter" ma:readOnly="false">
      <xsd:simpleType>
        <xsd:restriction base="dms:Note">
          <xsd:maxLength value="255"/>
        </xsd:restriction>
      </xsd:simple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Bildmarkierungen" ma:readOnly="false" ma:fieldId="{5cf76f15-5ced-4ddc-b409-7134ff3c332f}" ma:taxonomyMulti="true" ma:sspId="c74095c4-f9c7-4481-a14d-3eb675bc63b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9" nillable="true" ma:displayName="IconOverlay" ma:internalName="IconOverlay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ee6405-2410-41a9-b466-84efdb81922d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9855d2d4-e0be-4df1-8e9f-d6caf6e9dbc8}" ma:internalName="TaxCatchAll" ma:showField="CatchAllData" ma:web="4eee6405-2410-41a9-b466-84efdb8192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onOverlay xmlns="http://schemas.microsoft.com/sharepoint/v4" xsi:nil="true"/>
    <Schlagw_x00f6_rter xmlns="5c6dfab4-252d-401e-a3da-0a884206eb77" xsi:nil="true"/>
    <TaxCatchAll xmlns="4eee6405-2410-41a9-b466-84efdb81922d" xsi:nil="true"/>
    <lcf76f155ced4ddcb4097134ff3c332f xmlns="5c6dfab4-252d-401e-a3da-0a884206eb77">
      <Terms xmlns="http://schemas.microsoft.com/office/infopath/2007/PartnerControls"/>
    </lcf76f155ced4ddcb4097134ff3c332f>
  </documentManagement>
</p:properti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9C95775A-0973-440F-9288-34FA1FC0AA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c6dfab4-252d-401e-a3da-0a884206eb77"/>
    <ds:schemaRef ds:uri="http://schemas.microsoft.com/sharepoint/v4"/>
    <ds:schemaRef ds:uri="4eee6405-2410-41a9-b466-84efdb8192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EC62C43-68FB-4025-AA3B-E243A814A68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7461996-B6DD-4238-8268-0511F1E32452}">
  <ds:schemaRefs>
    <ds:schemaRef ds:uri="http://purl.org/dc/terms/"/>
    <ds:schemaRef ds:uri="http://purl.org/dc/elements/1.1/"/>
    <ds:schemaRef ds:uri="http://purl.org/dc/dcmitype/"/>
    <ds:schemaRef ds:uri="http://schemas.microsoft.com/sharepoint/v4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4eee6405-2410-41a9-b466-84efdb81922d"/>
    <ds:schemaRef ds:uri="5c6dfab4-252d-401e-a3da-0a884206eb77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9F627BDC-7319-41C2-AC00-6554373FFF06}">
  <ds:schemaRefs>
    <ds:schemaRef ds:uri="http://schemas.microsoft.com/office/2006/metadata/longProperties"/>
  </ds:schemaRefs>
</ds:datastoreItem>
</file>

<file path=docMetadata/LabelInfo.xml><?xml version="1.0" encoding="utf-8"?>
<clbl:labelList xmlns:clbl="http://schemas.microsoft.com/office/2020/mipLabelMetadata">
  <clbl:label id="{6e118e09-08be-4360-a815-3fc29828016d}" enabled="1" method="Standard" siteId="{15b734ef-4a07-47e7-90f4-22cc84a7af23}" contentBits="0" removed="0"/>
  <clbl:label id="{eb769cfb-dd8b-4bb8-a400-4916379695bd}" enabled="1" method="Privileged" siteId="{d602ad75-52f3-4a9e-930c-683bb9414935}" contentBits="1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4</vt:i4>
      </vt:variant>
    </vt:vector>
  </HeadingPairs>
  <TitlesOfParts>
    <vt:vector size="18" baseType="lpstr">
      <vt:lpstr>Hinweise</vt:lpstr>
      <vt:lpstr>Anlage 1a_Zuschlagszahlungen_NB</vt:lpstr>
      <vt:lpstr>Anlage 1b_Abzüge, Pflicht, Boni</vt:lpstr>
      <vt:lpstr>Anlage 1c_Korrekturen_NB</vt:lpstr>
      <vt:lpstr>Anlage 1d_Pönalen</vt:lpstr>
      <vt:lpstr>Anlage 1e_WKNS</vt:lpstr>
      <vt:lpstr>Anlage 1f_ZuschlagszahlungenKAT</vt:lpstr>
      <vt:lpstr>Anlage 1g_Korrekturen_KG</vt:lpstr>
      <vt:lpstr>Anlage 2a_Letztverbrauch</vt:lpstr>
      <vt:lpstr>Anlage 2b_Korrekturen</vt:lpstr>
      <vt:lpstr>Anlage 2c_Korrekturen_JA</vt:lpstr>
      <vt:lpstr>Anlage 3a_Zusammenfassung_KWKG</vt:lpstr>
      <vt:lpstr>Anlage 3b_Zusammenfassung ONU</vt:lpstr>
      <vt:lpstr>LV-Schlüssel</vt:lpstr>
      <vt:lpstr>'Anlage 1a_Zuschlagszahlungen_NB'!Druckbereich</vt:lpstr>
      <vt:lpstr>'Anlage 2b_Korrekturen'!Druckbereich</vt:lpstr>
      <vt:lpstr>'Anlage 2c_Korrekturen_JA'!Druckbereich</vt:lpstr>
      <vt:lpstr>'Anlage 2a_Letztverbrauch'!Print_Area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Matrizen</dc:title>
  <dc:subject/>
  <dc:creator>Geiger Dr. Ansgar</dc:creator>
  <cp:keywords/>
  <dc:description/>
  <cp:lastModifiedBy>Knuth Christian (50HzT EE-F)</cp:lastModifiedBy>
  <cp:revision/>
  <cp:lastPrinted>2025-09-11T12:36:21Z</cp:lastPrinted>
  <dcterms:created xsi:type="dcterms:W3CDTF">2000-03-21T12:53:47Z</dcterms:created>
  <dcterms:modified xsi:type="dcterms:W3CDTF">2025-09-12T12:11:51Z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">
    <vt:lpwstr>Dokument</vt:lpwstr>
  </property>
  <property fmtid="{D5CDD505-2E9C-101B-9397-08002B2CF9AE}" pid="4" name="display_urn:schemas-microsoft-com:office:office#Editor">
    <vt:lpwstr>Inga Kurz</vt:lpwstr>
  </property>
  <property fmtid="{D5CDD505-2E9C-101B-9397-08002B2CF9AE}" pid="5" name="display_urn:schemas-microsoft-com:office:office#Author">
    <vt:lpwstr>Inga Kurz</vt:lpwstr>
  </property>
  <property fmtid="{D5CDD505-2E9C-101B-9397-08002B2CF9AE}" pid="6" name="ContentTypeId">
    <vt:lpwstr>0x0101003C501F3BAF22714CB7E7152BDDD4B823</vt:lpwstr>
  </property>
  <property fmtid="{D5CDD505-2E9C-101B-9397-08002B2CF9AE}" pid="7" name="ComplianceAssetId">
    <vt:lpwstr/>
  </property>
  <property fmtid="{D5CDD505-2E9C-101B-9397-08002B2CF9AE}" pid="8" name="Order">
    <vt:r8>38900</vt:r8>
  </property>
  <property fmtid="{D5CDD505-2E9C-101B-9397-08002B2CF9AE}" pid="9" name="TemplateUrl">
    <vt:lpwstr/>
  </property>
  <property fmtid="{D5CDD505-2E9C-101B-9397-08002B2CF9AE}" pid="10" name="URL">
    <vt:lpwstr/>
  </property>
  <property fmtid="{D5CDD505-2E9C-101B-9397-08002B2CF9AE}" pid="11" name="xd_Signature">
    <vt:bool>false</vt:bool>
  </property>
  <property fmtid="{D5CDD505-2E9C-101B-9397-08002B2CF9AE}" pid="12" name="xd_ProgID">
    <vt:lpwstr/>
  </property>
  <property fmtid="{D5CDD505-2E9C-101B-9397-08002B2CF9AE}" pid="13" name="Titel">
    <vt:lpwstr>Matrizen</vt:lpwstr>
  </property>
  <property fmtid="{D5CDD505-2E9C-101B-9397-08002B2CF9AE}" pid="14" name="MSIP_Label_6e118e09-08be-4360-a815-3fc29828016d_Enabled">
    <vt:lpwstr>true</vt:lpwstr>
  </property>
  <property fmtid="{D5CDD505-2E9C-101B-9397-08002B2CF9AE}" pid="15" name="MSIP_Label_6e118e09-08be-4360-a815-3fc29828016d_SetDate">
    <vt:lpwstr>2024-09-11T09:57:26Z</vt:lpwstr>
  </property>
  <property fmtid="{D5CDD505-2E9C-101B-9397-08002B2CF9AE}" pid="16" name="MSIP_Label_6e118e09-08be-4360-a815-3fc29828016d_Method">
    <vt:lpwstr>Standard</vt:lpwstr>
  </property>
  <property fmtid="{D5CDD505-2E9C-101B-9397-08002B2CF9AE}" pid="17" name="MSIP_Label_6e118e09-08be-4360-a815-3fc29828016d_Name">
    <vt:lpwstr>Internal</vt:lpwstr>
  </property>
  <property fmtid="{D5CDD505-2E9C-101B-9397-08002B2CF9AE}" pid="18" name="MSIP_Label_6e118e09-08be-4360-a815-3fc29828016d_SiteId">
    <vt:lpwstr>15b734ef-4a07-47e7-90f4-22cc84a7af23</vt:lpwstr>
  </property>
  <property fmtid="{D5CDD505-2E9C-101B-9397-08002B2CF9AE}" pid="19" name="MSIP_Label_6e118e09-08be-4360-a815-3fc29828016d_ActionId">
    <vt:lpwstr>4300e18d-9943-44d5-b87e-f8e451e1fb70</vt:lpwstr>
  </property>
  <property fmtid="{D5CDD505-2E9C-101B-9397-08002B2CF9AE}" pid="20" name="MSIP_Label_6e118e09-08be-4360-a815-3fc29828016d_ContentBits">
    <vt:lpwstr>0</vt:lpwstr>
  </property>
  <property fmtid="{D5CDD505-2E9C-101B-9397-08002B2CF9AE}" pid="21" name="MediaServiceImageTags">
    <vt:lpwstr/>
  </property>
</Properties>
</file>